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95" windowWidth="14820" windowHeight="652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  <sheet name="Sheet1" sheetId="80" r:id="rId27"/>
  </sheets>
  <externalReferences>
    <externalReference r:id="rId28"/>
    <externalReference r:id="rId29"/>
    <externalReference r:id="rId30"/>
    <externalReference r:id="rId31"/>
    <externalReference r:id="rId32"/>
  </externalReferences>
  <definedNames>
    <definedName name="_C111">TH!$Q$10:$Q$4610</definedName>
    <definedName name="_C112">TH!$T$10:$T$4610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'112'!$A$10:$K$95</definedName>
    <definedName name="_xlnm._FilterDatabase" localSheetId="8" hidden="1">'131-CT'!$A$12:$J$25</definedName>
    <definedName name="_xlnm._FilterDatabase" localSheetId="14" hidden="1">'152-CT'!$A$12:$Q$79</definedName>
    <definedName name="_xlnm._FilterDatabase" localSheetId="10" hidden="1">'331-CT'!$A$12:$J$21</definedName>
    <definedName name="_xlnm._FilterDatabase" localSheetId="16" hidden="1">BTGT!$A$68:$T$137</definedName>
    <definedName name="_xlnm._FilterDatabase" localSheetId="3" hidden="1">CTTK!$A$13:$J$15</definedName>
    <definedName name="_xlnm._FilterDatabase" localSheetId="12" hidden="1">NXT!$A$11:$N$788</definedName>
    <definedName name="_xlnm._FilterDatabase" localSheetId="25" hidden="1">'Sheet2 (2)'!$A$560:$S$955</definedName>
    <definedName name="_xlnm._FilterDatabase" localSheetId="1" hidden="1">TH!$A$9:$AD$4489</definedName>
    <definedName name="_xlnm._FilterDatabase" localSheetId="15" hidden="1">TK!$A$1:$J$1</definedName>
    <definedName name="_M">TH!$B$10:$B$4610</definedName>
    <definedName name="_N111">TH!$P$10:$P$4610</definedName>
    <definedName name="_N112">TH!$S$10:$S$4610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TH!$J$10:$J$4610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'131'!$B$6:$B$49</definedName>
    <definedName name="DSGT1">BTGT!$B$7:$B$60</definedName>
    <definedName name="DSGT2">BTGT!$B$69:$B$139</definedName>
    <definedName name="DSGT3">BTGT!$B$148:$B$192</definedName>
    <definedName name="DSGT4">BTGT!$B$200:$B$225</definedName>
    <definedName name="DSKH">'331'!$B$6:$B$15</definedName>
    <definedName name="DSKHusd">'[2]131'!$B$5:$B$15</definedName>
    <definedName name="DSSP1">BTGT!$B$7:$J$60</definedName>
    <definedName name="DSSP2">BTGT!$B$69:$J$139</definedName>
    <definedName name="DSSP3">BTGT!$B$148:$J$192</definedName>
    <definedName name="DSSP4">BTGT!$B$200:$J$225</definedName>
    <definedName name="DSTK" localSheetId="25">[3]CDPS!$A$10:$D$68</definedName>
    <definedName name="DSTK">CDPS!$A$10:$D$51</definedName>
    <definedName name="DSTS1">'SO-TS'!$D$14:$D$17</definedName>
    <definedName name="DSTS2">'SO-TS'!#REF!</definedName>
    <definedName name="KH">TH!$H$10:$H$4610</definedName>
    <definedName name="KHC">TH!$M$10:$M$4610</definedName>
    <definedName name="KHN">TH!$L$10:$L$4610</definedName>
    <definedName name="Loai" localSheetId="25">OFFSET('[3]NK-SC'!$J$11,,,COUNTA('[3]NK-SC'!$J$11:$J$3855))</definedName>
    <definedName name="Loai">OFFSET(TH!$N$5,,,COUNTA(TH!$N$5:$N$42920))</definedName>
    <definedName name="Loai1">OFFSET(TH!$O$5,,,COUNTA(TH!$O$5:$O$42920))</definedName>
    <definedName name="Loai2">OFFSET(TH!$R$5,,,COUNTA(TH!$R$5:$R$42920))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OFFSET(TH!$U$5,,,COUNTA(TH!$U$5:$U$42920))</definedName>
    <definedName name="Loai5">OFFSET(TH!$V$5,,,COUNTA(TH!$V$5:$V$42920))</definedName>
    <definedName name="Loai6">OFFSET(TH!$Z$5,,,COUNTA(TH!$Z$5:$Z$42920))</definedName>
    <definedName name="Loai7">OFFSET(TH!$W$5,,,COUNTA(TH!$W$5:$W$42920))</definedName>
    <definedName name="Loai8">OFFSET(TH!$X$5,,,COUNTA(TH!$X$5:$X$42920))</definedName>
    <definedName name="Loai9">OFFSET(TH!$Y$5,,,COUNTA(TH!$Y$5:$Y$42920))</definedName>
    <definedName name="MH">TH!$F$10:$F$4610</definedName>
    <definedName name="NXT">NXT!$A$12:$A$1110</definedName>
    <definedName name="_xlnm.Print_Area" localSheetId="4">'111'!$A$1:$J$65</definedName>
    <definedName name="_xlnm.Print_Area" localSheetId="6">'112'!$A$1:$I$103</definedName>
    <definedName name="_xlnm.Print_Area" localSheetId="7">'131'!$A$1:$H$57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BTGT!$A$64:$J$140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NXT!$B$1:$L$793</definedName>
    <definedName name="_xlnm.Print_Area" localSheetId="24">Sheet2!$A$1:$G$28</definedName>
    <definedName name="_xlnm.Print_Area" localSheetId="25">'Sheet2 (2)'!$A$1:$F$21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BTGT!$68:$68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TH!$I$10:$I$4610</definedName>
    <definedName name="TH">TH!$K$10:$K$4610</definedName>
    <definedName name="TM">TH!$A$10:$M$4610</definedName>
  </definedNames>
  <calcPr calcId="144525"/>
</workbook>
</file>

<file path=xl/calcChain.xml><?xml version="1.0" encoding="utf-8"?>
<calcChain xmlns="http://schemas.openxmlformats.org/spreadsheetml/2006/main">
  <c r="N13" i="34" l="1"/>
  <c r="R13" i="34"/>
  <c r="S13" i="34"/>
  <c r="T13" i="34"/>
  <c r="V13" i="34"/>
  <c r="X13" i="34"/>
  <c r="Y13" i="34"/>
  <c r="N14" i="34"/>
  <c r="R14" i="34"/>
  <c r="S14" i="34"/>
  <c r="T14" i="34"/>
  <c r="V14" i="34"/>
  <c r="X14" i="34"/>
  <c r="Y14" i="34"/>
  <c r="N15" i="34"/>
  <c r="R15" i="34"/>
  <c r="S15" i="34"/>
  <c r="T15" i="34"/>
  <c r="V15" i="34"/>
  <c r="X15" i="34"/>
  <c r="Y15" i="34"/>
  <c r="N16" i="34"/>
  <c r="R16" i="34"/>
  <c r="S16" i="34"/>
  <c r="T16" i="34"/>
  <c r="V16" i="34"/>
  <c r="X16" i="34"/>
  <c r="Y16" i="34"/>
  <c r="N17" i="34"/>
  <c r="R17" i="34"/>
  <c r="S17" i="34"/>
  <c r="T17" i="34"/>
  <c r="V17" i="34"/>
  <c r="X17" i="34"/>
  <c r="Y17" i="34"/>
  <c r="N18" i="34"/>
  <c r="R18" i="34"/>
  <c r="S18" i="34"/>
  <c r="T18" i="34"/>
  <c r="V18" i="34"/>
  <c r="X18" i="34"/>
  <c r="Y18" i="34"/>
  <c r="N19" i="34"/>
  <c r="R19" i="34"/>
  <c r="S19" i="34"/>
  <c r="T19" i="34"/>
  <c r="V19" i="34"/>
  <c r="X19" i="34"/>
  <c r="Y19" i="34"/>
  <c r="N20" i="34"/>
  <c r="R20" i="34"/>
  <c r="S20" i="34"/>
  <c r="T20" i="34"/>
  <c r="V20" i="34"/>
  <c r="X20" i="34"/>
  <c r="Y20" i="34"/>
  <c r="N21" i="34"/>
  <c r="R21" i="34"/>
  <c r="S21" i="34"/>
  <c r="T21" i="34"/>
  <c r="V21" i="34"/>
  <c r="X21" i="34"/>
  <c r="Y21" i="34"/>
  <c r="N22" i="34"/>
  <c r="R22" i="34"/>
  <c r="S22" i="34"/>
  <c r="T22" i="34"/>
  <c r="V22" i="34"/>
  <c r="X22" i="34"/>
  <c r="Y22" i="34"/>
  <c r="N23" i="34"/>
  <c r="V23" i="34"/>
  <c r="X23" i="34"/>
  <c r="Y23" i="34"/>
  <c r="N24" i="34"/>
  <c r="V24" i="34"/>
  <c r="X24" i="34"/>
  <c r="Y24" i="34"/>
  <c r="N25" i="34"/>
  <c r="V25" i="34"/>
  <c r="X25" i="34"/>
  <c r="Y25" i="34"/>
  <c r="N26" i="34"/>
  <c r="V26" i="34"/>
  <c r="X26" i="34"/>
  <c r="Y26" i="34"/>
  <c r="N27" i="34"/>
  <c r="V27" i="34"/>
  <c r="X27" i="34"/>
  <c r="Y27" i="34"/>
  <c r="N28" i="34"/>
  <c r="V28" i="34"/>
  <c r="X28" i="34"/>
  <c r="Y28" i="34"/>
  <c r="N29" i="34"/>
  <c r="V29" i="34"/>
  <c r="X29" i="34"/>
  <c r="Y29" i="34"/>
  <c r="N30" i="34"/>
  <c r="V30" i="34"/>
  <c r="X30" i="34"/>
  <c r="Y30" i="34"/>
  <c r="N31" i="34"/>
  <c r="V31" i="34"/>
  <c r="X31" i="34"/>
  <c r="Y31" i="34"/>
  <c r="N32" i="34"/>
  <c r="V32" i="34"/>
  <c r="X32" i="34"/>
  <c r="Y32" i="34"/>
  <c r="N33" i="34"/>
  <c r="V33" i="34"/>
  <c r="X33" i="34"/>
  <c r="Y33" i="34"/>
  <c r="N34" i="34"/>
  <c r="V34" i="34"/>
  <c r="X34" i="34"/>
  <c r="Y34" i="34"/>
  <c r="N35" i="34"/>
  <c r="V35" i="34"/>
  <c r="X35" i="34"/>
  <c r="Y35" i="34"/>
  <c r="N36" i="34"/>
  <c r="V36" i="34"/>
  <c r="X36" i="34"/>
  <c r="Y36" i="34"/>
  <c r="N37" i="34"/>
  <c r="V37" i="34"/>
  <c r="X37" i="34"/>
  <c r="Y37" i="34"/>
  <c r="N38" i="34"/>
  <c r="V38" i="34"/>
  <c r="X38" i="34"/>
  <c r="Y38" i="34"/>
  <c r="N39" i="34"/>
  <c r="V39" i="34"/>
  <c r="X39" i="34"/>
  <c r="Y39" i="34"/>
  <c r="N40" i="34"/>
  <c r="V40" i="34"/>
  <c r="X40" i="34"/>
  <c r="Y40" i="34"/>
  <c r="N41" i="34"/>
  <c r="V41" i="34"/>
  <c r="X41" i="34"/>
  <c r="Y41" i="34"/>
  <c r="N42" i="34"/>
  <c r="V42" i="34"/>
  <c r="X42" i="34"/>
  <c r="Y42" i="34"/>
  <c r="N43" i="34"/>
  <c r="V43" i="34"/>
  <c r="X43" i="34"/>
  <c r="Y43" i="34"/>
  <c r="N44" i="34"/>
  <c r="V44" i="34"/>
  <c r="X44" i="34"/>
  <c r="Y44" i="34"/>
  <c r="N45" i="34"/>
  <c r="V45" i="34"/>
  <c r="X45" i="34"/>
  <c r="Y45" i="34"/>
  <c r="N46" i="34"/>
  <c r="V46" i="34"/>
  <c r="X46" i="34"/>
  <c r="Y46" i="34"/>
  <c r="N47" i="34"/>
  <c r="V47" i="34"/>
  <c r="X47" i="34"/>
  <c r="Y47" i="34"/>
  <c r="N48" i="34"/>
  <c r="V48" i="34"/>
  <c r="X48" i="34"/>
  <c r="Y48" i="34"/>
  <c r="N49" i="34"/>
  <c r="V49" i="34"/>
  <c r="X49" i="34"/>
  <c r="Y49" i="34"/>
  <c r="N50" i="34"/>
  <c r="V50" i="34"/>
  <c r="X50" i="34"/>
  <c r="Y50" i="34"/>
  <c r="N51" i="34"/>
  <c r="V51" i="34"/>
  <c r="X51" i="34"/>
  <c r="Y51" i="34"/>
  <c r="N52" i="34"/>
  <c r="V52" i="34"/>
  <c r="X52" i="34"/>
  <c r="Y52" i="34"/>
  <c r="N53" i="34"/>
  <c r="V53" i="34"/>
  <c r="X53" i="34"/>
  <c r="Y53" i="34"/>
  <c r="N54" i="34"/>
  <c r="V54" i="34"/>
  <c r="X54" i="34"/>
  <c r="Y54" i="34"/>
  <c r="N55" i="34"/>
  <c r="V55" i="34"/>
  <c r="X55" i="34"/>
  <c r="Y55" i="34"/>
  <c r="N56" i="34"/>
  <c r="V56" i="34"/>
  <c r="X56" i="34"/>
  <c r="Y56" i="34"/>
  <c r="N57" i="34"/>
  <c r="V57" i="34"/>
  <c r="X57" i="34"/>
  <c r="Y57" i="34"/>
  <c r="N58" i="34"/>
  <c r="V58" i="34"/>
  <c r="X58" i="34"/>
  <c r="Y58" i="34"/>
  <c r="N59" i="34"/>
  <c r="V59" i="34"/>
  <c r="X59" i="34"/>
  <c r="Y59" i="34"/>
  <c r="N60" i="34"/>
  <c r="V60" i="34"/>
  <c r="X60" i="34"/>
  <c r="Y60" i="34"/>
  <c r="N61" i="34"/>
  <c r="V61" i="34"/>
  <c r="X61" i="34"/>
  <c r="Y61" i="34"/>
  <c r="N62" i="34"/>
  <c r="V62" i="34"/>
  <c r="X62" i="34"/>
  <c r="Y62" i="34"/>
  <c r="N63" i="34"/>
  <c r="V63" i="34"/>
  <c r="X63" i="34"/>
  <c r="Y63" i="34"/>
  <c r="N64" i="34"/>
  <c r="V64" i="34"/>
  <c r="X64" i="34"/>
  <c r="Y64" i="34"/>
  <c r="N65" i="34"/>
  <c r="V65" i="34"/>
  <c r="X65" i="34"/>
  <c r="Y65" i="34"/>
  <c r="N66" i="34"/>
  <c r="V66" i="34"/>
  <c r="X66" i="34"/>
  <c r="Y66" i="34"/>
  <c r="N67" i="34"/>
  <c r="V67" i="34"/>
  <c r="X67" i="34"/>
  <c r="Y67" i="34"/>
  <c r="N68" i="34"/>
  <c r="V68" i="34"/>
  <c r="X68" i="34"/>
  <c r="Y68" i="34"/>
  <c r="N69" i="34"/>
  <c r="V69" i="34"/>
  <c r="X69" i="34"/>
  <c r="Y69" i="34"/>
  <c r="N70" i="34"/>
  <c r="V70" i="34"/>
  <c r="X70" i="34"/>
  <c r="Y70" i="34"/>
  <c r="N71" i="34"/>
  <c r="V71" i="34"/>
  <c r="X71" i="34"/>
  <c r="Y71" i="34"/>
  <c r="N72" i="34"/>
  <c r="V72" i="34"/>
  <c r="X72" i="34"/>
  <c r="Y72" i="34"/>
  <c r="N73" i="34"/>
  <c r="V73" i="34"/>
  <c r="X73" i="34"/>
  <c r="Y73" i="34"/>
  <c r="N74" i="34"/>
  <c r="V74" i="34"/>
  <c r="X74" i="34"/>
  <c r="Y74" i="34"/>
  <c r="N75" i="34"/>
  <c r="V75" i="34"/>
  <c r="X75" i="34"/>
  <c r="Y75" i="34"/>
  <c r="N76" i="34"/>
  <c r="V76" i="34"/>
  <c r="X76" i="34"/>
  <c r="Y76" i="34"/>
  <c r="N77" i="34"/>
  <c r="V77" i="34"/>
  <c r="X77" i="34"/>
  <c r="Y77" i="34"/>
  <c r="N78" i="34"/>
  <c r="V78" i="34"/>
  <c r="X78" i="34"/>
  <c r="Y78" i="34"/>
  <c r="N79" i="34"/>
  <c r="V79" i="34"/>
  <c r="X79" i="34"/>
  <c r="Y79" i="34"/>
  <c r="N80" i="34"/>
  <c r="V80" i="34"/>
  <c r="X80" i="34"/>
  <c r="Y80" i="34"/>
  <c r="N81" i="34"/>
  <c r="V81" i="34"/>
  <c r="X81" i="34"/>
  <c r="Y81" i="34"/>
  <c r="N82" i="34"/>
  <c r="V82" i="34"/>
  <c r="X82" i="34"/>
  <c r="Y82" i="34"/>
  <c r="N83" i="34"/>
  <c r="V83" i="34"/>
  <c r="X83" i="34"/>
  <c r="Y83" i="34"/>
  <c r="N84" i="34"/>
  <c r="V84" i="34"/>
  <c r="X84" i="34"/>
  <c r="Y84" i="34"/>
  <c r="N85" i="34"/>
  <c r="V85" i="34"/>
  <c r="X85" i="34"/>
  <c r="Y85" i="34"/>
  <c r="N86" i="34"/>
  <c r="V86" i="34"/>
  <c r="X86" i="34"/>
  <c r="Y86" i="34"/>
  <c r="N87" i="34"/>
  <c r="V87" i="34"/>
  <c r="X87" i="34"/>
  <c r="Y87" i="34"/>
  <c r="N88" i="34"/>
  <c r="V88" i="34"/>
  <c r="X88" i="34"/>
  <c r="Y88" i="34"/>
  <c r="N89" i="34"/>
  <c r="V89" i="34"/>
  <c r="X89" i="34"/>
  <c r="Y89" i="34"/>
  <c r="N90" i="34"/>
  <c r="V90" i="34"/>
  <c r="X90" i="34"/>
  <c r="Y90" i="34"/>
  <c r="N91" i="34"/>
  <c r="V91" i="34"/>
  <c r="X91" i="34"/>
  <c r="Y91" i="34"/>
  <c r="N92" i="34"/>
  <c r="V92" i="34"/>
  <c r="X92" i="34"/>
  <c r="Y92" i="34"/>
  <c r="N93" i="34"/>
  <c r="V93" i="34"/>
  <c r="X93" i="34"/>
  <c r="Y93" i="34"/>
  <c r="N94" i="34"/>
  <c r="V94" i="34"/>
  <c r="X94" i="34"/>
  <c r="Y94" i="34"/>
  <c r="N95" i="34"/>
  <c r="V95" i="34"/>
  <c r="X95" i="34"/>
  <c r="Y95" i="34"/>
  <c r="N96" i="34"/>
  <c r="V96" i="34"/>
  <c r="X96" i="34"/>
  <c r="Y96" i="34"/>
  <c r="N97" i="34"/>
  <c r="V97" i="34"/>
  <c r="X97" i="34"/>
  <c r="Y97" i="34"/>
  <c r="N98" i="34"/>
  <c r="V98" i="34"/>
  <c r="X98" i="34"/>
  <c r="Y98" i="34"/>
  <c r="N99" i="34"/>
  <c r="V99" i="34"/>
  <c r="X99" i="34"/>
  <c r="Y99" i="34"/>
  <c r="N100" i="34"/>
  <c r="V100" i="34"/>
  <c r="X100" i="34"/>
  <c r="Y100" i="34"/>
  <c r="N101" i="34"/>
  <c r="V101" i="34"/>
  <c r="X101" i="34"/>
  <c r="Y101" i="34"/>
  <c r="N102" i="34"/>
  <c r="V102" i="34"/>
  <c r="X102" i="34"/>
  <c r="Y102" i="34"/>
  <c r="N103" i="34"/>
  <c r="V103" i="34"/>
  <c r="X103" i="34"/>
  <c r="Y103" i="34"/>
  <c r="N104" i="34"/>
  <c r="V104" i="34"/>
  <c r="X104" i="34"/>
  <c r="Y104" i="34"/>
  <c r="N105" i="34"/>
  <c r="V105" i="34"/>
  <c r="X105" i="34"/>
  <c r="Y105" i="34"/>
  <c r="N106" i="34"/>
  <c r="V106" i="34"/>
  <c r="X106" i="34"/>
  <c r="Y106" i="34"/>
  <c r="N107" i="34"/>
  <c r="V107" i="34"/>
  <c r="X107" i="34"/>
  <c r="Y107" i="34"/>
  <c r="N108" i="34"/>
  <c r="V108" i="34"/>
  <c r="X108" i="34"/>
  <c r="Y108" i="34"/>
  <c r="N109" i="34"/>
  <c r="V109" i="34"/>
  <c r="X109" i="34"/>
  <c r="Y109" i="34"/>
  <c r="N110" i="34"/>
  <c r="V110" i="34"/>
  <c r="X110" i="34"/>
  <c r="Y110" i="34"/>
  <c r="N111" i="34"/>
  <c r="V111" i="34"/>
  <c r="X111" i="34"/>
  <c r="Y111" i="34"/>
  <c r="N112" i="34"/>
  <c r="V112" i="34"/>
  <c r="X112" i="34"/>
  <c r="Y112" i="34"/>
  <c r="N113" i="34"/>
  <c r="V113" i="34"/>
  <c r="X113" i="34"/>
  <c r="Y113" i="34"/>
  <c r="N114" i="34"/>
  <c r="V114" i="34"/>
  <c r="X114" i="34"/>
  <c r="Y114" i="34"/>
  <c r="N115" i="34"/>
  <c r="V115" i="34"/>
  <c r="X115" i="34"/>
  <c r="Y115" i="34"/>
  <c r="N116" i="34"/>
  <c r="V116" i="34"/>
  <c r="X116" i="34"/>
  <c r="Y116" i="34"/>
  <c r="N117" i="34"/>
  <c r="V117" i="34"/>
  <c r="X117" i="34"/>
  <c r="Y117" i="34"/>
  <c r="N118" i="34"/>
  <c r="V118" i="34"/>
  <c r="X118" i="34"/>
  <c r="Y118" i="34"/>
  <c r="N119" i="34"/>
  <c r="V119" i="34"/>
  <c r="X119" i="34"/>
  <c r="Y119" i="34"/>
  <c r="N120" i="34"/>
  <c r="V120" i="34"/>
  <c r="X120" i="34"/>
  <c r="Y120" i="34"/>
  <c r="N121" i="34"/>
  <c r="V121" i="34"/>
  <c r="X121" i="34"/>
  <c r="Y121" i="34"/>
  <c r="N122" i="34"/>
  <c r="V122" i="34"/>
  <c r="X122" i="34"/>
  <c r="Y122" i="34"/>
  <c r="N123" i="34"/>
  <c r="V123" i="34"/>
  <c r="X123" i="34"/>
  <c r="Y123" i="34"/>
  <c r="N124" i="34"/>
  <c r="V124" i="34"/>
  <c r="X124" i="34"/>
  <c r="Y124" i="34"/>
  <c r="N125" i="34"/>
  <c r="V125" i="34"/>
  <c r="X125" i="34"/>
  <c r="Y125" i="34"/>
  <c r="N126" i="34"/>
  <c r="V126" i="34"/>
  <c r="X126" i="34"/>
  <c r="Y126" i="34"/>
  <c r="N127" i="34"/>
  <c r="V127" i="34"/>
  <c r="X127" i="34"/>
  <c r="Y127" i="34"/>
  <c r="N128" i="34"/>
  <c r="V128" i="34"/>
  <c r="X128" i="34"/>
  <c r="Y128" i="34"/>
  <c r="N129" i="34"/>
  <c r="V129" i="34"/>
  <c r="X129" i="34"/>
  <c r="Y129" i="34"/>
  <c r="N130" i="34"/>
  <c r="V130" i="34"/>
  <c r="X130" i="34"/>
  <c r="Y130" i="34"/>
  <c r="N131" i="34"/>
  <c r="V131" i="34"/>
  <c r="X131" i="34"/>
  <c r="Y131" i="34"/>
  <c r="N132" i="34"/>
  <c r="V132" i="34"/>
  <c r="X132" i="34"/>
  <c r="Y132" i="34"/>
  <c r="N133" i="34"/>
  <c r="V133" i="34"/>
  <c r="X133" i="34"/>
  <c r="Y133" i="34"/>
  <c r="N134" i="34"/>
  <c r="V134" i="34"/>
  <c r="X134" i="34"/>
  <c r="Y134" i="34"/>
  <c r="N135" i="34"/>
  <c r="V135" i="34"/>
  <c r="X135" i="34"/>
  <c r="Y135" i="34"/>
  <c r="N136" i="34"/>
  <c r="V136" i="34"/>
  <c r="X136" i="34"/>
  <c r="Y136" i="34"/>
  <c r="N137" i="34"/>
  <c r="V137" i="34"/>
  <c r="X137" i="34"/>
  <c r="Y137" i="34"/>
  <c r="N138" i="34"/>
  <c r="V138" i="34"/>
  <c r="X138" i="34"/>
  <c r="Y138" i="34"/>
  <c r="N139" i="34"/>
  <c r="V139" i="34"/>
  <c r="X139" i="34"/>
  <c r="Y139" i="34"/>
  <c r="N140" i="34"/>
  <c r="V140" i="34"/>
  <c r="X140" i="34"/>
  <c r="Y140" i="34"/>
  <c r="N141" i="34"/>
  <c r="V141" i="34"/>
  <c r="X141" i="34"/>
  <c r="Y141" i="34"/>
  <c r="N142" i="34"/>
  <c r="V142" i="34"/>
  <c r="X142" i="34"/>
  <c r="Y142" i="34"/>
  <c r="N143" i="34"/>
  <c r="V143" i="34"/>
  <c r="X143" i="34"/>
  <c r="Y143" i="34"/>
  <c r="N144" i="34"/>
  <c r="V144" i="34"/>
  <c r="X144" i="34"/>
  <c r="Y144" i="34"/>
  <c r="N145" i="34"/>
  <c r="V145" i="34"/>
  <c r="X145" i="34"/>
  <c r="Y145" i="34"/>
  <c r="N146" i="34"/>
  <c r="V146" i="34"/>
  <c r="X146" i="34"/>
  <c r="Y146" i="34"/>
  <c r="N147" i="34"/>
  <c r="V147" i="34"/>
  <c r="X147" i="34"/>
  <c r="Y147" i="34"/>
  <c r="N148" i="34"/>
  <c r="V148" i="34"/>
  <c r="X148" i="34"/>
  <c r="Y148" i="34"/>
  <c r="N149" i="34"/>
  <c r="V149" i="34"/>
  <c r="X149" i="34"/>
  <c r="Y149" i="34"/>
  <c r="N150" i="34"/>
  <c r="V150" i="34"/>
  <c r="X150" i="34"/>
  <c r="Y150" i="34"/>
  <c r="N151" i="34"/>
  <c r="V151" i="34"/>
  <c r="X151" i="34"/>
  <c r="Y151" i="34"/>
  <c r="N152" i="34"/>
  <c r="V152" i="34"/>
  <c r="X152" i="34"/>
  <c r="Y152" i="34"/>
  <c r="N153" i="34"/>
  <c r="V153" i="34"/>
  <c r="X153" i="34"/>
  <c r="Y153" i="34"/>
  <c r="N154" i="34"/>
  <c r="V154" i="34"/>
  <c r="X154" i="34"/>
  <c r="Y154" i="34"/>
  <c r="N155" i="34"/>
  <c r="V155" i="34"/>
  <c r="X155" i="34"/>
  <c r="Y155" i="34"/>
  <c r="N156" i="34"/>
  <c r="V156" i="34"/>
  <c r="X156" i="34"/>
  <c r="Y156" i="34"/>
  <c r="N157" i="34"/>
  <c r="V157" i="34"/>
  <c r="X157" i="34"/>
  <c r="Y157" i="34"/>
  <c r="N158" i="34"/>
  <c r="V158" i="34"/>
  <c r="X158" i="34"/>
  <c r="Y158" i="34"/>
  <c r="N159" i="34"/>
  <c r="V159" i="34"/>
  <c r="X159" i="34"/>
  <c r="Y159" i="34"/>
  <c r="N160" i="34"/>
  <c r="V160" i="34"/>
  <c r="X160" i="34"/>
  <c r="Y160" i="34"/>
  <c r="N161" i="34"/>
  <c r="V161" i="34"/>
  <c r="X161" i="34"/>
  <c r="Y161" i="34"/>
  <c r="N162" i="34"/>
  <c r="V162" i="34"/>
  <c r="X162" i="34"/>
  <c r="Y162" i="34"/>
  <c r="N163" i="34"/>
  <c r="V163" i="34"/>
  <c r="X163" i="34"/>
  <c r="Y163" i="34"/>
  <c r="N164" i="34"/>
  <c r="V164" i="34"/>
  <c r="X164" i="34"/>
  <c r="Y164" i="34"/>
  <c r="N165" i="34"/>
  <c r="V165" i="34"/>
  <c r="X165" i="34"/>
  <c r="Y165" i="34"/>
  <c r="N166" i="34"/>
  <c r="V166" i="34"/>
  <c r="X166" i="34"/>
  <c r="Y166" i="34"/>
  <c r="N167" i="34"/>
  <c r="V167" i="34"/>
  <c r="X167" i="34"/>
  <c r="Y167" i="34"/>
  <c r="N168" i="34"/>
  <c r="V168" i="34"/>
  <c r="X168" i="34"/>
  <c r="Y168" i="34"/>
  <c r="N169" i="34"/>
  <c r="V169" i="34"/>
  <c r="X169" i="34"/>
  <c r="Y169" i="34"/>
  <c r="N170" i="34"/>
  <c r="V170" i="34"/>
  <c r="X170" i="34"/>
  <c r="Y170" i="34"/>
  <c r="N171" i="34"/>
  <c r="V171" i="34"/>
  <c r="X171" i="34"/>
  <c r="Y171" i="34"/>
  <c r="N172" i="34"/>
  <c r="V172" i="34"/>
  <c r="X172" i="34"/>
  <c r="Y172" i="34"/>
  <c r="N173" i="34"/>
  <c r="V173" i="34"/>
  <c r="X173" i="34"/>
  <c r="Y173" i="34"/>
  <c r="N174" i="34"/>
  <c r="V174" i="34"/>
  <c r="X174" i="34"/>
  <c r="Y174" i="34"/>
  <c r="N175" i="34"/>
  <c r="V175" i="34"/>
  <c r="X175" i="34"/>
  <c r="Y175" i="34"/>
  <c r="N176" i="34"/>
  <c r="V176" i="34"/>
  <c r="X176" i="34"/>
  <c r="Y176" i="34"/>
  <c r="N177" i="34"/>
  <c r="V177" i="34"/>
  <c r="X177" i="34"/>
  <c r="Y177" i="34"/>
  <c r="N178" i="34"/>
  <c r="V178" i="34"/>
  <c r="X178" i="34"/>
  <c r="Y178" i="34"/>
  <c r="N179" i="34"/>
  <c r="V179" i="34"/>
  <c r="X179" i="34"/>
  <c r="Y179" i="34"/>
  <c r="N180" i="34"/>
  <c r="V180" i="34"/>
  <c r="X180" i="34"/>
  <c r="Y180" i="34"/>
  <c r="N181" i="34"/>
  <c r="V181" i="34"/>
  <c r="X181" i="34"/>
  <c r="Y181" i="34"/>
  <c r="N182" i="34"/>
  <c r="V182" i="34"/>
  <c r="X182" i="34"/>
  <c r="Y182" i="34"/>
  <c r="N183" i="34"/>
  <c r="V183" i="34"/>
  <c r="X183" i="34"/>
  <c r="Y183" i="34"/>
  <c r="N184" i="34"/>
  <c r="V184" i="34"/>
  <c r="X184" i="34"/>
  <c r="Y184" i="34"/>
  <c r="N185" i="34"/>
  <c r="V185" i="34"/>
  <c r="X185" i="34"/>
  <c r="Y185" i="34"/>
  <c r="N186" i="34"/>
  <c r="V186" i="34"/>
  <c r="X186" i="34"/>
  <c r="Y186" i="34"/>
  <c r="N187" i="34"/>
  <c r="V187" i="34"/>
  <c r="X187" i="34"/>
  <c r="Y187" i="34"/>
  <c r="N188" i="34"/>
  <c r="V188" i="34"/>
  <c r="X188" i="34"/>
  <c r="Y188" i="34"/>
  <c r="N189" i="34"/>
  <c r="V189" i="34"/>
  <c r="X189" i="34"/>
  <c r="Y189" i="34"/>
  <c r="N190" i="34"/>
  <c r="V190" i="34"/>
  <c r="X190" i="34"/>
  <c r="Y190" i="34"/>
  <c r="N191" i="34"/>
  <c r="V191" i="34"/>
  <c r="X191" i="34"/>
  <c r="Y191" i="34"/>
  <c r="N192" i="34"/>
  <c r="V192" i="34"/>
  <c r="X192" i="34"/>
  <c r="Y192" i="34"/>
  <c r="N193" i="34"/>
  <c r="V193" i="34"/>
  <c r="X193" i="34"/>
  <c r="Y193" i="34"/>
  <c r="N194" i="34"/>
  <c r="V194" i="34"/>
  <c r="X194" i="34"/>
  <c r="Y194" i="34"/>
  <c r="N195" i="34"/>
  <c r="V195" i="34"/>
  <c r="X195" i="34"/>
  <c r="Y195" i="34"/>
  <c r="N196" i="34"/>
  <c r="V196" i="34"/>
  <c r="X196" i="34"/>
  <c r="Y196" i="34"/>
  <c r="N197" i="34"/>
  <c r="V197" i="34"/>
  <c r="X197" i="34"/>
  <c r="Y197" i="34"/>
  <c r="N198" i="34"/>
  <c r="V198" i="34"/>
  <c r="X198" i="34"/>
  <c r="Y198" i="34"/>
  <c r="N199" i="34"/>
  <c r="V199" i="34"/>
  <c r="X199" i="34"/>
  <c r="Y199" i="34"/>
  <c r="N200" i="34"/>
  <c r="V200" i="34"/>
  <c r="X200" i="34"/>
  <c r="Y200" i="34"/>
  <c r="N201" i="34"/>
  <c r="V201" i="34"/>
  <c r="X201" i="34"/>
  <c r="Y201" i="34"/>
  <c r="N202" i="34"/>
  <c r="V202" i="34"/>
  <c r="X202" i="34"/>
  <c r="Y202" i="34"/>
  <c r="N203" i="34"/>
  <c r="V203" i="34"/>
  <c r="X203" i="34"/>
  <c r="Y203" i="34"/>
  <c r="N204" i="34"/>
  <c r="V204" i="34"/>
  <c r="X204" i="34"/>
  <c r="Y204" i="34"/>
  <c r="N205" i="34"/>
  <c r="V205" i="34"/>
  <c r="X205" i="34"/>
  <c r="Y205" i="34"/>
  <c r="N206" i="34"/>
  <c r="V206" i="34"/>
  <c r="X206" i="34"/>
  <c r="Y206" i="34"/>
  <c r="N207" i="34"/>
  <c r="V207" i="34"/>
  <c r="X207" i="34"/>
  <c r="Y207" i="34"/>
  <c r="N208" i="34"/>
  <c r="V208" i="34"/>
  <c r="X208" i="34"/>
  <c r="Y208" i="34"/>
  <c r="N209" i="34"/>
  <c r="V209" i="34"/>
  <c r="X209" i="34"/>
  <c r="Y209" i="34"/>
  <c r="N210" i="34"/>
  <c r="V210" i="34"/>
  <c r="X210" i="34"/>
  <c r="Y210" i="34"/>
  <c r="N211" i="34"/>
  <c r="V211" i="34"/>
  <c r="X211" i="34"/>
  <c r="Y211" i="34"/>
  <c r="N212" i="34"/>
  <c r="V212" i="34"/>
  <c r="X212" i="34"/>
  <c r="Y212" i="34"/>
  <c r="N213" i="34"/>
  <c r="V213" i="34"/>
  <c r="X213" i="34"/>
  <c r="Y213" i="34"/>
  <c r="N214" i="34"/>
  <c r="V214" i="34"/>
  <c r="X214" i="34"/>
  <c r="Y214" i="34"/>
  <c r="N215" i="34"/>
  <c r="V215" i="34"/>
  <c r="X215" i="34"/>
  <c r="Y215" i="34"/>
  <c r="N216" i="34"/>
  <c r="V216" i="34"/>
  <c r="X216" i="34"/>
  <c r="Y216" i="34"/>
  <c r="N217" i="34"/>
  <c r="V217" i="34"/>
  <c r="X217" i="34"/>
  <c r="Y217" i="34"/>
  <c r="N218" i="34"/>
  <c r="V218" i="34"/>
  <c r="X218" i="34"/>
  <c r="Y218" i="34"/>
  <c r="N219" i="34"/>
  <c r="V219" i="34"/>
  <c r="X219" i="34"/>
  <c r="Y219" i="34"/>
  <c r="N220" i="34"/>
  <c r="V220" i="34"/>
  <c r="X220" i="34"/>
  <c r="Y220" i="34"/>
  <c r="N221" i="34"/>
  <c r="V221" i="34"/>
  <c r="X221" i="34"/>
  <c r="Y221" i="34"/>
  <c r="N222" i="34"/>
  <c r="V222" i="34"/>
  <c r="X222" i="34"/>
  <c r="Y222" i="34"/>
  <c r="N223" i="34"/>
  <c r="V223" i="34"/>
  <c r="X223" i="34"/>
  <c r="Y223" i="34"/>
  <c r="N224" i="34"/>
  <c r="V224" i="34"/>
  <c r="X224" i="34"/>
  <c r="Y224" i="34"/>
  <c r="N225" i="34"/>
  <c r="V225" i="34"/>
  <c r="X225" i="34"/>
  <c r="Y225" i="34"/>
  <c r="N226" i="34"/>
  <c r="V226" i="34"/>
  <c r="X226" i="34"/>
  <c r="Y226" i="34"/>
  <c r="N227" i="34"/>
  <c r="V227" i="34"/>
  <c r="X227" i="34"/>
  <c r="Y227" i="34"/>
  <c r="N228" i="34"/>
  <c r="V228" i="34"/>
  <c r="X228" i="34"/>
  <c r="Y228" i="34"/>
  <c r="N229" i="34"/>
  <c r="V229" i="34"/>
  <c r="X229" i="34"/>
  <c r="Y229" i="34"/>
  <c r="N230" i="34"/>
  <c r="V230" i="34"/>
  <c r="X230" i="34"/>
  <c r="Y230" i="34"/>
  <c r="N231" i="34"/>
  <c r="V231" i="34"/>
  <c r="X231" i="34"/>
  <c r="Y231" i="34"/>
  <c r="N232" i="34"/>
  <c r="V232" i="34"/>
  <c r="X232" i="34"/>
  <c r="Y232" i="34"/>
  <c r="N233" i="34"/>
  <c r="V233" i="34"/>
  <c r="X233" i="34"/>
  <c r="Y233" i="34"/>
  <c r="N234" i="34"/>
  <c r="V234" i="34"/>
  <c r="X234" i="34"/>
  <c r="Y234" i="34"/>
  <c r="N235" i="34"/>
  <c r="V235" i="34"/>
  <c r="X235" i="34"/>
  <c r="Y235" i="34"/>
  <c r="N236" i="34"/>
  <c r="V236" i="34"/>
  <c r="X236" i="34"/>
  <c r="Y236" i="34"/>
  <c r="N237" i="34"/>
  <c r="V237" i="34"/>
  <c r="X237" i="34"/>
  <c r="Y237" i="34"/>
  <c r="N238" i="34"/>
  <c r="V238" i="34"/>
  <c r="X238" i="34"/>
  <c r="Y238" i="34"/>
  <c r="N239" i="34"/>
  <c r="V239" i="34"/>
  <c r="X239" i="34"/>
  <c r="Y239" i="34"/>
  <c r="N240" i="34"/>
  <c r="V240" i="34"/>
  <c r="X240" i="34"/>
  <c r="Y240" i="34"/>
  <c r="N241" i="34"/>
  <c r="V241" i="34"/>
  <c r="X241" i="34"/>
  <c r="Y241" i="34"/>
  <c r="N242" i="34"/>
  <c r="V242" i="34"/>
  <c r="X242" i="34"/>
  <c r="Y242" i="34"/>
  <c r="N243" i="34"/>
  <c r="V243" i="34"/>
  <c r="X243" i="34"/>
  <c r="Y243" i="34"/>
  <c r="N244" i="34"/>
  <c r="V244" i="34"/>
  <c r="X244" i="34"/>
  <c r="Y244" i="34"/>
  <c r="N245" i="34"/>
  <c r="V245" i="34"/>
  <c r="X245" i="34"/>
  <c r="Y245" i="34"/>
  <c r="N246" i="34"/>
  <c r="V246" i="34"/>
  <c r="X246" i="34"/>
  <c r="Y246" i="34"/>
  <c r="N247" i="34"/>
  <c r="V247" i="34"/>
  <c r="X247" i="34"/>
  <c r="Y247" i="34"/>
  <c r="N248" i="34"/>
  <c r="V248" i="34"/>
  <c r="X248" i="34"/>
  <c r="Y248" i="34"/>
  <c r="N249" i="34"/>
  <c r="V249" i="34"/>
  <c r="X249" i="34"/>
  <c r="Y249" i="34"/>
  <c r="N250" i="34"/>
  <c r="V250" i="34"/>
  <c r="X250" i="34"/>
  <c r="Y250" i="34"/>
  <c r="N251" i="34"/>
  <c r="V251" i="34"/>
  <c r="X251" i="34"/>
  <c r="Y251" i="34"/>
  <c r="N252" i="34"/>
  <c r="V252" i="34"/>
  <c r="X252" i="34"/>
  <c r="Y252" i="34"/>
  <c r="N253" i="34"/>
  <c r="V253" i="34"/>
  <c r="X253" i="34"/>
  <c r="Y253" i="34"/>
  <c r="N254" i="34"/>
  <c r="V254" i="34"/>
  <c r="X254" i="34"/>
  <c r="Y254" i="34"/>
  <c r="N255" i="34"/>
  <c r="V255" i="34"/>
  <c r="X255" i="34"/>
  <c r="Y255" i="34"/>
  <c r="N256" i="34"/>
  <c r="V256" i="34"/>
  <c r="X256" i="34"/>
  <c r="Y256" i="34"/>
  <c r="N257" i="34"/>
  <c r="V257" i="34"/>
  <c r="X257" i="34"/>
  <c r="Y257" i="34"/>
  <c r="N258" i="34"/>
  <c r="V258" i="34"/>
  <c r="X258" i="34"/>
  <c r="Y258" i="34"/>
  <c r="N259" i="34"/>
  <c r="V259" i="34"/>
  <c r="X259" i="34"/>
  <c r="Y259" i="34"/>
  <c r="N260" i="34"/>
  <c r="V260" i="34"/>
  <c r="X260" i="34"/>
  <c r="Y260" i="34"/>
  <c r="N261" i="34"/>
  <c r="V261" i="34"/>
  <c r="X261" i="34"/>
  <c r="Y261" i="34"/>
  <c r="N262" i="34"/>
  <c r="V262" i="34"/>
  <c r="X262" i="34"/>
  <c r="Y262" i="34"/>
  <c r="N263" i="34"/>
  <c r="V263" i="34"/>
  <c r="X263" i="34"/>
  <c r="Y263" i="34"/>
  <c r="N264" i="34"/>
  <c r="V264" i="34"/>
  <c r="X264" i="34"/>
  <c r="Y264" i="34"/>
  <c r="N265" i="34"/>
  <c r="V265" i="34"/>
  <c r="X265" i="34"/>
  <c r="Y265" i="34"/>
  <c r="N266" i="34"/>
  <c r="V266" i="34"/>
  <c r="X266" i="34"/>
  <c r="Y266" i="34"/>
  <c r="N267" i="34"/>
  <c r="V267" i="34"/>
  <c r="X267" i="34"/>
  <c r="Y267" i="34"/>
  <c r="N268" i="34"/>
  <c r="V268" i="34"/>
  <c r="X268" i="34"/>
  <c r="Y268" i="34"/>
  <c r="N269" i="34"/>
  <c r="V269" i="34"/>
  <c r="X269" i="34"/>
  <c r="Y269" i="34"/>
  <c r="N270" i="34"/>
  <c r="V270" i="34"/>
  <c r="X270" i="34"/>
  <c r="Y270" i="34"/>
  <c r="N271" i="34"/>
  <c r="V271" i="34"/>
  <c r="X271" i="34"/>
  <c r="Y271" i="34"/>
  <c r="N272" i="34"/>
  <c r="V272" i="34"/>
  <c r="X272" i="34"/>
  <c r="Y272" i="34"/>
  <c r="N273" i="34"/>
  <c r="V273" i="34"/>
  <c r="X273" i="34"/>
  <c r="Y273" i="34"/>
  <c r="N274" i="34"/>
  <c r="V274" i="34"/>
  <c r="X274" i="34"/>
  <c r="Y274" i="34"/>
  <c r="N275" i="34"/>
  <c r="V275" i="34"/>
  <c r="X275" i="34"/>
  <c r="Y275" i="34"/>
  <c r="N276" i="34"/>
  <c r="V276" i="34"/>
  <c r="X276" i="34"/>
  <c r="Y276" i="34"/>
  <c r="N277" i="34"/>
  <c r="V277" i="34"/>
  <c r="X277" i="34"/>
  <c r="Y277" i="34"/>
  <c r="N278" i="34"/>
  <c r="V278" i="34"/>
  <c r="X278" i="34"/>
  <c r="Y278" i="34"/>
  <c r="N279" i="34"/>
  <c r="V279" i="34"/>
  <c r="X279" i="34"/>
  <c r="Y279" i="34"/>
  <c r="N280" i="34"/>
  <c r="V280" i="34"/>
  <c r="X280" i="34"/>
  <c r="Y280" i="34"/>
  <c r="N281" i="34"/>
  <c r="V281" i="34"/>
  <c r="X281" i="34"/>
  <c r="Y281" i="34"/>
  <c r="N282" i="34"/>
  <c r="V282" i="34"/>
  <c r="X282" i="34"/>
  <c r="Y282" i="34"/>
  <c r="N283" i="34"/>
  <c r="V283" i="34"/>
  <c r="X283" i="34"/>
  <c r="Y283" i="34"/>
  <c r="N284" i="34"/>
  <c r="V284" i="34"/>
  <c r="X284" i="34"/>
  <c r="Y284" i="34"/>
  <c r="N285" i="34"/>
  <c r="R285" i="34"/>
  <c r="S285" i="34"/>
  <c r="T285" i="34"/>
  <c r="V285" i="34"/>
  <c r="X285" i="34"/>
  <c r="Y285" i="34"/>
  <c r="N286" i="34"/>
  <c r="R286" i="34"/>
  <c r="S286" i="34"/>
  <c r="T286" i="34"/>
  <c r="V286" i="34"/>
  <c r="X286" i="34"/>
  <c r="Y286" i="34"/>
  <c r="N287" i="34"/>
  <c r="R287" i="34"/>
  <c r="S287" i="34"/>
  <c r="T287" i="34"/>
  <c r="V287" i="34"/>
  <c r="X287" i="34"/>
  <c r="Y287" i="34"/>
  <c r="N288" i="34"/>
  <c r="R288" i="34"/>
  <c r="S288" i="34"/>
  <c r="T288" i="34"/>
  <c r="V288" i="34"/>
  <c r="X288" i="34"/>
  <c r="Y288" i="34"/>
  <c r="N289" i="34"/>
  <c r="R289" i="34"/>
  <c r="S289" i="34"/>
  <c r="T289" i="34"/>
  <c r="V289" i="34"/>
  <c r="X289" i="34"/>
  <c r="Y289" i="34"/>
  <c r="N290" i="34"/>
  <c r="R290" i="34"/>
  <c r="S290" i="34"/>
  <c r="T290" i="34"/>
  <c r="V290" i="34"/>
  <c r="X290" i="34"/>
  <c r="Y290" i="34"/>
  <c r="N291" i="34"/>
  <c r="R291" i="34"/>
  <c r="S291" i="34"/>
  <c r="T291" i="34"/>
  <c r="V291" i="34"/>
  <c r="X291" i="34"/>
  <c r="Y291" i="34"/>
  <c r="N292" i="34"/>
  <c r="R292" i="34"/>
  <c r="S292" i="34"/>
  <c r="T292" i="34"/>
  <c r="V292" i="34"/>
  <c r="X292" i="34"/>
  <c r="Y292" i="34"/>
  <c r="N293" i="34"/>
  <c r="R293" i="34"/>
  <c r="S293" i="34"/>
  <c r="T293" i="34"/>
  <c r="V293" i="34"/>
  <c r="X293" i="34"/>
  <c r="Y293" i="34"/>
  <c r="N294" i="34"/>
  <c r="R294" i="34"/>
  <c r="S294" i="34"/>
  <c r="T294" i="34"/>
  <c r="V294" i="34"/>
  <c r="X294" i="34"/>
  <c r="Y294" i="34"/>
  <c r="N295" i="34"/>
  <c r="R295" i="34"/>
  <c r="S295" i="34"/>
  <c r="T295" i="34"/>
  <c r="V295" i="34"/>
  <c r="X295" i="34"/>
  <c r="Y295" i="34"/>
  <c r="N296" i="34"/>
  <c r="R296" i="34"/>
  <c r="S296" i="34"/>
  <c r="T296" i="34"/>
  <c r="V296" i="34"/>
  <c r="X296" i="34"/>
  <c r="Y296" i="34"/>
  <c r="N297" i="34"/>
  <c r="R297" i="34"/>
  <c r="S297" i="34"/>
  <c r="T297" i="34"/>
  <c r="V297" i="34"/>
  <c r="X297" i="34"/>
  <c r="Y297" i="34"/>
  <c r="N298" i="34"/>
  <c r="R298" i="34"/>
  <c r="S298" i="34"/>
  <c r="T298" i="34"/>
  <c r="V298" i="34"/>
  <c r="X298" i="34"/>
  <c r="Y298" i="34"/>
  <c r="N299" i="34"/>
  <c r="R299" i="34"/>
  <c r="S299" i="34"/>
  <c r="T299" i="34"/>
  <c r="V299" i="34"/>
  <c r="X299" i="34"/>
  <c r="Y299" i="34"/>
  <c r="N300" i="34"/>
  <c r="R300" i="34"/>
  <c r="S300" i="34"/>
  <c r="T300" i="34"/>
  <c r="V300" i="34"/>
  <c r="X300" i="34"/>
  <c r="Y300" i="34"/>
  <c r="N301" i="34"/>
  <c r="R301" i="34"/>
  <c r="S301" i="34"/>
  <c r="T301" i="34"/>
  <c r="V301" i="34"/>
  <c r="X301" i="34"/>
  <c r="Y301" i="34"/>
  <c r="N302" i="34"/>
  <c r="R302" i="34"/>
  <c r="S302" i="34"/>
  <c r="T302" i="34"/>
  <c r="V302" i="34"/>
  <c r="X302" i="34"/>
  <c r="Y302" i="34"/>
  <c r="N303" i="34"/>
  <c r="R303" i="34"/>
  <c r="S303" i="34"/>
  <c r="T303" i="34"/>
  <c r="V303" i="34"/>
  <c r="X303" i="34"/>
  <c r="Y303" i="34"/>
  <c r="N304" i="34"/>
  <c r="R304" i="34"/>
  <c r="S304" i="34"/>
  <c r="T304" i="34"/>
  <c r="V304" i="34"/>
  <c r="X304" i="34"/>
  <c r="Y304" i="34"/>
  <c r="N305" i="34"/>
  <c r="R305" i="34"/>
  <c r="S305" i="34"/>
  <c r="T305" i="34"/>
  <c r="V305" i="34"/>
  <c r="X305" i="34"/>
  <c r="Y305" i="34"/>
  <c r="N306" i="34"/>
  <c r="R306" i="34"/>
  <c r="S306" i="34"/>
  <c r="T306" i="34"/>
  <c r="V306" i="34"/>
  <c r="X306" i="34"/>
  <c r="Y306" i="34"/>
  <c r="N307" i="34"/>
  <c r="R307" i="34"/>
  <c r="S307" i="34"/>
  <c r="T307" i="34"/>
  <c r="V307" i="34"/>
  <c r="X307" i="34"/>
  <c r="Y307" i="34"/>
  <c r="N308" i="34"/>
  <c r="R308" i="34"/>
  <c r="S308" i="34"/>
  <c r="T308" i="34"/>
  <c r="V308" i="34"/>
  <c r="X308" i="34"/>
  <c r="Y308" i="34"/>
  <c r="N309" i="34"/>
  <c r="R309" i="34"/>
  <c r="S309" i="34"/>
  <c r="T309" i="34"/>
  <c r="V309" i="34"/>
  <c r="X309" i="34"/>
  <c r="Y309" i="34"/>
  <c r="N310" i="34"/>
  <c r="R310" i="34"/>
  <c r="S310" i="34"/>
  <c r="T310" i="34"/>
  <c r="V310" i="34"/>
  <c r="X310" i="34"/>
  <c r="Y310" i="34"/>
  <c r="N311" i="34"/>
  <c r="R311" i="34"/>
  <c r="S311" i="34"/>
  <c r="T311" i="34"/>
  <c r="V311" i="34"/>
  <c r="X311" i="34"/>
  <c r="Y311" i="34"/>
  <c r="N312" i="34"/>
  <c r="R312" i="34"/>
  <c r="S312" i="34"/>
  <c r="T312" i="34"/>
  <c r="V312" i="34"/>
  <c r="X312" i="34"/>
  <c r="Y312" i="34"/>
  <c r="N313" i="34"/>
  <c r="R313" i="34"/>
  <c r="S313" i="34"/>
  <c r="T313" i="34"/>
  <c r="V313" i="34"/>
  <c r="X313" i="34"/>
  <c r="Y313" i="34"/>
  <c r="N314" i="34"/>
  <c r="R314" i="34"/>
  <c r="S314" i="34"/>
  <c r="T314" i="34"/>
  <c r="V314" i="34"/>
  <c r="X314" i="34"/>
  <c r="Y314" i="34"/>
  <c r="N315" i="34"/>
  <c r="R315" i="34"/>
  <c r="S315" i="34"/>
  <c r="T315" i="34"/>
  <c r="V315" i="34"/>
  <c r="X315" i="34"/>
  <c r="Y315" i="34"/>
  <c r="N316" i="34"/>
  <c r="R316" i="34"/>
  <c r="S316" i="34"/>
  <c r="T316" i="34"/>
  <c r="V316" i="34"/>
  <c r="X316" i="34"/>
  <c r="Y316" i="34"/>
  <c r="N317" i="34"/>
  <c r="R317" i="34"/>
  <c r="S317" i="34"/>
  <c r="T317" i="34"/>
  <c r="V317" i="34"/>
  <c r="X317" i="34"/>
  <c r="Y317" i="34"/>
  <c r="N318" i="34"/>
  <c r="R318" i="34"/>
  <c r="S318" i="34"/>
  <c r="T318" i="34"/>
  <c r="V318" i="34"/>
  <c r="X318" i="34"/>
  <c r="Y318" i="34"/>
  <c r="N319" i="34"/>
  <c r="R319" i="34"/>
  <c r="S319" i="34"/>
  <c r="T319" i="34"/>
  <c r="V319" i="34"/>
  <c r="X319" i="34"/>
  <c r="Y319" i="34"/>
  <c r="N320" i="34"/>
  <c r="R320" i="34"/>
  <c r="S320" i="34"/>
  <c r="T320" i="34"/>
  <c r="V320" i="34"/>
  <c r="X320" i="34"/>
  <c r="Y320" i="34"/>
  <c r="N321" i="34"/>
  <c r="R321" i="34"/>
  <c r="S321" i="34"/>
  <c r="T321" i="34"/>
  <c r="V321" i="34"/>
  <c r="X321" i="34"/>
  <c r="Y321" i="34"/>
  <c r="N322" i="34"/>
  <c r="R322" i="34"/>
  <c r="S322" i="34"/>
  <c r="T322" i="34"/>
  <c r="V322" i="34"/>
  <c r="X322" i="34"/>
  <c r="Y322" i="34"/>
  <c r="N323" i="34"/>
  <c r="R323" i="34"/>
  <c r="S323" i="34"/>
  <c r="T323" i="34"/>
  <c r="V323" i="34"/>
  <c r="X323" i="34"/>
  <c r="Y323" i="34"/>
  <c r="N324" i="34"/>
  <c r="R324" i="34"/>
  <c r="S324" i="34"/>
  <c r="T324" i="34"/>
  <c r="V324" i="34"/>
  <c r="X324" i="34"/>
  <c r="Y324" i="34"/>
  <c r="N325" i="34"/>
  <c r="R325" i="34"/>
  <c r="S325" i="34"/>
  <c r="T325" i="34"/>
  <c r="V325" i="34"/>
  <c r="X325" i="34"/>
  <c r="Y325" i="34"/>
  <c r="N326" i="34"/>
  <c r="R326" i="34"/>
  <c r="S326" i="34"/>
  <c r="T326" i="34"/>
  <c r="V326" i="34"/>
  <c r="X326" i="34"/>
  <c r="Y326" i="34"/>
  <c r="N327" i="34"/>
  <c r="R327" i="34"/>
  <c r="S327" i="34"/>
  <c r="T327" i="34"/>
  <c r="V327" i="34"/>
  <c r="X327" i="34"/>
  <c r="Y327" i="34"/>
  <c r="N328" i="34"/>
  <c r="R328" i="34"/>
  <c r="S328" i="34"/>
  <c r="T328" i="34"/>
  <c r="V328" i="34"/>
  <c r="X328" i="34"/>
  <c r="Y328" i="34"/>
  <c r="N329" i="34"/>
  <c r="R329" i="34"/>
  <c r="S329" i="34"/>
  <c r="T329" i="34"/>
  <c r="V329" i="34"/>
  <c r="X329" i="34"/>
  <c r="Y329" i="34"/>
  <c r="N330" i="34"/>
  <c r="R330" i="34"/>
  <c r="S330" i="34"/>
  <c r="T330" i="34"/>
  <c r="V330" i="34"/>
  <c r="X330" i="34"/>
  <c r="Y330" i="34"/>
  <c r="N331" i="34"/>
  <c r="R331" i="34"/>
  <c r="S331" i="34"/>
  <c r="T331" i="34"/>
  <c r="V331" i="34"/>
  <c r="X331" i="34"/>
  <c r="Y331" i="34"/>
  <c r="N332" i="34"/>
  <c r="R332" i="34"/>
  <c r="S332" i="34"/>
  <c r="T332" i="34"/>
  <c r="V332" i="34"/>
  <c r="X332" i="34"/>
  <c r="Y332" i="34"/>
  <c r="N333" i="34"/>
  <c r="R333" i="34"/>
  <c r="S333" i="34"/>
  <c r="T333" i="34"/>
  <c r="V333" i="34"/>
  <c r="X333" i="34"/>
  <c r="Y333" i="34"/>
  <c r="N334" i="34"/>
  <c r="R334" i="34"/>
  <c r="S334" i="34"/>
  <c r="T334" i="34"/>
  <c r="V334" i="34"/>
  <c r="X334" i="34"/>
  <c r="Y334" i="34"/>
  <c r="N335" i="34"/>
  <c r="R335" i="34"/>
  <c r="S335" i="34"/>
  <c r="T335" i="34"/>
  <c r="V335" i="34"/>
  <c r="X335" i="34"/>
  <c r="Y335" i="34"/>
  <c r="N336" i="34"/>
  <c r="R336" i="34"/>
  <c r="S336" i="34"/>
  <c r="T336" i="34"/>
  <c r="V336" i="34"/>
  <c r="X336" i="34"/>
  <c r="Y336" i="34"/>
  <c r="N337" i="34"/>
  <c r="R337" i="34"/>
  <c r="S337" i="34"/>
  <c r="T337" i="34"/>
  <c r="V337" i="34"/>
  <c r="X337" i="34"/>
  <c r="Y337" i="34"/>
  <c r="N338" i="34"/>
  <c r="R338" i="34"/>
  <c r="S338" i="34"/>
  <c r="T338" i="34"/>
  <c r="V338" i="34"/>
  <c r="X338" i="34"/>
  <c r="Y338" i="34"/>
  <c r="N339" i="34"/>
  <c r="R339" i="34"/>
  <c r="S339" i="34"/>
  <c r="T339" i="34"/>
  <c r="V339" i="34"/>
  <c r="X339" i="34"/>
  <c r="Y339" i="34"/>
  <c r="N340" i="34"/>
  <c r="R340" i="34"/>
  <c r="S340" i="34"/>
  <c r="T340" i="34"/>
  <c r="V340" i="34"/>
  <c r="X340" i="34"/>
  <c r="Y340" i="34"/>
  <c r="N341" i="34"/>
  <c r="R341" i="34"/>
  <c r="S341" i="34"/>
  <c r="T341" i="34"/>
  <c r="V341" i="34"/>
  <c r="X341" i="34"/>
  <c r="Y341" i="34"/>
  <c r="N342" i="34"/>
  <c r="R342" i="34"/>
  <c r="S342" i="34"/>
  <c r="T342" i="34"/>
  <c r="V342" i="34"/>
  <c r="X342" i="34"/>
  <c r="Y342" i="34"/>
  <c r="N343" i="34"/>
  <c r="R343" i="34"/>
  <c r="S343" i="34"/>
  <c r="T343" i="34"/>
  <c r="V343" i="34"/>
  <c r="X343" i="34"/>
  <c r="Y343" i="34"/>
  <c r="N344" i="34"/>
  <c r="R344" i="34"/>
  <c r="S344" i="34"/>
  <c r="T344" i="34"/>
  <c r="V344" i="34"/>
  <c r="X344" i="34"/>
  <c r="Y344" i="34"/>
  <c r="N345" i="34"/>
  <c r="R345" i="34"/>
  <c r="S345" i="34"/>
  <c r="T345" i="34"/>
  <c r="V345" i="34"/>
  <c r="X345" i="34"/>
  <c r="Y345" i="34"/>
  <c r="N346" i="34"/>
  <c r="R346" i="34"/>
  <c r="S346" i="34"/>
  <c r="T346" i="34"/>
  <c r="V346" i="34"/>
  <c r="X346" i="34"/>
  <c r="Y346" i="34"/>
  <c r="N347" i="34"/>
  <c r="R347" i="34"/>
  <c r="S347" i="34"/>
  <c r="T347" i="34"/>
  <c r="V347" i="34"/>
  <c r="X347" i="34"/>
  <c r="Y347" i="34"/>
  <c r="N348" i="34"/>
  <c r="R348" i="34"/>
  <c r="S348" i="34"/>
  <c r="T348" i="34"/>
  <c r="V348" i="34"/>
  <c r="X348" i="34"/>
  <c r="Y348" i="34"/>
  <c r="N349" i="34"/>
  <c r="R349" i="34"/>
  <c r="S349" i="34"/>
  <c r="T349" i="34"/>
  <c r="V349" i="34"/>
  <c r="X349" i="34"/>
  <c r="Y349" i="34"/>
  <c r="N350" i="34"/>
  <c r="R350" i="34"/>
  <c r="S350" i="34"/>
  <c r="T350" i="34"/>
  <c r="V350" i="34"/>
  <c r="X350" i="34"/>
  <c r="Y350" i="34"/>
  <c r="N351" i="34"/>
  <c r="R351" i="34"/>
  <c r="S351" i="34"/>
  <c r="T351" i="34"/>
  <c r="V351" i="34"/>
  <c r="X351" i="34"/>
  <c r="Y351" i="34"/>
  <c r="N352" i="34"/>
  <c r="R352" i="34"/>
  <c r="S352" i="34"/>
  <c r="T352" i="34"/>
  <c r="V352" i="34"/>
  <c r="X352" i="34"/>
  <c r="Y352" i="34"/>
  <c r="N353" i="34"/>
  <c r="R353" i="34"/>
  <c r="S353" i="34"/>
  <c r="T353" i="34"/>
  <c r="V353" i="34"/>
  <c r="X353" i="34"/>
  <c r="Y353" i="34"/>
  <c r="N354" i="34"/>
  <c r="R354" i="34"/>
  <c r="S354" i="34"/>
  <c r="T354" i="34"/>
  <c r="V354" i="34"/>
  <c r="X354" i="34"/>
  <c r="Y354" i="34"/>
  <c r="N355" i="34"/>
  <c r="R355" i="34"/>
  <c r="S355" i="34"/>
  <c r="T355" i="34"/>
  <c r="V355" i="34"/>
  <c r="X355" i="34"/>
  <c r="Y355" i="34"/>
  <c r="N356" i="34"/>
  <c r="R356" i="34"/>
  <c r="S356" i="34"/>
  <c r="T356" i="34"/>
  <c r="V356" i="34"/>
  <c r="X356" i="34"/>
  <c r="Y356" i="34"/>
  <c r="N357" i="34"/>
  <c r="R357" i="34"/>
  <c r="S357" i="34"/>
  <c r="T357" i="34"/>
  <c r="V357" i="34"/>
  <c r="X357" i="34"/>
  <c r="Y357" i="34"/>
  <c r="N358" i="34"/>
  <c r="R358" i="34"/>
  <c r="S358" i="34"/>
  <c r="T358" i="34"/>
  <c r="V358" i="34"/>
  <c r="X358" i="34"/>
  <c r="Y358" i="34"/>
  <c r="N359" i="34"/>
  <c r="R359" i="34"/>
  <c r="S359" i="34"/>
  <c r="T359" i="34"/>
  <c r="V359" i="34"/>
  <c r="X359" i="34"/>
  <c r="Y359" i="34"/>
  <c r="N360" i="34"/>
  <c r="R360" i="34"/>
  <c r="S360" i="34"/>
  <c r="T360" i="34"/>
  <c r="V360" i="34"/>
  <c r="X360" i="34"/>
  <c r="Y360" i="34"/>
  <c r="N361" i="34"/>
  <c r="R361" i="34"/>
  <c r="S361" i="34"/>
  <c r="T361" i="34"/>
  <c r="V361" i="34"/>
  <c r="X361" i="34"/>
  <c r="Y361" i="34"/>
  <c r="N362" i="34"/>
  <c r="R362" i="34"/>
  <c r="S362" i="34"/>
  <c r="T362" i="34"/>
  <c r="V362" i="34"/>
  <c r="X362" i="34"/>
  <c r="Y362" i="34"/>
  <c r="N363" i="34"/>
  <c r="R363" i="34"/>
  <c r="S363" i="34"/>
  <c r="T363" i="34"/>
  <c r="V363" i="34"/>
  <c r="X363" i="34"/>
  <c r="Y363" i="34"/>
  <c r="N364" i="34"/>
  <c r="R364" i="34"/>
  <c r="S364" i="34"/>
  <c r="T364" i="34"/>
  <c r="V364" i="34"/>
  <c r="X364" i="34"/>
  <c r="Y364" i="34"/>
  <c r="N365" i="34"/>
  <c r="R365" i="34"/>
  <c r="S365" i="34"/>
  <c r="T365" i="34"/>
  <c r="V365" i="34"/>
  <c r="X365" i="34"/>
  <c r="Y365" i="34"/>
  <c r="N366" i="34"/>
  <c r="R366" i="34"/>
  <c r="S366" i="34"/>
  <c r="T366" i="34"/>
  <c r="V366" i="34"/>
  <c r="X366" i="34"/>
  <c r="Y366" i="34"/>
  <c r="N367" i="34"/>
  <c r="R367" i="34"/>
  <c r="S367" i="34"/>
  <c r="T367" i="34"/>
  <c r="V367" i="34"/>
  <c r="X367" i="34"/>
  <c r="Y367" i="34"/>
  <c r="N368" i="34"/>
  <c r="R368" i="34"/>
  <c r="S368" i="34"/>
  <c r="T368" i="34"/>
  <c r="V368" i="34"/>
  <c r="X368" i="34"/>
  <c r="Y368" i="34"/>
  <c r="N369" i="34"/>
  <c r="R369" i="34"/>
  <c r="S369" i="34"/>
  <c r="T369" i="34"/>
  <c r="V369" i="34"/>
  <c r="X369" i="34"/>
  <c r="Y369" i="34"/>
  <c r="N370" i="34"/>
  <c r="R370" i="34"/>
  <c r="S370" i="34"/>
  <c r="T370" i="34"/>
  <c r="V370" i="34"/>
  <c r="X370" i="34"/>
  <c r="Y370" i="34"/>
  <c r="N371" i="34"/>
  <c r="R371" i="34"/>
  <c r="S371" i="34"/>
  <c r="T371" i="34"/>
  <c r="V371" i="34"/>
  <c r="X371" i="34"/>
  <c r="Y371" i="34"/>
  <c r="N372" i="34"/>
  <c r="R372" i="34"/>
  <c r="S372" i="34"/>
  <c r="T372" i="34"/>
  <c r="V372" i="34"/>
  <c r="X372" i="34"/>
  <c r="Y372" i="34"/>
  <c r="N373" i="34"/>
  <c r="R373" i="34"/>
  <c r="S373" i="34"/>
  <c r="T373" i="34"/>
  <c r="V373" i="34"/>
  <c r="X373" i="34"/>
  <c r="Y373" i="34"/>
  <c r="N374" i="34"/>
  <c r="R374" i="34"/>
  <c r="S374" i="34"/>
  <c r="T374" i="34"/>
  <c r="V374" i="34"/>
  <c r="X374" i="34"/>
  <c r="Y374" i="34"/>
  <c r="N375" i="34"/>
  <c r="R375" i="34"/>
  <c r="S375" i="34"/>
  <c r="T375" i="34"/>
  <c r="V375" i="34"/>
  <c r="X375" i="34"/>
  <c r="Y375" i="34"/>
  <c r="N376" i="34"/>
  <c r="R376" i="34"/>
  <c r="S376" i="34"/>
  <c r="T376" i="34"/>
  <c r="V376" i="34"/>
  <c r="X376" i="34"/>
  <c r="Y376" i="34"/>
  <c r="N377" i="34"/>
  <c r="R377" i="34"/>
  <c r="S377" i="34"/>
  <c r="T377" i="34"/>
  <c r="V377" i="34"/>
  <c r="X377" i="34"/>
  <c r="Y377" i="34"/>
  <c r="N378" i="34"/>
  <c r="R378" i="34"/>
  <c r="S378" i="34"/>
  <c r="T378" i="34"/>
  <c r="V378" i="34"/>
  <c r="X378" i="34"/>
  <c r="Y378" i="34"/>
  <c r="N379" i="34"/>
  <c r="R379" i="34"/>
  <c r="S379" i="34"/>
  <c r="T379" i="34"/>
  <c r="V379" i="34"/>
  <c r="X379" i="34"/>
  <c r="Y379" i="34"/>
  <c r="N380" i="34"/>
  <c r="R380" i="34"/>
  <c r="S380" i="34"/>
  <c r="T380" i="34"/>
  <c r="V380" i="34"/>
  <c r="X380" i="34"/>
  <c r="Y380" i="34"/>
  <c r="N381" i="34"/>
  <c r="R381" i="34"/>
  <c r="S381" i="34"/>
  <c r="T381" i="34"/>
  <c r="V381" i="34"/>
  <c r="X381" i="34"/>
  <c r="Y381" i="34"/>
  <c r="N382" i="34"/>
  <c r="R382" i="34"/>
  <c r="S382" i="34"/>
  <c r="T382" i="34"/>
  <c r="V382" i="34"/>
  <c r="X382" i="34"/>
  <c r="Y382" i="34"/>
  <c r="N383" i="34"/>
  <c r="R383" i="34"/>
  <c r="S383" i="34"/>
  <c r="T383" i="34"/>
  <c r="V383" i="34"/>
  <c r="X383" i="34"/>
  <c r="Y383" i="34"/>
  <c r="N384" i="34"/>
  <c r="R384" i="34"/>
  <c r="S384" i="34"/>
  <c r="T384" i="34"/>
  <c r="V384" i="34"/>
  <c r="X384" i="34"/>
  <c r="Y384" i="34"/>
  <c r="N385" i="34"/>
  <c r="R385" i="34"/>
  <c r="S385" i="34"/>
  <c r="T385" i="34"/>
  <c r="V385" i="34"/>
  <c r="X385" i="34"/>
  <c r="Y385" i="34"/>
  <c r="N386" i="34"/>
  <c r="R386" i="34"/>
  <c r="S386" i="34"/>
  <c r="T386" i="34"/>
  <c r="V386" i="34"/>
  <c r="X386" i="34"/>
  <c r="Y386" i="34"/>
  <c r="N387" i="34"/>
  <c r="R387" i="34"/>
  <c r="S387" i="34"/>
  <c r="T387" i="34"/>
  <c r="V387" i="34"/>
  <c r="X387" i="34"/>
  <c r="Y387" i="34"/>
  <c r="N388" i="34"/>
  <c r="R388" i="34"/>
  <c r="S388" i="34"/>
  <c r="T388" i="34"/>
  <c r="V388" i="34"/>
  <c r="X388" i="34"/>
  <c r="Y388" i="34"/>
  <c r="N389" i="34"/>
  <c r="R389" i="34"/>
  <c r="S389" i="34"/>
  <c r="T389" i="34"/>
  <c r="V389" i="34"/>
  <c r="X389" i="34"/>
  <c r="Y389" i="34"/>
  <c r="N390" i="34"/>
  <c r="R390" i="34"/>
  <c r="S390" i="34"/>
  <c r="T390" i="34"/>
  <c r="V390" i="34"/>
  <c r="X390" i="34"/>
  <c r="Y390" i="34"/>
  <c r="N391" i="34"/>
  <c r="R391" i="34"/>
  <c r="S391" i="34"/>
  <c r="T391" i="34"/>
  <c r="V391" i="34"/>
  <c r="X391" i="34"/>
  <c r="Y391" i="34"/>
  <c r="N392" i="34"/>
  <c r="R392" i="34"/>
  <c r="S392" i="34"/>
  <c r="T392" i="34"/>
  <c r="V392" i="34"/>
  <c r="X392" i="34"/>
  <c r="Y392" i="34"/>
  <c r="N393" i="34"/>
  <c r="R393" i="34"/>
  <c r="S393" i="34"/>
  <c r="T393" i="34"/>
  <c r="V393" i="34"/>
  <c r="X393" i="34"/>
  <c r="Y393" i="34"/>
  <c r="N394" i="34"/>
  <c r="R394" i="34"/>
  <c r="S394" i="34"/>
  <c r="T394" i="34"/>
  <c r="V394" i="34"/>
  <c r="X394" i="34"/>
  <c r="Y394" i="34"/>
  <c r="N395" i="34"/>
  <c r="R395" i="34"/>
  <c r="S395" i="34"/>
  <c r="T395" i="34"/>
  <c r="V395" i="34"/>
  <c r="X395" i="34"/>
  <c r="Y395" i="34"/>
  <c r="N396" i="34"/>
  <c r="R396" i="34"/>
  <c r="S396" i="34"/>
  <c r="T396" i="34"/>
  <c r="V396" i="34"/>
  <c r="X396" i="34"/>
  <c r="Y396" i="34"/>
  <c r="N397" i="34"/>
  <c r="R397" i="34"/>
  <c r="S397" i="34"/>
  <c r="T397" i="34"/>
  <c r="V397" i="34"/>
  <c r="X397" i="34"/>
  <c r="Y397" i="34"/>
  <c r="N398" i="34"/>
  <c r="R398" i="34"/>
  <c r="S398" i="34"/>
  <c r="T398" i="34"/>
  <c r="V398" i="34"/>
  <c r="X398" i="34"/>
  <c r="Y398" i="34"/>
  <c r="N399" i="34"/>
  <c r="R399" i="34"/>
  <c r="S399" i="34"/>
  <c r="T399" i="34"/>
  <c r="V399" i="34"/>
  <c r="X399" i="34"/>
  <c r="Y399" i="34"/>
  <c r="N400" i="34"/>
  <c r="R400" i="34"/>
  <c r="S400" i="34"/>
  <c r="T400" i="34"/>
  <c r="V400" i="34"/>
  <c r="X400" i="34"/>
  <c r="Y400" i="34"/>
  <c r="N401" i="34"/>
  <c r="R401" i="34"/>
  <c r="S401" i="34"/>
  <c r="T401" i="34"/>
  <c r="V401" i="34"/>
  <c r="X401" i="34"/>
  <c r="Y401" i="34"/>
  <c r="N402" i="34"/>
  <c r="R402" i="34"/>
  <c r="S402" i="34"/>
  <c r="T402" i="34"/>
  <c r="V402" i="34"/>
  <c r="X402" i="34"/>
  <c r="Y402" i="34"/>
  <c r="N403" i="34"/>
  <c r="R403" i="34"/>
  <c r="S403" i="34"/>
  <c r="T403" i="34"/>
  <c r="V403" i="34"/>
  <c r="X403" i="34"/>
  <c r="Y403" i="34"/>
  <c r="N404" i="34"/>
  <c r="R404" i="34"/>
  <c r="S404" i="34"/>
  <c r="T404" i="34"/>
  <c r="V404" i="34"/>
  <c r="X404" i="34"/>
  <c r="Y404" i="34"/>
  <c r="N405" i="34"/>
  <c r="R405" i="34"/>
  <c r="S405" i="34"/>
  <c r="T405" i="34"/>
  <c r="V405" i="34"/>
  <c r="X405" i="34"/>
  <c r="Y405" i="34"/>
  <c r="N406" i="34"/>
  <c r="R406" i="34"/>
  <c r="S406" i="34"/>
  <c r="T406" i="34"/>
  <c r="V406" i="34"/>
  <c r="X406" i="34"/>
  <c r="Y406" i="34"/>
  <c r="N407" i="34"/>
  <c r="R407" i="34"/>
  <c r="S407" i="34"/>
  <c r="T407" i="34"/>
  <c r="V407" i="34"/>
  <c r="X407" i="34"/>
  <c r="Y407" i="34"/>
  <c r="N408" i="34"/>
  <c r="R408" i="34"/>
  <c r="S408" i="34"/>
  <c r="T408" i="34"/>
  <c r="V408" i="34"/>
  <c r="X408" i="34"/>
  <c r="Y408" i="34"/>
  <c r="N409" i="34"/>
  <c r="R409" i="34"/>
  <c r="S409" i="34"/>
  <c r="T409" i="34"/>
  <c r="V409" i="34"/>
  <c r="X409" i="34"/>
  <c r="Y409" i="34"/>
  <c r="N410" i="34"/>
  <c r="R410" i="34"/>
  <c r="S410" i="34"/>
  <c r="T410" i="34"/>
  <c r="V410" i="34"/>
  <c r="X410" i="34"/>
  <c r="Y410" i="34"/>
  <c r="N411" i="34"/>
  <c r="R411" i="34"/>
  <c r="S411" i="34"/>
  <c r="T411" i="34"/>
  <c r="V411" i="34"/>
  <c r="X411" i="34"/>
  <c r="Y411" i="34"/>
  <c r="N412" i="34"/>
  <c r="R412" i="34"/>
  <c r="S412" i="34"/>
  <c r="T412" i="34"/>
  <c r="V412" i="34"/>
  <c r="X412" i="34"/>
  <c r="Y412" i="34"/>
  <c r="N413" i="34"/>
  <c r="R413" i="34"/>
  <c r="S413" i="34"/>
  <c r="T413" i="34"/>
  <c r="V413" i="34"/>
  <c r="X413" i="34"/>
  <c r="Y413" i="34"/>
  <c r="N414" i="34"/>
  <c r="R414" i="34"/>
  <c r="S414" i="34"/>
  <c r="T414" i="34"/>
  <c r="V414" i="34"/>
  <c r="X414" i="34"/>
  <c r="Y414" i="34"/>
  <c r="N415" i="34"/>
  <c r="R415" i="34"/>
  <c r="S415" i="34"/>
  <c r="T415" i="34"/>
  <c r="V415" i="34"/>
  <c r="X415" i="34"/>
  <c r="Y415" i="34"/>
  <c r="N416" i="34"/>
  <c r="R416" i="34"/>
  <c r="S416" i="34"/>
  <c r="T416" i="34"/>
  <c r="V416" i="34"/>
  <c r="X416" i="34"/>
  <c r="Y416" i="34"/>
  <c r="N417" i="34"/>
  <c r="R417" i="34"/>
  <c r="S417" i="34"/>
  <c r="T417" i="34"/>
  <c r="V417" i="34"/>
  <c r="X417" i="34"/>
  <c r="Y417" i="34"/>
  <c r="N418" i="34"/>
  <c r="R418" i="34"/>
  <c r="S418" i="34"/>
  <c r="T418" i="34"/>
  <c r="V418" i="34"/>
  <c r="X418" i="34"/>
  <c r="Y418" i="34"/>
  <c r="N419" i="34"/>
  <c r="R419" i="34"/>
  <c r="S419" i="34"/>
  <c r="T419" i="34"/>
  <c r="V419" i="34"/>
  <c r="X419" i="34"/>
  <c r="Y419" i="34"/>
  <c r="N420" i="34"/>
  <c r="R420" i="34"/>
  <c r="S420" i="34"/>
  <c r="T420" i="34"/>
  <c r="V420" i="34"/>
  <c r="X420" i="34"/>
  <c r="Y420" i="34"/>
  <c r="N421" i="34"/>
  <c r="R421" i="34"/>
  <c r="S421" i="34"/>
  <c r="T421" i="34"/>
  <c r="V421" i="34"/>
  <c r="X421" i="34"/>
  <c r="Y421" i="34"/>
  <c r="N422" i="34"/>
  <c r="R422" i="34"/>
  <c r="S422" i="34"/>
  <c r="T422" i="34"/>
  <c r="V422" i="34"/>
  <c r="X422" i="34"/>
  <c r="Y422" i="34"/>
  <c r="N423" i="34"/>
  <c r="R423" i="34"/>
  <c r="S423" i="34"/>
  <c r="T423" i="34"/>
  <c r="V423" i="34"/>
  <c r="X423" i="34"/>
  <c r="Y423" i="34"/>
  <c r="N424" i="34"/>
  <c r="R424" i="34"/>
  <c r="S424" i="34"/>
  <c r="T424" i="34"/>
  <c r="V424" i="34"/>
  <c r="X424" i="34"/>
  <c r="Y424" i="34"/>
  <c r="N425" i="34"/>
  <c r="R425" i="34"/>
  <c r="S425" i="34"/>
  <c r="T425" i="34"/>
  <c r="V425" i="34"/>
  <c r="X425" i="34"/>
  <c r="Y425" i="34"/>
  <c r="N426" i="34"/>
  <c r="R426" i="34"/>
  <c r="S426" i="34"/>
  <c r="T426" i="34"/>
  <c r="V426" i="34"/>
  <c r="X426" i="34"/>
  <c r="Y426" i="34"/>
  <c r="N427" i="34"/>
  <c r="R427" i="34"/>
  <c r="S427" i="34"/>
  <c r="T427" i="34"/>
  <c r="V427" i="34"/>
  <c r="X427" i="34"/>
  <c r="Y427" i="34"/>
  <c r="N428" i="34"/>
  <c r="R428" i="34"/>
  <c r="S428" i="34"/>
  <c r="T428" i="34"/>
  <c r="V428" i="34"/>
  <c r="X428" i="34"/>
  <c r="Y428" i="34"/>
  <c r="N429" i="34"/>
  <c r="R429" i="34"/>
  <c r="S429" i="34"/>
  <c r="T429" i="34"/>
  <c r="V429" i="34"/>
  <c r="X429" i="34"/>
  <c r="Y429" i="34"/>
  <c r="N430" i="34"/>
  <c r="R430" i="34"/>
  <c r="S430" i="34"/>
  <c r="T430" i="34"/>
  <c r="V430" i="34"/>
  <c r="X430" i="34"/>
  <c r="Y430" i="34"/>
  <c r="N431" i="34"/>
  <c r="R431" i="34"/>
  <c r="S431" i="34"/>
  <c r="T431" i="34"/>
  <c r="V431" i="34"/>
  <c r="X431" i="34"/>
  <c r="Y431" i="34"/>
  <c r="N432" i="34"/>
  <c r="R432" i="34"/>
  <c r="S432" i="34"/>
  <c r="T432" i="34"/>
  <c r="V432" i="34"/>
  <c r="X432" i="34"/>
  <c r="Y432" i="34"/>
  <c r="N433" i="34"/>
  <c r="R433" i="34"/>
  <c r="S433" i="34"/>
  <c r="T433" i="34"/>
  <c r="V433" i="34"/>
  <c r="X433" i="34"/>
  <c r="Y433" i="34"/>
  <c r="N434" i="34"/>
  <c r="R434" i="34"/>
  <c r="S434" i="34"/>
  <c r="T434" i="34"/>
  <c r="V434" i="34"/>
  <c r="X434" i="34"/>
  <c r="Y434" i="34"/>
  <c r="N435" i="34"/>
  <c r="R435" i="34"/>
  <c r="S435" i="34"/>
  <c r="T435" i="34"/>
  <c r="V435" i="34"/>
  <c r="X435" i="34"/>
  <c r="Y435" i="34"/>
  <c r="N436" i="34"/>
  <c r="R436" i="34"/>
  <c r="S436" i="34"/>
  <c r="T436" i="34"/>
  <c r="V436" i="34"/>
  <c r="X436" i="34"/>
  <c r="Y436" i="34"/>
  <c r="N437" i="34"/>
  <c r="R437" i="34"/>
  <c r="S437" i="34"/>
  <c r="T437" i="34"/>
  <c r="V437" i="34"/>
  <c r="X437" i="34"/>
  <c r="Y437" i="34"/>
  <c r="N438" i="34"/>
  <c r="R438" i="34"/>
  <c r="S438" i="34"/>
  <c r="T438" i="34"/>
  <c r="V438" i="34"/>
  <c r="X438" i="34"/>
  <c r="Y438" i="34"/>
  <c r="N439" i="34"/>
  <c r="R439" i="34"/>
  <c r="S439" i="34"/>
  <c r="T439" i="34"/>
  <c r="V439" i="34"/>
  <c r="X439" i="34"/>
  <c r="Y439" i="34"/>
  <c r="N440" i="34"/>
  <c r="R440" i="34"/>
  <c r="S440" i="34"/>
  <c r="T440" i="34"/>
  <c r="V440" i="34"/>
  <c r="X440" i="34"/>
  <c r="Y440" i="34"/>
  <c r="N441" i="34"/>
  <c r="R441" i="34"/>
  <c r="S441" i="34"/>
  <c r="T441" i="34"/>
  <c r="V441" i="34"/>
  <c r="X441" i="34"/>
  <c r="Y441" i="34"/>
  <c r="N442" i="34"/>
  <c r="R442" i="34"/>
  <c r="S442" i="34"/>
  <c r="T442" i="34"/>
  <c r="V442" i="34"/>
  <c r="X442" i="34"/>
  <c r="Y442" i="34"/>
  <c r="N443" i="34"/>
  <c r="R443" i="34"/>
  <c r="S443" i="34"/>
  <c r="T443" i="34"/>
  <c r="V443" i="34"/>
  <c r="X443" i="34"/>
  <c r="Y443" i="34"/>
  <c r="N444" i="34"/>
  <c r="R444" i="34"/>
  <c r="S444" i="34"/>
  <c r="T444" i="34"/>
  <c r="V444" i="34"/>
  <c r="X444" i="34"/>
  <c r="Y444" i="34"/>
  <c r="N445" i="34"/>
  <c r="R445" i="34"/>
  <c r="S445" i="34"/>
  <c r="T445" i="34"/>
  <c r="V445" i="34"/>
  <c r="X445" i="34"/>
  <c r="Y445" i="34"/>
  <c r="N446" i="34"/>
  <c r="R446" i="34"/>
  <c r="S446" i="34"/>
  <c r="T446" i="34"/>
  <c r="V446" i="34"/>
  <c r="X446" i="34"/>
  <c r="Y446" i="34"/>
  <c r="N447" i="34"/>
  <c r="R447" i="34"/>
  <c r="S447" i="34"/>
  <c r="T447" i="34"/>
  <c r="V447" i="34"/>
  <c r="X447" i="34"/>
  <c r="Y447" i="34"/>
  <c r="N448" i="34"/>
  <c r="R448" i="34"/>
  <c r="S448" i="34"/>
  <c r="T448" i="34"/>
  <c r="V448" i="34"/>
  <c r="X448" i="34"/>
  <c r="Y448" i="34"/>
  <c r="N449" i="34"/>
  <c r="R449" i="34"/>
  <c r="S449" i="34"/>
  <c r="T449" i="34"/>
  <c r="V449" i="34"/>
  <c r="X449" i="34"/>
  <c r="Y449" i="34"/>
  <c r="N450" i="34"/>
  <c r="R450" i="34"/>
  <c r="S450" i="34"/>
  <c r="T450" i="34"/>
  <c r="V450" i="34"/>
  <c r="X450" i="34"/>
  <c r="Y450" i="34"/>
  <c r="N451" i="34"/>
  <c r="R451" i="34"/>
  <c r="S451" i="34"/>
  <c r="T451" i="34"/>
  <c r="V451" i="34"/>
  <c r="X451" i="34"/>
  <c r="Y451" i="34"/>
  <c r="N452" i="34"/>
  <c r="R452" i="34"/>
  <c r="S452" i="34"/>
  <c r="T452" i="34"/>
  <c r="V452" i="34"/>
  <c r="X452" i="34"/>
  <c r="Y452" i="34"/>
  <c r="N453" i="34"/>
  <c r="R453" i="34"/>
  <c r="S453" i="34"/>
  <c r="T453" i="34"/>
  <c r="V453" i="34"/>
  <c r="X453" i="34"/>
  <c r="Y453" i="34"/>
  <c r="N454" i="34"/>
  <c r="R454" i="34"/>
  <c r="S454" i="34"/>
  <c r="T454" i="34"/>
  <c r="V454" i="34"/>
  <c r="X454" i="34"/>
  <c r="Y454" i="34"/>
  <c r="N455" i="34"/>
  <c r="R455" i="34"/>
  <c r="S455" i="34"/>
  <c r="T455" i="34"/>
  <c r="V455" i="34"/>
  <c r="X455" i="34"/>
  <c r="Y455" i="34"/>
  <c r="N456" i="34"/>
  <c r="R456" i="34"/>
  <c r="S456" i="34"/>
  <c r="T456" i="34"/>
  <c r="V456" i="34"/>
  <c r="X456" i="34"/>
  <c r="Y456" i="34"/>
  <c r="N457" i="34"/>
  <c r="R457" i="34"/>
  <c r="S457" i="34"/>
  <c r="T457" i="34"/>
  <c r="V457" i="34"/>
  <c r="X457" i="34"/>
  <c r="Y457" i="34"/>
  <c r="N458" i="34"/>
  <c r="R458" i="34"/>
  <c r="S458" i="34"/>
  <c r="T458" i="34"/>
  <c r="V458" i="34"/>
  <c r="X458" i="34"/>
  <c r="Y458" i="34"/>
  <c r="N459" i="34"/>
  <c r="R459" i="34"/>
  <c r="S459" i="34"/>
  <c r="T459" i="34"/>
  <c r="V459" i="34"/>
  <c r="X459" i="34"/>
  <c r="Y459" i="34"/>
  <c r="N460" i="34"/>
  <c r="R460" i="34"/>
  <c r="S460" i="34"/>
  <c r="T460" i="34"/>
  <c r="V460" i="34"/>
  <c r="X460" i="34"/>
  <c r="Y460" i="34"/>
  <c r="N461" i="34"/>
  <c r="R461" i="34"/>
  <c r="S461" i="34"/>
  <c r="T461" i="34"/>
  <c r="V461" i="34"/>
  <c r="X461" i="34"/>
  <c r="Y461" i="34"/>
  <c r="N462" i="34"/>
  <c r="R462" i="34"/>
  <c r="S462" i="34"/>
  <c r="T462" i="34"/>
  <c r="V462" i="34"/>
  <c r="X462" i="34"/>
  <c r="Y462" i="34"/>
  <c r="N463" i="34"/>
  <c r="R463" i="34"/>
  <c r="S463" i="34"/>
  <c r="T463" i="34"/>
  <c r="V463" i="34"/>
  <c r="X463" i="34"/>
  <c r="Y463" i="34"/>
  <c r="N464" i="34"/>
  <c r="R464" i="34"/>
  <c r="S464" i="34"/>
  <c r="T464" i="34"/>
  <c r="V464" i="34"/>
  <c r="X464" i="34"/>
  <c r="Y464" i="34"/>
  <c r="N465" i="34"/>
  <c r="R465" i="34"/>
  <c r="S465" i="34"/>
  <c r="T465" i="34"/>
  <c r="V465" i="34"/>
  <c r="X465" i="34"/>
  <c r="Y465" i="34"/>
  <c r="N466" i="34"/>
  <c r="R466" i="34"/>
  <c r="S466" i="34"/>
  <c r="T466" i="34"/>
  <c r="V466" i="34"/>
  <c r="X466" i="34"/>
  <c r="Y466" i="34"/>
  <c r="N467" i="34"/>
  <c r="R467" i="34"/>
  <c r="S467" i="34"/>
  <c r="T467" i="34"/>
  <c r="V467" i="34"/>
  <c r="X467" i="34"/>
  <c r="Y467" i="34"/>
  <c r="N468" i="34"/>
  <c r="R468" i="34"/>
  <c r="S468" i="34"/>
  <c r="T468" i="34"/>
  <c r="V468" i="34"/>
  <c r="X468" i="34"/>
  <c r="Y468" i="34"/>
  <c r="N469" i="34"/>
  <c r="R469" i="34"/>
  <c r="S469" i="34"/>
  <c r="T469" i="34"/>
  <c r="V469" i="34"/>
  <c r="X469" i="34"/>
  <c r="Y469" i="34"/>
  <c r="N470" i="34"/>
  <c r="R470" i="34"/>
  <c r="S470" i="34"/>
  <c r="T470" i="34"/>
  <c r="V470" i="34"/>
  <c r="X470" i="34"/>
  <c r="Y470" i="34"/>
  <c r="N471" i="34"/>
  <c r="R471" i="34"/>
  <c r="S471" i="34"/>
  <c r="T471" i="34"/>
  <c r="V471" i="34"/>
  <c r="X471" i="34"/>
  <c r="Y471" i="34"/>
  <c r="N472" i="34"/>
  <c r="R472" i="34"/>
  <c r="S472" i="34"/>
  <c r="T472" i="34"/>
  <c r="V472" i="34"/>
  <c r="X472" i="34"/>
  <c r="Y472" i="34"/>
  <c r="N473" i="34"/>
  <c r="R473" i="34"/>
  <c r="S473" i="34"/>
  <c r="T473" i="34"/>
  <c r="V473" i="34"/>
  <c r="X473" i="34"/>
  <c r="Y473" i="34"/>
  <c r="N474" i="34"/>
  <c r="R474" i="34"/>
  <c r="S474" i="34"/>
  <c r="T474" i="34"/>
  <c r="V474" i="34"/>
  <c r="X474" i="34"/>
  <c r="Y474" i="34"/>
  <c r="N475" i="34"/>
  <c r="R475" i="34"/>
  <c r="S475" i="34"/>
  <c r="T475" i="34"/>
  <c r="V475" i="34"/>
  <c r="X475" i="34"/>
  <c r="Y475" i="34"/>
  <c r="N476" i="34"/>
  <c r="R476" i="34"/>
  <c r="S476" i="34"/>
  <c r="T476" i="34"/>
  <c r="V476" i="34"/>
  <c r="X476" i="34"/>
  <c r="Y476" i="34"/>
  <c r="N477" i="34"/>
  <c r="R477" i="34"/>
  <c r="S477" i="34"/>
  <c r="T477" i="34"/>
  <c r="V477" i="34"/>
  <c r="X477" i="34"/>
  <c r="Y477" i="34"/>
  <c r="N478" i="34"/>
  <c r="R478" i="34"/>
  <c r="S478" i="34"/>
  <c r="T478" i="34"/>
  <c r="V478" i="34"/>
  <c r="X478" i="34"/>
  <c r="Y478" i="34"/>
  <c r="N479" i="34"/>
  <c r="R479" i="34"/>
  <c r="S479" i="34"/>
  <c r="T479" i="34"/>
  <c r="V479" i="34"/>
  <c r="X479" i="34"/>
  <c r="Y479" i="34"/>
  <c r="N480" i="34"/>
  <c r="R480" i="34"/>
  <c r="S480" i="34"/>
  <c r="T480" i="34"/>
  <c r="V480" i="34"/>
  <c r="X480" i="34"/>
  <c r="Y480" i="34"/>
  <c r="N481" i="34"/>
  <c r="R481" i="34"/>
  <c r="S481" i="34"/>
  <c r="T481" i="34"/>
  <c r="V481" i="34"/>
  <c r="X481" i="34"/>
  <c r="Y481" i="34"/>
  <c r="N482" i="34"/>
  <c r="R482" i="34"/>
  <c r="S482" i="34"/>
  <c r="T482" i="34"/>
  <c r="V482" i="34"/>
  <c r="X482" i="34"/>
  <c r="Y482" i="34"/>
  <c r="N483" i="34"/>
  <c r="R483" i="34"/>
  <c r="S483" i="34"/>
  <c r="T483" i="34"/>
  <c r="V483" i="34"/>
  <c r="X483" i="34"/>
  <c r="Y483" i="34"/>
  <c r="N484" i="34"/>
  <c r="R484" i="34"/>
  <c r="S484" i="34"/>
  <c r="T484" i="34"/>
  <c r="V484" i="34"/>
  <c r="X484" i="34"/>
  <c r="Y484" i="34"/>
  <c r="N485" i="34"/>
  <c r="R485" i="34"/>
  <c r="S485" i="34"/>
  <c r="T485" i="34"/>
  <c r="V485" i="34"/>
  <c r="X485" i="34"/>
  <c r="Y485" i="34"/>
  <c r="N486" i="34"/>
  <c r="R486" i="34"/>
  <c r="S486" i="34"/>
  <c r="T486" i="34"/>
  <c r="V486" i="34"/>
  <c r="X486" i="34"/>
  <c r="Y486" i="34"/>
  <c r="N487" i="34"/>
  <c r="R487" i="34"/>
  <c r="S487" i="34"/>
  <c r="T487" i="34"/>
  <c r="V487" i="34"/>
  <c r="X487" i="34"/>
  <c r="Y487" i="34"/>
  <c r="N488" i="34"/>
  <c r="R488" i="34"/>
  <c r="S488" i="34"/>
  <c r="T488" i="34"/>
  <c r="V488" i="34"/>
  <c r="X488" i="34"/>
  <c r="Y488" i="34"/>
  <c r="N489" i="34"/>
  <c r="R489" i="34"/>
  <c r="S489" i="34"/>
  <c r="T489" i="34"/>
  <c r="V489" i="34"/>
  <c r="X489" i="34"/>
  <c r="Y489" i="34"/>
  <c r="N490" i="34"/>
  <c r="R490" i="34"/>
  <c r="S490" i="34"/>
  <c r="T490" i="34"/>
  <c r="V490" i="34"/>
  <c r="X490" i="34"/>
  <c r="Y490" i="34"/>
  <c r="N491" i="34"/>
  <c r="R491" i="34"/>
  <c r="S491" i="34"/>
  <c r="T491" i="34"/>
  <c r="V491" i="34"/>
  <c r="X491" i="34"/>
  <c r="Y491" i="34"/>
  <c r="N492" i="34"/>
  <c r="R492" i="34"/>
  <c r="S492" i="34"/>
  <c r="T492" i="34"/>
  <c r="V492" i="34"/>
  <c r="X492" i="34"/>
  <c r="Y492" i="34"/>
  <c r="N493" i="34"/>
  <c r="R493" i="34"/>
  <c r="S493" i="34"/>
  <c r="T493" i="34"/>
  <c r="V493" i="34"/>
  <c r="X493" i="34"/>
  <c r="Y493" i="34"/>
  <c r="N494" i="34"/>
  <c r="R494" i="34"/>
  <c r="S494" i="34"/>
  <c r="T494" i="34"/>
  <c r="V494" i="34"/>
  <c r="X494" i="34"/>
  <c r="Y494" i="34"/>
  <c r="N495" i="34"/>
  <c r="R495" i="34"/>
  <c r="S495" i="34"/>
  <c r="T495" i="34"/>
  <c r="V495" i="34"/>
  <c r="X495" i="34"/>
  <c r="Y495" i="34"/>
  <c r="N496" i="34"/>
  <c r="R496" i="34"/>
  <c r="S496" i="34"/>
  <c r="T496" i="34"/>
  <c r="V496" i="34"/>
  <c r="X496" i="34"/>
  <c r="Y496" i="34"/>
  <c r="N497" i="34"/>
  <c r="R497" i="34"/>
  <c r="S497" i="34"/>
  <c r="T497" i="34"/>
  <c r="V497" i="34"/>
  <c r="X497" i="34"/>
  <c r="Y497" i="34"/>
  <c r="N498" i="34"/>
  <c r="R498" i="34"/>
  <c r="S498" i="34"/>
  <c r="T498" i="34"/>
  <c r="V498" i="34"/>
  <c r="X498" i="34"/>
  <c r="Y498" i="34"/>
  <c r="N499" i="34"/>
  <c r="R499" i="34"/>
  <c r="S499" i="34"/>
  <c r="T499" i="34"/>
  <c r="V499" i="34"/>
  <c r="X499" i="34"/>
  <c r="Y499" i="34"/>
  <c r="N500" i="34"/>
  <c r="R500" i="34"/>
  <c r="S500" i="34"/>
  <c r="T500" i="34"/>
  <c r="V500" i="34"/>
  <c r="X500" i="34"/>
  <c r="Y500" i="34"/>
  <c r="N501" i="34"/>
  <c r="R501" i="34"/>
  <c r="S501" i="34"/>
  <c r="T501" i="34"/>
  <c r="V501" i="34"/>
  <c r="X501" i="34"/>
  <c r="Y501" i="34"/>
  <c r="N502" i="34"/>
  <c r="R502" i="34"/>
  <c r="S502" i="34"/>
  <c r="T502" i="34"/>
  <c r="V502" i="34"/>
  <c r="X502" i="34"/>
  <c r="Y502" i="34"/>
  <c r="N503" i="34"/>
  <c r="R503" i="34"/>
  <c r="S503" i="34"/>
  <c r="T503" i="34"/>
  <c r="V503" i="34"/>
  <c r="X503" i="34"/>
  <c r="Y503" i="34"/>
  <c r="N504" i="34"/>
  <c r="R504" i="34"/>
  <c r="S504" i="34"/>
  <c r="T504" i="34"/>
  <c r="V504" i="34"/>
  <c r="X504" i="34"/>
  <c r="Y504" i="34"/>
  <c r="N505" i="34"/>
  <c r="R505" i="34"/>
  <c r="S505" i="34"/>
  <c r="T505" i="34"/>
  <c r="V505" i="34"/>
  <c r="X505" i="34"/>
  <c r="Y505" i="34"/>
  <c r="N506" i="34"/>
  <c r="R506" i="34"/>
  <c r="S506" i="34"/>
  <c r="T506" i="34"/>
  <c r="V506" i="34"/>
  <c r="X506" i="34"/>
  <c r="Y506" i="34"/>
  <c r="N507" i="34"/>
  <c r="R507" i="34"/>
  <c r="S507" i="34"/>
  <c r="T507" i="34"/>
  <c r="V507" i="34"/>
  <c r="X507" i="34"/>
  <c r="Y507" i="34"/>
  <c r="N508" i="34"/>
  <c r="R508" i="34"/>
  <c r="S508" i="34"/>
  <c r="T508" i="34"/>
  <c r="V508" i="34"/>
  <c r="X508" i="34"/>
  <c r="Y508" i="34"/>
  <c r="N509" i="34"/>
  <c r="R509" i="34"/>
  <c r="S509" i="34"/>
  <c r="T509" i="34"/>
  <c r="V509" i="34"/>
  <c r="X509" i="34"/>
  <c r="Y509" i="34"/>
  <c r="N510" i="34"/>
  <c r="R510" i="34"/>
  <c r="S510" i="34"/>
  <c r="T510" i="34"/>
  <c r="V510" i="34"/>
  <c r="X510" i="34"/>
  <c r="Y510" i="34"/>
  <c r="N511" i="34"/>
  <c r="R511" i="34"/>
  <c r="S511" i="34"/>
  <c r="T511" i="34"/>
  <c r="V511" i="34"/>
  <c r="X511" i="34"/>
  <c r="Y511" i="34"/>
  <c r="N512" i="34"/>
  <c r="R512" i="34"/>
  <c r="S512" i="34"/>
  <c r="T512" i="34"/>
  <c r="V512" i="34"/>
  <c r="X512" i="34"/>
  <c r="Y512" i="34"/>
  <c r="N513" i="34"/>
  <c r="R513" i="34"/>
  <c r="S513" i="34"/>
  <c r="T513" i="34"/>
  <c r="V513" i="34"/>
  <c r="X513" i="34"/>
  <c r="Y513" i="34"/>
  <c r="N514" i="34"/>
  <c r="R514" i="34"/>
  <c r="S514" i="34"/>
  <c r="T514" i="34"/>
  <c r="V514" i="34"/>
  <c r="X514" i="34"/>
  <c r="Y514" i="34"/>
  <c r="N515" i="34"/>
  <c r="R515" i="34"/>
  <c r="S515" i="34"/>
  <c r="T515" i="34"/>
  <c r="V515" i="34"/>
  <c r="X515" i="34"/>
  <c r="Y515" i="34"/>
  <c r="N516" i="34"/>
  <c r="R516" i="34"/>
  <c r="S516" i="34"/>
  <c r="T516" i="34"/>
  <c r="V516" i="34"/>
  <c r="X516" i="34"/>
  <c r="Y516" i="34"/>
  <c r="N517" i="34"/>
  <c r="R517" i="34"/>
  <c r="S517" i="34"/>
  <c r="T517" i="34"/>
  <c r="V517" i="34"/>
  <c r="X517" i="34"/>
  <c r="Y517" i="34"/>
  <c r="N518" i="34"/>
  <c r="R518" i="34"/>
  <c r="S518" i="34"/>
  <c r="T518" i="34"/>
  <c r="V518" i="34"/>
  <c r="X518" i="34"/>
  <c r="Y518" i="34"/>
  <c r="N519" i="34"/>
  <c r="R519" i="34"/>
  <c r="S519" i="34"/>
  <c r="T519" i="34"/>
  <c r="V519" i="34"/>
  <c r="X519" i="34"/>
  <c r="Y519" i="34"/>
  <c r="N520" i="34"/>
  <c r="R520" i="34"/>
  <c r="S520" i="34"/>
  <c r="T520" i="34"/>
  <c r="V520" i="34"/>
  <c r="X520" i="34"/>
  <c r="Y520" i="34"/>
  <c r="N521" i="34"/>
  <c r="R521" i="34"/>
  <c r="S521" i="34"/>
  <c r="T521" i="34"/>
  <c r="V521" i="34"/>
  <c r="X521" i="34"/>
  <c r="Y521" i="34"/>
  <c r="N522" i="34"/>
  <c r="R522" i="34"/>
  <c r="S522" i="34"/>
  <c r="T522" i="34"/>
  <c r="V522" i="34"/>
  <c r="X522" i="34"/>
  <c r="Y522" i="34"/>
  <c r="N523" i="34"/>
  <c r="R523" i="34"/>
  <c r="S523" i="34"/>
  <c r="T523" i="34"/>
  <c r="V523" i="34"/>
  <c r="X523" i="34"/>
  <c r="Y523" i="34"/>
  <c r="N524" i="34"/>
  <c r="R524" i="34"/>
  <c r="S524" i="34"/>
  <c r="T524" i="34"/>
  <c r="V524" i="34"/>
  <c r="X524" i="34"/>
  <c r="Y524" i="34"/>
  <c r="N525" i="34"/>
  <c r="R525" i="34"/>
  <c r="S525" i="34"/>
  <c r="T525" i="34"/>
  <c r="V525" i="34"/>
  <c r="X525" i="34"/>
  <c r="Y525" i="34"/>
  <c r="N526" i="34"/>
  <c r="R526" i="34"/>
  <c r="S526" i="34"/>
  <c r="T526" i="34"/>
  <c r="V526" i="34"/>
  <c r="X526" i="34"/>
  <c r="Y526" i="34"/>
  <c r="N527" i="34"/>
  <c r="R527" i="34"/>
  <c r="S527" i="34"/>
  <c r="T527" i="34"/>
  <c r="V527" i="34"/>
  <c r="X527" i="34"/>
  <c r="Y527" i="34"/>
  <c r="N528" i="34"/>
  <c r="R528" i="34"/>
  <c r="S528" i="34"/>
  <c r="T528" i="34"/>
  <c r="V528" i="34"/>
  <c r="X528" i="34"/>
  <c r="Y528" i="34"/>
  <c r="N529" i="34"/>
  <c r="R529" i="34"/>
  <c r="S529" i="34"/>
  <c r="T529" i="34"/>
  <c r="V529" i="34"/>
  <c r="X529" i="34"/>
  <c r="Y529" i="34"/>
  <c r="N530" i="34"/>
  <c r="R530" i="34"/>
  <c r="S530" i="34"/>
  <c r="T530" i="34"/>
  <c r="V530" i="34"/>
  <c r="X530" i="34"/>
  <c r="Y530" i="34"/>
  <c r="N531" i="34"/>
  <c r="R531" i="34"/>
  <c r="S531" i="34"/>
  <c r="T531" i="34"/>
  <c r="V531" i="34"/>
  <c r="X531" i="34"/>
  <c r="Y531" i="34"/>
  <c r="N532" i="34"/>
  <c r="R532" i="34"/>
  <c r="S532" i="34"/>
  <c r="T532" i="34"/>
  <c r="V532" i="34"/>
  <c r="X532" i="34"/>
  <c r="Y532" i="34"/>
  <c r="N533" i="34"/>
  <c r="R533" i="34"/>
  <c r="S533" i="34"/>
  <c r="T533" i="34"/>
  <c r="V533" i="34"/>
  <c r="X533" i="34"/>
  <c r="Y533" i="34"/>
  <c r="N534" i="34"/>
  <c r="R534" i="34"/>
  <c r="S534" i="34"/>
  <c r="T534" i="34"/>
  <c r="V534" i="34"/>
  <c r="X534" i="34"/>
  <c r="Y534" i="34"/>
  <c r="N535" i="34"/>
  <c r="R535" i="34"/>
  <c r="S535" i="34"/>
  <c r="T535" i="34"/>
  <c r="V535" i="34"/>
  <c r="X535" i="34"/>
  <c r="Y535" i="34"/>
  <c r="N536" i="34"/>
  <c r="R536" i="34"/>
  <c r="S536" i="34"/>
  <c r="T536" i="34"/>
  <c r="V536" i="34"/>
  <c r="X536" i="34"/>
  <c r="Y536" i="34"/>
  <c r="N537" i="34"/>
  <c r="R537" i="34"/>
  <c r="S537" i="34"/>
  <c r="T537" i="34"/>
  <c r="V537" i="34"/>
  <c r="X537" i="34"/>
  <c r="Y537" i="34"/>
  <c r="N538" i="34"/>
  <c r="R538" i="34"/>
  <c r="S538" i="34"/>
  <c r="T538" i="34"/>
  <c r="V538" i="34"/>
  <c r="X538" i="34"/>
  <c r="Y538" i="34"/>
  <c r="N539" i="34"/>
  <c r="R539" i="34"/>
  <c r="S539" i="34"/>
  <c r="T539" i="34"/>
  <c r="V539" i="34"/>
  <c r="X539" i="34"/>
  <c r="Y539" i="34"/>
  <c r="N540" i="34"/>
  <c r="R540" i="34"/>
  <c r="S540" i="34"/>
  <c r="T540" i="34"/>
  <c r="V540" i="34"/>
  <c r="X540" i="34"/>
  <c r="Y540" i="34"/>
  <c r="N541" i="34"/>
  <c r="R541" i="34"/>
  <c r="S541" i="34"/>
  <c r="T541" i="34"/>
  <c r="V541" i="34"/>
  <c r="X541" i="34"/>
  <c r="Y541" i="34"/>
  <c r="N542" i="34"/>
  <c r="R542" i="34"/>
  <c r="S542" i="34"/>
  <c r="T542" i="34"/>
  <c r="V542" i="34"/>
  <c r="X542" i="34"/>
  <c r="Y542" i="34"/>
  <c r="N543" i="34"/>
  <c r="R543" i="34"/>
  <c r="S543" i="34"/>
  <c r="T543" i="34"/>
  <c r="V543" i="34"/>
  <c r="X543" i="34"/>
  <c r="Y543" i="34"/>
  <c r="N544" i="34"/>
  <c r="R544" i="34"/>
  <c r="S544" i="34"/>
  <c r="T544" i="34"/>
  <c r="V544" i="34"/>
  <c r="X544" i="34"/>
  <c r="Y544" i="34"/>
  <c r="N545" i="34"/>
  <c r="R545" i="34"/>
  <c r="S545" i="34"/>
  <c r="T545" i="34"/>
  <c r="V545" i="34"/>
  <c r="X545" i="34"/>
  <c r="Y545" i="34"/>
  <c r="N546" i="34"/>
  <c r="R546" i="34"/>
  <c r="S546" i="34"/>
  <c r="T546" i="34"/>
  <c r="V546" i="34"/>
  <c r="X546" i="34"/>
  <c r="Y546" i="34"/>
  <c r="N547" i="34"/>
  <c r="R547" i="34"/>
  <c r="S547" i="34"/>
  <c r="T547" i="34"/>
  <c r="V547" i="34"/>
  <c r="X547" i="34"/>
  <c r="Y547" i="34"/>
  <c r="N548" i="34"/>
  <c r="R548" i="34"/>
  <c r="S548" i="34"/>
  <c r="T548" i="34"/>
  <c r="V548" i="34"/>
  <c r="X548" i="34"/>
  <c r="Y548" i="34"/>
  <c r="N549" i="34"/>
  <c r="R549" i="34"/>
  <c r="S549" i="34"/>
  <c r="T549" i="34"/>
  <c r="V549" i="34"/>
  <c r="X549" i="34"/>
  <c r="Y549" i="34"/>
  <c r="N550" i="34"/>
  <c r="R550" i="34"/>
  <c r="S550" i="34"/>
  <c r="T550" i="34"/>
  <c r="V550" i="34"/>
  <c r="X550" i="34"/>
  <c r="Y550" i="34"/>
  <c r="N551" i="34"/>
  <c r="R551" i="34"/>
  <c r="S551" i="34"/>
  <c r="T551" i="34"/>
  <c r="V551" i="34"/>
  <c r="X551" i="34"/>
  <c r="Y551" i="34"/>
  <c r="N552" i="34"/>
  <c r="R552" i="34"/>
  <c r="S552" i="34"/>
  <c r="T552" i="34"/>
  <c r="V552" i="34"/>
  <c r="X552" i="34"/>
  <c r="Y552" i="34"/>
  <c r="N553" i="34"/>
  <c r="R553" i="34"/>
  <c r="S553" i="34"/>
  <c r="T553" i="34"/>
  <c r="V553" i="34"/>
  <c r="X553" i="34"/>
  <c r="Y553" i="34"/>
  <c r="N554" i="34"/>
  <c r="R554" i="34"/>
  <c r="S554" i="34"/>
  <c r="T554" i="34"/>
  <c r="V554" i="34"/>
  <c r="X554" i="34"/>
  <c r="Y554" i="34"/>
  <c r="N555" i="34"/>
  <c r="R555" i="34"/>
  <c r="S555" i="34"/>
  <c r="T555" i="34"/>
  <c r="V555" i="34"/>
  <c r="X555" i="34"/>
  <c r="Y555" i="34"/>
  <c r="N556" i="34"/>
  <c r="R556" i="34"/>
  <c r="S556" i="34"/>
  <c r="T556" i="34"/>
  <c r="V556" i="34"/>
  <c r="X556" i="34"/>
  <c r="Y556" i="34"/>
  <c r="N557" i="34"/>
  <c r="R557" i="34"/>
  <c r="S557" i="34"/>
  <c r="T557" i="34"/>
  <c r="V557" i="34"/>
  <c r="X557" i="34"/>
  <c r="Y557" i="34"/>
  <c r="N558" i="34"/>
  <c r="R558" i="34"/>
  <c r="S558" i="34"/>
  <c r="T558" i="34"/>
  <c r="V558" i="34"/>
  <c r="X558" i="34"/>
  <c r="Y558" i="34"/>
  <c r="N559" i="34"/>
  <c r="R559" i="34"/>
  <c r="S559" i="34"/>
  <c r="T559" i="34"/>
  <c r="V559" i="34"/>
  <c r="X559" i="34"/>
  <c r="Y559" i="34"/>
  <c r="N560" i="34"/>
  <c r="R560" i="34"/>
  <c r="S560" i="34"/>
  <c r="T560" i="34"/>
  <c r="V560" i="34"/>
  <c r="X560" i="34"/>
  <c r="Y560" i="34"/>
  <c r="N561" i="34"/>
  <c r="R561" i="34"/>
  <c r="S561" i="34"/>
  <c r="T561" i="34"/>
  <c r="V561" i="34"/>
  <c r="X561" i="34"/>
  <c r="Y561" i="34"/>
  <c r="N562" i="34"/>
  <c r="R562" i="34"/>
  <c r="S562" i="34"/>
  <c r="T562" i="34"/>
  <c r="V562" i="34"/>
  <c r="X562" i="34"/>
  <c r="Y562" i="34"/>
  <c r="N563" i="34"/>
  <c r="R563" i="34"/>
  <c r="S563" i="34"/>
  <c r="T563" i="34"/>
  <c r="V563" i="34"/>
  <c r="X563" i="34"/>
  <c r="Y563" i="34"/>
  <c r="N564" i="34"/>
  <c r="R564" i="34"/>
  <c r="S564" i="34"/>
  <c r="T564" i="34"/>
  <c r="V564" i="34"/>
  <c r="X564" i="34"/>
  <c r="Y564" i="34"/>
  <c r="N565" i="34"/>
  <c r="R565" i="34"/>
  <c r="S565" i="34"/>
  <c r="T565" i="34"/>
  <c r="V565" i="34"/>
  <c r="X565" i="34"/>
  <c r="Y565" i="34"/>
  <c r="N566" i="34"/>
  <c r="R566" i="34"/>
  <c r="S566" i="34"/>
  <c r="T566" i="34"/>
  <c r="V566" i="34"/>
  <c r="X566" i="34"/>
  <c r="Y566" i="34"/>
  <c r="N567" i="34"/>
  <c r="R567" i="34"/>
  <c r="S567" i="34"/>
  <c r="T567" i="34"/>
  <c r="V567" i="34"/>
  <c r="X567" i="34"/>
  <c r="Y567" i="34"/>
  <c r="N568" i="34"/>
  <c r="R568" i="34"/>
  <c r="S568" i="34"/>
  <c r="T568" i="34"/>
  <c r="V568" i="34"/>
  <c r="X568" i="34"/>
  <c r="Y568" i="34"/>
  <c r="N569" i="34"/>
  <c r="R569" i="34"/>
  <c r="S569" i="34"/>
  <c r="T569" i="34"/>
  <c r="V569" i="34"/>
  <c r="X569" i="34"/>
  <c r="Y569" i="34"/>
  <c r="N570" i="34"/>
  <c r="R570" i="34"/>
  <c r="S570" i="34"/>
  <c r="T570" i="34"/>
  <c r="V570" i="34"/>
  <c r="X570" i="34"/>
  <c r="Y570" i="34"/>
  <c r="N571" i="34"/>
  <c r="R571" i="34"/>
  <c r="S571" i="34"/>
  <c r="T571" i="34"/>
  <c r="V571" i="34"/>
  <c r="X571" i="34"/>
  <c r="Y571" i="34"/>
  <c r="N572" i="34"/>
  <c r="R572" i="34"/>
  <c r="S572" i="34"/>
  <c r="T572" i="34"/>
  <c r="V572" i="34"/>
  <c r="X572" i="34"/>
  <c r="Y572" i="34"/>
  <c r="N573" i="34"/>
  <c r="R573" i="34"/>
  <c r="S573" i="34"/>
  <c r="T573" i="34"/>
  <c r="V573" i="34"/>
  <c r="X573" i="34"/>
  <c r="Y573" i="34"/>
  <c r="N574" i="34"/>
  <c r="R574" i="34"/>
  <c r="S574" i="34"/>
  <c r="T574" i="34"/>
  <c r="V574" i="34"/>
  <c r="X574" i="34"/>
  <c r="Y574" i="34"/>
  <c r="N575" i="34"/>
  <c r="R575" i="34"/>
  <c r="S575" i="34"/>
  <c r="T575" i="34"/>
  <c r="V575" i="34"/>
  <c r="X575" i="34"/>
  <c r="Y575" i="34"/>
  <c r="N576" i="34"/>
  <c r="R576" i="34"/>
  <c r="S576" i="34"/>
  <c r="T576" i="34"/>
  <c r="V576" i="34"/>
  <c r="X576" i="34"/>
  <c r="Y576" i="34"/>
  <c r="N577" i="34"/>
  <c r="R577" i="34"/>
  <c r="S577" i="34"/>
  <c r="T577" i="34"/>
  <c r="V577" i="34"/>
  <c r="X577" i="34"/>
  <c r="Y577" i="34"/>
  <c r="N578" i="34"/>
  <c r="R578" i="34"/>
  <c r="S578" i="34"/>
  <c r="T578" i="34"/>
  <c r="V578" i="34"/>
  <c r="X578" i="34"/>
  <c r="Y578" i="34"/>
  <c r="N579" i="34"/>
  <c r="R579" i="34"/>
  <c r="S579" i="34"/>
  <c r="T579" i="34"/>
  <c r="V579" i="34"/>
  <c r="X579" i="34"/>
  <c r="Y579" i="34"/>
  <c r="N580" i="34"/>
  <c r="R580" i="34"/>
  <c r="S580" i="34"/>
  <c r="T580" i="34"/>
  <c r="V580" i="34"/>
  <c r="X580" i="34"/>
  <c r="Y580" i="34"/>
  <c r="N581" i="34"/>
  <c r="R581" i="34"/>
  <c r="S581" i="34"/>
  <c r="T581" i="34"/>
  <c r="V581" i="34"/>
  <c r="X581" i="34"/>
  <c r="Y581" i="34"/>
  <c r="N582" i="34"/>
  <c r="R582" i="34"/>
  <c r="S582" i="34"/>
  <c r="T582" i="34"/>
  <c r="V582" i="34"/>
  <c r="X582" i="34"/>
  <c r="Y582" i="34"/>
  <c r="N583" i="34"/>
  <c r="R583" i="34"/>
  <c r="S583" i="34"/>
  <c r="T583" i="34"/>
  <c r="V583" i="34"/>
  <c r="X583" i="34"/>
  <c r="Y583" i="34"/>
  <c r="N584" i="34"/>
  <c r="R584" i="34"/>
  <c r="S584" i="34"/>
  <c r="T584" i="34"/>
  <c r="V584" i="34"/>
  <c r="X584" i="34"/>
  <c r="Y584" i="34"/>
  <c r="N585" i="34"/>
  <c r="R585" i="34"/>
  <c r="S585" i="34"/>
  <c r="T585" i="34"/>
  <c r="V585" i="34"/>
  <c r="X585" i="34"/>
  <c r="Y585" i="34"/>
  <c r="N586" i="34"/>
  <c r="R586" i="34"/>
  <c r="S586" i="34"/>
  <c r="T586" i="34"/>
  <c r="V586" i="34"/>
  <c r="X586" i="34"/>
  <c r="Y586" i="34"/>
  <c r="N587" i="34"/>
  <c r="R587" i="34"/>
  <c r="S587" i="34"/>
  <c r="T587" i="34"/>
  <c r="V587" i="34"/>
  <c r="X587" i="34"/>
  <c r="Y587" i="34"/>
  <c r="N588" i="34"/>
  <c r="R588" i="34"/>
  <c r="S588" i="34"/>
  <c r="T588" i="34"/>
  <c r="V588" i="34"/>
  <c r="X588" i="34"/>
  <c r="Y588" i="34"/>
  <c r="N589" i="34"/>
  <c r="R589" i="34"/>
  <c r="S589" i="34"/>
  <c r="T589" i="34"/>
  <c r="V589" i="34"/>
  <c r="X589" i="34"/>
  <c r="Y589" i="34"/>
  <c r="N590" i="34"/>
  <c r="R590" i="34"/>
  <c r="S590" i="34"/>
  <c r="T590" i="34"/>
  <c r="V590" i="34"/>
  <c r="X590" i="34"/>
  <c r="Y590" i="34"/>
  <c r="N591" i="34"/>
  <c r="R591" i="34"/>
  <c r="S591" i="34"/>
  <c r="T591" i="34"/>
  <c r="V591" i="34"/>
  <c r="X591" i="34"/>
  <c r="Y591" i="34"/>
  <c r="N592" i="34"/>
  <c r="R592" i="34"/>
  <c r="S592" i="34"/>
  <c r="T592" i="34"/>
  <c r="V592" i="34"/>
  <c r="X592" i="34"/>
  <c r="Y592" i="34"/>
  <c r="N593" i="34"/>
  <c r="R593" i="34"/>
  <c r="S593" i="34"/>
  <c r="T593" i="34"/>
  <c r="V593" i="34"/>
  <c r="X593" i="34"/>
  <c r="Y593" i="34"/>
  <c r="N594" i="34"/>
  <c r="R594" i="34"/>
  <c r="S594" i="34"/>
  <c r="T594" i="34"/>
  <c r="V594" i="34"/>
  <c r="X594" i="34"/>
  <c r="Y594" i="34"/>
  <c r="N595" i="34"/>
  <c r="R595" i="34"/>
  <c r="S595" i="34"/>
  <c r="T595" i="34"/>
  <c r="V595" i="34"/>
  <c r="X595" i="34"/>
  <c r="Y595" i="34"/>
  <c r="N596" i="34"/>
  <c r="R596" i="34"/>
  <c r="S596" i="34"/>
  <c r="T596" i="34"/>
  <c r="V596" i="34"/>
  <c r="X596" i="34"/>
  <c r="Y596" i="34"/>
  <c r="N597" i="34"/>
  <c r="R597" i="34"/>
  <c r="S597" i="34"/>
  <c r="T597" i="34"/>
  <c r="V597" i="34"/>
  <c r="X597" i="34"/>
  <c r="Y597" i="34"/>
  <c r="N598" i="34"/>
  <c r="R598" i="34"/>
  <c r="S598" i="34"/>
  <c r="T598" i="34"/>
  <c r="V598" i="34"/>
  <c r="X598" i="34"/>
  <c r="Y598" i="34"/>
  <c r="N599" i="34"/>
  <c r="R599" i="34"/>
  <c r="S599" i="34"/>
  <c r="T599" i="34"/>
  <c r="V599" i="34"/>
  <c r="X599" i="34"/>
  <c r="Y599" i="34"/>
  <c r="N600" i="34"/>
  <c r="R600" i="34"/>
  <c r="S600" i="34"/>
  <c r="T600" i="34"/>
  <c r="V600" i="34"/>
  <c r="X600" i="34"/>
  <c r="Y600" i="34"/>
  <c r="N601" i="34"/>
  <c r="R601" i="34"/>
  <c r="S601" i="34"/>
  <c r="T601" i="34"/>
  <c r="V601" i="34"/>
  <c r="X601" i="34"/>
  <c r="Y601" i="34"/>
  <c r="N602" i="34"/>
  <c r="R602" i="34"/>
  <c r="S602" i="34"/>
  <c r="T602" i="34"/>
  <c r="V602" i="34"/>
  <c r="X602" i="34"/>
  <c r="Y602" i="34"/>
  <c r="N603" i="34"/>
  <c r="R603" i="34"/>
  <c r="S603" i="34"/>
  <c r="T603" i="34"/>
  <c r="V603" i="34"/>
  <c r="X603" i="34"/>
  <c r="Y603" i="34"/>
  <c r="N604" i="34"/>
  <c r="R604" i="34"/>
  <c r="S604" i="34"/>
  <c r="T604" i="34"/>
  <c r="V604" i="34"/>
  <c r="X604" i="34"/>
  <c r="Y604" i="34"/>
  <c r="N605" i="34"/>
  <c r="R605" i="34"/>
  <c r="S605" i="34"/>
  <c r="T605" i="34"/>
  <c r="V605" i="34"/>
  <c r="X605" i="34"/>
  <c r="Y605" i="34"/>
  <c r="N606" i="34"/>
  <c r="R606" i="34"/>
  <c r="S606" i="34"/>
  <c r="T606" i="34"/>
  <c r="V606" i="34"/>
  <c r="X606" i="34"/>
  <c r="Y606" i="34"/>
  <c r="N607" i="34"/>
  <c r="R607" i="34"/>
  <c r="S607" i="34"/>
  <c r="T607" i="34"/>
  <c r="V607" i="34"/>
  <c r="X607" i="34"/>
  <c r="Y607" i="34"/>
  <c r="N608" i="34"/>
  <c r="R608" i="34"/>
  <c r="S608" i="34"/>
  <c r="T608" i="34"/>
  <c r="V608" i="34"/>
  <c r="X608" i="34"/>
  <c r="Y608" i="34"/>
  <c r="N609" i="34"/>
  <c r="R609" i="34"/>
  <c r="S609" i="34"/>
  <c r="T609" i="34"/>
  <c r="V609" i="34"/>
  <c r="X609" i="34"/>
  <c r="Y609" i="34"/>
  <c r="N610" i="34"/>
  <c r="R610" i="34"/>
  <c r="S610" i="34"/>
  <c r="T610" i="34"/>
  <c r="V610" i="34"/>
  <c r="X610" i="34"/>
  <c r="Y610" i="34"/>
  <c r="N611" i="34"/>
  <c r="R611" i="34"/>
  <c r="S611" i="34"/>
  <c r="T611" i="34"/>
  <c r="V611" i="34"/>
  <c r="X611" i="34"/>
  <c r="Y611" i="34"/>
  <c r="N612" i="34"/>
  <c r="R612" i="34"/>
  <c r="S612" i="34"/>
  <c r="T612" i="34"/>
  <c r="V612" i="34"/>
  <c r="X612" i="34"/>
  <c r="Y612" i="34"/>
  <c r="N613" i="34"/>
  <c r="R613" i="34"/>
  <c r="S613" i="34"/>
  <c r="T613" i="34"/>
  <c r="V613" i="34"/>
  <c r="X613" i="34"/>
  <c r="Y613" i="34"/>
  <c r="N614" i="34"/>
  <c r="R614" i="34"/>
  <c r="S614" i="34"/>
  <c r="T614" i="34"/>
  <c r="V614" i="34"/>
  <c r="X614" i="34"/>
  <c r="Y614" i="34"/>
  <c r="N615" i="34"/>
  <c r="R615" i="34"/>
  <c r="S615" i="34"/>
  <c r="T615" i="34"/>
  <c r="V615" i="34"/>
  <c r="X615" i="34"/>
  <c r="Y615" i="34"/>
  <c r="N616" i="34"/>
  <c r="R616" i="34"/>
  <c r="S616" i="34"/>
  <c r="T616" i="34"/>
  <c r="V616" i="34"/>
  <c r="X616" i="34"/>
  <c r="Y616" i="34"/>
  <c r="N617" i="34"/>
  <c r="R617" i="34"/>
  <c r="S617" i="34"/>
  <c r="T617" i="34"/>
  <c r="V617" i="34"/>
  <c r="X617" i="34"/>
  <c r="Y617" i="34"/>
  <c r="N618" i="34"/>
  <c r="R618" i="34"/>
  <c r="S618" i="34"/>
  <c r="T618" i="34"/>
  <c r="V618" i="34"/>
  <c r="X618" i="34"/>
  <c r="Y618" i="34"/>
  <c r="N619" i="34"/>
  <c r="R619" i="34"/>
  <c r="S619" i="34"/>
  <c r="T619" i="34"/>
  <c r="V619" i="34"/>
  <c r="X619" i="34"/>
  <c r="Y619" i="34"/>
  <c r="N620" i="34"/>
  <c r="R620" i="34"/>
  <c r="S620" i="34"/>
  <c r="T620" i="34"/>
  <c r="V620" i="34"/>
  <c r="X620" i="34"/>
  <c r="Y620" i="34"/>
  <c r="N621" i="34"/>
  <c r="R621" i="34"/>
  <c r="S621" i="34"/>
  <c r="T621" i="34"/>
  <c r="V621" i="34"/>
  <c r="X621" i="34"/>
  <c r="Y621" i="34"/>
  <c r="N622" i="34"/>
  <c r="R622" i="34"/>
  <c r="S622" i="34"/>
  <c r="T622" i="34"/>
  <c r="V622" i="34"/>
  <c r="X622" i="34"/>
  <c r="Y622" i="34"/>
  <c r="N623" i="34"/>
  <c r="R623" i="34"/>
  <c r="S623" i="34"/>
  <c r="T623" i="34"/>
  <c r="V623" i="34"/>
  <c r="X623" i="34"/>
  <c r="Y623" i="34"/>
  <c r="N624" i="34"/>
  <c r="R624" i="34"/>
  <c r="S624" i="34"/>
  <c r="T624" i="34"/>
  <c r="V624" i="34"/>
  <c r="X624" i="34"/>
  <c r="Y624" i="34"/>
  <c r="N625" i="34"/>
  <c r="R625" i="34"/>
  <c r="S625" i="34"/>
  <c r="T625" i="34"/>
  <c r="V625" i="34"/>
  <c r="X625" i="34"/>
  <c r="Y625" i="34"/>
  <c r="N626" i="34"/>
  <c r="R626" i="34"/>
  <c r="S626" i="34"/>
  <c r="T626" i="34"/>
  <c r="V626" i="34"/>
  <c r="X626" i="34"/>
  <c r="Y626" i="34"/>
  <c r="N627" i="34"/>
  <c r="R627" i="34"/>
  <c r="S627" i="34"/>
  <c r="T627" i="34"/>
  <c r="V627" i="34"/>
  <c r="X627" i="34"/>
  <c r="Y627" i="34"/>
  <c r="N628" i="34"/>
  <c r="R628" i="34"/>
  <c r="S628" i="34"/>
  <c r="T628" i="34"/>
  <c r="V628" i="34"/>
  <c r="X628" i="34"/>
  <c r="Y628" i="34"/>
  <c r="N629" i="34"/>
  <c r="R629" i="34"/>
  <c r="S629" i="34"/>
  <c r="T629" i="34"/>
  <c r="V629" i="34"/>
  <c r="X629" i="34"/>
  <c r="Y629" i="34"/>
  <c r="N630" i="34"/>
  <c r="R630" i="34"/>
  <c r="S630" i="34"/>
  <c r="T630" i="34"/>
  <c r="V630" i="34"/>
  <c r="X630" i="34"/>
  <c r="Y630" i="34"/>
  <c r="N631" i="34"/>
  <c r="R631" i="34"/>
  <c r="S631" i="34"/>
  <c r="T631" i="34"/>
  <c r="V631" i="34"/>
  <c r="X631" i="34"/>
  <c r="Y631" i="34"/>
  <c r="N632" i="34"/>
  <c r="R632" i="34"/>
  <c r="S632" i="34"/>
  <c r="T632" i="34"/>
  <c r="V632" i="34"/>
  <c r="X632" i="34"/>
  <c r="Y632" i="34"/>
  <c r="N633" i="34"/>
  <c r="R633" i="34"/>
  <c r="S633" i="34"/>
  <c r="T633" i="34"/>
  <c r="V633" i="34"/>
  <c r="X633" i="34"/>
  <c r="Y633" i="34"/>
  <c r="N634" i="34"/>
  <c r="R634" i="34"/>
  <c r="S634" i="34"/>
  <c r="T634" i="34"/>
  <c r="V634" i="34"/>
  <c r="X634" i="34"/>
  <c r="Y634" i="34"/>
  <c r="N635" i="34"/>
  <c r="R635" i="34"/>
  <c r="S635" i="34"/>
  <c r="T635" i="34"/>
  <c r="V635" i="34"/>
  <c r="X635" i="34"/>
  <c r="Y635" i="34"/>
  <c r="N636" i="34"/>
  <c r="R636" i="34"/>
  <c r="S636" i="34"/>
  <c r="T636" i="34"/>
  <c r="V636" i="34"/>
  <c r="X636" i="34"/>
  <c r="Y636" i="34"/>
  <c r="N637" i="34"/>
  <c r="R637" i="34"/>
  <c r="S637" i="34"/>
  <c r="T637" i="34"/>
  <c r="V637" i="34"/>
  <c r="X637" i="34"/>
  <c r="Y637" i="34"/>
  <c r="N638" i="34"/>
  <c r="R638" i="34"/>
  <c r="S638" i="34"/>
  <c r="T638" i="34"/>
  <c r="V638" i="34"/>
  <c r="X638" i="34"/>
  <c r="Y638" i="34"/>
  <c r="N639" i="34"/>
  <c r="R639" i="34"/>
  <c r="S639" i="34"/>
  <c r="T639" i="34"/>
  <c r="V639" i="34"/>
  <c r="X639" i="34"/>
  <c r="Y639" i="34"/>
  <c r="N640" i="34"/>
  <c r="R640" i="34"/>
  <c r="S640" i="34"/>
  <c r="T640" i="34"/>
  <c r="V640" i="34"/>
  <c r="X640" i="34"/>
  <c r="Y640" i="34"/>
  <c r="N641" i="34"/>
  <c r="R641" i="34"/>
  <c r="S641" i="34"/>
  <c r="T641" i="34"/>
  <c r="V641" i="34"/>
  <c r="X641" i="34"/>
  <c r="Y641" i="34"/>
  <c r="N642" i="34"/>
  <c r="R642" i="34"/>
  <c r="S642" i="34"/>
  <c r="T642" i="34"/>
  <c r="V642" i="34"/>
  <c r="X642" i="34"/>
  <c r="Y642" i="34"/>
  <c r="N643" i="34"/>
  <c r="R643" i="34"/>
  <c r="S643" i="34"/>
  <c r="T643" i="34"/>
  <c r="V643" i="34"/>
  <c r="X643" i="34"/>
  <c r="Y643" i="34"/>
  <c r="N644" i="34"/>
  <c r="R644" i="34"/>
  <c r="S644" i="34"/>
  <c r="T644" i="34"/>
  <c r="V644" i="34"/>
  <c r="X644" i="34"/>
  <c r="Y644" i="34"/>
  <c r="N645" i="34"/>
  <c r="R645" i="34"/>
  <c r="S645" i="34"/>
  <c r="T645" i="34"/>
  <c r="V645" i="34"/>
  <c r="X645" i="34"/>
  <c r="Y645" i="34"/>
  <c r="N646" i="34"/>
  <c r="R646" i="34"/>
  <c r="S646" i="34"/>
  <c r="T646" i="34"/>
  <c r="V646" i="34"/>
  <c r="X646" i="34"/>
  <c r="Y646" i="34"/>
  <c r="N647" i="34"/>
  <c r="R647" i="34"/>
  <c r="S647" i="34"/>
  <c r="T647" i="34"/>
  <c r="V647" i="34"/>
  <c r="X647" i="34"/>
  <c r="Y647" i="34"/>
  <c r="N648" i="34"/>
  <c r="R648" i="34"/>
  <c r="S648" i="34"/>
  <c r="T648" i="34"/>
  <c r="V648" i="34"/>
  <c r="X648" i="34"/>
  <c r="Y648" i="34"/>
  <c r="N649" i="34"/>
  <c r="R649" i="34"/>
  <c r="S649" i="34"/>
  <c r="T649" i="34"/>
  <c r="V649" i="34"/>
  <c r="X649" i="34"/>
  <c r="Y649" i="34"/>
  <c r="N650" i="34"/>
  <c r="R650" i="34"/>
  <c r="S650" i="34"/>
  <c r="T650" i="34"/>
  <c r="V650" i="34"/>
  <c r="X650" i="34"/>
  <c r="Y650" i="34"/>
  <c r="N651" i="34"/>
  <c r="R651" i="34"/>
  <c r="S651" i="34"/>
  <c r="T651" i="34"/>
  <c r="V651" i="34"/>
  <c r="X651" i="34"/>
  <c r="Y651" i="34"/>
  <c r="N652" i="34"/>
  <c r="R652" i="34"/>
  <c r="S652" i="34"/>
  <c r="T652" i="34"/>
  <c r="V652" i="34"/>
  <c r="X652" i="34"/>
  <c r="Y652" i="34"/>
  <c r="N653" i="34"/>
  <c r="R653" i="34"/>
  <c r="S653" i="34"/>
  <c r="T653" i="34"/>
  <c r="V653" i="34"/>
  <c r="X653" i="34"/>
  <c r="Y653" i="34"/>
  <c r="N654" i="34"/>
  <c r="R654" i="34"/>
  <c r="S654" i="34"/>
  <c r="T654" i="34"/>
  <c r="V654" i="34"/>
  <c r="X654" i="34"/>
  <c r="Y654" i="34"/>
  <c r="N655" i="34"/>
  <c r="R655" i="34"/>
  <c r="S655" i="34"/>
  <c r="T655" i="34"/>
  <c r="V655" i="34"/>
  <c r="X655" i="34"/>
  <c r="Y655" i="34"/>
  <c r="N656" i="34"/>
  <c r="R656" i="34"/>
  <c r="S656" i="34"/>
  <c r="T656" i="34"/>
  <c r="V656" i="34"/>
  <c r="X656" i="34"/>
  <c r="Y656" i="34"/>
  <c r="N657" i="34"/>
  <c r="R657" i="34"/>
  <c r="S657" i="34"/>
  <c r="T657" i="34"/>
  <c r="V657" i="34"/>
  <c r="X657" i="34"/>
  <c r="Y657" i="34"/>
  <c r="N658" i="34"/>
  <c r="R658" i="34"/>
  <c r="S658" i="34"/>
  <c r="T658" i="34"/>
  <c r="V658" i="34"/>
  <c r="X658" i="34"/>
  <c r="Y658" i="34"/>
  <c r="N659" i="34"/>
  <c r="R659" i="34"/>
  <c r="S659" i="34"/>
  <c r="T659" i="34"/>
  <c r="V659" i="34"/>
  <c r="X659" i="34"/>
  <c r="Y659" i="34"/>
  <c r="N660" i="34"/>
  <c r="R660" i="34"/>
  <c r="S660" i="34"/>
  <c r="T660" i="34"/>
  <c r="V660" i="34"/>
  <c r="X660" i="34"/>
  <c r="Y660" i="34"/>
  <c r="N661" i="34"/>
  <c r="R661" i="34"/>
  <c r="S661" i="34"/>
  <c r="T661" i="34"/>
  <c r="V661" i="34"/>
  <c r="X661" i="34"/>
  <c r="Y661" i="34"/>
  <c r="N662" i="34"/>
  <c r="R662" i="34"/>
  <c r="S662" i="34"/>
  <c r="T662" i="34"/>
  <c r="V662" i="34"/>
  <c r="X662" i="34"/>
  <c r="Y662" i="34"/>
  <c r="N663" i="34"/>
  <c r="R663" i="34"/>
  <c r="S663" i="34"/>
  <c r="T663" i="34"/>
  <c r="V663" i="34"/>
  <c r="X663" i="34"/>
  <c r="Y663" i="34"/>
  <c r="N664" i="34"/>
  <c r="R664" i="34"/>
  <c r="S664" i="34"/>
  <c r="T664" i="34"/>
  <c r="V664" i="34"/>
  <c r="X664" i="34"/>
  <c r="Y664" i="34"/>
  <c r="N665" i="34"/>
  <c r="R665" i="34"/>
  <c r="S665" i="34"/>
  <c r="T665" i="34"/>
  <c r="V665" i="34"/>
  <c r="X665" i="34"/>
  <c r="Y665" i="34"/>
  <c r="N666" i="34"/>
  <c r="R666" i="34"/>
  <c r="S666" i="34"/>
  <c r="T666" i="34"/>
  <c r="V666" i="34"/>
  <c r="X666" i="34"/>
  <c r="Y666" i="34"/>
  <c r="N667" i="34"/>
  <c r="R667" i="34"/>
  <c r="S667" i="34"/>
  <c r="T667" i="34"/>
  <c r="V667" i="34"/>
  <c r="X667" i="34"/>
  <c r="Y667" i="34"/>
  <c r="N668" i="34"/>
  <c r="R668" i="34"/>
  <c r="S668" i="34"/>
  <c r="T668" i="34"/>
  <c r="V668" i="34"/>
  <c r="X668" i="34"/>
  <c r="Y668" i="34"/>
  <c r="N669" i="34"/>
  <c r="R669" i="34"/>
  <c r="S669" i="34"/>
  <c r="T669" i="34"/>
  <c r="V669" i="34"/>
  <c r="X669" i="34"/>
  <c r="Y669" i="34"/>
  <c r="N670" i="34"/>
  <c r="R670" i="34"/>
  <c r="S670" i="34"/>
  <c r="T670" i="34"/>
  <c r="V670" i="34"/>
  <c r="X670" i="34"/>
  <c r="Y670" i="34"/>
  <c r="N671" i="34"/>
  <c r="R671" i="34"/>
  <c r="S671" i="34"/>
  <c r="T671" i="34"/>
  <c r="V671" i="34"/>
  <c r="X671" i="34"/>
  <c r="Y671" i="34"/>
  <c r="N672" i="34"/>
  <c r="R672" i="34"/>
  <c r="S672" i="34"/>
  <c r="T672" i="34"/>
  <c r="V672" i="34"/>
  <c r="X672" i="34"/>
  <c r="Y672" i="34"/>
  <c r="N673" i="34"/>
  <c r="R673" i="34"/>
  <c r="S673" i="34"/>
  <c r="T673" i="34"/>
  <c r="V673" i="34"/>
  <c r="X673" i="34"/>
  <c r="Y673" i="34"/>
  <c r="N674" i="34"/>
  <c r="R674" i="34"/>
  <c r="S674" i="34"/>
  <c r="T674" i="34"/>
  <c r="V674" i="34"/>
  <c r="X674" i="34"/>
  <c r="Y674" i="34"/>
  <c r="N675" i="34"/>
  <c r="R675" i="34"/>
  <c r="S675" i="34"/>
  <c r="T675" i="34"/>
  <c r="V675" i="34"/>
  <c r="X675" i="34"/>
  <c r="Y675" i="34"/>
  <c r="N676" i="34"/>
  <c r="R676" i="34"/>
  <c r="S676" i="34"/>
  <c r="T676" i="34"/>
  <c r="V676" i="34"/>
  <c r="X676" i="34"/>
  <c r="Y676" i="34"/>
  <c r="N677" i="34"/>
  <c r="R677" i="34"/>
  <c r="S677" i="34"/>
  <c r="T677" i="34"/>
  <c r="V677" i="34"/>
  <c r="X677" i="34"/>
  <c r="Y677" i="34"/>
  <c r="N678" i="34"/>
  <c r="R678" i="34"/>
  <c r="S678" i="34"/>
  <c r="T678" i="34"/>
  <c r="V678" i="34"/>
  <c r="X678" i="34"/>
  <c r="Y678" i="34"/>
  <c r="N679" i="34"/>
  <c r="R679" i="34"/>
  <c r="S679" i="34"/>
  <c r="T679" i="34"/>
  <c r="V679" i="34"/>
  <c r="X679" i="34"/>
  <c r="Y679" i="34"/>
  <c r="N680" i="34"/>
  <c r="R680" i="34"/>
  <c r="S680" i="34"/>
  <c r="T680" i="34"/>
  <c r="V680" i="34"/>
  <c r="X680" i="34"/>
  <c r="Y680" i="34"/>
  <c r="N681" i="34"/>
  <c r="R681" i="34"/>
  <c r="S681" i="34"/>
  <c r="T681" i="34"/>
  <c r="V681" i="34"/>
  <c r="X681" i="34"/>
  <c r="Y681" i="34"/>
  <c r="N682" i="34"/>
  <c r="R682" i="34"/>
  <c r="S682" i="34"/>
  <c r="T682" i="34"/>
  <c r="V682" i="34"/>
  <c r="X682" i="34"/>
  <c r="Y682" i="34"/>
  <c r="N683" i="34"/>
  <c r="R683" i="34"/>
  <c r="S683" i="34"/>
  <c r="T683" i="34"/>
  <c r="V683" i="34"/>
  <c r="X683" i="34"/>
  <c r="Y683" i="34"/>
  <c r="N684" i="34"/>
  <c r="R684" i="34"/>
  <c r="S684" i="34"/>
  <c r="T684" i="34"/>
  <c r="V684" i="34"/>
  <c r="X684" i="34"/>
  <c r="Y684" i="34"/>
  <c r="N685" i="34"/>
  <c r="R685" i="34"/>
  <c r="S685" i="34"/>
  <c r="T685" i="34"/>
  <c r="V685" i="34"/>
  <c r="X685" i="34"/>
  <c r="Y685" i="34"/>
  <c r="N686" i="34"/>
  <c r="R686" i="34"/>
  <c r="S686" i="34"/>
  <c r="T686" i="34"/>
  <c r="V686" i="34"/>
  <c r="X686" i="34"/>
  <c r="Y686" i="34"/>
  <c r="N687" i="34"/>
  <c r="R687" i="34"/>
  <c r="S687" i="34"/>
  <c r="T687" i="34"/>
  <c r="V687" i="34"/>
  <c r="X687" i="34"/>
  <c r="Y687" i="34"/>
  <c r="N688" i="34"/>
  <c r="R688" i="34"/>
  <c r="S688" i="34"/>
  <c r="T688" i="34"/>
  <c r="V688" i="34"/>
  <c r="X688" i="34"/>
  <c r="Y688" i="34"/>
  <c r="N689" i="34"/>
  <c r="R689" i="34"/>
  <c r="S689" i="34"/>
  <c r="T689" i="34"/>
  <c r="V689" i="34"/>
  <c r="X689" i="34"/>
  <c r="Y689" i="34"/>
  <c r="N690" i="34"/>
  <c r="R690" i="34"/>
  <c r="S690" i="34"/>
  <c r="T690" i="34"/>
  <c r="V690" i="34"/>
  <c r="X690" i="34"/>
  <c r="Y690" i="34"/>
  <c r="N691" i="34"/>
  <c r="R691" i="34"/>
  <c r="S691" i="34"/>
  <c r="T691" i="34"/>
  <c r="V691" i="34"/>
  <c r="X691" i="34"/>
  <c r="Y691" i="34"/>
  <c r="N692" i="34"/>
  <c r="R692" i="34"/>
  <c r="S692" i="34"/>
  <c r="T692" i="34"/>
  <c r="V692" i="34"/>
  <c r="X692" i="34"/>
  <c r="Y692" i="34"/>
  <c r="N693" i="34"/>
  <c r="R693" i="34"/>
  <c r="S693" i="34"/>
  <c r="T693" i="34"/>
  <c r="V693" i="34"/>
  <c r="X693" i="34"/>
  <c r="Y693" i="34"/>
  <c r="N694" i="34"/>
  <c r="R694" i="34"/>
  <c r="S694" i="34"/>
  <c r="T694" i="34"/>
  <c r="V694" i="34"/>
  <c r="X694" i="34"/>
  <c r="Y694" i="34"/>
  <c r="N695" i="34"/>
  <c r="R695" i="34"/>
  <c r="S695" i="34"/>
  <c r="T695" i="34"/>
  <c r="V695" i="34"/>
  <c r="X695" i="34"/>
  <c r="Y695" i="34"/>
  <c r="N696" i="34"/>
  <c r="R696" i="34"/>
  <c r="S696" i="34"/>
  <c r="T696" i="34"/>
  <c r="V696" i="34"/>
  <c r="X696" i="34"/>
  <c r="Y696" i="34"/>
  <c r="N697" i="34"/>
  <c r="R697" i="34"/>
  <c r="S697" i="34"/>
  <c r="T697" i="34"/>
  <c r="V697" i="34"/>
  <c r="X697" i="34"/>
  <c r="Y697" i="34"/>
  <c r="N698" i="34"/>
  <c r="R698" i="34"/>
  <c r="S698" i="34"/>
  <c r="T698" i="34"/>
  <c r="V698" i="34"/>
  <c r="X698" i="34"/>
  <c r="Y698" i="34"/>
  <c r="N699" i="34"/>
  <c r="R699" i="34"/>
  <c r="S699" i="34"/>
  <c r="T699" i="34"/>
  <c r="V699" i="34"/>
  <c r="X699" i="34"/>
  <c r="Y699" i="34"/>
  <c r="N700" i="34"/>
  <c r="R700" i="34"/>
  <c r="S700" i="34"/>
  <c r="T700" i="34"/>
  <c r="V700" i="34"/>
  <c r="X700" i="34"/>
  <c r="Y700" i="34"/>
  <c r="N701" i="34"/>
  <c r="R701" i="34"/>
  <c r="S701" i="34"/>
  <c r="T701" i="34"/>
  <c r="V701" i="34"/>
  <c r="X701" i="34"/>
  <c r="Y701" i="34"/>
  <c r="N702" i="34"/>
  <c r="R702" i="34"/>
  <c r="S702" i="34"/>
  <c r="T702" i="34"/>
  <c r="V702" i="34"/>
  <c r="X702" i="34"/>
  <c r="Y702" i="34"/>
  <c r="N703" i="34"/>
  <c r="R703" i="34"/>
  <c r="S703" i="34"/>
  <c r="T703" i="34"/>
  <c r="V703" i="34"/>
  <c r="X703" i="34"/>
  <c r="Y703" i="34"/>
  <c r="N704" i="34"/>
  <c r="R704" i="34"/>
  <c r="S704" i="34"/>
  <c r="T704" i="34"/>
  <c r="V704" i="34"/>
  <c r="X704" i="34"/>
  <c r="Y704" i="34"/>
  <c r="N705" i="34"/>
  <c r="R705" i="34"/>
  <c r="S705" i="34"/>
  <c r="T705" i="34"/>
  <c r="V705" i="34"/>
  <c r="X705" i="34"/>
  <c r="Y705" i="34"/>
  <c r="N706" i="34"/>
  <c r="R706" i="34"/>
  <c r="S706" i="34"/>
  <c r="T706" i="34"/>
  <c r="V706" i="34"/>
  <c r="X706" i="34"/>
  <c r="Y706" i="34"/>
  <c r="N707" i="34"/>
  <c r="R707" i="34"/>
  <c r="S707" i="34"/>
  <c r="T707" i="34"/>
  <c r="V707" i="34"/>
  <c r="X707" i="34"/>
  <c r="Y707" i="34"/>
  <c r="N708" i="34"/>
  <c r="R708" i="34"/>
  <c r="S708" i="34"/>
  <c r="T708" i="34"/>
  <c r="V708" i="34"/>
  <c r="X708" i="34"/>
  <c r="Y708" i="34"/>
  <c r="N709" i="34"/>
  <c r="R709" i="34"/>
  <c r="S709" i="34"/>
  <c r="T709" i="34"/>
  <c r="V709" i="34"/>
  <c r="X709" i="34"/>
  <c r="Y709" i="34"/>
  <c r="N710" i="34"/>
  <c r="R710" i="34"/>
  <c r="S710" i="34"/>
  <c r="T710" i="34"/>
  <c r="V710" i="34"/>
  <c r="X710" i="34"/>
  <c r="Y710" i="34"/>
  <c r="N711" i="34"/>
  <c r="R711" i="34"/>
  <c r="S711" i="34"/>
  <c r="T711" i="34"/>
  <c r="V711" i="34"/>
  <c r="X711" i="34"/>
  <c r="Y711" i="34"/>
  <c r="N712" i="34"/>
  <c r="R712" i="34"/>
  <c r="S712" i="34"/>
  <c r="T712" i="34"/>
  <c r="V712" i="34"/>
  <c r="X712" i="34"/>
  <c r="Y712" i="34"/>
  <c r="N713" i="34"/>
  <c r="R713" i="34"/>
  <c r="S713" i="34"/>
  <c r="T713" i="34"/>
  <c r="V713" i="34"/>
  <c r="X713" i="34"/>
  <c r="Y713" i="34"/>
  <c r="N714" i="34"/>
  <c r="R714" i="34"/>
  <c r="S714" i="34"/>
  <c r="T714" i="34"/>
  <c r="V714" i="34"/>
  <c r="X714" i="34"/>
  <c r="Y714" i="34"/>
  <c r="N715" i="34"/>
  <c r="R715" i="34"/>
  <c r="S715" i="34"/>
  <c r="T715" i="34"/>
  <c r="V715" i="34"/>
  <c r="X715" i="34"/>
  <c r="Y715" i="34"/>
  <c r="N716" i="34"/>
  <c r="R716" i="34"/>
  <c r="S716" i="34"/>
  <c r="T716" i="34"/>
  <c r="V716" i="34"/>
  <c r="X716" i="34"/>
  <c r="Y716" i="34"/>
  <c r="N717" i="34"/>
  <c r="R717" i="34"/>
  <c r="S717" i="34"/>
  <c r="T717" i="34"/>
  <c r="V717" i="34"/>
  <c r="X717" i="34"/>
  <c r="Y717" i="34"/>
  <c r="N718" i="34"/>
  <c r="R718" i="34"/>
  <c r="S718" i="34"/>
  <c r="T718" i="34"/>
  <c r="V718" i="34"/>
  <c r="X718" i="34"/>
  <c r="Y718" i="34"/>
  <c r="N719" i="34"/>
  <c r="R719" i="34"/>
  <c r="S719" i="34"/>
  <c r="T719" i="34"/>
  <c r="V719" i="34"/>
  <c r="X719" i="34"/>
  <c r="Y719" i="34"/>
  <c r="N720" i="34"/>
  <c r="R720" i="34"/>
  <c r="S720" i="34"/>
  <c r="T720" i="34"/>
  <c r="V720" i="34"/>
  <c r="X720" i="34"/>
  <c r="Y720" i="34"/>
  <c r="N721" i="34"/>
  <c r="R721" i="34"/>
  <c r="S721" i="34"/>
  <c r="T721" i="34"/>
  <c r="V721" i="34"/>
  <c r="X721" i="34"/>
  <c r="Y721" i="34"/>
  <c r="N722" i="34"/>
  <c r="R722" i="34"/>
  <c r="S722" i="34"/>
  <c r="T722" i="34"/>
  <c r="V722" i="34"/>
  <c r="X722" i="34"/>
  <c r="Y722" i="34"/>
  <c r="N723" i="34"/>
  <c r="R723" i="34"/>
  <c r="S723" i="34"/>
  <c r="T723" i="34"/>
  <c r="V723" i="34"/>
  <c r="X723" i="34"/>
  <c r="Y723" i="34"/>
  <c r="N724" i="34"/>
  <c r="R724" i="34"/>
  <c r="S724" i="34"/>
  <c r="T724" i="34"/>
  <c r="V724" i="34"/>
  <c r="X724" i="34"/>
  <c r="Y724" i="34"/>
  <c r="N725" i="34"/>
  <c r="R725" i="34"/>
  <c r="S725" i="34"/>
  <c r="T725" i="34"/>
  <c r="V725" i="34"/>
  <c r="X725" i="34"/>
  <c r="Y725" i="34"/>
  <c r="N726" i="34"/>
  <c r="R726" i="34"/>
  <c r="S726" i="34"/>
  <c r="T726" i="34"/>
  <c r="V726" i="34"/>
  <c r="X726" i="34"/>
  <c r="Y726" i="34"/>
  <c r="N727" i="34"/>
  <c r="R727" i="34"/>
  <c r="S727" i="34"/>
  <c r="T727" i="34"/>
  <c r="V727" i="34"/>
  <c r="X727" i="34"/>
  <c r="Y727" i="34"/>
  <c r="N728" i="34"/>
  <c r="R728" i="34"/>
  <c r="S728" i="34"/>
  <c r="T728" i="34"/>
  <c r="V728" i="34"/>
  <c r="X728" i="34"/>
  <c r="Y728" i="34"/>
  <c r="N729" i="34"/>
  <c r="R729" i="34"/>
  <c r="S729" i="34"/>
  <c r="T729" i="34"/>
  <c r="V729" i="34"/>
  <c r="X729" i="34"/>
  <c r="Y729" i="34"/>
  <c r="N730" i="34"/>
  <c r="R730" i="34"/>
  <c r="S730" i="34"/>
  <c r="T730" i="34"/>
  <c r="V730" i="34"/>
  <c r="X730" i="34"/>
  <c r="Y730" i="34"/>
  <c r="N731" i="34"/>
  <c r="R731" i="34"/>
  <c r="S731" i="34"/>
  <c r="T731" i="34"/>
  <c r="V731" i="34"/>
  <c r="X731" i="34"/>
  <c r="Y731" i="34"/>
  <c r="N732" i="34"/>
  <c r="R732" i="34"/>
  <c r="S732" i="34"/>
  <c r="T732" i="34"/>
  <c r="V732" i="34"/>
  <c r="X732" i="34"/>
  <c r="Y732" i="34"/>
  <c r="N733" i="34"/>
  <c r="R733" i="34"/>
  <c r="S733" i="34"/>
  <c r="T733" i="34"/>
  <c r="V733" i="34"/>
  <c r="X733" i="34"/>
  <c r="Y733" i="34"/>
  <c r="N734" i="34"/>
  <c r="R734" i="34"/>
  <c r="S734" i="34"/>
  <c r="T734" i="34"/>
  <c r="V734" i="34"/>
  <c r="X734" i="34"/>
  <c r="Y734" i="34"/>
  <c r="N735" i="34"/>
  <c r="R735" i="34"/>
  <c r="S735" i="34"/>
  <c r="T735" i="34"/>
  <c r="V735" i="34"/>
  <c r="X735" i="34"/>
  <c r="Y735" i="34"/>
  <c r="N736" i="34"/>
  <c r="R736" i="34"/>
  <c r="S736" i="34"/>
  <c r="T736" i="34"/>
  <c r="V736" i="34"/>
  <c r="X736" i="34"/>
  <c r="Y736" i="34"/>
  <c r="N737" i="34"/>
  <c r="R737" i="34"/>
  <c r="S737" i="34"/>
  <c r="T737" i="34"/>
  <c r="V737" i="34"/>
  <c r="X737" i="34"/>
  <c r="Y737" i="34"/>
  <c r="N738" i="34"/>
  <c r="R738" i="34"/>
  <c r="S738" i="34"/>
  <c r="T738" i="34"/>
  <c r="V738" i="34"/>
  <c r="X738" i="34"/>
  <c r="Y738" i="34"/>
  <c r="N739" i="34"/>
  <c r="R739" i="34"/>
  <c r="S739" i="34"/>
  <c r="T739" i="34"/>
  <c r="V739" i="34"/>
  <c r="X739" i="34"/>
  <c r="Y739" i="34"/>
  <c r="N740" i="34"/>
  <c r="R740" i="34"/>
  <c r="S740" i="34"/>
  <c r="T740" i="34"/>
  <c r="V740" i="34"/>
  <c r="X740" i="34"/>
  <c r="Y740" i="34"/>
  <c r="N741" i="34"/>
  <c r="R741" i="34"/>
  <c r="S741" i="34"/>
  <c r="T741" i="34"/>
  <c r="V741" i="34"/>
  <c r="X741" i="34"/>
  <c r="Y741" i="34"/>
  <c r="N742" i="34"/>
  <c r="R742" i="34"/>
  <c r="S742" i="34"/>
  <c r="T742" i="34"/>
  <c r="V742" i="34"/>
  <c r="X742" i="34"/>
  <c r="Y742" i="34"/>
  <c r="N743" i="34"/>
  <c r="R743" i="34"/>
  <c r="S743" i="34"/>
  <c r="T743" i="34"/>
  <c r="V743" i="34"/>
  <c r="X743" i="34"/>
  <c r="Y743" i="34"/>
  <c r="N744" i="34"/>
  <c r="R744" i="34"/>
  <c r="S744" i="34"/>
  <c r="T744" i="34"/>
  <c r="V744" i="34"/>
  <c r="X744" i="34"/>
  <c r="Y744" i="34"/>
  <c r="N745" i="34"/>
  <c r="R745" i="34"/>
  <c r="S745" i="34"/>
  <c r="T745" i="34"/>
  <c r="V745" i="34"/>
  <c r="X745" i="34"/>
  <c r="Y745" i="34"/>
  <c r="N746" i="34"/>
  <c r="R746" i="34"/>
  <c r="S746" i="34"/>
  <c r="T746" i="34"/>
  <c r="V746" i="34"/>
  <c r="X746" i="34"/>
  <c r="Y746" i="34"/>
  <c r="N747" i="34"/>
  <c r="R747" i="34"/>
  <c r="S747" i="34"/>
  <c r="T747" i="34"/>
  <c r="V747" i="34"/>
  <c r="X747" i="34"/>
  <c r="Y747" i="34"/>
  <c r="N748" i="34"/>
  <c r="R748" i="34"/>
  <c r="S748" i="34"/>
  <c r="T748" i="34"/>
  <c r="V748" i="34"/>
  <c r="X748" i="34"/>
  <c r="Y748" i="34"/>
  <c r="N749" i="34"/>
  <c r="R749" i="34"/>
  <c r="S749" i="34"/>
  <c r="T749" i="34"/>
  <c r="V749" i="34"/>
  <c r="X749" i="34"/>
  <c r="Y749" i="34"/>
  <c r="N750" i="34"/>
  <c r="R750" i="34"/>
  <c r="S750" i="34"/>
  <c r="T750" i="34"/>
  <c r="V750" i="34"/>
  <c r="X750" i="34"/>
  <c r="Y750" i="34"/>
  <c r="N751" i="34"/>
  <c r="R751" i="34"/>
  <c r="S751" i="34"/>
  <c r="T751" i="34"/>
  <c r="V751" i="34"/>
  <c r="X751" i="34"/>
  <c r="Y751" i="34"/>
  <c r="N752" i="34"/>
  <c r="R752" i="34"/>
  <c r="S752" i="34"/>
  <c r="T752" i="34"/>
  <c r="V752" i="34"/>
  <c r="X752" i="34"/>
  <c r="Y752" i="34"/>
  <c r="N753" i="34"/>
  <c r="R753" i="34"/>
  <c r="S753" i="34"/>
  <c r="T753" i="34"/>
  <c r="V753" i="34"/>
  <c r="X753" i="34"/>
  <c r="Y753" i="34"/>
  <c r="N754" i="34"/>
  <c r="R754" i="34"/>
  <c r="S754" i="34"/>
  <c r="T754" i="34"/>
  <c r="V754" i="34"/>
  <c r="X754" i="34"/>
  <c r="Y754" i="34"/>
  <c r="N755" i="34"/>
  <c r="R755" i="34"/>
  <c r="S755" i="34"/>
  <c r="T755" i="34"/>
  <c r="V755" i="34"/>
  <c r="X755" i="34"/>
  <c r="Y755" i="34"/>
  <c r="N756" i="34"/>
  <c r="R756" i="34"/>
  <c r="S756" i="34"/>
  <c r="T756" i="34"/>
  <c r="V756" i="34"/>
  <c r="X756" i="34"/>
  <c r="Y756" i="34"/>
  <c r="N757" i="34"/>
  <c r="R757" i="34"/>
  <c r="S757" i="34"/>
  <c r="T757" i="34"/>
  <c r="V757" i="34"/>
  <c r="X757" i="34"/>
  <c r="Y757" i="34"/>
  <c r="N758" i="34"/>
  <c r="R758" i="34"/>
  <c r="S758" i="34"/>
  <c r="T758" i="34"/>
  <c r="V758" i="34"/>
  <c r="X758" i="34"/>
  <c r="Y758" i="34"/>
  <c r="N759" i="34"/>
  <c r="R759" i="34"/>
  <c r="S759" i="34"/>
  <c r="T759" i="34"/>
  <c r="V759" i="34"/>
  <c r="X759" i="34"/>
  <c r="Y759" i="34"/>
  <c r="N760" i="34"/>
  <c r="R760" i="34"/>
  <c r="S760" i="34"/>
  <c r="T760" i="34"/>
  <c r="V760" i="34"/>
  <c r="X760" i="34"/>
  <c r="Y760" i="34"/>
  <c r="N761" i="34"/>
  <c r="R761" i="34"/>
  <c r="S761" i="34"/>
  <c r="T761" i="34"/>
  <c r="V761" i="34"/>
  <c r="X761" i="34"/>
  <c r="Y761" i="34"/>
  <c r="N762" i="34"/>
  <c r="R762" i="34"/>
  <c r="S762" i="34"/>
  <c r="T762" i="34"/>
  <c r="V762" i="34"/>
  <c r="X762" i="34"/>
  <c r="Y762" i="34"/>
  <c r="N763" i="34"/>
  <c r="R763" i="34"/>
  <c r="S763" i="34"/>
  <c r="T763" i="34"/>
  <c r="V763" i="34"/>
  <c r="X763" i="34"/>
  <c r="Y763" i="34"/>
  <c r="N764" i="34"/>
  <c r="R764" i="34"/>
  <c r="S764" i="34"/>
  <c r="T764" i="34"/>
  <c r="V764" i="34"/>
  <c r="X764" i="34"/>
  <c r="Y764" i="34"/>
  <c r="N765" i="34"/>
  <c r="R765" i="34"/>
  <c r="S765" i="34"/>
  <c r="T765" i="34"/>
  <c r="V765" i="34"/>
  <c r="X765" i="34"/>
  <c r="Y765" i="34"/>
  <c r="N766" i="34"/>
  <c r="R766" i="34"/>
  <c r="S766" i="34"/>
  <c r="T766" i="34"/>
  <c r="V766" i="34"/>
  <c r="X766" i="34"/>
  <c r="Y766" i="34"/>
  <c r="N767" i="34"/>
  <c r="R767" i="34"/>
  <c r="S767" i="34"/>
  <c r="T767" i="34"/>
  <c r="V767" i="34"/>
  <c r="X767" i="34"/>
  <c r="Y767" i="34"/>
  <c r="N768" i="34"/>
  <c r="R768" i="34"/>
  <c r="S768" i="34"/>
  <c r="T768" i="34"/>
  <c r="V768" i="34"/>
  <c r="X768" i="34"/>
  <c r="Y768" i="34"/>
  <c r="N769" i="34"/>
  <c r="R769" i="34"/>
  <c r="S769" i="34"/>
  <c r="T769" i="34"/>
  <c r="V769" i="34"/>
  <c r="X769" i="34"/>
  <c r="Y769" i="34"/>
  <c r="N770" i="34"/>
  <c r="R770" i="34"/>
  <c r="S770" i="34"/>
  <c r="T770" i="34"/>
  <c r="V770" i="34"/>
  <c r="X770" i="34"/>
  <c r="Y770" i="34"/>
  <c r="N771" i="34"/>
  <c r="R771" i="34"/>
  <c r="S771" i="34"/>
  <c r="T771" i="34"/>
  <c r="V771" i="34"/>
  <c r="X771" i="34"/>
  <c r="Y771" i="34"/>
  <c r="N772" i="34"/>
  <c r="R772" i="34"/>
  <c r="S772" i="34"/>
  <c r="T772" i="34"/>
  <c r="V772" i="34"/>
  <c r="X772" i="34"/>
  <c r="Y772" i="34"/>
  <c r="N773" i="34"/>
  <c r="R773" i="34"/>
  <c r="S773" i="34"/>
  <c r="T773" i="34"/>
  <c r="V773" i="34"/>
  <c r="X773" i="34"/>
  <c r="Y773" i="34"/>
  <c r="N774" i="34"/>
  <c r="R774" i="34"/>
  <c r="S774" i="34"/>
  <c r="T774" i="34"/>
  <c r="V774" i="34"/>
  <c r="X774" i="34"/>
  <c r="Y774" i="34"/>
  <c r="N775" i="34"/>
  <c r="R775" i="34"/>
  <c r="S775" i="34"/>
  <c r="T775" i="34"/>
  <c r="V775" i="34"/>
  <c r="X775" i="34"/>
  <c r="Y775" i="34"/>
  <c r="N776" i="34"/>
  <c r="R776" i="34"/>
  <c r="S776" i="34"/>
  <c r="T776" i="34"/>
  <c r="V776" i="34"/>
  <c r="X776" i="34"/>
  <c r="Y776" i="34"/>
  <c r="N777" i="34"/>
  <c r="R777" i="34"/>
  <c r="S777" i="34"/>
  <c r="T777" i="34"/>
  <c r="V777" i="34"/>
  <c r="X777" i="34"/>
  <c r="Y777" i="34"/>
  <c r="N778" i="34"/>
  <c r="R778" i="34"/>
  <c r="S778" i="34"/>
  <c r="T778" i="34"/>
  <c r="V778" i="34"/>
  <c r="X778" i="34"/>
  <c r="Y778" i="34"/>
  <c r="N779" i="34"/>
  <c r="R779" i="34"/>
  <c r="S779" i="34"/>
  <c r="T779" i="34"/>
  <c r="V779" i="34"/>
  <c r="X779" i="34"/>
  <c r="Y779" i="34"/>
  <c r="N780" i="34"/>
  <c r="R780" i="34"/>
  <c r="S780" i="34"/>
  <c r="T780" i="34"/>
  <c r="V780" i="34"/>
  <c r="X780" i="34"/>
  <c r="Y780" i="34"/>
  <c r="N781" i="34"/>
  <c r="R781" i="34"/>
  <c r="S781" i="34"/>
  <c r="T781" i="34"/>
  <c r="V781" i="34"/>
  <c r="X781" i="34"/>
  <c r="Y781" i="34"/>
  <c r="N782" i="34"/>
  <c r="R782" i="34"/>
  <c r="S782" i="34"/>
  <c r="T782" i="34"/>
  <c r="V782" i="34"/>
  <c r="X782" i="34"/>
  <c r="Y782" i="34"/>
  <c r="N783" i="34"/>
  <c r="R783" i="34"/>
  <c r="S783" i="34"/>
  <c r="T783" i="34"/>
  <c r="V783" i="34"/>
  <c r="X783" i="34"/>
  <c r="Y783" i="34"/>
  <c r="N784" i="34"/>
  <c r="R784" i="34"/>
  <c r="S784" i="34"/>
  <c r="T784" i="34"/>
  <c r="V784" i="34"/>
  <c r="X784" i="34"/>
  <c r="Y784" i="34"/>
  <c r="N785" i="34"/>
  <c r="R785" i="34"/>
  <c r="S785" i="34"/>
  <c r="T785" i="34"/>
  <c r="V785" i="34"/>
  <c r="X785" i="34"/>
  <c r="Y785" i="34"/>
  <c r="N786" i="34"/>
  <c r="R786" i="34"/>
  <c r="S786" i="34"/>
  <c r="T786" i="34"/>
  <c r="V786" i="34"/>
  <c r="X786" i="34"/>
  <c r="Y786" i="34"/>
  <c r="N787" i="34"/>
  <c r="R787" i="34"/>
  <c r="S787" i="34"/>
  <c r="T787" i="34"/>
  <c r="V787" i="34"/>
  <c r="X787" i="34"/>
  <c r="Y787" i="34"/>
  <c r="N788" i="34"/>
  <c r="R788" i="34"/>
  <c r="S788" i="34"/>
  <c r="T788" i="34"/>
  <c r="V788" i="34"/>
  <c r="X788" i="34"/>
  <c r="Y788" i="34"/>
  <c r="N789" i="34"/>
  <c r="R789" i="34"/>
  <c r="S789" i="34"/>
  <c r="T789" i="34"/>
  <c r="V789" i="34"/>
  <c r="X789" i="34"/>
  <c r="Y789" i="34"/>
  <c r="N790" i="34"/>
  <c r="R790" i="34"/>
  <c r="S790" i="34"/>
  <c r="T790" i="34"/>
  <c r="V790" i="34"/>
  <c r="X790" i="34"/>
  <c r="Y790" i="34"/>
  <c r="N791" i="34"/>
  <c r="R791" i="34"/>
  <c r="S791" i="34"/>
  <c r="T791" i="34"/>
  <c r="V791" i="34"/>
  <c r="X791" i="34"/>
  <c r="Y791" i="34"/>
  <c r="N792" i="34"/>
  <c r="R792" i="34"/>
  <c r="S792" i="34"/>
  <c r="T792" i="34"/>
  <c r="V792" i="34"/>
  <c r="X792" i="34"/>
  <c r="Y792" i="34"/>
  <c r="N793" i="34"/>
  <c r="R793" i="34"/>
  <c r="S793" i="34"/>
  <c r="T793" i="34"/>
  <c r="V793" i="34"/>
  <c r="X793" i="34"/>
  <c r="Y793" i="34"/>
  <c r="N794" i="34"/>
  <c r="R794" i="34"/>
  <c r="S794" i="34"/>
  <c r="T794" i="34"/>
  <c r="V794" i="34"/>
  <c r="X794" i="34"/>
  <c r="Y794" i="34"/>
  <c r="N795" i="34"/>
  <c r="R795" i="34"/>
  <c r="S795" i="34"/>
  <c r="T795" i="34"/>
  <c r="V795" i="34"/>
  <c r="X795" i="34"/>
  <c r="Y795" i="34"/>
  <c r="N796" i="34"/>
  <c r="R796" i="34"/>
  <c r="S796" i="34"/>
  <c r="T796" i="34"/>
  <c r="V796" i="34"/>
  <c r="X796" i="34"/>
  <c r="Y796" i="34"/>
  <c r="N797" i="34"/>
  <c r="R797" i="34"/>
  <c r="S797" i="34"/>
  <c r="T797" i="34"/>
  <c r="V797" i="34"/>
  <c r="X797" i="34"/>
  <c r="Y797" i="34"/>
  <c r="N798" i="34"/>
  <c r="R798" i="34"/>
  <c r="S798" i="34"/>
  <c r="T798" i="34"/>
  <c r="V798" i="34"/>
  <c r="X798" i="34"/>
  <c r="Y798" i="34"/>
  <c r="N799" i="34"/>
  <c r="R799" i="34"/>
  <c r="S799" i="34"/>
  <c r="T799" i="34"/>
  <c r="V799" i="34"/>
  <c r="X799" i="34"/>
  <c r="Y799" i="34"/>
  <c r="N800" i="34"/>
  <c r="R800" i="34"/>
  <c r="S800" i="34"/>
  <c r="T800" i="34"/>
  <c r="V800" i="34"/>
  <c r="X800" i="34"/>
  <c r="Y800" i="34"/>
  <c r="N801" i="34"/>
  <c r="R801" i="34"/>
  <c r="S801" i="34"/>
  <c r="T801" i="34"/>
  <c r="V801" i="34"/>
  <c r="X801" i="34"/>
  <c r="Y801" i="34"/>
  <c r="N802" i="34"/>
  <c r="R802" i="34"/>
  <c r="S802" i="34"/>
  <c r="T802" i="34"/>
  <c r="V802" i="34"/>
  <c r="X802" i="34"/>
  <c r="Y802" i="34"/>
  <c r="N803" i="34"/>
  <c r="R803" i="34"/>
  <c r="S803" i="34"/>
  <c r="T803" i="34"/>
  <c r="V803" i="34"/>
  <c r="X803" i="34"/>
  <c r="Y803" i="34"/>
  <c r="N804" i="34"/>
  <c r="R804" i="34"/>
  <c r="S804" i="34"/>
  <c r="T804" i="34"/>
  <c r="V804" i="34"/>
  <c r="X804" i="34"/>
  <c r="Y804" i="34"/>
  <c r="N805" i="34"/>
  <c r="R805" i="34"/>
  <c r="S805" i="34"/>
  <c r="T805" i="34"/>
  <c r="V805" i="34"/>
  <c r="X805" i="34"/>
  <c r="Y805" i="34"/>
  <c r="N806" i="34"/>
  <c r="R806" i="34"/>
  <c r="S806" i="34"/>
  <c r="T806" i="34"/>
  <c r="V806" i="34"/>
  <c r="X806" i="34"/>
  <c r="Y806" i="34"/>
  <c r="N807" i="34"/>
  <c r="R807" i="34"/>
  <c r="S807" i="34"/>
  <c r="T807" i="34"/>
  <c r="V807" i="34"/>
  <c r="X807" i="34"/>
  <c r="Y807" i="34"/>
  <c r="N808" i="34"/>
  <c r="R808" i="34"/>
  <c r="S808" i="34"/>
  <c r="T808" i="34"/>
  <c r="V808" i="34"/>
  <c r="X808" i="34"/>
  <c r="Y808" i="34"/>
  <c r="N809" i="34"/>
  <c r="R809" i="34"/>
  <c r="S809" i="34"/>
  <c r="T809" i="34"/>
  <c r="V809" i="34"/>
  <c r="X809" i="34"/>
  <c r="Y809" i="34"/>
  <c r="N810" i="34"/>
  <c r="R810" i="34"/>
  <c r="S810" i="34"/>
  <c r="T810" i="34"/>
  <c r="V810" i="34"/>
  <c r="X810" i="34"/>
  <c r="Y810" i="34"/>
  <c r="N811" i="34"/>
  <c r="R811" i="34"/>
  <c r="S811" i="34"/>
  <c r="T811" i="34"/>
  <c r="V811" i="34"/>
  <c r="X811" i="34"/>
  <c r="Y811" i="34"/>
  <c r="N812" i="34"/>
  <c r="R812" i="34"/>
  <c r="S812" i="34"/>
  <c r="T812" i="34"/>
  <c r="V812" i="34"/>
  <c r="X812" i="34"/>
  <c r="Y812" i="34"/>
  <c r="N813" i="34"/>
  <c r="R813" i="34"/>
  <c r="S813" i="34"/>
  <c r="T813" i="34"/>
  <c r="V813" i="34"/>
  <c r="X813" i="34"/>
  <c r="Y813" i="34"/>
  <c r="N814" i="34"/>
  <c r="R814" i="34"/>
  <c r="S814" i="34"/>
  <c r="T814" i="34"/>
  <c r="V814" i="34"/>
  <c r="X814" i="34"/>
  <c r="Y814" i="34"/>
  <c r="N815" i="34"/>
  <c r="R815" i="34"/>
  <c r="S815" i="34"/>
  <c r="T815" i="34"/>
  <c r="V815" i="34"/>
  <c r="X815" i="34"/>
  <c r="Y815" i="34"/>
  <c r="N816" i="34"/>
  <c r="R816" i="34"/>
  <c r="S816" i="34"/>
  <c r="T816" i="34"/>
  <c r="V816" i="34"/>
  <c r="X816" i="34"/>
  <c r="Y816" i="34"/>
  <c r="N817" i="34"/>
  <c r="R817" i="34"/>
  <c r="S817" i="34"/>
  <c r="T817" i="34"/>
  <c r="V817" i="34"/>
  <c r="X817" i="34"/>
  <c r="Y817" i="34"/>
  <c r="N818" i="34"/>
  <c r="R818" i="34"/>
  <c r="S818" i="34"/>
  <c r="T818" i="34"/>
  <c r="V818" i="34"/>
  <c r="X818" i="34"/>
  <c r="Y818" i="34"/>
  <c r="N819" i="34"/>
  <c r="R819" i="34"/>
  <c r="S819" i="34"/>
  <c r="T819" i="34"/>
  <c r="V819" i="34"/>
  <c r="X819" i="34"/>
  <c r="Y819" i="34"/>
  <c r="N820" i="34"/>
  <c r="R820" i="34"/>
  <c r="S820" i="34"/>
  <c r="T820" i="34"/>
  <c r="V820" i="34"/>
  <c r="X820" i="34"/>
  <c r="Y820" i="34"/>
  <c r="N821" i="34"/>
  <c r="R821" i="34"/>
  <c r="S821" i="34"/>
  <c r="T821" i="34"/>
  <c r="V821" i="34"/>
  <c r="X821" i="34"/>
  <c r="Y821" i="34"/>
  <c r="N822" i="34"/>
  <c r="R822" i="34"/>
  <c r="S822" i="34"/>
  <c r="T822" i="34"/>
  <c r="V822" i="34"/>
  <c r="X822" i="34"/>
  <c r="Y822" i="34"/>
  <c r="N823" i="34"/>
  <c r="R823" i="34"/>
  <c r="S823" i="34"/>
  <c r="T823" i="34"/>
  <c r="V823" i="34"/>
  <c r="X823" i="34"/>
  <c r="Y823" i="34"/>
  <c r="N824" i="34"/>
  <c r="R824" i="34"/>
  <c r="S824" i="34"/>
  <c r="T824" i="34"/>
  <c r="V824" i="34"/>
  <c r="X824" i="34"/>
  <c r="Y824" i="34"/>
  <c r="N825" i="34"/>
  <c r="R825" i="34"/>
  <c r="S825" i="34"/>
  <c r="T825" i="34"/>
  <c r="V825" i="34"/>
  <c r="X825" i="34"/>
  <c r="Y825" i="34"/>
  <c r="N826" i="34"/>
  <c r="R826" i="34"/>
  <c r="S826" i="34"/>
  <c r="T826" i="34"/>
  <c r="V826" i="34"/>
  <c r="X826" i="34"/>
  <c r="Y826" i="34"/>
  <c r="N827" i="34"/>
  <c r="R827" i="34"/>
  <c r="S827" i="34"/>
  <c r="T827" i="34"/>
  <c r="V827" i="34"/>
  <c r="X827" i="34"/>
  <c r="Y827" i="34"/>
  <c r="N828" i="34"/>
  <c r="R828" i="34"/>
  <c r="S828" i="34"/>
  <c r="T828" i="34"/>
  <c r="V828" i="34"/>
  <c r="X828" i="34"/>
  <c r="Y828" i="34"/>
  <c r="N829" i="34"/>
  <c r="R829" i="34"/>
  <c r="S829" i="34"/>
  <c r="T829" i="34"/>
  <c r="V829" i="34"/>
  <c r="X829" i="34"/>
  <c r="Y829" i="34"/>
  <c r="N830" i="34"/>
  <c r="R830" i="34"/>
  <c r="S830" i="34"/>
  <c r="T830" i="34"/>
  <c r="V830" i="34"/>
  <c r="X830" i="34"/>
  <c r="Y830" i="34"/>
  <c r="N831" i="34"/>
  <c r="R831" i="34"/>
  <c r="S831" i="34"/>
  <c r="T831" i="34"/>
  <c r="V831" i="34"/>
  <c r="X831" i="34"/>
  <c r="Y831" i="34"/>
  <c r="N832" i="34"/>
  <c r="R832" i="34"/>
  <c r="S832" i="34"/>
  <c r="T832" i="34"/>
  <c r="V832" i="34"/>
  <c r="X832" i="34"/>
  <c r="Y832" i="34"/>
  <c r="N833" i="34"/>
  <c r="R833" i="34"/>
  <c r="S833" i="34"/>
  <c r="T833" i="34"/>
  <c r="V833" i="34"/>
  <c r="X833" i="34"/>
  <c r="Y833" i="34"/>
  <c r="N834" i="34"/>
  <c r="R834" i="34"/>
  <c r="S834" i="34"/>
  <c r="T834" i="34"/>
  <c r="V834" i="34"/>
  <c r="X834" i="34"/>
  <c r="Y834" i="34"/>
  <c r="N835" i="34"/>
  <c r="R835" i="34"/>
  <c r="S835" i="34"/>
  <c r="T835" i="34"/>
  <c r="V835" i="34"/>
  <c r="X835" i="34"/>
  <c r="Y835" i="34"/>
  <c r="N836" i="34"/>
  <c r="R836" i="34"/>
  <c r="S836" i="34"/>
  <c r="T836" i="34"/>
  <c r="V836" i="34"/>
  <c r="X836" i="34"/>
  <c r="Y836" i="34"/>
  <c r="N837" i="34"/>
  <c r="R837" i="34"/>
  <c r="S837" i="34"/>
  <c r="T837" i="34"/>
  <c r="V837" i="34"/>
  <c r="X837" i="34"/>
  <c r="Y837" i="34"/>
  <c r="N838" i="34"/>
  <c r="R838" i="34"/>
  <c r="S838" i="34"/>
  <c r="T838" i="34"/>
  <c r="V838" i="34"/>
  <c r="X838" i="34"/>
  <c r="Y838" i="34"/>
  <c r="N839" i="34"/>
  <c r="R839" i="34"/>
  <c r="S839" i="34"/>
  <c r="T839" i="34"/>
  <c r="V839" i="34"/>
  <c r="X839" i="34"/>
  <c r="Y839" i="34"/>
  <c r="N840" i="34"/>
  <c r="R840" i="34"/>
  <c r="S840" i="34"/>
  <c r="T840" i="34"/>
  <c r="V840" i="34"/>
  <c r="X840" i="34"/>
  <c r="Y840" i="34"/>
  <c r="N841" i="34"/>
  <c r="R841" i="34"/>
  <c r="S841" i="34"/>
  <c r="T841" i="34"/>
  <c r="V841" i="34"/>
  <c r="X841" i="34"/>
  <c r="Y841" i="34"/>
  <c r="N842" i="34"/>
  <c r="R842" i="34"/>
  <c r="S842" i="34"/>
  <c r="T842" i="34"/>
  <c r="V842" i="34"/>
  <c r="X842" i="34"/>
  <c r="Y842" i="34"/>
  <c r="N843" i="34"/>
  <c r="R843" i="34"/>
  <c r="S843" i="34"/>
  <c r="T843" i="34"/>
  <c r="V843" i="34"/>
  <c r="X843" i="34"/>
  <c r="Y843" i="34"/>
  <c r="N844" i="34"/>
  <c r="R844" i="34"/>
  <c r="S844" i="34"/>
  <c r="T844" i="34"/>
  <c r="V844" i="34"/>
  <c r="X844" i="34"/>
  <c r="Y844" i="34"/>
  <c r="N845" i="34"/>
  <c r="R845" i="34"/>
  <c r="S845" i="34"/>
  <c r="T845" i="34"/>
  <c r="V845" i="34"/>
  <c r="X845" i="34"/>
  <c r="Y845" i="34"/>
  <c r="N846" i="34"/>
  <c r="R846" i="34"/>
  <c r="S846" i="34"/>
  <c r="T846" i="34"/>
  <c r="V846" i="34"/>
  <c r="X846" i="34"/>
  <c r="Y846" i="34"/>
  <c r="N847" i="34"/>
  <c r="R847" i="34"/>
  <c r="S847" i="34"/>
  <c r="T847" i="34"/>
  <c r="V847" i="34"/>
  <c r="X847" i="34"/>
  <c r="Y847" i="34"/>
  <c r="N848" i="34"/>
  <c r="R848" i="34"/>
  <c r="S848" i="34"/>
  <c r="T848" i="34"/>
  <c r="V848" i="34"/>
  <c r="X848" i="34"/>
  <c r="Y848" i="34"/>
  <c r="N849" i="34"/>
  <c r="R849" i="34"/>
  <c r="S849" i="34"/>
  <c r="T849" i="34"/>
  <c r="V849" i="34"/>
  <c r="X849" i="34"/>
  <c r="Y849" i="34"/>
  <c r="N850" i="34"/>
  <c r="R850" i="34"/>
  <c r="S850" i="34"/>
  <c r="T850" i="34"/>
  <c r="V850" i="34"/>
  <c r="X850" i="34"/>
  <c r="Y850" i="34"/>
  <c r="N851" i="34"/>
  <c r="R851" i="34"/>
  <c r="S851" i="34"/>
  <c r="T851" i="34"/>
  <c r="V851" i="34"/>
  <c r="X851" i="34"/>
  <c r="Y851" i="34"/>
  <c r="N852" i="34"/>
  <c r="R852" i="34"/>
  <c r="S852" i="34"/>
  <c r="T852" i="34"/>
  <c r="V852" i="34"/>
  <c r="X852" i="34"/>
  <c r="Y852" i="34"/>
  <c r="N853" i="34"/>
  <c r="R853" i="34"/>
  <c r="S853" i="34"/>
  <c r="T853" i="34"/>
  <c r="V853" i="34"/>
  <c r="X853" i="34"/>
  <c r="Y853" i="34"/>
  <c r="N854" i="34"/>
  <c r="R854" i="34"/>
  <c r="S854" i="34"/>
  <c r="T854" i="34"/>
  <c r="V854" i="34"/>
  <c r="X854" i="34"/>
  <c r="Y854" i="34"/>
  <c r="N855" i="34"/>
  <c r="R855" i="34"/>
  <c r="S855" i="34"/>
  <c r="T855" i="34"/>
  <c r="V855" i="34"/>
  <c r="X855" i="34"/>
  <c r="Y855" i="34"/>
  <c r="N856" i="34"/>
  <c r="R856" i="34"/>
  <c r="S856" i="34"/>
  <c r="T856" i="34"/>
  <c r="V856" i="34"/>
  <c r="X856" i="34"/>
  <c r="Y856" i="34"/>
  <c r="N857" i="34"/>
  <c r="R857" i="34"/>
  <c r="S857" i="34"/>
  <c r="T857" i="34"/>
  <c r="V857" i="34"/>
  <c r="X857" i="34"/>
  <c r="Y857" i="34"/>
  <c r="N858" i="34"/>
  <c r="R858" i="34"/>
  <c r="S858" i="34"/>
  <c r="T858" i="34"/>
  <c r="V858" i="34"/>
  <c r="X858" i="34"/>
  <c r="Y858" i="34"/>
  <c r="N859" i="34"/>
  <c r="R859" i="34"/>
  <c r="S859" i="34"/>
  <c r="T859" i="34"/>
  <c r="V859" i="34"/>
  <c r="X859" i="34"/>
  <c r="Y859" i="34"/>
  <c r="N860" i="34"/>
  <c r="R860" i="34"/>
  <c r="S860" i="34"/>
  <c r="T860" i="34"/>
  <c r="V860" i="34"/>
  <c r="X860" i="34"/>
  <c r="Y860" i="34"/>
  <c r="N861" i="34"/>
  <c r="R861" i="34"/>
  <c r="S861" i="34"/>
  <c r="T861" i="34"/>
  <c r="V861" i="34"/>
  <c r="X861" i="34"/>
  <c r="Y861" i="34"/>
  <c r="N862" i="34"/>
  <c r="R862" i="34"/>
  <c r="S862" i="34"/>
  <c r="T862" i="34"/>
  <c r="V862" i="34"/>
  <c r="X862" i="34"/>
  <c r="Y862" i="34"/>
  <c r="N863" i="34"/>
  <c r="R863" i="34"/>
  <c r="S863" i="34"/>
  <c r="T863" i="34"/>
  <c r="V863" i="34"/>
  <c r="X863" i="34"/>
  <c r="Y863" i="34"/>
  <c r="N864" i="34"/>
  <c r="R864" i="34"/>
  <c r="S864" i="34"/>
  <c r="T864" i="34"/>
  <c r="V864" i="34"/>
  <c r="X864" i="34"/>
  <c r="Y864" i="34"/>
  <c r="N865" i="34"/>
  <c r="R865" i="34"/>
  <c r="S865" i="34"/>
  <c r="T865" i="34"/>
  <c r="V865" i="34"/>
  <c r="X865" i="34"/>
  <c r="Y865" i="34"/>
  <c r="N866" i="34"/>
  <c r="R866" i="34"/>
  <c r="S866" i="34"/>
  <c r="T866" i="34"/>
  <c r="V866" i="34"/>
  <c r="X866" i="34"/>
  <c r="Y866" i="34"/>
  <c r="N867" i="34"/>
  <c r="R867" i="34"/>
  <c r="S867" i="34"/>
  <c r="T867" i="34"/>
  <c r="V867" i="34"/>
  <c r="X867" i="34"/>
  <c r="Y867" i="34"/>
  <c r="N868" i="34"/>
  <c r="R868" i="34"/>
  <c r="S868" i="34"/>
  <c r="T868" i="34"/>
  <c r="V868" i="34"/>
  <c r="X868" i="34"/>
  <c r="Y868" i="34"/>
  <c r="N869" i="34"/>
  <c r="R869" i="34"/>
  <c r="S869" i="34"/>
  <c r="T869" i="34"/>
  <c r="V869" i="34"/>
  <c r="X869" i="34"/>
  <c r="Y869" i="34"/>
  <c r="N870" i="34"/>
  <c r="R870" i="34"/>
  <c r="S870" i="34"/>
  <c r="T870" i="34"/>
  <c r="V870" i="34"/>
  <c r="X870" i="34"/>
  <c r="Y870" i="34"/>
  <c r="N871" i="34"/>
  <c r="R871" i="34"/>
  <c r="S871" i="34"/>
  <c r="T871" i="34"/>
  <c r="V871" i="34"/>
  <c r="X871" i="34"/>
  <c r="Y871" i="34"/>
  <c r="N872" i="34"/>
  <c r="R872" i="34"/>
  <c r="S872" i="34"/>
  <c r="T872" i="34"/>
  <c r="V872" i="34"/>
  <c r="X872" i="34"/>
  <c r="Y872" i="34"/>
  <c r="N873" i="34"/>
  <c r="R873" i="34"/>
  <c r="S873" i="34"/>
  <c r="T873" i="34"/>
  <c r="V873" i="34"/>
  <c r="X873" i="34"/>
  <c r="Y873" i="34"/>
  <c r="N874" i="34"/>
  <c r="R874" i="34"/>
  <c r="S874" i="34"/>
  <c r="T874" i="34"/>
  <c r="V874" i="34"/>
  <c r="X874" i="34"/>
  <c r="Y874" i="34"/>
  <c r="N875" i="34"/>
  <c r="R875" i="34"/>
  <c r="S875" i="34"/>
  <c r="T875" i="34"/>
  <c r="V875" i="34"/>
  <c r="X875" i="34"/>
  <c r="Y875" i="34"/>
  <c r="N876" i="34"/>
  <c r="R876" i="34"/>
  <c r="S876" i="34"/>
  <c r="T876" i="34"/>
  <c r="V876" i="34"/>
  <c r="X876" i="34"/>
  <c r="Y876" i="34"/>
  <c r="N877" i="34"/>
  <c r="R877" i="34"/>
  <c r="S877" i="34"/>
  <c r="T877" i="34"/>
  <c r="V877" i="34"/>
  <c r="X877" i="34"/>
  <c r="Y877" i="34"/>
  <c r="N878" i="34"/>
  <c r="R878" i="34"/>
  <c r="S878" i="34"/>
  <c r="T878" i="34"/>
  <c r="V878" i="34"/>
  <c r="X878" i="34"/>
  <c r="Y878" i="34"/>
  <c r="N879" i="34"/>
  <c r="R879" i="34"/>
  <c r="S879" i="34"/>
  <c r="T879" i="34"/>
  <c r="V879" i="34"/>
  <c r="X879" i="34"/>
  <c r="Y879" i="34"/>
  <c r="N880" i="34"/>
  <c r="R880" i="34"/>
  <c r="S880" i="34"/>
  <c r="T880" i="34"/>
  <c r="V880" i="34"/>
  <c r="X880" i="34"/>
  <c r="Y880" i="34"/>
  <c r="N881" i="34"/>
  <c r="R881" i="34"/>
  <c r="S881" i="34"/>
  <c r="T881" i="34"/>
  <c r="V881" i="34"/>
  <c r="X881" i="34"/>
  <c r="Y881" i="34"/>
  <c r="N882" i="34"/>
  <c r="R882" i="34"/>
  <c r="S882" i="34"/>
  <c r="T882" i="34"/>
  <c r="V882" i="34"/>
  <c r="X882" i="34"/>
  <c r="Y882" i="34"/>
  <c r="N883" i="34"/>
  <c r="R883" i="34"/>
  <c r="S883" i="34"/>
  <c r="T883" i="34"/>
  <c r="V883" i="34"/>
  <c r="X883" i="34"/>
  <c r="Y883" i="34"/>
  <c r="N884" i="34"/>
  <c r="R884" i="34"/>
  <c r="S884" i="34"/>
  <c r="T884" i="34"/>
  <c r="V884" i="34"/>
  <c r="X884" i="34"/>
  <c r="Y884" i="34"/>
  <c r="N885" i="34"/>
  <c r="R885" i="34"/>
  <c r="S885" i="34"/>
  <c r="T885" i="34"/>
  <c r="V885" i="34"/>
  <c r="X885" i="34"/>
  <c r="Y885" i="34"/>
  <c r="N886" i="34"/>
  <c r="R886" i="34"/>
  <c r="S886" i="34"/>
  <c r="T886" i="34"/>
  <c r="V886" i="34"/>
  <c r="X886" i="34"/>
  <c r="Y886" i="34"/>
  <c r="N887" i="34"/>
  <c r="R887" i="34"/>
  <c r="S887" i="34"/>
  <c r="T887" i="34"/>
  <c r="V887" i="34"/>
  <c r="X887" i="34"/>
  <c r="Y887" i="34"/>
  <c r="N888" i="34"/>
  <c r="R888" i="34"/>
  <c r="S888" i="34"/>
  <c r="T888" i="34"/>
  <c r="V888" i="34"/>
  <c r="X888" i="34"/>
  <c r="Y888" i="34"/>
  <c r="N889" i="34"/>
  <c r="R889" i="34"/>
  <c r="S889" i="34"/>
  <c r="T889" i="34"/>
  <c r="V889" i="34"/>
  <c r="X889" i="34"/>
  <c r="Y889" i="34"/>
  <c r="N890" i="34"/>
  <c r="R890" i="34"/>
  <c r="S890" i="34"/>
  <c r="T890" i="34"/>
  <c r="V890" i="34"/>
  <c r="X890" i="34"/>
  <c r="Y890" i="34"/>
  <c r="N891" i="34"/>
  <c r="R891" i="34"/>
  <c r="S891" i="34"/>
  <c r="T891" i="34"/>
  <c r="V891" i="34"/>
  <c r="X891" i="34"/>
  <c r="Y891" i="34"/>
  <c r="N892" i="34"/>
  <c r="R892" i="34"/>
  <c r="S892" i="34"/>
  <c r="T892" i="34"/>
  <c r="V892" i="34"/>
  <c r="X892" i="34"/>
  <c r="Y892" i="34"/>
  <c r="N893" i="34"/>
  <c r="R893" i="34"/>
  <c r="S893" i="34"/>
  <c r="T893" i="34"/>
  <c r="V893" i="34"/>
  <c r="X893" i="34"/>
  <c r="Y893" i="34"/>
  <c r="N894" i="34"/>
  <c r="R894" i="34"/>
  <c r="S894" i="34"/>
  <c r="T894" i="34"/>
  <c r="V894" i="34"/>
  <c r="X894" i="34"/>
  <c r="Y894" i="34"/>
  <c r="N895" i="34"/>
  <c r="R895" i="34"/>
  <c r="S895" i="34"/>
  <c r="T895" i="34"/>
  <c r="V895" i="34"/>
  <c r="X895" i="34"/>
  <c r="Y895" i="34"/>
  <c r="N896" i="34"/>
  <c r="R896" i="34"/>
  <c r="S896" i="34"/>
  <c r="T896" i="34"/>
  <c r="V896" i="34"/>
  <c r="X896" i="34"/>
  <c r="Y896" i="34"/>
  <c r="N897" i="34"/>
  <c r="R897" i="34"/>
  <c r="S897" i="34"/>
  <c r="T897" i="34"/>
  <c r="V897" i="34"/>
  <c r="X897" i="34"/>
  <c r="Y897" i="34"/>
  <c r="N898" i="34"/>
  <c r="R898" i="34"/>
  <c r="S898" i="34"/>
  <c r="T898" i="34"/>
  <c r="V898" i="34"/>
  <c r="X898" i="34"/>
  <c r="Y898" i="34"/>
  <c r="N899" i="34"/>
  <c r="R899" i="34"/>
  <c r="S899" i="34"/>
  <c r="T899" i="34"/>
  <c r="V899" i="34"/>
  <c r="X899" i="34"/>
  <c r="Y899" i="34"/>
  <c r="N900" i="34"/>
  <c r="R900" i="34"/>
  <c r="S900" i="34"/>
  <c r="T900" i="34"/>
  <c r="V900" i="34"/>
  <c r="X900" i="34"/>
  <c r="Y900" i="34"/>
  <c r="N901" i="34"/>
  <c r="R901" i="34"/>
  <c r="S901" i="34"/>
  <c r="T901" i="34"/>
  <c r="V901" i="34"/>
  <c r="X901" i="34"/>
  <c r="Y901" i="34"/>
  <c r="N902" i="34"/>
  <c r="R902" i="34"/>
  <c r="S902" i="34"/>
  <c r="T902" i="34"/>
  <c r="V902" i="34"/>
  <c r="X902" i="34"/>
  <c r="Y902" i="34"/>
  <c r="N903" i="34"/>
  <c r="R903" i="34"/>
  <c r="S903" i="34"/>
  <c r="T903" i="34"/>
  <c r="V903" i="34"/>
  <c r="X903" i="34"/>
  <c r="Y903" i="34"/>
  <c r="N904" i="34"/>
  <c r="R904" i="34"/>
  <c r="S904" i="34"/>
  <c r="T904" i="34"/>
  <c r="V904" i="34"/>
  <c r="X904" i="34"/>
  <c r="Y904" i="34"/>
  <c r="N905" i="34"/>
  <c r="R905" i="34"/>
  <c r="S905" i="34"/>
  <c r="T905" i="34"/>
  <c r="V905" i="34"/>
  <c r="X905" i="34"/>
  <c r="Y905" i="34"/>
  <c r="N906" i="34"/>
  <c r="R906" i="34"/>
  <c r="S906" i="34"/>
  <c r="T906" i="34"/>
  <c r="V906" i="34"/>
  <c r="X906" i="34"/>
  <c r="Y906" i="34"/>
  <c r="N907" i="34"/>
  <c r="R907" i="34"/>
  <c r="S907" i="34"/>
  <c r="T907" i="34"/>
  <c r="V907" i="34"/>
  <c r="X907" i="34"/>
  <c r="Y907" i="34"/>
  <c r="N908" i="34"/>
  <c r="R908" i="34"/>
  <c r="S908" i="34"/>
  <c r="T908" i="34"/>
  <c r="V908" i="34"/>
  <c r="X908" i="34"/>
  <c r="Y908" i="34"/>
  <c r="N909" i="34"/>
  <c r="R909" i="34"/>
  <c r="S909" i="34"/>
  <c r="T909" i="34"/>
  <c r="V909" i="34"/>
  <c r="X909" i="34"/>
  <c r="Y909" i="34"/>
  <c r="N910" i="34"/>
  <c r="R910" i="34"/>
  <c r="S910" i="34"/>
  <c r="T910" i="34"/>
  <c r="V910" i="34"/>
  <c r="X910" i="34"/>
  <c r="Y910" i="34"/>
  <c r="N911" i="34"/>
  <c r="R911" i="34"/>
  <c r="S911" i="34"/>
  <c r="T911" i="34"/>
  <c r="V911" i="34"/>
  <c r="X911" i="34"/>
  <c r="Y911" i="34"/>
  <c r="N912" i="34"/>
  <c r="R912" i="34"/>
  <c r="S912" i="34"/>
  <c r="T912" i="34"/>
  <c r="V912" i="34"/>
  <c r="X912" i="34"/>
  <c r="Y912" i="34"/>
  <c r="N913" i="34"/>
  <c r="R913" i="34"/>
  <c r="S913" i="34"/>
  <c r="T913" i="34"/>
  <c r="V913" i="34"/>
  <c r="X913" i="34"/>
  <c r="Y913" i="34"/>
  <c r="N914" i="34"/>
  <c r="R914" i="34"/>
  <c r="S914" i="34"/>
  <c r="T914" i="34"/>
  <c r="V914" i="34"/>
  <c r="X914" i="34"/>
  <c r="Y914" i="34"/>
  <c r="N915" i="34"/>
  <c r="R915" i="34"/>
  <c r="S915" i="34"/>
  <c r="T915" i="34"/>
  <c r="V915" i="34"/>
  <c r="X915" i="34"/>
  <c r="Y915" i="34"/>
  <c r="N916" i="34"/>
  <c r="R916" i="34"/>
  <c r="S916" i="34"/>
  <c r="T916" i="34"/>
  <c r="V916" i="34"/>
  <c r="X916" i="34"/>
  <c r="Y916" i="34"/>
  <c r="N917" i="34"/>
  <c r="R917" i="34"/>
  <c r="S917" i="34"/>
  <c r="T917" i="34"/>
  <c r="V917" i="34"/>
  <c r="X917" i="34"/>
  <c r="Y917" i="34"/>
  <c r="N918" i="34"/>
  <c r="R918" i="34"/>
  <c r="S918" i="34"/>
  <c r="T918" i="34"/>
  <c r="V918" i="34"/>
  <c r="X918" i="34"/>
  <c r="Y918" i="34"/>
  <c r="N919" i="34"/>
  <c r="R919" i="34"/>
  <c r="S919" i="34"/>
  <c r="T919" i="34"/>
  <c r="V919" i="34"/>
  <c r="X919" i="34"/>
  <c r="Y919" i="34"/>
  <c r="N920" i="34"/>
  <c r="R920" i="34"/>
  <c r="S920" i="34"/>
  <c r="T920" i="34"/>
  <c r="V920" i="34"/>
  <c r="X920" i="34"/>
  <c r="Y920" i="34"/>
  <c r="N921" i="34"/>
  <c r="R921" i="34"/>
  <c r="S921" i="34"/>
  <c r="T921" i="34"/>
  <c r="V921" i="34"/>
  <c r="X921" i="34"/>
  <c r="Y921" i="34"/>
  <c r="N922" i="34"/>
  <c r="R922" i="34"/>
  <c r="S922" i="34"/>
  <c r="T922" i="34"/>
  <c r="V922" i="34"/>
  <c r="X922" i="34"/>
  <c r="Y922" i="34"/>
  <c r="N923" i="34"/>
  <c r="R923" i="34"/>
  <c r="S923" i="34"/>
  <c r="T923" i="34"/>
  <c r="V923" i="34"/>
  <c r="X923" i="34"/>
  <c r="Y923" i="34"/>
  <c r="N924" i="34"/>
  <c r="R924" i="34"/>
  <c r="S924" i="34"/>
  <c r="T924" i="34"/>
  <c r="V924" i="34"/>
  <c r="X924" i="34"/>
  <c r="Y924" i="34"/>
  <c r="N925" i="34"/>
  <c r="R925" i="34"/>
  <c r="S925" i="34"/>
  <c r="T925" i="34"/>
  <c r="V925" i="34"/>
  <c r="X925" i="34"/>
  <c r="Y925" i="34"/>
  <c r="N926" i="34"/>
  <c r="R926" i="34"/>
  <c r="S926" i="34"/>
  <c r="T926" i="34"/>
  <c r="V926" i="34"/>
  <c r="X926" i="34"/>
  <c r="Y926" i="34"/>
  <c r="N927" i="34"/>
  <c r="R927" i="34"/>
  <c r="S927" i="34"/>
  <c r="T927" i="34"/>
  <c r="V927" i="34"/>
  <c r="X927" i="34"/>
  <c r="Y927" i="34"/>
  <c r="N928" i="34"/>
  <c r="R928" i="34"/>
  <c r="S928" i="34"/>
  <c r="T928" i="34"/>
  <c r="V928" i="34"/>
  <c r="X928" i="34"/>
  <c r="Y928" i="34"/>
  <c r="N929" i="34"/>
  <c r="R929" i="34"/>
  <c r="S929" i="34"/>
  <c r="T929" i="34"/>
  <c r="V929" i="34"/>
  <c r="X929" i="34"/>
  <c r="Y929" i="34"/>
  <c r="N930" i="34"/>
  <c r="R930" i="34"/>
  <c r="S930" i="34"/>
  <c r="T930" i="34"/>
  <c r="V930" i="34"/>
  <c r="X930" i="34"/>
  <c r="Y930" i="34"/>
  <c r="N931" i="34"/>
  <c r="R931" i="34"/>
  <c r="S931" i="34"/>
  <c r="T931" i="34"/>
  <c r="V931" i="34"/>
  <c r="X931" i="34"/>
  <c r="Y931" i="34"/>
  <c r="N932" i="34"/>
  <c r="R932" i="34"/>
  <c r="S932" i="34"/>
  <c r="T932" i="34"/>
  <c r="V932" i="34"/>
  <c r="X932" i="34"/>
  <c r="Y932" i="34"/>
  <c r="N933" i="34"/>
  <c r="R933" i="34"/>
  <c r="S933" i="34"/>
  <c r="T933" i="34"/>
  <c r="V933" i="34"/>
  <c r="X933" i="34"/>
  <c r="Y933" i="34"/>
  <c r="N934" i="34"/>
  <c r="R934" i="34"/>
  <c r="S934" i="34"/>
  <c r="T934" i="34"/>
  <c r="V934" i="34"/>
  <c r="X934" i="34"/>
  <c r="Y934" i="34"/>
  <c r="N935" i="34"/>
  <c r="R935" i="34"/>
  <c r="S935" i="34"/>
  <c r="T935" i="34"/>
  <c r="V935" i="34"/>
  <c r="X935" i="34"/>
  <c r="Y935" i="34"/>
  <c r="N936" i="34"/>
  <c r="R936" i="34"/>
  <c r="S936" i="34"/>
  <c r="T936" i="34"/>
  <c r="V936" i="34"/>
  <c r="X936" i="34"/>
  <c r="Y936" i="34"/>
  <c r="N937" i="34"/>
  <c r="R937" i="34"/>
  <c r="S937" i="34"/>
  <c r="T937" i="34"/>
  <c r="V937" i="34"/>
  <c r="X937" i="34"/>
  <c r="Y937" i="34"/>
  <c r="N938" i="34"/>
  <c r="R938" i="34"/>
  <c r="S938" i="34"/>
  <c r="T938" i="34"/>
  <c r="V938" i="34"/>
  <c r="X938" i="34"/>
  <c r="Y938" i="34"/>
  <c r="N939" i="34"/>
  <c r="R939" i="34"/>
  <c r="S939" i="34"/>
  <c r="T939" i="34"/>
  <c r="V939" i="34"/>
  <c r="X939" i="34"/>
  <c r="Y939" i="34"/>
  <c r="N940" i="34"/>
  <c r="R940" i="34"/>
  <c r="S940" i="34"/>
  <c r="T940" i="34"/>
  <c r="V940" i="34"/>
  <c r="X940" i="34"/>
  <c r="Y940" i="34"/>
  <c r="N941" i="34"/>
  <c r="R941" i="34"/>
  <c r="S941" i="34"/>
  <c r="T941" i="34"/>
  <c r="V941" i="34"/>
  <c r="X941" i="34"/>
  <c r="Y941" i="34"/>
  <c r="N942" i="34"/>
  <c r="R942" i="34"/>
  <c r="S942" i="34"/>
  <c r="T942" i="34"/>
  <c r="V942" i="34"/>
  <c r="X942" i="34"/>
  <c r="Y942" i="34"/>
  <c r="N943" i="34"/>
  <c r="R943" i="34"/>
  <c r="S943" i="34"/>
  <c r="T943" i="34"/>
  <c r="V943" i="34"/>
  <c r="X943" i="34"/>
  <c r="Y943" i="34"/>
  <c r="N944" i="34"/>
  <c r="R944" i="34"/>
  <c r="S944" i="34"/>
  <c r="T944" i="34"/>
  <c r="V944" i="34"/>
  <c r="X944" i="34"/>
  <c r="Y944" i="34"/>
  <c r="N945" i="34"/>
  <c r="R945" i="34"/>
  <c r="S945" i="34"/>
  <c r="T945" i="34"/>
  <c r="V945" i="34"/>
  <c r="X945" i="34"/>
  <c r="Y945" i="34"/>
  <c r="N946" i="34"/>
  <c r="R946" i="34"/>
  <c r="S946" i="34"/>
  <c r="T946" i="34"/>
  <c r="V946" i="34"/>
  <c r="X946" i="34"/>
  <c r="Y946" i="34"/>
  <c r="N947" i="34"/>
  <c r="R947" i="34"/>
  <c r="S947" i="34"/>
  <c r="T947" i="34"/>
  <c r="V947" i="34"/>
  <c r="X947" i="34"/>
  <c r="Y947" i="34"/>
  <c r="N948" i="34"/>
  <c r="R948" i="34"/>
  <c r="S948" i="34"/>
  <c r="T948" i="34"/>
  <c r="V948" i="34"/>
  <c r="X948" i="34"/>
  <c r="Y948" i="34"/>
  <c r="N949" i="34"/>
  <c r="R949" i="34"/>
  <c r="S949" i="34"/>
  <c r="T949" i="34"/>
  <c r="V949" i="34"/>
  <c r="X949" i="34"/>
  <c r="Y949" i="34"/>
  <c r="N950" i="34"/>
  <c r="R950" i="34"/>
  <c r="S950" i="34"/>
  <c r="T950" i="34"/>
  <c r="V950" i="34"/>
  <c r="X950" i="34"/>
  <c r="Y950" i="34"/>
  <c r="N951" i="34"/>
  <c r="R951" i="34"/>
  <c r="S951" i="34"/>
  <c r="T951" i="34"/>
  <c r="V951" i="34"/>
  <c r="X951" i="34"/>
  <c r="Y951" i="34"/>
  <c r="N952" i="34"/>
  <c r="R952" i="34"/>
  <c r="S952" i="34"/>
  <c r="T952" i="34"/>
  <c r="V952" i="34"/>
  <c r="X952" i="34"/>
  <c r="Y952" i="34"/>
  <c r="N953" i="34"/>
  <c r="R953" i="34"/>
  <c r="S953" i="34"/>
  <c r="T953" i="34"/>
  <c r="V953" i="34"/>
  <c r="X953" i="34"/>
  <c r="Y953" i="34"/>
  <c r="N954" i="34"/>
  <c r="R954" i="34"/>
  <c r="S954" i="34"/>
  <c r="T954" i="34"/>
  <c r="V954" i="34"/>
  <c r="X954" i="34"/>
  <c r="Y954" i="34"/>
  <c r="N955" i="34"/>
  <c r="R955" i="34"/>
  <c r="S955" i="34"/>
  <c r="T955" i="34"/>
  <c r="V955" i="34"/>
  <c r="X955" i="34"/>
  <c r="Y955" i="34"/>
  <c r="N956" i="34"/>
  <c r="R956" i="34"/>
  <c r="S956" i="34"/>
  <c r="T956" i="34"/>
  <c r="V956" i="34"/>
  <c r="X956" i="34"/>
  <c r="Y956" i="34"/>
  <c r="N957" i="34"/>
  <c r="R957" i="34"/>
  <c r="S957" i="34"/>
  <c r="T957" i="34"/>
  <c r="V957" i="34"/>
  <c r="X957" i="34"/>
  <c r="Y957" i="34"/>
  <c r="N958" i="34"/>
  <c r="R958" i="34"/>
  <c r="S958" i="34"/>
  <c r="T958" i="34"/>
  <c r="V958" i="34"/>
  <c r="X958" i="34"/>
  <c r="Y958" i="34"/>
  <c r="N959" i="34"/>
  <c r="R959" i="34"/>
  <c r="S959" i="34"/>
  <c r="T959" i="34"/>
  <c r="V959" i="34"/>
  <c r="X959" i="34"/>
  <c r="Y959" i="34"/>
  <c r="N960" i="34"/>
  <c r="R960" i="34"/>
  <c r="S960" i="34"/>
  <c r="T960" i="34"/>
  <c r="V960" i="34"/>
  <c r="X960" i="34"/>
  <c r="Y960" i="34"/>
  <c r="N961" i="34"/>
  <c r="R961" i="34"/>
  <c r="S961" i="34"/>
  <c r="T961" i="34"/>
  <c r="V961" i="34"/>
  <c r="X961" i="34"/>
  <c r="Y961" i="34"/>
  <c r="N962" i="34"/>
  <c r="R962" i="34"/>
  <c r="S962" i="34"/>
  <c r="T962" i="34"/>
  <c r="V962" i="34"/>
  <c r="X962" i="34"/>
  <c r="Y962" i="34"/>
  <c r="N963" i="34"/>
  <c r="R963" i="34"/>
  <c r="S963" i="34"/>
  <c r="T963" i="34"/>
  <c r="V963" i="34"/>
  <c r="X963" i="34"/>
  <c r="Y963" i="34"/>
  <c r="N964" i="34"/>
  <c r="R964" i="34"/>
  <c r="S964" i="34"/>
  <c r="T964" i="34"/>
  <c r="V964" i="34"/>
  <c r="X964" i="34"/>
  <c r="Y964" i="34"/>
  <c r="N965" i="34"/>
  <c r="R965" i="34"/>
  <c r="S965" i="34"/>
  <c r="T965" i="34"/>
  <c r="V965" i="34"/>
  <c r="X965" i="34"/>
  <c r="Y965" i="34"/>
  <c r="N966" i="34"/>
  <c r="R966" i="34"/>
  <c r="S966" i="34"/>
  <c r="T966" i="34"/>
  <c r="V966" i="34"/>
  <c r="X966" i="34"/>
  <c r="Y966" i="34"/>
  <c r="N967" i="34"/>
  <c r="R967" i="34"/>
  <c r="S967" i="34"/>
  <c r="T967" i="34"/>
  <c r="V967" i="34"/>
  <c r="X967" i="34"/>
  <c r="Y967" i="34"/>
  <c r="N968" i="34"/>
  <c r="R968" i="34"/>
  <c r="S968" i="34"/>
  <c r="T968" i="34"/>
  <c r="V968" i="34"/>
  <c r="X968" i="34"/>
  <c r="Y968" i="34"/>
  <c r="N969" i="34"/>
  <c r="R969" i="34"/>
  <c r="S969" i="34"/>
  <c r="T969" i="34"/>
  <c r="V969" i="34"/>
  <c r="X969" i="34"/>
  <c r="Y969" i="34"/>
  <c r="N970" i="34"/>
  <c r="R970" i="34"/>
  <c r="S970" i="34"/>
  <c r="T970" i="34"/>
  <c r="V970" i="34"/>
  <c r="X970" i="34"/>
  <c r="Y970" i="34"/>
  <c r="N971" i="34"/>
  <c r="R971" i="34"/>
  <c r="S971" i="34"/>
  <c r="T971" i="34"/>
  <c r="V971" i="34"/>
  <c r="X971" i="34"/>
  <c r="Y971" i="34"/>
  <c r="N972" i="34"/>
  <c r="R972" i="34"/>
  <c r="S972" i="34"/>
  <c r="T972" i="34"/>
  <c r="V972" i="34"/>
  <c r="X972" i="34"/>
  <c r="Y972" i="34"/>
  <c r="N973" i="34"/>
  <c r="R973" i="34"/>
  <c r="S973" i="34"/>
  <c r="T973" i="34"/>
  <c r="V973" i="34"/>
  <c r="X973" i="34"/>
  <c r="Y973" i="34"/>
  <c r="N974" i="34"/>
  <c r="R974" i="34"/>
  <c r="S974" i="34"/>
  <c r="T974" i="34"/>
  <c r="V974" i="34"/>
  <c r="X974" i="34"/>
  <c r="Y974" i="34"/>
  <c r="N975" i="34"/>
  <c r="R975" i="34"/>
  <c r="S975" i="34"/>
  <c r="T975" i="34"/>
  <c r="V975" i="34"/>
  <c r="X975" i="34"/>
  <c r="Y975" i="34"/>
  <c r="N976" i="34"/>
  <c r="R976" i="34"/>
  <c r="S976" i="34"/>
  <c r="T976" i="34"/>
  <c r="V976" i="34"/>
  <c r="X976" i="34"/>
  <c r="Y976" i="34"/>
  <c r="N977" i="34"/>
  <c r="R977" i="34"/>
  <c r="S977" i="34"/>
  <c r="T977" i="34"/>
  <c r="V977" i="34"/>
  <c r="X977" i="34"/>
  <c r="Y977" i="34"/>
  <c r="N978" i="34"/>
  <c r="R978" i="34"/>
  <c r="S978" i="34"/>
  <c r="T978" i="34"/>
  <c r="V978" i="34"/>
  <c r="X978" i="34"/>
  <c r="Y978" i="34"/>
  <c r="N979" i="34"/>
  <c r="R979" i="34"/>
  <c r="S979" i="34"/>
  <c r="T979" i="34"/>
  <c r="V979" i="34"/>
  <c r="X979" i="34"/>
  <c r="Y979" i="34"/>
  <c r="N980" i="34"/>
  <c r="R980" i="34"/>
  <c r="S980" i="34"/>
  <c r="T980" i="34"/>
  <c r="V980" i="34"/>
  <c r="X980" i="34"/>
  <c r="Y980" i="34"/>
  <c r="N981" i="34"/>
  <c r="R981" i="34"/>
  <c r="S981" i="34"/>
  <c r="T981" i="34"/>
  <c r="V981" i="34"/>
  <c r="X981" i="34"/>
  <c r="Y981" i="34"/>
  <c r="N982" i="34"/>
  <c r="R982" i="34"/>
  <c r="S982" i="34"/>
  <c r="T982" i="34"/>
  <c r="V982" i="34"/>
  <c r="X982" i="34"/>
  <c r="Y982" i="34"/>
  <c r="N983" i="34"/>
  <c r="R983" i="34"/>
  <c r="S983" i="34"/>
  <c r="T983" i="34"/>
  <c r="V983" i="34"/>
  <c r="X983" i="34"/>
  <c r="Y983" i="34"/>
  <c r="N984" i="34"/>
  <c r="R984" i="34"/>
  <c r="S984" i="34"/>
  <c r="T984" i="34"/>
  <c r="V984" i="34"/>
  <c r="X984" i="34"/>
  <c r="Y984" i="34"/>
  <c r="N985" i="34"/>
  <c r="R985" i="34"/>
  <c r="S985" i="34"/>
  <c r="T985" i="34"/>
  <c r="V985" i="34"/>
  <c r="X985" i="34"/>
  <c r="Y985" i="34"/>
  <c r="N986" i="34"/>
  <c r="R986" i="34"/>
  <c r="S986" i="34"/>
  <c r="T986" i="34"/>
  <c r="V986" i="34"/>
  <c r="X986" i="34"/>
  <c r="Y986" i="34"/>
  <c r="N987" i="34"/>
  <c r="R987" i="34"/>
  <c r="S987" i="34"/>
  <c r="T987" i="34"/>
  <c r="V987" i="34"/>
  <c r="X987" i="34"/>
  <c r="Y987" i="34"/>
  <c r="N988" i="34"/>
  <c r="R988" i="34"/>
  <c r="S988" i="34"/>
  <c r="T988" i="34"/>
  <c r="V988" i="34"/>
  <c r="X988" i="34"/>
  <c r="Y988" i="34"/>
  <c r="N989" i="34"/>
  <c r="R989" i="34"/>
  <c r="S989" i="34"/>
  <c r="T989" i="34"/>
  <c r="V989" i="34"/>
  <c r="X989" i="34"/>
  <c r="Y989" i="34"/>
  <c r="N990" i="34"/>
  <c r="R990" i="34"/>
  <c r="S990" i="34"/>
  <c r="T990" i="34"/>
  <c r="V990" i="34"/>
  <c r="X990" i="34"/>
  <c r="Y990" i="34"/>
  <c r="N991" i="34"/>
  <c r="R991" i="34"/>
  <c r="S991" i="34"/>
  <c r="T991" i="34"/>
  <c r="V991" i="34"/>
  <c r="X991" i="34"/>
  <c r="Y991" i="34"/>
  <c r="N992" i="34"/>
  <c r="R992" i="34"/>
  <c r="S992" i="34"/>
  <c r="T992" i="34"/>
  <c r="V992" i="34"/>
  <c r="X992" i="34"/>
  <c r="Y992" i="34"/>
  <c r="N993" i="34"/>
  <c r="R993" i="34"/>
  <c r="S993" i="34"/>
  <c r="T993" i="34"/>
  <c r="V993" i="34"/>
  <c r="X993" i="34"/>
  <c r="Y993" i="34"/>
  <c r="N994" i="34"/>
  <c r="R994" i="34"/>
  <c r="S994" i="34"/>
  <c r="T994" i="34"/>
  <c r="V994" i="34"/>
  <c r="X994" i="34"/>
  <c r="Y994" i="34"/>
  <c r="N995" i="34"/>
  <c r="R995" i="34"/>
  <c r="S995" i="34"/>
  <c r="T995" i="34"/>
  <c r="V995" i="34"/>
  <c r="X995" i="34"/>
  <c r="Y995" i="34"/>
  <c r="N996" i="34"/>
  <c r="R996" i="34"/>
  <c r="S996" i="34"/>
  <c r="T996" i="34"/>
  <c r="V996" i="34"/>
  <c r="X996" i="34"/>
  <c r="Y996" i="34"/>
  <c r="N997" i="34"/>
  <c r="R997" i="34"/>
  <c r="S997" i="34"/>
  <c r="T997" i="34"/>
  <c r="V997" i="34"/>
  <c r="X997" i="34"/>
  <c r="Y997" i="34"/>
  <c r="N998" i="34"/>
  <c r="R998" i="34"/>
  <c r="S998" i="34"/>
  <c r="T998" i="34"/>
  <c r="V998" i="34"/>
  <c r="X998" i="34"/>
  <c r="Y998" i="34"/>
  <c r="N999" i="34"/>
  <c r="R999" i="34"/>
  <c r="S999" i="34"/>
  <c r="T999" i="34"/>
  <c r="V999" i="34"/>
  <c r="X999" i="34"/>
  <c r="Y999" i="34"/>
  <c r="N1000" i="34"/>
  <c r="R1000" i="34"/>
  <c r="S1000" i="34"/>
  <c r="T1000" i="34"/>
  <c r="V1000" i="34"/>
  <c r="X1000" i="34"/>
  <c r="Y1000" i="34"/>
  <c r="N1001" i="34"/>
  <c r="R1001" i="34"/>
  <c r="S1001" i="34"/>
  <c r="T1001" i="34"/>
  <c r="V1001" i="34"/>
  <c r="X1001" i="34"/>
  <c r="Y1001" i="34"/>
  <c r="N1002" i="34"/>
  <c r="R1002" i="34"/>
  <c r="S1002" i="34"/>
  <c r="T1002" i="34"/>
  <c r="V1002" i="34"/>
  <c r="X1002" i="34"/>
  <c r="Y1002" i="34"/>
  <c r="N1003" i="34"/>
  <c r="R1003" i="34"/>
  <c r="S1003" i="34"/>
  <c r="T1003" i="34"/>
  <c r="V1003" i="34"/>
  <c r="X1003" i="34"/>
  <c r="Y1003" i="34"/>
  <c r="N1004" i="34"/>
  <c r="R1004" i="34"/>
  <c r="S1004" i="34"/>
  <c r="T1004" i="34"/>
  <c r="V1004" i="34"/>
  <c r="X1004" i="34"/>
  <c r="Y1004" i="34"/>
  <c r="N1005" i="34"/>
  <c r="R1005" i="34"/>
  <c r="S1005" i="34"/>
  <c r="T1005" i="34"/>
  <c r="V1005" i="34"/>
  <c r="X1005" i="34"/>
  <c r="Y1005" i="34"/>
  <c r="N1006" i="34"/>
  <c r="R1006" i="34"/>
  <c r="S1006" i="34"/>
  <c r="T1006" i="34"/>
  <c r="V1006" i="34"/>
  <c r="X1006" i="34"/>
  <c r="Y1006" i="34"/>
  <c r="N1007" i="34"/>
  <c r="R1007" i="34"/>
  <c r="S1007" i="34"/>
  <c r="T1007" i="34"/>
  <c r="V1007" i="34"/>
  <c r="X1007" i="34"/>
  <c r="Y1007" i="34"/>
  <c r="N1008" i="34"/>
  <c r="R1008" i="34"/>
  <c r="S1008" i="34"/>
  <c r="T1008" i="34"/>
  <c r="V1008" i="34"/>
  <c r="X1008" i="34"/>
  <c r="Y1008" i="34"/>
  <c r="N1009" i="34"/>
  <c r="R1009" i="34"/>
  <c r="S1009" i="34"/>
  <c r="T1009" i="34"/>
  <c r="V1009" i="34"/>
  <c r="X1009" i="34"/>
  <c r="Y1009" i="34"/>
  <c r="N1010" i="34"/>
  <c r="R1010" i="34"/>
  <c r="S1010" i="34"/>
  <c r="T1010" i="34"/>
  <c r="V1010" i="34"/>
  <c r="X1010" i="34"/>
  <c r="Y1010" i="34"/>
  <c r="N1011" i="34"/>
  <c r="R1011" i="34"/>
  <c r="S1011" i="34"/>
  <c r="T1011" i="34"/>
  <c r="V1011" i="34"/>
  <c r="X1011" i="34"/>
  <c r="Y1011" i="34"/>
  <c r="N1012" i="34"/>
  <c r="R1012" i="34"/>
  <c r="S1012" i="34"/>
  <c r="T1012" i="34"/>
  <c r="V1012" i="34"/>
  <c r="X1012" i="34"/>
  <c r="Y1012" i="34"/>
  <c r="N1013" i="34"/>
  <c r="R1013" i="34"/>
  <c r="S1013" i="34"/>
  <c r="T1013" i="34"/>
  <c r="V1013" i="34"/>
  <c r="X1013" i="34"/>
  <c r="Y1013" i="34"/>
  <c r="N1014" i="34"/>
  <c r="R1014" i="34"/>
  <c r="S1014" i="34"/>
  <c r="T1014" i="34"/>
  <c r="V1014" i="34"/>
  <c r="X1014" i="34"/>
  <c r="Y1014" i="34"/>
  <c r="N1015" i="34"/>
  <c r="R1015" i="34"/>
  <c r="S1015" i="34"/>
  <c r="T1015" i="34"/>
  <c r="V1015" i="34"/>
  <c r="X1015" i="34"/>
  <c r="Y1015" i="34"/>
  <c r="N1016" i="34"/>
  <c r="R1016" i="34"/>
  <c r="S1016" i="34"/>
  <c r="T1016" i="34"/>
  <c r="V1016" i="34"/>
  <c r="X1016" i="34"/>
  <c r="Y1016" i="34"/>
  <c r="N1017" i="34"/>
  <c r="R1017" i="34"/>
  <c r="S1017" i="34"/>
  <c r="T1017" i="34"/>
  <c r="V1017" i="34"/>
  <c r="X1017" i="34"/>
  <c r="Y1017" i="34"/>
  <c r="N1018" i="34"/>
  <c r="R1018" i="34"/>
  <c r="S1018" i="34"/>
  <c r="T1018" i="34"/>
  <c r="V1018" i="34"/>
  <c r="X1018" i="34"/>
  <c r="Y1018" i="34"/>
  <c r="N1019" i="34"/>
  <c r="R1019" i="34"/>
  <c r="S1019" i="34"/>
  <c r="T1019" i="34"/>
  <c r="V1019" i="34"/>
  <c r="X1019" i="34"/>
  <c r="Y1019" i="34"/>
  <c r="N1020" i="34"/>
  <c r="R1020" i="34"/>
  <c r="S1020" i="34"/>
  <c r="T1020" i="34"/>
  <c r="V1020" i="34"/>
  <c r="X1020" i="34"/>
  <c r="Y1020" i="34"/>
  <c r="N1021" i="34"/>
  <c r="R1021" i="34"/>
  <c r="S1021" i="34"/>
  <c r="T1021" i="34"/>
  <c r="V1021" i="34"/>
  <c r="X1021" i="34"/>
  <c r="Y1021" i="34"/>
  <c r="N1022" i="34"/>
  <c r="R1022" i="34"/>
  <c r="S1022" i="34"/>
  <c r="T1022" i="34"/>
  <c r="V1022" i="34"/>
  <c r="X1022" i="34"/>
  <c r="Y1022" i="34"/>
  <c r="N1023" i="34"/>
  <c r="R1023" i="34"/>
  <c r="S1023" i="34"/>
  <c r="T1023" i="34"/>
  <c r="V1023" i="34"/>
  <c r="X1023" i="34"/>
  <c r="Y1023" i="34"/>
  <c r="N1024" i="34"/>
  <c r="R1024" i="34"/>
  <c r="S1024" i="34"/>
  <c r="T1024" i="34"/>
  <c r="V1024" i="34"/>
  <c r="X1024" i="34"/>
  <c r="Y1024" i="34"/>
  <c r="N1025" i="34"/>
  <c r="R1025" i="34"/>
  <c r="S1025" i="34"/>
  <c r="T1025" i="34"/>
  <c r="V1025" i="34"/>
  <c r="X1025" i="34"/>
  <c r="Y1025" i="34"/>
  <c r="N1026" i="34"/>
  <c r="R1026" i="34"/>
  <c r="S1026" i="34"/>
  <c r="T1026" i="34"/>
  <c r="V1026" i="34"/>
  <c r="X1026" i="34"/>
  <c r="Y1026" i="34"/>
  <c r="N1027" i="34"/>
  <c r="R1027" i="34"/>
  <c r="S1027" i="34"/>
  <c r="T1027" i="34"/>
  <c r="V1027" i="34"/>
  <c r="X1027" i="34"/>
  <c r="Y1027" i="34"/>
  <c r="N1028" i="34"/>
  <c r="R1028" i="34"/>
  <c r="S1028" i="34"/>
  <c r="T1028" i="34"/>
  <c r="V1028" i="34"/>
  <c r="X1028" i="34"/>
  <c r="Y1028" i="34"/>
  <c r="N1029" i="34"/>
  <c r="R1029" i="34"/>
  <c r="S1029" i="34"/>
  <c r="T1029" i="34"/>
  <c r="V1029" i="34"/>
  <c r="X1029" i="34"/>
  <c r="Y1029" i="34"/>
  <c r="N1030" i="34"/>
  <c r="R1030" i="34"/>
  <c r="S1030" i="34"/>
  <c r="T1030" i="34"/>
  <c r="V1030" i="34"/>
  <c r="X1030" i="34"/>
  <c r="Y1030" i="34"/>
  <c r="N1031" i="34"/>
  <c r="R1031" i="34"/>
  <c r="S1031" i="34"/>
  <c r="T1031" i="34"/>
  <c r="V1031" i="34"/>
  <c r="X1031" i="34"/>
  <c r="Y1031" i="34"/>
  <c r="N1032" i="34"/>
  <c r="R1032" i="34"/>
  <c r="S1032" i="34"/>
  <c r="T1032" i="34"/>
  <c r="V1032" i="34"/>
  <c r="X1032" i="34"/>
  <c r="Y1032" i="34"/>
  <c r="N1033" i="34"/>
  <c r="R1033" i="34"/>
  <c r="S1033" i="34"/>
  <c r="T1033" i="34"/>
  <c r="V1033" i="34"/>
  <c r="X1033" i="34"/>
  <c r="Y1033" i="34"/>
  <c r="N1034" i="34"/>
  <c r="R1034" i="34"/>
  <c r="S1034" i="34"/>
  <c r="T1034" i="34"/>
  <c r="V1034" i="34"/>
  <c r="X1034" i="34"/>
  <c r="Y1034" i="34"/>
  <c r="N1035" i="34"/>
  <c r="R1035" i="34"/>
  <c r="S1035" i="34"/>
  <c r="T1035" i="34"/>
  <c r="V1035" i="34"/>
  <c r="X1035" i="34"/>
  <c r="Y1035" i="34"/>
  <c r="N1036" i="34"/>
  <c r="R1036" i="34"/>
  <c r="S1036" i="34"/>
  <c r="T1036" i="34"/>
  <c r="V1036" i="34"/>
  <c r="X1036" i="34"/>
  <c r="Y1036" i="34"/>
  <c r="N1037" i="34"/>
  <c r="R1037" i="34"/>
  <c r="S1037" i="34"/>
  <c r="T1037" i="34"/>
  <c r="V1037" i="34"/>
  <c r="X1037" i="34"/>
  <c r="Y1037" i="34"/>
  <c r="N1038" i="34"/>
  <c r="R1038" i="34"/>
  <c r="S1038" i="34"/>
  <c r="T1038" i="34"/>
  <c r="V1038" i="34"/>
  <c r="X1038" i="34"/>
  <c r="Y1038" i="34"/>
  <c r="N1039" i="34"/>
  <c r="R1039" i="34"/>
  <c r="S1039" i="34"/>
  <c r="T1039" i="34"/>
  <c r="V1039" i="34"/>
  <c r="X1039" i="34"/>
  <c r="Y1039" i="34"/>
  <c r="N1040" i="34"/>
  <c r="R1040" i="34"/>
  <c r="S1040" i="34"/>
  <c r="T1040" i="34"/>
  <c r="V1040" i="34"/>
  <c r="X1040" i="34"/>
  <c r="Y1040" i="34"/>
  <c r="N1041" i="34"/>
  <c r="R1041" i="34"/>
  <c r="S1041" i="34"/>
  <c r="T1041" i="34"/>
  <c r="V1041" i="34"/>
  <c r="X1041" i="34"/>
  <c r="Y1041" i="34"/>
  <c r="N1042" i="34"/>
  <c r="R1042" i="34"/>
  <c r="S1042" i="34"/>
  <c r="T1042" i="34"/>
  <c r="V1042" i="34"/>
  <c r="X1042" i="34"/>
  <c r="Y1042" i="34"/>
  <c r="N1043" i="34"/>
  <c r="R1043" i="34"/>
  <c r="S1043" i="34"/>
  <c r="T1043" i="34"/>
  <c r="V1043" i="34"/>
  <c r="X1043" i="34"/>
  <c r="Y1043" i="34"/>
  <c r="N1044" i="34"/>
  <c r="R1044" i="34"/>
  <c r="S1044" i="34"/>
  <c r="T1044" i="34"/>
  <c r="V1044" i="34"/>
  <c r="X1044" i="34"/>
  <c r="Y1044" i="34"/>
  <c r="N1045" i="34"/>
  <c r="R1045" i="34"/>
  <c r="S1045" i="34"/>
  <c r="T1045" i="34"/>
  <c r="V1045" i="34"/>
  <c r="X1045" i="34"/>
  <c r="Y1045" i="34"/>
  <c r="N1046" i="34"/>
  <c r="R1046" i="34"/>
  <c r="S1046" i="34"/>
  <c r="T1046" i="34"/>
  <c r="V1046" i="34"/>
  <c r="X1046" i="34"/>
  <c r="Y1046" i="34"/>
  <c r="N1047" i="34"/>
  <c r="R1047" i="34"/>
  <c r="S1047" i="34"/>
  <c r="T1047" i="34"/>
  <c r="V1047" i="34"/>
  <c r="X1047" i="34"/>
  <c r="Y1047" i="34"/>
  <c r="N1048" i="34"/>
  <c r="R1048" i="34"/>
  <c r="S1048" i="34"/>
  <c r="T1048" i="34"/>
  <c r="V1048" i="34"/>
  <c r="X1048" i="34"/>
  <c r="Y1048" i="34"/>
  <c r="N1049" i="34"/>
  <c r="R1049" i="34"/>
  <c r="S1049" i="34"/>
  <c r="T1049" i="34"/>
  <c r="V1049" i="34"/>
  <c r="X1049" i="34"/>
  <c r="Y1049" i="34"/>
  <c r="N1050" i="34"/>
  <c r="R1050" i="34"/>
  <c r="S1050" i="34"/>
  <c r="T1050" i="34"/>
  <c r="V1050" i="34"/>
  <c r="X1050" i="34"/>
  <c r="Y1050" i="34"/>
  <c r="N1051" i="34"/>
  <c r="R1051" i="34"/>
  <c r="S1051" i="34"/>
  <c r="T1051" i="34"/>
  <c r="V1051" i="34"/>
  <c r="X1051" i="34"/>
  <c r="Y1051" i="34"/>
  <c r="N1052" i="34"/>
  <c r="R1052" i="34"/>
  <c r="S1052" i="34"/>
  <c r="T1052" i="34"/>
  <c r="V1052" i="34"/>
  <c r="X1052" i="34"/>
  <c r="Y1052" i="34"/>
  <c r="N1053" i="34"/>
  <c r="R1053" i="34"/>
  <c r="S1053" i="34"/>
  <c r="T1053" i="34"/>
  <c r="V1053" i="34"/>
  <c r="X1053" i="34"/>
  <c r="Y1053" i="34"/>
  <c r="N1054" i="34"/>
  <c r="R1054" i="34"/>
  <c r="S1054" i="34"/>
  <c r="T1054" i="34"/>
  <c r="V1054" i="34"/>
  <c r="X1054" i="34"/>
  <c r="Y1054" i="34"/>
  <c r="N1055" i="34"/>
  <c r="R1055" i="34"/>
  <c r="S1055" i="34"/>
  <c r="T1055" i="34"/>
  <c r="V1055" i="34"/>
  <c r="X1055" i="34"/>
  <c r="Y1055" i="34"/>
  <c r="N1056" i="34"/>
  <c r="R1056" i="34"/>
  <c r="S1056" i="34"/>
  <c r="T1056" i="34"/>
  <c r="V1056" i="34"/>
  <c r="X1056" i="34"/>
  <c r="Y1056" i="34"/>
  <c r="N1057" i="34"/>
  <c r="R1057" i="34"/>
  <c r="S1057" i="34"/>
  <c r="T1057" i="34"/>
  <c r="V1057" i="34"/>
  <c r="X1057" i="34"/>
  <c r="Y1057" i="34"/>
  <c r="N1058" i="34"/>
  <c r="R1058" i="34"/>
  <c r="S1058" i="34"/>
  <c r="T1058" i="34"/>
  <c r="V1058" i="34"/>
  <c r="X1058" i="34"/>
  <c r="Y1058" i="34"/>
  <c r="N1059" i="34"/>
  <c r="R1059" i="34"/>
  <c r="S1059" i="34"/>
  <c r="T1059" i="34"/>
  <c r="V1059" i="34"/>
  <c r="X1059" i="34"/>
  <c r="Y1059" i="34"/>
  <c r="N1060" i="34"/>
  <c r="R1060" i="34"/>
  <c r="S1060" i="34"/>
  <c r="T1060" i="34"/>
  <c r="V1060" i="34"/>
  <c r="X1060" i="34"/>
  <c r="Y1060" i="34"/>
  <c r="N1061" i="34"/>
  <c r="R1061" i="34"/>
  <c r="S1061" i="34"/>
  <c r="T1061" i="34"/>
  <c r="V1061" i="34"/>
  <c r="X1061" i="34"/>
  <c r="Y1061" i="34"/>
  <c r="N1062" i="34"/>
  <c r="R1062" i="34"/>
  <c r="S1062" i="34"/>
  <c r="T1062" i="34"/>
  <c r="V1062" i="34"/>
  <c r="X1062" i="34"/>
  <c r="Y1062" i="34"/>
  <c r="N1063" i="34"/>
  <c r="R1063" i="34"/>
  <c r="S1063" i="34"/>
  <c r="T1063" i="34"/>
  <c r="V1063" i="34"/>
  <c r="X1063" i="34"/>
  <c r="Y1063" i="34"/>
  <c r="N1064" i="34"/>
  <c r="R1064" i="34"/>
  <c r="S1064" i="34"/>
  <c r="T1064" i="34"/>
  <c r="V1064" i="34"/>
  <c r="X1064" i="34"/>
  <c r="Y1064" i="34"/>
  <c r="N1065" i="34"/>
  <c r="R1065" i="34"/>
  <c r="S1065" i="34"/>
  <c r="T1065" i="34"/>
  <c r="V1065" i="34"/>
  <c r="X1065" i="34"/>
  <c r="Y1065" i="34"/>
  <c r="N1066" i="34"/>
  <c r="R1066" i="34"/>
  <c r="S1066" i="34"/>
  <c r="T1066" i="34"/>
  <c r="V1066" i="34"/>
  <c r="X1066" i="34"/>
  <c r="Y1066" i="34"/>
  <c r="N1067" i="34"/>
  <c r="R1067" i="34"/>
  <c r="S1067" i="34"/>
  <c r="T1067" i="34"/>
  <c r="V1067" i="34"/>
  <c r="X1067" i="34"/>
  <c r="Y1067" i="34"/>
  <c r="N1068" i="34"/>
  <c r="R1068" i="34"/>
  <c r="S1068" i="34"/>
  <c r="T1068" i="34"/>
  <c r="V1068" i="34"/>
  <c r="X1068" i="34"/>
  <c r="Y1068" i="34"/>
  <c r="N1069" i="34"/>
  <c r="R1069" i="34"/>
  <c r="S1069" i="34"/>
  <c r="T1069" i="34"/>
  <c r="V1069" i="34"/>
  <c r="X1069" i="34"/>
  <c r="Y1069" i="34"/>
  <c r="N1070" i="34"/>
  <c r="R1070" i="34"/>
  <c r="S1070" i="34"/>
  <c r="T1070" i="34"/>
  <c r="V1070" i="34"/>
  <c r="X1070" i="34"/>
  <c r="Y1070" i="34"/>
  <c r="N1071" i="34"/>
  <c r="R1071" i="34"/>
  <c r="S1071" i="34"/>
  <c r="T1071" i="34"/>
  <c r="V1071" i="34"/>
  <c r="X1071" i="34"/>
  <c r="Y1071" i="34"/>
  <c r="N1072" i="34"/>
  <c r="R1072" i="34"/>
  <c r="S1072" i="34"/>
  <c r="T1072" i="34"/>
  <c r="V1072" i="34"/>
  <c r="X1072" i="34"/>
  <c r="Y1072" i="34"/>
  <c r="N1073" i="34"/>
  <c r="R1073" i="34"/>
  <c r="S1073" i="34"/>
  <c r="T1073" i="34"/>
  <c r="V1073" i="34"/>
  <c r="X1073" i="34"/>
  <c r="Y1073" i="34"/>
  <c r="N1074" i="34"/>
  <c r="R1074" i="34"/>
  <c r="S1074" i="34"/>
  <c r="T1074" i="34"/>
  <c r="V1074" i="34"/>
  <c r="X1074" i="34"/>
  <c r="Y1074" i="34"/>
  <c r="N1075" i="34"/>
  <c r="R1075" i="34"/>
  <c r="S1075" i="34"/>
  <c r="T1075" i="34"/>
  <c r="V1075" i="34"/>
  <c r="X1075" i="34"/>
  <c r="Y1075" i="34"/>
  <c r="N1076" i="34"/>
  <c r="R1076" i="34"/>
  <c r="S1076" i="34"/>
  <c r="T1076" i="34"/>
  <c r="V1076" i="34"/>
  <c r="X1076" i="34"/>
  <c r="Y1076" i="34"/>
  <c r="N1077" i="34"/>
  <c r="R1077" i="34"/>
  <c r="S1077" i="34"/>
  <c r="T1077" i="34"/>
  <c r="V1077" i="34"/>
  <c r="X1077" i="34"/>
  <c r="Y1077" i="34"/>
  <c r="N1078" i="34"/>
  <c r="R1078" i="34"/>
  <c r="S1078" i="34"/>
  <c r="T1078" i="34"/>
  <c r="V1078" i="34"/>
  <c r="X1078" i="34"/>
  <c r="Y1078" i="34"/>
  <c r="N1079" i="34"/>
  <c r="R1079" i="34"/>
  <c r="S1079" i="34"/>
  <c r="T1079" i="34"/>
  <c r="V1079" i="34"/>
  <c r="X1079" i="34"/>
  <c r="Y1079" i="34"/>
  <c r="N1080" i="34"/>
  <c r="R1080" i="34"/>
  <c r="S1080" i="34"/>
  <c r="T1080" i="34"/>
  <c r="V1080" i="34"/>
  <c r="X1080" i="34"/>
  <c r="Y1080" i="34"/>
  <c r="N1081" i="34"/>
  <c r="R1081" i="34"/>
  <c r="S1081" i="34"/>
  <c r="T1081" i="34"/>
  <c r="V1081" i="34"/>
  <c r="X1081" i="34"/>
  <c r="Y1081" i="34"/>
  <c r="N1082" i="34"/>
  <c r="R1082" i="34"/>
  <c r="S1082" i="34"/>
  <c r="T1082" i="34"/>
  <c r="V1082" i="34"/>
  <c r="X1082" i="34"/>
  <c r="Y1082" i="34"/>
  <c r="N1083" i="34"/>
  <c r="R1083" i="34"/>
  <c r="S1083" i="34"/>
  <c r="T1083" i="34"/>
  <c r="V1083" i="34"/>
  <c r="X1083" i="34"/>
  <c r="Y1083" i="34"/>
  <c r="N1084" i="34"/>
  <c r="R1084" i="34"/>
  <c r="S1084" i="34"/>
  <c r="T1084" i="34"/>
  <c r="V1084" i="34"/>
  <c r="X1084" i="34"/>
  <c r="Y1084" i="34"/>
  <c r="N1085" i="34"/>
  <c r="R1085" i="34"/>
  <c r="S1085" i="34"/>
  <c r="T1085" i="34"/>
  <c r="V1085" i="34"/>
  <c r="X1085" i="34"/>
  <c r="Y1085" i="34"/>
  <c r="N1086" i="34"/>
  <c r="R1086" i="34"/>
  <c r="S1086" i="34"/>
  <c r="T1086" i="34"/>
  <c r="V1086" i="34"/>
  <c r="X1086" i="34"/>
  <c r="Y1086" i="34"/>
  <c r="N1087" i="34"/>
  <c r="R1087" i="34"/>
  <c r="S1087" i="34"/>
  <c r="T1087" i="34"/>
  <c r="V1087" i="34"/>
  <c r="X1087" i="34"/>
  <c r="Y1087" i="34"/>
  <c r="N1088" i="34"/>
  <c r="R1088" i="34"/>
  <c r="S1088" i="34"/>
  <c r="T1088" i="34"/>
  <c r="V1088" i="34"/>
  <c r="X1088" i="34"/>
  <c r="Y1088" i="34"/>
  <c r="N1089" i="34"/>
  <c r="R1089" i="34"/>
  <c r="S1089" i="34"/>
  <c r="T1089" i="34"/>
  <c r="V1089" i="34"/>
  <c r="X1089" i="34"/>
  <c r="Y1089" i="34"/>
  <c r="N1090" i="34"/>
  <c r="R1090" i="34"/>
  <c r="S1090" i="34"/>
  <c r="T1090" i="34"/>
  <c r="V1090" i="34"/>
  <c r="X1090" i="34"/>
  <c r="Y1090" i="34"/>
  <c r="N1091" i="34"/>
  <c r="R1091" i="34"/>
  <c r="S1091" i="34"/>
  <c r="T1091" i="34"/>
  <c r="V1091" i="34"/>
  <c r="X1091" i="34"/>
  <c r="Y1091" i="34"/>
  <c r="N1092" i="34"/>
  <c r="R1092" i="34"/>
  <c r="S1092" i="34"/>
  <c r="T1092" i="34"/>
  <c r="V1092" i="34"/>
  <c r="X1092" i="34"/>
  <c r="Y1092" i="34"/>
  <c r="N1093" i="34"/>
  <c r="R1093" i="34"/>
  <c r="S1093" i="34"/>
  <c r="T1093" i="34"/>
  <c r="V1093" i="34"/>
  <c r="X1093" i="34"/>
  <c r="Y1093" i="34"/>
  <c r="N1094" i="34"/>
  <c r="R1094" i="34"/>
  <c r="S1094" i="34"/>
  <c r="T1094" i="34"/>
  <c r="V1094" i="34"/>
  <c r="X1094" i="34"/>
  <c r="Y1094" i="34"/>
  <c r="N1095" i="34"/>
  <c r="R1095" i="34"/>
  <c r="S1095" i="34"/>
  <c r="T1095" i="34"/>
  <c r="V1095" i="34"/>
  <c r="X1095" i="34"/>
  <c r="Y1095" i="34"/>
  <c r="N1096" i="34"/>
  <c r="R1096" i="34"/>
  <c r="S1096" i="34"/>
  <c r="T1096" i="34"/>
  <c r="V1096" i="34"/>
  <c r="X1096" i="34"/>
  <c r="Y1096" i="34"/>
  <c r="N1097" i="34"/>
  <c r="R1097" i="34"/>
  <c r="S1097" i="34"/>
  <c r="T1097" i="34"/>
  <c r="V1097" i="34"/>
  <c r="X1097" i="34"/>
  <c r="Y1097" i="34"/>
  <c r="N1098" i="34"/>
  <c r="R1098" i="34"/>
  <c r="S1098" i="34"/>
  <c r="T1098" i="34"/>
  <c r="V1098" i="34"/>
  <c r="X1098" i="34"/>
  <c r="Y1098" i="34"/>
  <c r="N1099" i="34"/>
  <c r="R1099" i="34"/>
  <c r="S1099" i="34"/>
  <c r="T1099" i="34"/>
  <c r="V1099" i="34"/>
  <c r="X1099" i="34"/>
  <c r="Y1099" i="34"/>
  <c r="N1100" i="34"/>
  <c r="R1100" i="34"/>
  <c r="S1100" i="34"/>
  <c r="T1100" i="34"/>
  <c r="V1100" i="34"/>
  <c r="X1100" i="34"/>
  <c r="Y1100" i="34"/>
  <c r="N1101" i="34"/>
  <c r="R1101" i="34"/>
  <c r="S1101" i="34"/>
  <c r="T1101" i="34"/>
  <c r="V1101" i="34"/>
  <c r="X1101" i="34"/>
  <c r="Y1101" i="34"/>
  <c r="N1102" i="34"/>
  <c r="R1102" i="34"/>
  <c r="S1102" i="34"/>
  <c r="T1102" i="34"/>
  <c r="V1102" i="34"/>
  <c r="X1102" i="34"/>
  <c r="Y1102" i="34"/>
  <c r="N1103" i="34"/>
  <c r="R1103" i="34"/>
  <c r="S1103" i="34"/>
  <c r="T1103" i="34"/>
  <c r="V1103" i="34"/>
  <c r="X1103" i="34"/>
  <c r="Y1103" i="34"/>
  <c r="N1104" i="34"/>
  <c r="R1104" i="34"/>
  <c r="S1104" i="34"/>
  <c r="T1104" i="34"/>
  <c r="V1104" i="34"/>
  <c r="X1104" i="34"/>
  <c r="Y1104" i="34"/>
  <c r="N1105" i="34"/>
  <c r="R1105" i="34"/>
  <c r="S1105" i="34"/>
  <c r="T1105" i="34"/>
  <c r="V1105" i="34"/>
  <c r="X1105" i="34"/>
  <c r="Y1105" i="34"/>
  <c r="N1106" i="34"/>
  <c r="R1106" i="34"/>
  <c r="S1106" i="34"/>
  <c r="T1106" i="34"/>
  <c r="V1106" i="34"/>
  <c r="X1106" i="34"/>
  <c r="Y1106" i="34"/>
  <c r="N1107" i="34"/>
  <c r="R1107" i="34"/>
  <c r="S1107" i="34"/>
  <c r="T1107" i="34"/>
  <c r="V1107" i="34"/>
  <c r="X1107" i="34"/>
  <c r="Y1107" i="34"/>
  <c r="N1108" i="34"/>
  <c r="R1108" i="34"/>
  <c r="S1108" i="34"/>
  <c r="T1108" i="34"/>
  <c r="V1108" i="34"/>
  <c r="X1108" i="34"/>
  <c r="Y1108" i="34"/>
  <c r="N1109" i="34"/>
  <c r="R1109" i="34"/>
  <c r="S1109" i="34"/>
  <c r="T1109" i="34"/>
  <c r="V1109" i="34"/>
  <c r="X1109" i="34"/>
  <c r="Y1109" i="34"/>
  <c r="N1110" i="34"/>
  <c r="R1110" i="34"/>
  <c r="S1110" i="34"/>
  <c r="T1110" i="34"/>
  <c r="V1110" i="34"/>
  <c r="X1110" i="34"/>
  <c r="Y1110" i="34"/>
  <c r="N1111" i="34"/>
  <c r="R1111" i="34"/>
  <c r="S1111" i="34"/>
  <c r="T1111" i="34"/>
  <c r="V1111" i="34"/>
  <c r="X1111" i="34"/>
  <c r="Y1111" i="34"/>
  <c r="N1112" i="34"/>
  <c r="R1112" i="34"/>
  <c r="S1112" i="34"/>
  <c r="T1112" i="34"/>
  <c r="V1112" i="34"/>
  <c r="X1112" i="34"/>
  <c r="Y1112" i="34"/>
  <c r="N1113" i="34"/>
  <c r="R1113" i="34"/>
  <c r="S1113" i="34"/>
  <c r="T1113" i="34"/>
  <c r="V1113" i="34"/>
  <c r="X1113" i="34"/>
  <c r="Y1113" i="34"/>
  <c r="N1114" i="34"/>
  <c r="R1114" i="34"/>
  <c r="S1114" i="34"/>
  <c r="T1114" i="34"/>
  <c r="V1114" i="34"/>
  <c r="X1114" i="34"/>
  <c r="Y1114" i="34"/>
  <c r="N1115" i="34"/>
  <c r="R1115" i="34"/>
  <c r="S1115" i="34"/>
  <c r="T1115" i="34"/>
  <c r="V1115" i="34"/>
  <c r="X1115" i="34"/>
  <c r="Y1115" i="34"/>
  <c r="N1116" i="34"/>
  <c r="R1116" i="34"/>
  <c r="S1116" i="34"/>
  <c r="T1116" i="34"/>
  <c r="V1116" i="34"/>
  <c r="X1116" i="34"/>
  <c r="Y1116" i="34"/>
  <c r="N1117" i="34"/>
  <c r="R1117" i="34"/>
  <c r="S1117" i="34"/>
  <c r="T1117" i="34"/>
  <c r="V1117" i="34"/>
  <c r="X1117" i="34"/>
  <c r="Y1117" i="34"/>
  <c r="N1118" i="34"/>
  <c r="R1118" i="34"/>
  <c r="S1118" i="34"/>
  <c r="T1118" i="34"/>
  <c r="V1118" i="34"/>
  <c r="X1118" i="34"/>
  <c r="Y1118" i="34"/>
  <c r="N1119" i="34"/>
  <c r="R1119" i="34"/>
  <c r="S1119" i="34"/>
  <c r="T1119" i="34"/>
  <c r="V1119" i="34"/>
  <c r="X1119" i="34"/>
  <c r="Y1119" i="34"/>
  <c r="N1120" i="34"/>
  <c r="R1120" i="34"/>
  <c r="S1120" i="34"/>
  <c r="T1120" i="34"/>
  <c r="V1120" i="34"/>
  <c r="X1120" i="34"/>
  <c r="Y1120" i="34"/>
  <c r="N1121" i="34"/>
  <c r="R1121" i="34"/>
  <c r="S1121" i="34"/>
  <c r="T1121" i="34"/>
  <c r="V1121" i="34"/>
  <c r="X1121" i="34"/>
  <c r="Y1121" i="34"/>
  <c r="N1122" i="34"/>
  <c r="R1122" i="34"/>
  <c r="S1122" i="34"/>
  <c r="T1122" i="34"/>
  <c r="V1122" i="34"/>
  <c r="X1122" i="34"/>
  <c r="Y1122" i="34"/>
  <c r="N1123" i="34"/>
  <c r="R1123" i="34"/>
  <c r="S1123" i="34"/>
  <c r="T1123" i="34"/>
  <c r="V1123" i="34"/>
  <c r="X1123" i="34"/>
  <c r="Y1123" i="34"/>
  <c r="N1124" i="34"/>
  <c r="R1124" i="34"/>
  <c r="S1124" i="34"/>
  <c r="T1124" i="34"/>
  <c r="V1124" i="34"/>
  <c r="X1124" i="34"/>
  <c r="Y1124" i="34"/>
  <c r="N1125" i="34"/>
  <c r="R1125" i="34"/>
  <c r="S1125" i="34"/>
  <c r="T1125" i="34"/>
  <c r="V1125" i="34"/>
  <c r="X1125" i="34"/>
  <c r="Y1125" i="34"/>
  <c r="N1126" i="34"/>
  <c r="R1126" i="34"/>
  <c r="S1126" i="34"/>
  <c r="T1126" i="34"/>
  <c r="V1126" i="34"/>
  <c r="X1126" i="34"/>
  <c r="Y1126" i="34"/>
  <c r="N1127" i="34"/>
  <c r="R1127" i="34"/>
  <c r="S1127" i="34"/>
  <c r="T1127" i="34"/>
  <c r="V1127" i="34"/>
  <c r="X1127" i="34"/>
  <c r="Y1127" i="34"/>
  <c r="N1128" i="34"/>
  <c r="R1128" i="34"/>
  <c r="S1128" i="34"/>
  <c r="T1128" i="34"/>
  <c r="V1128" i="34"/>
  <c r="X1128" i="34"/>
  <c r="Y1128" i="34"/>
  <c r="N1129" i="34"/>
  <c r="R1129" i="34"/>
  <c r="S1129" i="34"/>
  <c r="T1129" i="34"/>
  <c r="V1129" i="34"/>
  <c r="X1129" i="34"/>
  <c r="Y1129" i="34"/>
  <c r="N1130" i="34"/>
  <c r="R1130" i="34"/>
  <c r="S1130" i="34"/>
  <c r="T1130" i="34"/>
  <c r="V1130" i="34"/>
  <c r="X1130" i="34"/>
  <c r="Y1130" i="34"/>
  <c r="N1131" i="34"/>
  <c r="R1131" i="34"/>
  <c r="S1131" i="34"/>
  <c r="T1131" i="34"/>
  <c r="V1131" i="34"/>
  <c r="X1131" i="34"/>
  <c r="Y1131" i="34"/>
  <c r="N1132" i="34"/>
  <c r="R1132" i="34"/>
  <c r="S1132" i="34"/>
  <c r="T1132" i="34"/>
  <c r="V1132" i="34"/>
  <c r="X1132" i="34"/>
  <c r="Y1132" i="34"/>
  <c r="N1133" i="34"/>
  <c r="R1133" i="34"/>
  <c r="S1133" i="34"/>
  <c r="T1133" i="34"/>
  <c r="V1133" i="34"/>
  <c r="X1133" i="34"/>
  <c r="Y1133" i="34"/>
  <c r="N1134" i="34"/>
  <c r="R1134" i="34"/>
  <c r="S1134" i="34"/>
  <c r="T1134" i="34"/>
  <c r="V1134" i="34"/>
  <c r="X1134" i="34"/>
  <c r="Y1134" i="34"/>
  <c r="N1135" i="34"/>
  <c r="R1135" i="34"/>
  <c r="S1135" i="34"/>
  <c r="T1135" i="34"/>
  <c r="V1135" i="34"/>
  <c r="X1135" i="34"/>
  <c r="Y1135" i="34"/>
  <c r="N1136" i="34"/>
  <c r="R1136" i="34"/>
  <c r="S1136" i="34"/>
  <c r="T1136" i="34"/>
  <c r="V1136" i="34"/>
  <c r="X1136" i="34"/>
  <c r="Y1136" i="34"/>
  <c r="N1137" i="34"/>
  <c r="R1137" i="34"/>
  <c r="S1137" i="34"/>
  <c r="T1137" i="34"/>
  <c r="V1137" i="34"/>
  <c r="X1137" i="34"/>
  <c r="Y1137" i="34"/>
  <c r="N1138" i="34"/>
  <c r="R1138" i="34"/>
  <c r="S1138" i="34"/>
  <c r="T1138" i="34"/>
  <c r="V1138" i="34"/>
  <c r="X1138" i="34"/>
  <c r="Y1138" i="34"/>
  <c r="N1139" i="34"/>
  <c r="R1139" i="34"/>
  <c r="S1139" i="34"/>
  <c r="T1139" i="34"/>
  <c r="V1139" i="34"/>
  <c r="X1139" i="34"/>
  <c r="Y1139" i="34"/>
  <c r="N1140" i="34"/>
  <c r="R1140" i="34"/>
  <c r="S1140" i="34"/>
  <c r="T1140" i="34"/>
  <c r="V1140" i="34"/>
  <c r="X1140" i="34"/>
  <c r="Y1140" i="34"/>
  <c r="N1141" i="34"/>
  <c r="R1141" i="34"/>
  <c r="S1141" i="34"/>
  <c r="T1141" i="34"/>
  <c r="V1141" i="34"/>
  <c r="X1141" i="34"/>
  <c r="Y1141" i="34"/>
  <c r="N1142" i="34"/>
  <c r="R1142" i="34"/>
  <c r="S1142" i="34"/>
  <c r="T1142" i="34"/>
  <c r="V1142" i="34"/>
  <c r="X1142" i="34"/>
  <c r="Y1142" i="34"/>
  <c r="N1143" i="34"/>
  <c r="R1143" i="34"/>
  <c r="S1143" i="34"/>
  <c r="T1143" i="34"/>
  <c r="V1143" i="34"/>
  <c r="X1143" i="34"/>
  <c r="Y1143" i="34"/>
  <c r="N1144" i="34"/>
  <c r="R1144" i="34"/>
  <c r="S1144" i="34"/>
  <c r="T1144" i="34"/>
  <c r="V1144" i="34"/>
  <c r="X1144" i="34"/>
  <c r="Y1144" i="34"/>
  <c r="N1145" i="34"/>
  <c r="R1145" i="34"/>
  <c r="S1145" i="34"/>
  <c r="T1145" i="34"/>
  <c r="V1145" i="34"/>
  <c r="X1145" i="34"/>
  <c r="Y1145" i="34"/>
  <c r="N1146" i="34"/>
  <c r="R1146" i="34"/>
  <c r="S1146" i="34"/>
  <c r="T1146" i="34"/>
  <c r="V1146" i="34"/>
  <c r="X1146" i="34"/>
  <c r="Y1146" i="34"/>
  <c r="N1147" i="34"/>
  <c r="R1147" i="34"/>
  <c r="S1147" i="34"/>
  <c r="T1147" i="34"/>
  <c r="V1147" i="34"/>
  <c r="X1147" i="34"/>
  <c r="Y1147" i="34"/>
  <c r="N1148" i="34"/>
  <c r="R1148" i="34"/>
  <c r="S1148" i="34"/>
  <c r="T1148" i="34"/>
  <c r="V1148" i="34"/>
  <c r="X1148" i="34"/>
  <c r="Y1148" i="34"/>
  <c r="N1149" i="34"/>
  <c r="R1149" i="34"/>
  <c r="S1149" i="34"/>
  <c r="T1149" i="34"/>
  <c r="V1149" i="34"/>
  <c r="X1149" i="34"/>
  <c r="Y1149" i="34"/>
  <c r="N1150" i="34"/>
  <c r="R1150" i="34"/>
  <c r="S1150" i="34"/>
  <c r="T1150" i="34"/>
  <c r="V1150" i="34"/>
  <c r="X1150" i="34"/>
  <c r="Y1150" i="34"/>
  <c r="N1151" i="34"/>
  <c r="R1151" i="34"/>
  <c r="S1151" i="34"/>
  <c r="T1151" i="34"/>
  <c r="V1151" i="34"/>
  <c r="X1151" i="34"/>
  <c r="Y1151" i="34"/>
  <c r="N1152" i="34"/>
  <c r="R1152" i="34"/>
  <c r="S1152" i="34"/>
  <c r="T1152" i="34"/>
  <c r="V1152" i="34"/>
  <c r="X1152" i="34"/>
  <c r="Y1152" i="34"/>
  <c r="N1153" i="34"/>
  <c r="R1153" i="34"/>
  <c r="S1153" i="34"/>
  <c r="T1153" i="34"/>
  <c r="V1153" i="34"/>
  <c r="X1153" i="34"/>
  <c r="Y1153" i="34"/>
  <c r="N1154" i="34"/>
  <c r="R1154" i="34"/>
  <c r="S1154" i="34"/>
  <c r="T1154" i="34"/>
  <c r="V1154" i="34"/>
  <c r="X1154" i="34"/>
  <c r="Y1154" i="34"/>
  <c r="N1155" i="34"/>
  <c r="R1155" i="34"/>
  <c r="S1155" i="34"/>
  <c r="T1155" i="34"/>
  <c r="V1155" i="34"/>
  <c r="X1155" i="34"/>
  <c r="Y1155" i="34"/>
  <c r="N1156" i="34"/>
  <c r="R1156" i="34"/>
  <c r="S1156" i="34"/>
  <c r="T1156" i="34"/>
  <c r="V1156" i="34"/>
  <c r="X1156" i="34"/>
  <c r="Y1156" i="34"/>
  <c r="N1157" i="34"/>
  <c r="R1157" i="34"/>
  <c r="S1157" i="34"/>
  <c r="T1157" i="34"/>
  <c r="V1157" i="34"/>
  <c r="X1157" i="34"/>
  <c r="Y1157" i="34"/>
  <c r="N1158" i="34"/>
  <c r="R1158" i="34"/>
  <c r="S1158" i="34"/>
  <c r="T1158" i="34"/>
  <c r="V1158" i="34"/>
  <c r="X1158" i="34"/>
  <c r="Y1158" i="34"/>
  <c r="N1159" i="34"/>
  <c r="R1159" i="34"/>
  <c r="S1159" i="34"/>
  <c r="T1159" i="34"/>
  <c r="V1159" i="34"/>
  <c r="X1159" i="34"/>
  <c r="Y1159" i="34"/>
  <c r="N1160" i="34"/>
  <c r="R1160" i="34"/>
  <c r="S1160" i="34"/>
  <c r="T1160" i="34"/>
  <c r="V1160" i="34"/>
  <c r="X1160" i="34"/>
  <c r="Y1160" i="34"/>
  <c r="N1161" i="34"/>
  <c r="R1161" i="34"/>
  <c r="S1161" i="34"/>
  <c r="T1161" i="34"/>
  <c r="V1161" i="34"/>
  <c r="X1161" i="34"/>
  <c r="Y1161" i="34"/>
  <c r="N1162" i="34"/>
  <c r="R1162" i="34"/>
  <c r="S1162" i="34"/>
  <c r="T1162" i="34"/>
  <c r="V1162" i="34"/>
  <c r="X1162" i="34"/>
  <c r="Y1162" i="34"/>
  <c r="N1163" i="34"/>
  <c r="R1163" i="34"/>
  <c r="S1163" i="34"/>
  <c r="T1163" i="34"/>
  <c r="V1163" i="34"/>
  <c r="X1163" i="34"/>
  <c r="Y1163" i="34"/>
  <c r="N1164" i="34"/>
  <c r="R1164" i="34"/>
  <c r="S1164" i="34"/>
  <c r="T1164" i="34"/>
  <c r="V1164" i="34"/>
  <c r="X1164" i="34"/>
  <c r="Y1164" i="34"/>
  <c r="N1165" i="34"/>
  <c r="R1165" i="34"/>
  <c r="S1165" i="34"/>
  <c r="T1165" i="34"/>
  <c r="V1165" i="34"/>
  <c r="X1165" i="34"/>
  <c r="Y1165" i="34"/>
  <c r="N1166" i="34"/>
  <c r="R1166" i="34"/>
  <c r="S1166" i="34"/>
  <c r="T1166" i="34"/>
  <c r="V1166" i="34"/>
  <c r="X1166" i="34"/>
  <c r="Y1166" i="34"/>
  <c r="N1167" i="34"/>
  <c r="R1167" i="34"/>
  <c r="S1167" i="34"/>
  <c r="T1167" i="34"/>
  <c r="V1167" i="34"/>
  <c r="X1167" i="34"/>
  <c r="Y1167" i="34"/>
  <c r="N1168" i="34"/>
  <c r="R1168" i="34"/>
  <c r="S1168" i="34"/>
  <c r="T1168" i="34"/>
  <c r="V1168" i="34"/>
  <c r="X1168" i="34"/>
  <c r="Y1168" i="34"/>
  <c r="N1169" i="34"/>
  <c r="R1169" i="34"/>
  <c r="S1169" i="34"/>
  <c r="T1169" i="34"/>
  <c r="V1169" i="34"/>
  <c r="X1169" i="34"/>
  <c r="Y1169" i="34"/>
  <c r="N1170" i="34"/>
  <c r="R1170" i="34"/>
  <c r="S1170" i="34"/>
  <c r="T1170" i="34"/>
  <c r="V1170" i="34"/>
  <c r="X1170" i="34"/>
  <c r="Y1170" i="34"/>
  <c r="N1171" i="34"/>
  <c r="R1171" i="34"/>
  <c r="S1171" i="34"/>
  <c r="T1171" i="34"/>
  <c r="V1171" i="34"/>
  <c r="X1171" i="34"/>
  <c r="Y1171" i="34"/>
  <c r="N1172" i="34"/>
  <c r="R1172" i="34"/>
  <c r="S1172" i="34"/>
  <c r="T1172" i="34"/>
  <c r="V1172" i="34"/>
  <c r="X1172" i="34"/>
  <c r="Y1172" i="34"/>
  <c r="N1173" i="34"/>
  <c r="R1173" i="34"/>
  <c r="S1173" i="34"/>
  <c r="T1173" i="34"/>
  <c r="V1173" i="34"/>
  <c r="X1173" i="34"/>
  <c r="Y1173" i="34"/>
  <c r="N1174" i="34"/>
  <c r="R1174" i="34"/>
  <c r="S1174" i="34"/>
  <c r="T1174" i="34"/>
  <c r="V1174" i="34"/>
  <c r="X1174" i="34"/>
  <c r="Y1174" i="34"/>
  <c r="N1175" i="34"/>
  <c r="R1175" i="34"/>
  <c r="S1175" i="34"/>
  <c r="T1175" i="34"/>
  <c r="V1175" i="34"/>
  <c r="X1175" i="34"/>
  <c r="Y1175" i="34"/>
  <c r="N1176" i="34"/>
  <c r="R1176" i="34"/>
  <c r="S1176" i="34"/>
  <c r="T1176" i="34"/>
  <c r="V1176" i="34"/>
  <c r="X1176" i="34"/>
  <c r="Y1176" i="34"/>
  <c r="N1177" i="34"/>
  <c r="R1177" i="34"/>
  <c r="S1177" i="34"/>
  <c r="T1177" i="34"/>
  <c r="V1177" i="34"/>
  <c r="X1177" i="34"/>
  <c r="Y1177" i="34"/>
  <c r="N1178" i="34"/>
  <c r="R1178" i="34"/>
  <c r="S1178" i="34"/>
  <c r="T1178" i="34"/>
  <c r="V1178" i="34"/>
  <c r="X1178" i="34"/>
  <c r="Y1178" i="34"/>
  <c r="N1179" i="34"/>
  <c r="R1179" i="34"/>
  <c r="S1179" i="34"/>
  <c r="T1179" i="34"/>
  <c r="V1179" i="34"/>
  <c r="X1179" i="34"/>
  <c r="Y1179" i="34"/>
  <c r="N1180" i="34"/>
  <c r="R1180" i="34"/>
  <c r="S1180" i="34"/>
  <c r="T1180" i="34"/>
  <c r="V1180" i="34"/>
  <c r="X1180" i="34"/>
  <c r="Y1180" i="34"/>
  <c r="N1181" i="34"/>
  <c r="R1181" i="34"/>
  <c r="S1181" i="34"/>
  <c r="T1181" i="34"/>
  <c r="V1181" i="34"/>
  <c r="X1181" i="34"/>
  <c r="Y1181" i="34"/>
  <c r="N1182" i="34"/>
  <c r="R1182" i="34"/>
  <c r="S1182" i="34"/>
  <c r="T1182" i="34"/>
  <c r="V1182" i="34"/>
  <c r="X1182" i="34"/>
  <c r="Y1182" i="34"/>
  <c r="N1183" i="34"/>
  <c r="R1183" i="34"/>
  <c r="S1183" i="34"/>
  <c r="T1183" i="34"/>
  <c r="V1183" i="34"/>
  <c r="X1183" i="34"/>
  <c r="Y1183" i="34"/>
  <c r="N1184" i="34"/>
  <c r="R1184" i="34"/>
  <c r="S1184" i="34"/>
  <c r="T1184" i="34"/>
  <c r="V1184" i="34"/>
  <c r="X1184" i="34"/>
  <c r="Y1184" i="34"/>
  <c r="N1185" i="34"/>
  <c r="R1185" i="34"/>
  <c r="S1185" i="34"/>
  <c r="T1185" i="34"/>
  <c r="V1185" i="34"/>
  <c r="X1185" i="34"/>
  <c r="Y1185" i="34"/>
  <c r="N1186" i="34"/>
  <c r="R1186" i="34"/>
  <c r="S1186" i="34"/>
  <c r="T1186" i="34"/>
  <c r="V1186" i="34"/>
  <c r="X1186" i="34"/>
  <c r="Y1186" i="34"/>
  <c r="N1187" i="34"/>
  <c r="R1187" i="34"/>
  <c r="S1187" i="34"/>
  <c r="T1187" i="34"/>
  <c r="V1187" i="34"/>
  <c r="X1187" i="34"/>
  <c r="Y1187" i="34"/>
  <c r="N1188" i="34"/>
  <c r="R1188" i="34"/>
  <c r="S1188" i="34"/>
  <c r="T1188" i="34"/>
  <c r="V1188" i="34"/>
  <c r="X1188" i="34"/>
  <c r="Y1188" i="34"/>
  <c r="N1189" i="34"/>
  <c r="R1189" i="34"/>
  <c r="S1189" i="34"/>
  <c r="T1189" i="34"/>
  <c r="V1189" i="34"/>
  <c r="X1189" i="34"/>
  <c r="Y1189" i="34"/>
  <c r="N1190" i="34"/>
  <c r="R1190" i="34"/>
  <c r="S1190" i="34"/>
  <c r="T1190" i="34"/>
  <c r="V1190" i="34"/>
  <c r="X1190" i="34"/>
  <c r="Y1190" i="34"/>
  <c r="N1191" i="34"/>
  <c r="R1191" i="34"/>
  <c r="S1191" i="34"/>
  <c r="T1191" i="34"/>
  <c r="V1191" i="34"/>
  <c r="X1191" i="34"/>
  <c r="Y1191" i="34"/>
  <c r="N1192" i="34"/>
  <c r="R1192" i="34"/>
  <c r="S1192" i="34"/>
  <c r="T1192" i="34"/>
  <c r="V1192" i="34"/>
  <c r="X1192" i="34"/>
  <c r="Y1192" i="34"/>
  <c r="N1193" i="34"/>
  <c r="R1193" i="34"/>
  <c r="S1193" i="34"/>
  <c r="T1193" i="34"/>
  <c r="V1193" i="34"/>
  <c r="X1193" i="34"/>
  <c r="Y1193" i="34"/>
  <c r="N1194" i="34"/>
  <c r="R1194" i="34"/>
  <c r="S1194" i="34"/>
  <c r="T1194" i="34"/>
  <c r="V1194" i="34"/>
  <c r="X1194" i="34"/>
  <c r="Y1194" i="34"/>
  <c r="N1195" i="34"/>
  <c r="R1195" i="34"/>
  <c r="S1195" i="34"/>
  <c r="T1195" i="34"/>
  <c r="V1195" i="34"/>
  <c r="X1195" i="34"/>
  <c r="Y1195" i="34"/>
  <c r="N1196" i="34"/>
  <c r="R1196" i="34"/>
  <c r="S1196" i="34"/>
  <c r="T1196" i="34"/>
  <c r="V1196" i="34"/>
  <c r="X1196" i="34"/>
  <c r="Y1196" i="34"/>
  <c r="N1197" i="34"/>
  <c r="R1197" i="34"/>
  <c r="S1197" i="34"/>
  <c r="T1197" i="34"/>
  <c r="V1197" i="34"/>
  <c r="X1197" i="34"/>
  <c r="Y1197" i="34"/>
  <c r="N1198" i="34"/>
  <c r="R1198" i="34"/>
  <c r="S1198" i="34"/>
  <c r="T1198" i="34"/>
  <c r="V1198" i="34"/>
  <c r="X1198" i="34"/>
  <c r="Y1198" i="34"/>
  <c r="N1199" i="34"/>
  <c r="R1199" i="34"/>
  <c r="S1199" i="34"/>
  <c r="T1199" i="34"/>
  <c r="V1199" i="34"/>
  <c r="X1199" i="34"/>
  <c r="Y1199" i="34"/>
  <c r="N1200" i="34"/>
  <c r="R1200" i="34"/>
  <c r="S1200" i="34"/>
  <c r="T1200" i="34"/>
  <c r="V1200" i="34"/>
  <c r="X1200" i="34"/>
  <c r="Y1200" i="34"/>
  <c r="N1201" i="34"/>
  <c r="R1201" i="34"/>
  <c r="S1201" i="34"/>
  <c r="T1201" i="34"/>
  <c r="V1201" i="34"/>
  <c r="X1201" i="34"/>
  <c r="Y1201" i="34"/>
  <c r="N1202" i="34"/>
  <c r="R1202" i="34"/>
  <c r="S1202" i="34"/>
  <c r="T1202" i="34"/>
  <c r="V1202" i="34"/>
  <c r="X1202" i="34"/>
  <c r="Y1202" i="34"/>
  <c r="N1203" i="34"/>
  <c r="R1203" i="34"/>
  <c r="S1203" i="34"/>
  <c r="T1203" i="34"/>
  <c r="V1203" i="34"/>
  <c r="X1203" i="34"/>
  <c r="Y1203" i="34"/>
  <c r="N1204" i="34"/>
  <c r="R1204" i="34"/>
  <c r="S1204" i="34"/>
  <c r="T1204" i="34"/>
  <c r="V1204" i="34"/>
  <c r="X1204" i="34"/>
  <c r="Y1204" i="34"/>
  <c r="N1205" i="34"/>
  <c r="R1205" i="34"/>
  <c r="S1205" i="34"/>
  <c r="T1205" i="34"/>
  <c r="V1205" i="34"/>
  <c r="X1205" i="34"/>
  <c r="Y1205" i="34"/>
  <c r="N1206" i="34"/>
  <c r="R1206" i="34"/>
  <c r="S1206" i="34"/>
  <c r="T1206" i="34"/>
  <c r="V1206" i="34"/>
  <c r="X1206" i="34"/>
  <c r="Y1206" i="34"/>
  <c r="N1207" i="34"/>
  <c r="R1207" i="34"/>
  <c r="S1207" i="34"/>
  <c r="T1207" i="34"/>
  <c r="V1207" i="34"/>
  <c r="X1207" i="34"/>
  <c r="Y1207" i="34"/>
  <c r="N1208" i="34"/>
  <c r="R1208" i="34"/>
  <c r="S1208" i="34"/>
  <c r="T1208" i="34"/>
  <c r="V1208" i="34"/>
  <c r="X1208" i="34"/>
  <c r="Y1208" i="34"/>
  <c r="N1209" i="34"/>
  <c r="R1209" i="34"/>
  <c r="S1209" i="34"/>
  <c r="T1209" i="34"/>
  <c r="V1209" i="34"/>
  <c r="X1209" i="34"/>
  <c r="Y1209" i="34"/>
  <c r="N1210" i="34"/>
  <c r="R1210" i="34"/>
  <c r="S1210" i="34"/>
  <c r="T1210" i="34"/>
  <c r="V1210" i="34"/>
  <c r="X1210" i="34"/>
  <c r="Y1210" i="34"/>
  <c r="N1211" i="34"/>
  <c r="R1211" i="34"/>
  <c r="S1211" i="34"/>
  <c r="T1211" i="34"/>
  <c r="V1211" i="34"/>
  <c r="X1211" i="34"/>
  <c r="Y1211" i="34"/>
  <c r="N1212" i="34"/>
  <c r="R1212" i="34"/>
  <c r="S1212" i="34"/>
  <c r="T1212" i="34"/>
  <c r="V1212" i="34"/>
  <c r="X1212" i="34"/>
  <c r="Y1212" i="34"/>
  <c r="N1213" i="34"/>
  <c r="R1213" i="34"/>
  <c r="S1213" i="34"/>
  <c r="T1213" i="34"/>
  <c r="V1213" i="34"/>
  <c r="X1213" i="34"/>
  <c r="Y1213" i="34"/>
  <c r="N1214" i="34"/>
  <c r="R1214" i="34"/>
  <c r="S1214" i="34"/>
  <c r="T1214" i="34"/>
  <c r="V1214" i="34"/>
  <c r="X1214" i="34"/>
  <c r="Y1214" i="34"/>
  <c r="N1215" i="34"/>
  <c r="R1215" i="34"/>
  <c r="S1215" i="34"/>
  <c r="T1215" i="34"/>
  <c r="V1215" i="34"/>
  <c r="X1215" i="34"/>
  <c r="Y1215" i="34"/>
  <c r="N1216" i="34"/>
  <c r="R1216" i="34"/>
  <c r="S1216" i="34"/>
  <c r="T1216" i="34"/>
  <c r="V1216" i="34"/>
  <c r="X1216" i="34"/>
  <c r="Y1216" i="34"/>
  <c r="N1217" i="34"/>
  <c r="R1217" i="34"/>
  <c r="S1217" i="34"/>
  <c r="T1217" i="34"/>
  <c r="V1217" i="34"/>
  <c r="X1217" i="34"/>
  <c r="Y1217" i="34"/>
  <c r="N1218" i="34"/>
  <c r="R1218" i="34"/>
  <c r="S1218" i="34"/>
  <c r="T1218" i="34"/>
  <c r="V1218" i="34"/>
  <c r="X1218" i="34"/>
  <c r="Y1218" i="34"/>
  <c r="N1219" i="34"/>
  <c r="R1219" i="34"/>
  <c r="S1219" i="34"/>
  <c r="T1219" i="34"/>
  <c r="V1219" i="34"/>
  <c r="X1219" i="34"/>
  <c r="Y1219" i="34"/>
  <c r="N1220" i="34"/>
  <c r="R1220" i="34"/>
  <c r="S1220" i="34"/>
  <c r="T1220" i="34"/>
  <c r="V1220" i="34"/>
  <c r="X1220" i="34"/>
  <c r="Y1220" i="34"/>
  <c r="N1221" i="34"/>
  <c r="R1221" i="34"/>
  <c r="S1221" i="34"/>
  <c r="T1221" i="34"/>
  <c r="V1221" i="34"/>
  <c r="X1221" i="34"/>
  <c r="Y1221" i="34"/>
  <c r="N1222" i="34"/>
  <c r="R1222" i="34"/>
  <c r="S1222" i="34"/>
  <c r="T1222" i="34"/>
  <c r="V1222" i="34"/>
  <c r="X1222" i="34"/>
  <c r="Y1222" i="34"/>
  <c r="N1223" i="34"/>
  <c r="R1223" i="34"/>
  <c r="S1223" i="34"/>
  <c r="T1223" i="34"/>
  <c r="V1223" i="34"/>
  <c r="X1223" i="34"/>
  <c r="Y1223" i="34"/>
  <c r="N1224" i="34"/>
  <c r="R1224" i="34"/>
  <c r="S1224" i="34"/>
  <c r="T1224" i="34"/>
  <c r="V1224" i="34"/>
  <c r="X1224" i="34"/>
  <c r="Y1224" i="34"/>
  <c r="N1225" i="34"/>
  <c r="R1225" i="34"/>
  <c r="S1225" i="34"/>
  <c r="T1225" i="34"/>
  <c r="V1225" i="34"/>
  <c r="X1225" i="34"/>
  <c r="Y1225" i="34"/>
  <c r="N1226" i="34"/>
  <c r="R1226" i="34"/>
  <c r="S1226" i="34"/>
  <c r="T1226" i="34"/>
  <c r="V1226" i="34"/>
  <c r="X1226" i="34"/>
  <c r="Y1226" i="34"/>
  <c r="N1227" i="34"/>
  <c r="R1227" i="34"/>
  <c r="S1227" i="34"/>
  <c r="T1227" i="34"/>
  <c r="V1227" i="34"/>
  <c r="X1227" i="34"/>
  <c r="Y1227" i="34"/>
  <c r="N1228" i="34"/>
  <c r="R1228" i="34"/>
  <c r="S1228" i="34"/>
  <c r="T1228" i="34"/>
  <c r="V1228" i="34"/>
  <c r="X1228" i="34"/>
  <c r="Y1228" i="34"/>
  <c r="N1229" i="34"/>
  <c r="R1229" i="34"/>
  <c r="S1229" i="34"/>
  <c r="T1229" i="34"/>
  <c r="V1229" i="34"/>
  <c r="X1229" i="34"/>
  <c r="Y1229" i="34"/>
  <c r="N1230" i="34"/>
  <c r="R1230" i="34"/>
  <c r="S1230" i="34"/>
  <c r="T1230" i="34"/>
  <c r="V1230" i="34"/>
  <c r="X1230" i="34"/>
  <c r="Y1230" i="34"/>
  <c r="N1231" i="34"/>
  <c r="R1231" i="34"/>
  <c r="S1231" i="34"/>
  <c r="T1231" i="34"/>
  <c r="V1231" i="34"/>
  <c r="X1231" i="34"/>
  <c r="Y1231" i="34"/>
  <c r="N1232" i="34"/>
  <c r="R1232" i="34"/>
  <c r="S1232" i="34"/>
  <c r="T1232" i="34"/>
  <c r="V1232" i="34"/>
  <c r="X1232" i="34"/>
  <c r="Y1232" i="34"/>
  <c r="N1233" i="34"/>
  <c r="R1233" i="34"/>
  <c r="S1233" i="34"/>
  <c r="T1233" i="34"/>
  <c r="V1233" i="34"/>
  <c r="X1233" i="34"/>
  <c r="Y1233" i="34"/>
  <c r="N1234" i="34"/>
  <c r="R1234" i="34"/>
  <c r="S1234" i="34"/>
  <c r="T1234" i="34"/>
  <c r="V1234" i="34"/>
  <c r="X1234" i="34"/>
  <c r="Y1234" i="34"/>
  <c r="N1235" i="34"/>
  <c r="R1235" i="34"/>
  <c r="S1235" i="34"/>
  <c r="T1235" i="34"/>
  <c r="V1235" i="34"/>
  <c r="X1235" i="34"/>
  <c r="Y1235" i="34"/>
  <c r="N1236" i="34"/>
  <c r="R1236" i="34"/>
  <c r="S1236" i="34"/>
  <c r="T1236" i="34"/>
  <c r="V1236" i="34"/>
  <c r="X1236" i="34"/>
  <c r="Y1236" i="34"/>
  <c r="N1237" i="34"/>
  <c r="R1237" i="34"/>
  <c r="S1237" i="34"/>
  <c r="T1237" i="34"/>
  <c r="V1237" i="34"/>
  <c r="X1237" i="34"/>
  <c r="Y1237" i="34"/>
  <c r="N1238" i="34"/>
  <c r="R1238" i="34"/>
  <c r="S1238" i="34"/>
  <c r="T1238" i="34"/>
  <c r="V1238" i="34"/>
  <c r="X1238" i="34"/>
  <c r="Y1238" i="34"/>
  <c r="N1239" i="34"/>
  <c r="R1239" i="34"/>
  <c r="S1239" i="34"/>
  <c r="T1239" i="34"/>
  <c r="V1239" i="34"/>
  <c r="X1239" i="34"/>
  <c r="Y1239" i="34"/>
  <c r="N1240" i="34"/>
  <c r="R1240" i="34"/>
  <c r="S1240" i="34"/>
  <c r="T1240" i="34"/>
  <c r="V1240" i="34"/>
  <c r="X1240" i="34"/>
  <c r="Y1240" i="34"/>
  <c r="N1241" i="34"/>
  <c r="R1241" i="34"/>
  <c r="S1241" i="34"/>
  <c r="T1241" i="34"/>
  <c r="V1241" i="34"/>
  <c r="X1241" i="34"/>
  <c r="Y1241" i="34"/>
  <c r="N1242" i="34"/>
  <c r="R1242" i="34"/>
  <c r="S1242" i="34"/>
  <c r="T1242" i="34"/>
  <c r="V1242" i="34"/>
  <c r="X1242" i="34"/>
  <c r="Y1242" i="34"/>
  <c r="N1243" i="34"/>
  <c r="R1243" i="34"/>
  <c r="S1243" i="34"/>
  <c r="T1243" i="34"/>
  <c r="V1243" i="34"/>
  <c r="X1243" i="34"/>
  <c r="Y1243" i="34"/>
  <c r="N1244" i="34"/>
  <c r="R1244" i="34"/>
  <c r="S1244" i="34"/>
  <c r="T1244" i="34"/>
  <c r="V1244" i="34"/>
  <c r="X1244" i="34"/>
  <c r="Y1244" i="34"/>
  <c r="N1245" i="34"/>
  <c r="R1245" i="34"/>
  <c r="S1245" i="34"/>
  <c r="T1245" i="34"/>
  <c r="V1245" i="34"/>
  <c r="X1245" i="34"/>
  <c r="Y1245" i="34"/>
  <c r="N1246" i="34"/>
  <c r="R1246" i="34"/>
  <c r="S1246" i="34"/>
  <c r="T1246" i="34"/>
  <c r="V1246" i="34"/>
  <c r="X1246" i="34"/>
  <c r="Y1246" i="34"/>
  <c r="N1247" i="34"/>
  <c r="R1247" i="34"/>
  <c r="S1247" i="34"/>
  <c r="T1247" i="34"/>
  <c r="V1247" i="34"/>
  <c r="X1247" i="34"/>
  <c r="Y1247" i="34"/>
  <c r="N1248" i="34"/>
  <c r="R1248" i="34"/>
  <c r="S1248" i="34"/>
  <c r="T1248" i="34"/>
  <c r="V1248" i="34"/>
  <c r="X1248" i="34"/>
  <c r="Y1248" i="34"/>
  <c r="N1249" i="34"/>
  <c r="R1249" i="34"/>
  <c r="S1249" i="34"/>
  <c r="T1249" i="34"/>
  <c r="V1249" i="34"/>
  <c r="X1249" i="34"/>
  <c r="Y1249" i="34"/>
  <c r="N1250" i="34"/>
  <c r="R1250" i="34"/>
  <c r="S1250" i="34"/>
  <c r="T1250" i="34"/>
  <c r="V1250" i="34"/>
  <c r="X1250" i="34"/>
  <c r="Y1250" i="34"/>
  <c r="N1251" i="34"/>
  <c r="R1251" i="34"/>
  <c r="S1251" i="34"/>
  <c r="T1251" i="34"/>
  <c r="V1251" i="34"/>
  <c r="X1251" i="34"/>
  <c r="Y1251" i="34"/>
  <c r="N1252" i="34"/>
  <c r="R1252" i="34"/>
  <c r="S1252" i="34"/>
  <c r="T1252" i="34"/>
  <c r="V1252" i="34"/>
  <c r="X1252" i="34"/>
  <c r="Y1252" i="34"/>
  <c r="N1253" i="34"/>
  <c r="R1253" i="34"/>
  <c r="S1253" i="34"/>
  <c r="T1253" i="34"/>
  <c r="V1253" i="34"/>
  <c r="X1253" i="34"/>
  <c r="Y1253" i="34"/>
  <c r="N1254" i="34"/>
  <c r="R1254" i="34"/>
  <c r="S1254" i="34"/>
  <c r="T1254" i="34"/>
  <c r="V1254" i="34"/>
  <c r="X1254" i="34"/>
  <c r="Y1254" i="34"/>
  <c r="N1255" i="34"/>
  <c r="R1255" i="34"/>
  <c r="S1255" i="34"/>
  <c r="T1255" i="34"/>
  <c r="V1255" i="34"/>
  <c r="X1255" i="34"/>
  <c r="Y1255" i="34"/>
  <c r="N1256" i="34"/>
  <c r="R1256" i="34"/>
  <c r="S1256" i="34"/>
  <c r="T1256" i="34"/>
  <c r="V1256" i="34"/>
  <c r="X1256" i="34"/>
  <c r="Y1256" i="34"/>
  <c r="N1257" i="34"/>
  <c r="R1257" i="34"/>
  <c r="S1257" i="34"/>
  <c r="T1257" i="34"/>
  <c r="V1257" i="34"/>
  <c r="X1257" i="34"/>
  <c r="Y1257" i="34"/>
  <c r="N1258" i="34"/>
  <c r="R1258" i="34"/>
  <c r="S1258" i="34"/>
  <c r="T1258" i="34"/>
  <c r="V1258" i="34"/>
  <c r="X1258" i="34"/>
  <c r="Y1258" i="34"/>
  <c r="N1259" i="34"/>
  <c r="R1259" i="34"/>
  <c r="S1259" i="34"/>
  <c r="T1259" i="34"/>
  <c r="V1259" i="34"/>
  <c r="X1259" i="34"/>
  <c r="Y1259" i="34"/>
  <c r="N1260" i="34"/>
  <c r="R1260" i="34"/>
  <c r="S1260" i="34"/>
  <c r="T1260" i="34"/>
  <c r="V1260" i="34"/>
  <c r="X1260" i="34"/>
  <c r="Y1260" i="34"/>
  <c r="N1261" i="34"/>
  <c r="R1261" i="34"/>
  <c r="S1261" i="34"/>
  <c r="T1261" i="34"/>
  <c r="V1261" i="34"/>
  <c r="X1261" i="34"/>
  <c r="Y1261" i="34"/>
  <c r="N1262" i="34"/>
  <c r="R1262" i="34"/>
  <c r="S1262" i="34"/>
  <c r="T1262" i="34"/>
  <c r="V1262" i="34"/>
  <c r="X1262" i="34"/>
  <c r="Y1262" i="34"/>
  <c r="N1263" i="34"/>
  <c r="R1263" i="34"/>
  <c r="S1263" i="34"/>
  <c r="T1263" i="34"/>
  <c r="V1263" i="34"/>
  <c r="X1263" i="34"/>
  <c r="Y1263" i="34"/>
  <c r="N1264" i="34"/>
  <c r="R1264" i="34"/>
  <c r="S1264" i="34"/>
  <c r="T1264" i="34"/>
  <c r="V1264" i="34"/>
  <c r="X1264" i="34"/>
  <c r="Y1264" i="34"/>
  <c r="N1265" i="34"/>
  <c r="R1265" i="34"/>
  <c r="S1265" i="34"/>
  <c r="T1265" i="34"/>
  <c r="V1265" i="34"/>
  <c r="X1265" i="34"/>
  <c r="Y1265" i="34"/>
  <c r="N1266" i="34"/>
  <c r="R1266" i="34"/>
  <c r="S1266" i="34"/>
  <c r="T1266" i="34"/>
  <c r="V1266" i="34"/>
  <c r="X1266" i="34"/>
  <c r="Y1266" i="34"/>
  <c r="N1267" i="34"/>
  <c r="R1267" i="34"/>
  <c r="S1267" i="34"/>
  <c r="T1267" i="34"/>
  <c r="V1267" i="34"/>
  <c r="X1267" i="34"/>
  <c r="Y1267" i="34"/>
  <c r="N1268" i="34"/>
  <c r="R1268" i="34"/>
  <c r="S1268" i="34"/>
  <c r="T1268" i="34"/>
  <c r="V1268" i="34"/>
  <c r="X1268" i="34"/>
  <c r="Y1268" i="34"/>
  <c r="N1269" i="34"/>
  <c r="R1269" i="34"/>
  <c r="S1269" i="34"/>
  <c r="T1269" i="34"/>
  <c r="V1269" i="34"/>
  <c r="X1269" i="34"/>
  <c r="Y1269" i="34"/>
  <c r="N1270" i="34"/>
  <c r="R1270" i="34"/>
  <c r="S1270" i="34"/>
  <c r="T1270" i="34"/>
  <c r="V1270" i="34"/>
  <c r="X1270" i="34"/>
  <c r="Y1270" i="34"/>
  <c r="N1271" i="34"/>
  <c r="R1271" i="34"/>
  <c r="S1271" i="34"/>
  <c r="T1271" i="34"/>
  <c r="V1271" i="34"/>
  <c r="X1271" i="34"/>
  <c r="Y1271" i="34"/>
  <c r="N1272" i="34"/>
  <c r="R1272" i="34"/>
  <c r="S1272" i="34"/>
  <c r="T1272" i="34"/>
  <c r="V1272" i="34"/>
  <c r="X1272" i="34"/>
  <c r="Y1272" i="34"/>
  <c r="N1273" i="34"/>
  <c r="R1273" i="34"/>
  <c r="S1273" i="34"/>
  <c r="T1273" i="34"/>
  <c r="V1273" i="34"/>
  <c r="X1273" i="34"/>
  <c r="Y1273" i="34"/>
  <c r="N1274" i="34"/>
  <c r="R1274" i="34"/>
  <c r="S1274" i="34"/>
  <c r="T1274" i="34"/>
  <c r="V1274" i="34"/>
  <c r="X1274" i="34"/>
  <c r="Y1274" i="34"/>
  <c r="N1275" i="34"/>
  <c r="R1275" i="34"/>
  <c r="S1275" i="34"/>
  <c r="T1275" i="34"/>
  <c r="V1275" i="34"/>
  <c r="X1275" i="34"/>
  <c r="Y1275" i="34"/>
  <c r="N1276" i="34"/>
  <c r="R1276" i="34"/>
  <c r="S1276" i="34"/>
  <c r="T1276" i="34"/>
  <c r="V1276" i="34"/>
  <c r="X1276" i="34"/>
  <c r="Y1276" i="34"/>
  <c r="N1277" i="34"/>
  <c r="R1277" i="34"/>
  <c r="S1277" i="34"/>
  <c r="T1277" i="34"/>
  <c r="V1277" i="34"/>
  <c r="X1277" i="34"/>
  <c r="Y1277" i="34"/>
  <c r="N1278" i="34"/>
  <c r="R1278" i="34"/>
  <c r="S1278" i="34"/>
  <c r="T1278" i="34"/>
  <c r="V1278" i="34"/>
  <c r="X1278" i="34"/>
  <c r="Y1278" i="34"/>
  <c r="N1279" i="34"/>
  <c r="R1279" i="34"/>
  <c r="S1279" i="34"/>
  <c r="T1279" i="34"/>
  <c r="V1279" i="34"/>
  <c r="X1279" i="34"/>
  <c r="Y1279" i="34"/>
  <c r="N1280" i="34"/>
  <c r="R1280" i="34"/>
  <c r="S1280" i="34"/>
  <c r="T1280" i="34"/>
  <c r="V1280" i="34"/>
  <c r="X1280" i="34"/>
  <c r="Y1280" i="34"/>
  <c r="N1281" i="34"/>
  <c r="R1281" i="34"/>
  <c r="S1281" i="34"/>
  <c r="T1281" i="34"/>
  <c r="V1281" i="34"/>
  <c r="X1281" i="34"/>
  <c r="Y1281" i="34"/>
  <c r="N1282" i="34"/>
  <c r="R1282" i="34"/>
  <c r="S1282" i="34"/>
  <c r="T1282" i="34"/>
  <c r="V1282" i="34"/>
  <c r="X1282" i="34"/>
  <c r="Y1282" i="34"/>
  <c r="N1283" i="34"/>
  <c r="R1283" i="34"/>
  <c r="S1283" i="34"/>
  <c r="T1283" i="34"/>
  <c r="V1283" i="34"/>
  <c r="X1283" i="34"/>
  <c r="Y1283" i="34"/>
  <c r="N1284" i="34"/>
  <c r="R1284" i="34"/>
  <c r="S1284" i="34"/>
  <c r="T1284" i="34"/>
  <c r="V1284" i="34"/>
  <c r="X1284" i="34"/>
  <c r="Y1284" i="34"/>
  <c r="N1285" i="34"/>
  <c r="R1285" i="34"/>
  <c r="S1285" i="34"/>
  <c r="T1285" i="34"/>
  <c r="V1285" i="34"/>
  <c r="X1285" i="34"/>
  <c r="Y1285" i="34"/>
  <c r="N1286" i="34"/>
  <c r="R1286" i="34"/>
  <c r="S1286" i="34"/>
  <c r="T1286" i="34"/>
  <c r="V1286" i="34"/>
  <c r="X1286" i="34"/>
  <c r="Y1286" i="34"/>
  <c r="N1287" i="34"/>
  <c r="R1287" i="34"/>
  <c r="S1287" i="34"/>
  <c r="T1287" i="34"/>
  <c r="V1287" i="34"/>
  <c r="X1287" i="34"/>
  <c r="Y1287" i="34"/>
  <c r="N1288" i="34"/>
  <c r="R1288" i="34"/>
  <c r="S1288" i="34"/>
  <c r="T1288" i="34"/>
  <c r="V1288" i="34"/>
  <c r="X1288" i="34"/>
  <c r="Y1288" i="34"/>
  <c r="N1289" i="34"/>
  <c r="R1289" i="34"/>
  <c r="S1289" i="34"/>
  <c r="T1289" i="34"/>
  <c r="V1289" i="34"/>
  <c r="X1289" i="34"/>
  <c r="Y1289" i="34"/>
  <c r="N1290" i="34"/>
  <c r="R1290" i="34"/>
  <c r="S1290" i="34"/>
  <c r="T1290" i="34"/>
  <c r="V1290" i="34"/>
  <c r="X1290" i="34"/>
  <c r="Y1290" i="34"/>
  <c r="N1291" i="34"/>
  <c r="R1291" i="34"/>
  <c r="S1291" i="34"/>
  <c r="T1291" i="34"/>
  <c r="V1291" i="34"/>
  <c r="X1291" i="34"/>
  <c r="Y1291" i="34"/>
  <c r="N1292" i="34"/>
  <c r="R1292" i="34"/>
  <c r="S1292" i="34"/>
  <c r="T1292" i="34"/>
  <c r="V1292" i="34"/>
  <c r="X1292" i="34"/>
  <c r="Y1292" i="34"/>
  <c r="N1293" i="34"/>
  <c r="R1293" i="34"/>
  <c r="S1293" i="34"/>
  <c r="T1293" i="34"/>
  <c r="V1293" i="34"/>
  <c r="X1293" i="34"/>
  <c r="Y1293" i="34"/>
  <c r="N1294" i="34"/>
  <c r="R1294" i="34"/>
  <c r="S1294" i="34"/>
  <c r="T1294" i="34"/>
  <c r="V1294" i="34"/>
  <c r="X1294" i="34"/>
  <c r="Y1294" i="34"/>
  <c r="N1295" i="34"/>
  <c r="R1295" i="34"/>
  <c r="S1295" i="34"/>
  <c r="T1295" i="34"/>
  <c r="V1295" i="34"/>
  <c r="X1295" i="34"/>
  <c r="Y1295" i="34"/>
  <c r="N1296" i="34"/>
  <c r="R1296" i="34"/>
  <c r="S1296" i="34"/>
  <c r="T1296" i="34"/>
  <c r="V1296" i="34"/>
  <c r="X1296" i="34"/>
  <c r="Y1296" i="34"/>
  <c r="N1297" i="34"/>
  <c r="R1297" i="34"/>
  <c r="S1297" i="34"/>
  <c r="T1297" i="34"/>
  <c r="V1297" i="34"/>
  <c r="X1297" i="34"/>
  <c r="Y1297" i="34"/>
  <c r="N1298" i="34"/>
  <c r="R1298" i="34"/>
  <c r="S1298" i="34"/>
  <c r="T1298" i="34"/>
  <c r="V1298" i="34"/>
  <c r="X1298" i="34"/>
  <c r="Y1298" i="34"/>
  <c r="N1299" i="34"/>
  <c r="R1299" i="34"/>
  <c r="S1299" i="34"/>
  <c r="T1299" i="34"/>
  <c r="V1299" i="34"/>
  <c r="X1299" i="34"/>
  <c r="Y1299" i="34"/>
  <c r="N1300" i="34"/>
  <c r="R1300" i="34"/>
  <c r="S1300" i="34"/>
  <c r="T1300" i="34"/>
  <c r="V1300" i="34"/>
  <c r="X1300" i="34"/>
  <c r="Y1300" i="34"/>
  <c r="N1301" i="34"/>
  <c r="R1301" i="34"/>
  <c r="S1301" i="34"/>
  <c r="T1301" i="34"/>
  <c r="V1301" i="34"/>
  <c r="X1301" i="34"/>
  <c r="Y1301" i="34"/>
  <c r="N1302" i="34"/>
  <c r="R1302" i="34"/>
  <c r="S1302" i="34"/>
  <c r="T1302" i="34"/>
  <c r="V1302" i="34"/>
  <c r="X1302" i="34"/>
  <c r="Y1302" i="34"/>
  <c r="N1303" i="34"/>
  <c r="R1303" i="34"/>
  <c r="S1303" i="34"/>
  <c r="T1303" i="34"/>
  <c r="V1303" i="34"/>
  <c r="X1303" i="34"/>
  <c r="Y1303" i="34"/>
  <c r="N1304" i="34"/>
  <c r="R1304" i="34"/>
  <c r="S1304" i="34"/>
  <c r="T1304" i="34"/>
  <c r="V1304" i="34"/>
  <c r="X1304" i="34"/>
  <c r="Y1304" i="34"/>
  <c r="N1305" i="34"/>
  <c r="R1305" i="34"/>
  <c r="S1305" i="34"/>
  <c r="T1305" i="34"/>
  <c r="V1305" i="34"/>
  <c r="X1305" i="34"/>
  <c r="Y1305" i="34"/>
  <c r="N1306" i="34"/>
  <c r="R1306" i="34"/>
  <c r="S1306" i="34"/>
  <c r="T1306" i="34"/>
  <c r="V1306" i="34"/>
  <c r="X1306" i="34"/>
  <c r="Y1306" i="34"/>
  <c r="N1307" i="34"/>
  <c r="R1307" i="34"/>
  <c r="S1307" i="34"/>
  <c r="T1307" i="34"/>
  <c r="V1307" i="34"/>
  <c r="X1307" i="34"/>
  <c r="Y1307" i="34"/>
  <c r="N1308" i="34"/>
  <c r="R1308" i="34"/>
  <c r="S1308" i="34"/>
  <c r="T1308" i="34"/>
  <c r="V1308" i="34"/>
  <c r="X1308" i="34"/>
  <c r="Y1308" i="34"/>
  <c r="N1309" i="34"/>
  <c r="R1309" i="34"/>
  <c r="S1309" i="34"/>
  <c r="T1309" i="34"/>
  <c r="V1309" i="34"/>
  <c r="X1309" i="34"/>
  <c r="Y1309" i="34"/>
  <c r="N1310" i="34"/>
  <c r="R1310" i="34"/>
  <c r="S1310" i="34"/>
  <c r="T1310" i="34"/>
  <c r="V1310" i="34"/>
  <c r="X1310" i="34"/>
  <c r="Y1310" i="34"/>
  <c r="N1311" i="34"/>
  <c r="R1311" i="34"/>
  <c r="S1311" i="34"/>
  <c r="T1311" i="34"/>
  <c r="V1311" i="34"/>
  <c r="X1311" i="34"/>
  <c r="Y1311" i="34"/>
  <c r="N1312" i="34"/>
  <c r="R1312" i="34"/>
  <c r="S1312" i="34"/>
  <c r="T1312" i="34"/>
  <c r="V1312" i="34"/>
  <c r="X1312" i="34"/>
  <c r="Y1312" i="34"/>
  <c r="N1313" i="34"/>
  <c r="R1313" i="34"/>
  <c r="S1313" i="34"/>
  <c r="T1313" i="34"/>
  <c r="V1313" i="34"/>
  <c r="X1313" i="34"/>
  <c r="Y1313" i="34"/>
  <c r="N1314" i="34"/>
  <c r="R1314" i="34"/>
  <c r="S1314" i="34"/>
  <c r="T1314" i="34"/>
  <c r="V1314" i="34"/>
  <c r="X1314" i="34"/>
  <c r="Y1314" i="34"/>
  <c r="N1315" i="34"/>
  <c r="R1315" i="34"/>
  <c r="S1315" i="34"/>
  <c r="T1315" i="34"/>
  <c r="V1315" i="34"/>
  <c r="X1315" i="34"/>
  <c r="Y1315" i="34"/>
  <c r="N1316" i="34"/>
  <c r="R1316" i="34"/>
  <c r="S1316" i="34"/>
  <c r="T1316" i="34"/>
  <c r="V1316" i="34"/>
  <c r="X1316" i="34"/>
  <c r="Y1316" i="34"/>
  <c r="N1317" i="34"/>
  <c r="R1317" i="34"/>
  <c r="S1317" i="34"/>
  <c r="T1317" i="34"/>
  <c r="V1317" i="34"/>
  <c r="X1317" i="34"/>
  <c r="Y1317" i="34"/>
  <c r="N1318" i="34"/>
  <c r="R1318" i="34"/>
  <c r="S1318" i="34"/>
  <c r="T1318" i="34"/>
  <c r="V1318" i="34"/>
  <c r="X1318" i="34"/>
  <c r="Y1318" i="34"/>
  <c r="N1319" i="34"/>
  <c r="R1319" i="34"/>
  <c r="S1319" i="34"/>
  <c r="T1319" i="34"/>
  <c r="V1319" i="34"/>
  <c r="X1319" i="34"/>
  <c r="Y1319" i="34"/>
  <c r="N1320" i="34"/>
  <c r="R1320" i="34"/>
  <c r="S1320" i="34"/>
  <c r="T1320" i="34"/>
  <c r="V1320" i="34"/>
  <c r="X1320" i="34"/>
  <c r="Y1320" i="34"/>
  <c r="N1321" i="34"/>
  <c r="R1321" i="34"/>
  <c r="S1321" i="34"/>
  <c r="T1321" i="34"/>
  <c r="V1321" i="34"/>
  <c r="X1321" i="34"/>
  <c r="Y1321" i="34"/>
  <c r="N1322" i="34"/>
  <c r="R1322" i="34"/>
  <c r="S1322" i="34"/>
  <c r="T1322" i="34"/>
  <c r="V1322" i="34"/>
  <c r="X1322" i="34"/>
  <c r="Y1322" i="34"/>
  <c r="N1323" i="34"/>
  <c r="R1323" i="34"/>
  <c r="S1323" i="34"/>
  <c r="T1323" i="34"/>
  <c r="V1323" i="34"/>
  <c r="X1323" i="34"/>
  <c r="Y1323" i="34"/>
  <c r="N1324" i="34"/>
  <c r="R1324" i="34"/>
  <c r="S1324" i="34"/>
  <c r="T1324" i="34"/>
  <c r="V1324" i="34"/>
  <c r="X1324" i="34"/>
  <c r="Y1324" i="34"/>
  <c r="N1325" i="34"/>
  <c r="R1325" i="34"/>
  <c r="S1325" i="34"/>
  <c r="T1325" i="34"/>
  <c r="V1325" i="34"/>
  <c r="X1325" i="34"/>
  <c r="Y1325" i="34"/>
  <c r="N1326" i="34"/>
  <c r="R1326" i="34"/>
  <c r="S1326" i="34"/>
  <c r="T1326" i="34"/>
  <c r="V1326" i="34"/>
  <c r="X1326" i="34"/>
  <c r="Y1326" i="34"/>
  <c r="N1327" i="34"/>
  <c r="R1327" i="34"/>
  <c r="S1327" i="34"/>
  <c r="T1327" i="34"/>
  <c r="V1327" i="34"/>
  <c r="X1327" i="34"/>
  <c r="Y1327" i="34"/>
  <c r="N1328" i="34"/>
  <c r="R1328" i="34"/>
  <c r="S1328" i="34"/>
  <c r="T1328" i="34"/>
  <c r="V1328" i="34"/>
  <c r="X1328" i="34"/>
  <c r="Y1328" i="34"/>
  <c r="N1329" i="34"/>
  <c r="R1329" i="34"/>
  <c r="S1329" i="34"/>
  <c r="T1329" i="34"/>
  <c r="V1329" i="34"/>
  <c r="X1329" i="34"/>
  <c r="Y1329" i="34"/>
  <c r="N1330" i="34"/>
  <c r="R1330" i="34"/>
  <c r="S1330" i="34"/>
  <c r="T1330" i="34"/>
  <c r="V1330" i="34"/>
  <c r="X1330" i="34"/>
  <c r="Y1330" i="34"/>
  <c r="N1331" i="34"/>
  <c r="R1331" i="34"/>
  <c r="S1331" i="34"/>
  <c r="T1331" i="34"/>
  <c r="V1331" i="34"/>
  <c r="X1331" i="34"/>
  <c r="Y1331" i="34"/>
  <c r="N1332" i="34"/>
  <c r="R1332" i="34"/>
  <c r="S1332" i="34"/>
  <c r="T1332" i="34"/>
  <c r="V1332" i="34"/>
  <c r="X1332" i="34"/>
  <c r="Y1332" i="34"/>
  <c r="N1333" i="34"/>
  <c r="R1333" i="34"/>
  <c r="S1333" i="34"/>
  <c r="T1333" i="34"/>
  <c r="V1333" i="34"/>
  <c r="X1333" i="34"/>
  <c r="Y1333" i="34"/>
  <c r="N1334" i="34"/>
  <c r="R1334" i="34"/>
  <c r="S1334" i="34"/>
  <c r="T1334" i="34"/>
  <c r="V1334" i="34"/>
  <c r="X1334" i="34"/>
  <c r="Y1334" i="34"/>
  <c r="N1335" i="34"/>
  <c r="R1335" i="34"/>
  <c r="S1335" i="34"/>
  <c r="T1335" i="34"/>
  <c r="V1335" i="34"/>
  <c r="X1335" i="34"/>
  <c r="Y1335" i="34"/>
  <c r="N1336" i="34"/>
  <c r="R1336" i="34"/>
  <c r="S1336" i="34"/>
  <c r="T1336" i="34"/>
  <c r="V1336" i="34"/>
  <c r="X1336" i="34"/>
  <c r="Y1336" i="34"/>
  <c r="N1337" i="34"/>
  <c r="R1337" i="34"/>
  <c r="S1337" i="34"/>
  <c r="T1337" i="34"/>
  <c r="V1337" i="34"/>
  <c r="X1337" i="34"/>
  <c r="Y1337" i="34"/>
  <c r="N1338" i="34"/>
  <c r="R1338" i="34"/>
  <c r="S1338" i="34"/>
  <c r="T1338" i="34"/>
  <c r="V1338" i="34"/>
  <c r="X1338" i="34"/>
  <c r="Y1338" i="34"/>
  <c r="N1339" i="34"/>
  <c r="R1339" i="34"/>
  <c r="S1339" i="34"/>
  <c r="T1339" i="34"/>
  <c r="V1339" i="34"/>
  <c r="X1339" i="34"/>
  <c r="Y1339" i="34"/>
  <c r="N1340" i="34"/>
  <c r="R1340" i="34"/>
  <c r="S1340" i="34"/>
  <c r="T1340" i="34"/>
  <c r="V1340" i="34"/>
  <c r="X1340" i="34"/>
  <c r="Y1340" i="34"/>
  <c r="N1341" i="34"/>
  <c r="R1341" i="34"/>
  <c r="S1341" i="34"/>
  <c r="T1341" i="34"/>
  <c r="V1341" i="34"/>
  <c r="X1341" i="34"/>
  <c r="Y1341" i="34"/>
  <c r="N1342" i="34"/>
  <c r="R1342" i="34"/>
  <c r="S1342" i="34"/>
  <c r="T1342" i="34"/>
  <c r="V1342" i="34"/>
  <c r="X1342" i="34"/>
  <c r="Y1342" i="34"/>
  <c r="N1343" i="34"/>
  <c r="R1343" i="34"/>
  <c r="S1343" i="34"/>
  <c r="T1343" i="34"/>
  <c r="V1343" i="34"/>
  <c r="X1343" i="34"/>
  <c r="Y1343" i="34"/>
  <c r="N1344" i="34"/>
  <c r="R1344" i="34"/>
  <c r="S1344" i="34"/>
  <c r="T1344" i="34"/>
  <c r="V1344" i="34"/>
  <c r="X1344" i="34"/>
  <c r="Y1344" i="34"/>
  <c r="N1345" i="34"/>
  <c r="R1345" i="34"/>
  <c r="S1345" i="34"/>
  <c r="T1345" i="34"/>
  <c r="V1345" i="34"/>
  <c r="X1345" i="34"/>
  <c r="Y1345" i="34"/>
  <c r="N1346" i="34"/>
  <c r="R1346" i="34"/>
  <c r="S1346" i="34"/>
  <c r="T1346" i="34"/>
  <c r="V1346" i="34"/>
  <c r="X1346" i="34"/>
  <c r="Y1346" i="34"/>
  <c r="N1347" i="34"/>
  <c r="R1347" i="34"/>
  <c r="S1347" i="34"/>
  <c r="T1347" i="34"/>
  <c r="V1347" i="34"/>
  <c r="X1347" i="34"/>
  <c r="Y1347" i="34"/>
  <c r="N1348" i="34"/>
  <c r="R1348" i="34"/>
  <c r="S1348" i="34"/>
  <c r="T1348" i="34"/>
  <c r="V1348" i="34"/>
  <c r="X1348" i="34"/>
  <c r="Y1348" i="34"/>
  <c r="N1349" i="34"/>
  <c r="R1349" i="34"/>
  <c r="S1349" i="34"/>
  <c r="T1349" i="34"/>
  <c r="V1349" i="34"/>
  <c r="X1349" i="34"/>
  <c r="Y1349" i="34"/>
  <c r="N1350" i="34"/>
  <c r="R1350" i="34"/>
  <c r="S1350" i="34"/>
  <c r="T1350" i="34"/>
  <c r="V1350" i="34"/>
  <c r="X1350" i="34"/>
  <c r="Y1350" i="34"/>
  <c r="N1351" i="34"/>
  <c r="R1351" i="34"/>
  <c r="S1351" i="34"/>
  <c r="T1351" i="34"/>
  <c r="V1351" i="34"/>
  <c r="X1351" i="34"/>
  <c r="Y1351" i="34"/>
  <c r="N1352" i="34"/>
  <c r="R1352" i="34"/>
  <c r="S1352" i="34"/>
  <c r="T1352" i="34"/>
  <c r="V1352" i="34"/>
  <c r="X1352" i="34"/>
  <c r="Y1352" i="34"/>
  <c r="N1353" i="34"/>
  <c r="R1353" i="34"/>
  <c r="S1353" i="34"/>
  <c r="T1353" i="34"/>
  <c r="V1353" i="34"/>
  <c r="X1353" i="34"/>
  <c r="Y1353" i="34"/>
  <c r="N1354" i="34"/>
  <c r="R1354" i="34"/>
  <c r="S1354" i="34"/>
  <c r="T1354" i="34"/>
  <c r="V1354" i="34"/>
  <c r="X1354" i="34"/>
  <c r="Y1354" i="34"/>
  <c r="N1355" i="34"/>
  <c r="R1355" i="34"/>
  <c r="S1355" i="34"/>
  <c r="T1355" i="34"/>
  <c r="V1355" i="34"/>
  <c r="X1355" i="34"/>
  <c r="Y1355" i="34"/>
  <c r="N1356" i="34"/>
  <c r="R1356" i="34"/>
  <c r="S1356" i="34"/>
  <c r="T1356" i="34"/>
  <c r="V1356" i="34"/>
  <c r="X1356" i="34"/>
  <c r="Y1356" i="34"/>
  <c r="N1357" i="34"/>
  <c r="R1357" i="34"/>
  <c r="S1357" i="34"/>
  <c r="T1357" i="34"/>
  <c r="V1357" i="34"/>
  <c r="X1357" i="34"/>
  <c r="Y1357" i="34"/>
  <c r="N1358" i="34"/>
  <c r="R1358" i="34"/>
  <c r="S1358" i="34"/>
  <c r="T1358" i="34"/>
  <c r="V1358" i="34"/>
  <c r="X1358" i="34"/>
  <c r="Y1358" i="34"/>
  <c r="N1359" i="34"/>
  <c r="R1359" i="34"/>
  <c r="S1359" i="34"/>
  <c r="T1359" i="34"/>
  <c r="V1359" i="34"/>
  <c r="X1359" i="34"/>
  <c r="Y1359" i="34"/>
  <c r="N1360" i="34"/>
  <c r="R1360" i="34"/>
  <c r="S1360" i="34"/>
  <c r="T1360" i="34"/>
  <c r="V1360" i="34"/>
  <c r="X1360" i="34"/>
  <c r="Y1360" i="34"/>
  <c r="N1361" i="34"/>
  <c r="R1361" i="34"/>
  <c r="S1361" i="34"/>
  <c r="T1361" i="34"/>
  <c r="V1361" i="34"/>
  <c r="X1361" i="34"/>
  <c r="Y1361" i="34"/>
  <c r="N1362" i="34"/>
  <c r="R1362" i="34"/>
  <c r="S1362" i="34"/>
  <c r="T1362" i="34"/>
  <c r="V1362" i="34"/>
  <c r="X1362" i="34"/>
  <c r="Y1362" i="34"/>
  <c r="N1363" i="34"/>
  <c r="R1363" i="34"/>
  <c r="S1363" i="34"/>
  <c r="T1363" i="34"/>
  <c r="V1363" i="34"/>
  <c r="X1363" i="34"/>
  <c r="Y1363" i="34"/>
  <c r="N1364" i="34"/>
  <c r="R1364" i="34"/>
  <c r="S1364" i="34"/>
  <c r="T1364" i="34"/>
  <c r="V1364" i="34"/>
  <c r="X1364" i="34"/>
  <c r="Y1364" i="34"/>
  <c r="N1365" i="34"/>
  <c r="R1365" i="34"/>
  <c r="S1365" i="34"/>
  <c r="T1365" i="34"/>
  <c r="V1365" i="34"/>
  <c r="X1365" i="34"/>
  <c r="Y1365" i="34"/>
  <c r="N1366" i="34"/>
  <c r="R1366" i="34"/>
  <c r="S1366" i="34"/>
  <c r="T1366" i="34"/>
  <c r="V1366" i="34"/>
  <c r="X1366" i="34"/>
  <c r="Y1366" i="34"/>
  <c r="N1367" i="34"/>
  <c r="R1367" i="34"/>
  <c r="S1367" i="34"/>
  <c r="T1367" i="34"/>
  <c r="V1367" i="34"/>
  <c r="X1367" i="34"/>
  <c r="Y1367" i="34"/>
  <c r="N1368" i="34"/>
  <c r="R1368" i="34"/>
  <c r="S1368" i="34"/>
  <c r="T1368" i="34"/>
  <c r="V1368" i="34"/>
  <c r="X1368" i="34"/>
  <c r="Y1368" i="34"/>
  <c r="N1369" i="34"/>
  <c r="R1369" i="34"/>
  <c r="S1369" i="34"/>
  <c r="T1369" i="34"/>
  <c r="V1369" i="34"/>
  <c r="X1369" i="34"/>
  <c r="Y1369" i="34"/>
  <c r="N1370" i="34"/>
  <c r="R1370" i="34"/>
  <c r="S1370" i="34"/>
  <c r="T1370" i="34"/>
  <c r="V1370" i="34"/>
  <c r="X1370" i="34"/>
  <c r="Y1370" i="34"/>
  <c r="N1371" i="34"/>
  <c r="R1371" i="34"/>
  <c r="S1371" i="34"/>
  <c r="T1371" i="34"/>
  <c r="V1371" i="34"/>
  <c r="X1371" i="34"/>
  <c r="Y1371" i="34"/>
  <c r="N1372" i="34"/>
  <c r="R1372" i="34"/>
  <c r="S1372" i="34"/>
  <c r="T1372" i="34"/>
  <c r="V1372" i="34"/>
  <c r="X1372" i="34"/>
  <c r="Y1372" i="34"/>
  <c r="N1373" i="34"/>
  <c r="R1373" i="34"/>
  <c r="S1373" i="34"/>
  <c r="T1373" i="34"/>
  <c r="V1373" i="34"/>
  <c r="X1373" i="34"/>
  <c r="Y1373" i="34"/>
  <c r="N1374" i="34"/>
  <c r="R1374" i="34"/>
  <c r="S1374" i="34"/>
  <c r="T1374" i="34"/>
  <c r="V1374" i="34"/>
  <c r="X1374" i="34"/>
  <c r="Y1374" i="34"/>
  <c r="N1375" i="34"/>
  <c r="R1375" i="34"/>
  <c r="S1375" i="34"/>
  <c r="T1375" i="34"/>
  <c r="V1375" i="34"/>
  <c r="X1375" i="34"/>
  <c r="Y1375" i="34"/>
  <c r="N1376" i="34"/>
  <c r="R1376" i="34"/>
  <c r="S1376" i="34"/>
  <c r="T1376" i="34"/>
  <c r="V1376" i="34"/>
  <c r="X1376" i="34"/>
  <c r="Y1376" i="34"/>
  <c r="N1377" i="34"/>
  <c r="R1377" i="34"/>
  <c r="S1377" i="34"/>
  <c r="T1377" i="34"/>
  <c r="V1377" i="34"/>
  <c r="X1377" i="34"/>
  <c r="Y1377" i="34"/>
  <c r="N1378" i="34"/>
  <c r="R1378" i="34"/>
  <c r="S1378" i="34"/>
  <c r="T1378" i="34"/>
  <c r="V1378" i="34"/>
  <c r="X1378" i="34"/>
  <c r="Y1378" i="34"/>
  <c r="N1379" i="34"/>
  <c r="R1379" i="34"/>
  <c r="S1379" i="34"/>
  <c r="T1379" i="34"/>
  <c r="V1379" i="34"/>
  <c r="X1379" i="34"/>
  <c r="Y1379" i="34"/>
  <c r="N1380" i="34"/>
  <c r="R1380" i="34"/>
  <c r="S1380" i="34"/>
  <c r="T1380" i="34"/>
  <c r="V1380" i="34"/>
  <c r="X1380" i="34"/>
  <c r="Y1380" i="34"/>
  <c r="N1381" i="34"/>
  <c r="R1381" i="34"/>
  <c r="S1381" i="34"/>
  <c r="T1381" i="34"/>
  <c r="V1381" i="34"/>
  <c r="X1381" i="34"/>
  <c r="Y1381" i="34"/>
  <c r="N1382" i="34"/>
  <c r="R1382" i="34"/>
  <c r="S1382" i="34"/>
  <c r="T1382" i="34"/>
  <c r="V1382" i="34"/>
  <c r="X1382" i="34"/>
  <c r="Y1382" i="34"/>
  <c r="N1383" i="34"/>
  <c r="R1383" i="34"/>
  <c r="S1383" i="34"/>
  <c r="T1383" i="34"/>
  <c r="V1383" i="34"/>
  <c r="X1383" i="34"/>
  <c r="Y1383" i="34"/>
  <c r="N1384" i="34"/>
  <c r="R1384" i="34"/>
  <c r="S1384" i="34"/>
  <c r="T1384" i="34"/>
  <c r="V1384" i="34"/>
  <c r="X1384" i="34"/>
  <c r="Y1384" i="34"/>
  <c r="N1385" i="34"/>
  <c r="R1385" i="34"/>
  <c r="S1385" i="34"/>
  <c r="T1385" i="34"/>
  <c r="V1385" i="34"/>
  <c r="X1385" i="34"/>
  <c r="Y1385" i="34"/>
  <c r="N1386" i="34"/>
  <c r="R1386" i="34"/>
  <c r="S1386" i="34"/>
  <c r="T1386" i="34"/>
  <c r="V1386" i="34"/>
  <c r="X1386" i="34"/>
  <c r="Y1386" i="34"/>
  <c r="N1387" i="34"/>
  <c r="R1387" i="34"/>
  <c r="S1387" i="34"/>
  <c r="T1387" i="34"/>
  <c r="V1387" i="34"/>
  <c r="X1387" i="34"/>
  <c r="Y1387" i="34"/>
  <c r="N1388" i="34"/>
  <c r="R1388" i="34"/>
  <c r="S1388" i="34"/>
  <c r="T1388" i="34"/>
  <c r="V1388" i="34"/>
  <c r="X1388" i="34"/>
  <c r="Y1388" i="34"/>
  <c r="N1389" i="34"/>
  <c r="R1389" i="34"/>
  <c r="S1389" i="34"/>
  <c r="T1389" i="34"/>
  <c r="V1389" i="34"/>
  <c r="X1389" i="34"/>
  <c r="Y1389" i="34"/>
  <c r="N1390" i="34"/>
  <c r="R1390" i="34"/>
  <c r="S1390" i="34"/>
  <c r="T1390" i="34"/>
  <c r="V1390" i="34"/>
  <c r="X1390" i="34"/>
  <c r="Y1390" i="34"/>
  <c r="N1391" i="34"/>
  <c r="R1391" i="34"/>
  <c r="S1391" i="34"/>
  <c r="T1391" i="34"/>
  <c r="V1391" i="34"/>
  <c r="X1391" i="34"/>
  <c r="Y1391" i="34"/>
  <c r="N1392" i="34"/>
  <c r="R1392" i="34"/>
  <c r="S1392" i="34"/>
  <c r="T1392" i="34"/>
  <c r="V1392" i="34"/>
  <c r="X1392" i="34"/>
  <c r="Y1392" i="34"/>
  <c r="N1393" i="34"/>
  <c r="R1393" i="34"/>
  <c r="S1393" i="34"/>
  <c r="T1393" i="34"/>
  <c r="V1393" i="34"/>
  <c r="X1393" i="34"/>
  <c r="Y1393" i="34"/>
  <c r="N1394" i="34"/>
  <c r="R1394" i="34"/>
  <c r="S1394" i="34"/>
  <c r="T1394" i="34"/>
  <c r="V1394" i="34"/>
  <c r="X1394" i="34"/>
  <c r="Y1394" i="34"/>
  <c r="N1395" i="34"/>
  <c r="R1395" i="34"/>
  <c r="S1395" i="34"/>
  <c r="T1395" i="34"/>
  <c r="V1395" i="34"/>
  <c r="X1395" i="34"/>
  <c r="Y1395" i="34"/>
  <c r="N1396" i="34"/>
  <c r="R1396" i="34"/>
  <c r="S1396" i="34"/>
  <c r="T1396" i="34"/>
  <c r="V1396" i="34"/>
  <c r="X1396" i="34"/>
  <c r="Y1396" i="34"/>
  <c r="N1397" i="34"/>
  <c r="R1397" i="34"/>
  <c r="S1397" i="34"/>
  <c r="T1397" i="34"/>
  <c r="V1397" i="34"/>
  <c r="X1397" i="34"/>
  <c r="Y1397" i="34"/>
  <c r="N1398" i="34"/>
  <c r="R1398" i="34"/>
  <c r="S1398" i="34"/>
  <c r="T1398" i="34"/>
  <c r="V1398" i="34"/>
  <c r="X1398" i="34"/>
  <c r="Y1398" i="34"/>
  <c r="N1399" i="34"/>
  <c r="R1399" i="34"/>
  <c r="S1399" i="34"/>
  <c r="T1399" i="34"/>
  <c r="V1399" i="34"/>
  <c r="X1399" i="34"/>
  <c r="Y1399" i="34"/>
  <c r="N1400" i="34"/>
  <c r="R1400" i="34"/>
  <c r="S1400" i="34"/>
  <c r="T1400" i="34"/>
  <c r="V1400" i="34"/>
  <c r="X1400" i="34"/>
  <c r="Y1400" i="34"/>
  <c r="N1401" i="34"/>
  <c r="R1401" i="34"/>
  <c r="S1401" i="34"/>
  <c r="T1401" i="34"/>
  <c r="V1401" i="34"/>
  <c r="X1401" i="34"/>
  <c r="Y1401" i="34"/>
  <c r="N1402" i="34"/>
  <c r="R1402" i="34"/>
  <c r="S1402" i="34"/>
  <c r="T1402" i="34"/>
  <c r="V1402" i="34"/>
  <c r="X1402" i="34"/>
  <c r="Y1402" i="34"/>
  <c r="N1403" i="34"/>
  <c r="R1403" i="34"/>
  <c r="S1403" i="34"/>
  <c r="T1403" i="34"/>
  <c r="V1403" i="34"/>
  <c r="X1403" i="34"/>
  <c r="Y1403" i="34"/>
  <c r="N1404" i="34"/>
  <c r="R1404" i="34"/>
  <c r="S1404" i="34"/>
  <c r="T1404" i="34"/>
  <c r="V1404" i="34"/>
  <c r="X1404" i="34"/>
  <c r="Y1404" i="34"/>
  <c r="N1405" i="34"/>
  <c r="R1405" i="34"/>
  <c r="S1405" i="34"/>
  <c r="T1405" i="34"/>
  <c r="V1405" i="34"/>
  <c r="X1405" i="34"/>
  <c r="Y1405" i="34"/>
  <c r="N1406" i="34"/>
  <c r="R1406" i="34"/>
  <c r="S1406" i="34"/>
  <c r="T1406" i="34"/>
  <c r="V1406" i="34"/>
  <c r="X1406" i="34"/>
  <c r="Y1406" i="34"/>
  <c r="N1407" i="34"/>
  <c r="R1407" i="34"/>
  <c r="S1407" i="34"/>
  <c r="T1407" i="34"/>
  <c r="V1407" i="34"/>
  <c r="X1407" i="34"/>
  <c r="Y1407" i="34"/>
  <c r="N1408" i="34"/>
  <c r="R1408" i="34"/>
  <c r="S1408" i="34"/>
  <c r="T1408" i="34"/>
  <c r="V1408" i="34"/>
  <c r="X1408" i="34"/>
  <c r="Y1408" i="34"/>
  <c r="N1409" i="34"/>
  <c r="R1409" i="34"/>
  <c r="S1409" i="34"/>
  <c r="T1409" i="34"/>
  <c r="V1409" i="34"/>
  <c r="X1409" i="34"/>
  <c r="Y1409" i="34"/>
  <c r="N1410" i="34"/>
  <c r="R1410" i="34"/>
  <c r="S1410" i="34"/>
  <c r="T1410" i="34"/>
  <c r="V1410" i="34"/>
  <c r="X1410" i="34"/>
  <c r="Y1410" i="34"/>
  <c r="N1411" i="34"/>
  <c r="R1411" i="34"/>
  <c r="S1411" i="34"/>
  <c r="T1411" i="34"/>
  <c r="V1411" i="34"/>
  <c r="X1411" i="34"/>
  <c r="Y1411" i="34"/>
  <c r="N1412" i="34"/>
  <c r="R1412" i="34"/>
  <c r="S1412" i="34"/>
  <c r="T1412" i="34"/>
  <c r="V1412" i="34"/>
  <c r="X1412" i="34"/>
  <c r="Y1412" i="34"/>
  <c r="N1413" i="34"/>
  <c r="R1413" i="34"/>
  <c r="S1413" i="34"/>
  <c r="T1413" i="34"/>
  <c r="V1413" i="34"/>
  <c r="X1413" i="34"/>
  <c r="Y1413" i="34"/>
  <c r="N1414" i="34"/>
  <c r="R1414" i="34"/>
  <c r="S1414" i="34"/>
  <c r="T1414" i="34"/>
  <c r="V1414" i="34"/>
  <c r="X1414" i="34"/>
  <c r="Y1414" i="34"/>
  <c r="N1415" i="34"/>
  <c r="R1415" i="34"/>
  <c r="S1415" i="34"/>
  <c r="T1415" i="34"/>
  <c r="V1415" i="34"/>
  <c r="X1415" i="34"/>
  <c r="Y1415" i="34"/>
  <c r="N1416" i="34"/>
  <c r="R1416" i="34"/>
  <c r="S1416" i="34"/>
  <c r="T1416" i="34"/>
  <c r="V1416" i="34"/>
  <c r="X1416" i="34"/>
  <c r="Y1416" i="34"/>
  <c r="N1417" i="34"/>
  <c r="R1417" i="34"/>
  <c r="S1417" i="34"/>
  <c r="T1417" i="34"/>
  <c r="V1417" i="34"/>
  <c r="X1417" i="34"/>
  <c r="Y1417" i="34"/>
  <c r="N1418" i="34"/>
  <c r="R1418" i="34"/>
  <c r="S1418" i="34"/>
  <c r="T1418" i="34"/>
  <c r="V1418" i="34"/>
  <c r="X1418" i="34"/>
  <c r="Y1418" i="34"/>
  <c r="N1419" i="34"/>
  <c r="R1419" i="34"/>
  <c r="S1419" i="34"/>
  <c r="T1419" i="34"/>
  <c r="V1419" i="34"/>
  <c r="X1419" i="34"/>
  <c r="Y1419" i="34"/>
  <c r="N1420" i="34"/>
  <c r="R1420" i="34"/>
  <c r="S1420" i="34"/>
  <c r="T1420" i="34"/>
  <c r="V1420" i="34"/>
  <c r="X1420" i="34"/>
  <c r="Y1420" i="34"/>
  <c r="N1421" i="34"/>
  <c r="R1421" i="34"/>
  <c r="S1421" i="34"/>
  <c r="T1421" i="34"/>
  <c r="V1421" i="34"/>
  <c r="X1421" i="34"/>
  <c r="Y1421" i="34"/>
  <c r="N1422" i="34"/>
  <c r="R1422" i="34"/>
  <c r="S1422" i="34"/>
  <c r="T1422" i="34"/>
  <c r="V1422" i="34"/>
  <c r="X1422" i="34"/>
  <c r="Y1422" i="34"/>
  <c r="N1423" i="34"/>
  <c r="R1423" i="34"/>
  <c r="S1423" i="34"/>
  <c r="T1423" i="34"/>
  <c r="V1423" i="34"/>
  <c r="X1423" i="34"/>
  <c r="Y1423" i="34"/>
  <c r="N1424" i="34"/>
  <c r="R1424" i="34"/>
  <c r="S1424" i="34"/>
  <c r="T1424" i="34"/>
  <c r="V1424" i="34"/>
  <c r="X1424" i="34"/>
  <c r="Y1424" i="34"/>
  <c r="N1425" i="34"/>
  <c r="R1425" i="34"/>
  <c r="S1425" i="34"/>
  <c r="T1425" i="34"/>
  <c r="V1425" i="34"/>
  <c r="X1425" i="34"/>
  <c r="Y1425" i="34"/>
  <c r="N1426" i="34"/>
  <c r="R1426" i="34"/>
  <c r="S1426" i="34"/>
  <c r="T1426" i="34"/>
  <c r="V1426" i="34"/>
  <c r="X1426" i="34"/>
  <c r="Y1426" i="34"/>
  <c r="N1427" i="34"/>
  <c r="R1427" i="34"/>
  <c r="S1427" i="34"/>
  <c r="T1427" i="34"/>
  <c r="V1427" i="34"/>
  <c r="X1427" i="34"/>
  <c r="Y1427" i="34"/>
  <c r="N1428" i="34"/>
  <c r="R1428" i="34"/>
  <c r="S1428" i="34"/>
  <c r="T1428" i="34"/>
  <c r="V1428" i="34"/>
  <c r="X1428" i="34"/>
  <c r="Y1428" i="34"/>
  <c r="N1429" i="34"/>
  <c r="R1429" i="34"/>
  <c r="S1429" i="34"/>
  <c r="T1429" i="34"/>
  <c r="V1429" i="34"/>
  <c r="X1429" i="34"/>
  <c r="Y1429" i="34"/>
  <c r="N1430" i="34"/>
  <c r="R1430" i="34"/>
  <c r="S1430" i="34"/>
  <c r="T1430" i="34"/>
  <c r="V1430" i="34"/>
  <c r="X1430" i="34"/>
  <c r="Y1430" i="34"/>
  <c r="N1431" i="34"/>
  <c r="R1431" i="34"/>
  <c r="S1431" i="34"/>
  <c r="T1431" i="34"/>
  <c r="V1431" i="34"/>
  <c r="X1431" i="34"/>
  <c r="Y1431" i="34"/>
  <c r="N1432" i="34"/>
  <c r="R1432" i="34"/>
  <c r="S1432" i="34"/>
  <c r="T1432" i="34"/>
  <c r="V1432" i="34"/>
  <c r="X1432" i="34"/>
  <c r="Y1432" i="34"/>
  <c r="N1433" i="34"/>
  <c r="R1433" i="34"/>
  <c r="S1433" i="34"/>
  <c r="T1433" i="34"/>
  <c r="V1433" i="34"/>
  <c r="X1433" i="34"/>
  <c r="Y1433" i="34"/>
  <c r="N1434" i="34"/>
  <c r="R1434" i="34"/>
  <c r="S1434" i="34"/>
  <c r="T1434" i="34"/>
  <c r="V1434" i="34"/>
  <c r="X1434" i="34"/>
  <c r="Y1434" i="34"/>
  <c r="N1435" i="34"/>
  <c r="R1435" i="34"/>
  <c r="S1435" i="34"/>
  <c r="T1435" i="34"/>
  <c r="V1435" i="34"/>
  <c r="X1435" i="34"/>
  <c r="Y1435" i="34"/>
  <c r="N1436" i="34"/>
  <c r="R1436" i="34"/>
  <c r="S1436" i="34"/>
  <c r="T1436" i="34"/>
  <c r="V1436" i="34"/>
  <c r="X1436" i="34"/>
  <c r="Y1436" i="34"/>
  <c r="N1437" i="34"/>
  <c r="R1437" i="34"/>
  <c r="S1437" i="34"/>
  <c r="T1437" i="34"/>
  <c r="V1437" i="34"/>
  <c r="X1437" i="34"/>
  <c r="Y1437" i="34"/>
  <c r="N1438" i="34"/>
  <c r="R1438" i="34"/>
  <c r="S1438" i="34"/>
  <c r="T1438" i="34"/>
  <c r="V1438" i="34"/>
  <c r="X1438" i="34"/>
  <c r="Y1438" i="34"/>
  <c r="N1439" i="34"/>
  <c r="R1439" i="34"/>
  <c r="S1439" i="34"/>
  <c r="T1439" i="34"/>
  <c r="V1439" i="34"/>
  <c r="X1439" i="34"/>
  <c r="Y1439" i="34"/>
  <c r="N1440" i="34"/>
  <c r="R1440" i="34"/>
  <c r="S1440" i="34"/>
  <c r="T1440" i="34"/>
  <c r="V1440" i="34"/>
  <c r="X1440" i="34"/>
  <c r="Y1440" i="34"/>
  <c r="N1441" i="34"/>
  <c r="R1441" i="34"/>
  <c r="S1441" i="34"/>
  <c r="T1441" i="34"/>
  <c r="V1441" i="34"/>
  <c r="X1441" i="34"/>
  <c r="Y1441" i="34"/>
  <c r="N1442" i="34"/>
  <c r="R1442" i="34"/>
  <c r="S1442" i="34"/>
  <c r="T1442" i="34"/>
  <c r="V1442" i="34"/>
  <c r="X1442" i="34"/>
  <c r="Y1442" i="34"/>
  <c r="N1443" i="34"/>
  <c r="R1443" i="34"/>
  <c r="S1443" i="34"/>
  <c r="T1443" i="34"/>
  <c r="V1443" i="34"/>
  <c r="X1443" i="34"/>
  <c r="Y1443" i="34"/>
  <c r="N1444" i="34"/>
  <c r="R1444" i="34"/>
  <c r="S1444" i="34"/>
  <c r="T1444" i="34"/>
  <c r="V1444" i="34"/>
  <c r="X1444" i="34"/>
  <c r="Y1444" i="34"/>
  <c r="N1445" i="34"/>
  <c r="R1445" i="34"/>
  <c r="S1445" i="34"/>
  <c r="T1445" i="34"/>
  <c r="V1445" i="34"/>
  <c r="X1445" i="34"/>
  <c r="Y1445" i="34"/>
  <c r="N1446" i="34"/>
  <c r="R1446" i="34"/>
  <c r="S1446" i="34"/>
  <c r="T1446" i="34"/>
  <c r="V1446" i="34"/>
  <c r="X1446" i="34"/>
  <c r="Y1446" i="34"/>
  <c r="N1447" i="34"/>
  <c r="R1447" i="34"/>
  <c r="S1447" i="34"/>
  <c r="T1447" i="34"/>
  <c r="V1447" i="34"/>
  <c r="X1447" i="34"/>
  <c r="Y1447" i="34"/>
  <c r="N1448" i="34"/>
  <c r="R1448" i="34"/>
  <c r="S1448" i="34"/>
  <c r="T1448" i="34"/>
  <c r="V1448" i="34"/>
  <c r="X1448" i="34"/>
  <c r="Y1448" i="34"/>
  <c r="N1449" i="34"/>
  <c r="R1449" i="34"/>
  <c r="S1449" i="34"/>
  <c r="T1449" i="34"/>
  <c r="V1449" i="34"/>
  <c r="X1449" i="34"/>
  <c r="Y1449" i="34"/>
  <c r="N1450" i="34"/>
  <c r="R1450" i="34"/>
  <c r="S1450" i="34"/>
  <c r="T1450" i="34"/>
  <c r="V1450" i="34"/>
  <c r="X1450" i="34"/>
  <c r="Y1450" i="34"/>
  <c r="N1451" i="34"/>
  <c r="R1451" i="34"/>
  <c r="S1451" i="34"/>
  <c r="T1451" i="34"/>
  <c r="V1451" i="34"/>
  <c r="X1451" i="34"/>
  <c r="Y1451" i="34"/>
  <c r="N1452" i="34"/>
  <c r="R1452" i="34"/>
  <c r="S1452" i="34"/>
  <c r="T1452" i="34"/>
  <c r="V1452" i="34"/>
  <c r="X1452" i="34"/>
  <c r="Y1452" i="34"/>
  <c r="N1453" i="34"/>
  <c r="R1453" i="34"/>
  <c r="S1453" i="34"/>
  <c r="T1453" i="34"/>
  <c r="V1453" i="34"/>
  <c r="X1453" i="34"/>
  <c r="Y1453" i="34"/>
  <c r="N1454" i="34"/>
  <c r="R1454" i="34"/>
  <c r="S1454" i="34"/>
  <c r="T1454" i="34"/>
  <c r="V1454" i="34"/>
  <c r="X1454" i="34"/>
  <c r="Y1454" i="34"/>
  <c r="N1455" i="34"/>
  <c r="R1455" i="34"/>
  <c r="S1455" i="34"/>
  <c r="T1455" i="34"/>
  <c r="V1455" i="34"/>
  <c r="X1455" i="34"/>
  <c r="Y1455" i="34"/>
  <c r="N1456" i="34"/>
  <c r="R1456" i="34"/>
  <c r="S1456" i="34"/>
  <c r="T1456" i="34"/>
  <c r="V1456" i="34"/>
  <c r="X1456" i="34"/>
  <c r="Y1456" i="34"/>
  <c r="N1457" i="34"/>
  <c r="R1457" i="34"/>
  <c r="S1457" i="34"/>
  <c r="T1457" i="34"/>
  <c r="V1457" i="34"/>
  <c r="X1457" i="34"/>
  <c r="Y1457" i="34"/>
  <c r="N1458" i="34"/>
  <c r="R1458" i="34"/>
  <c r="S1458" i="34"/>
  <c r="T1458" i="34"/>
  <c r="V1458" i="34"/>
  <c r="X1458" i="34"/>
  <c r="Y1458" i="34"/>
  <c r="N1459" i="34"/>
  <c r="R1459" i="34"/>
  <c r="S1459" i="34"/>
  <c r="T1459" i="34"/>
  <c r="V1459" i="34"/>
  <c r="X1459" i="34"/>
  <c r="Y1459" i="34"/>
  <c r="N1460" i="34"/>
  <c r="R1460" i="34"/>
  <c r="S1460" i="34"/>
  <c r="T1460" i="34"/>
  <c r="V1460" i="34"/>
  <c r="X1460" i="34"/>
  <c r="Y1460" i="34"/>
  <c r="N1461" i="34"/>
  <c r="R1461" i="34"/>
  <c r="S1461" i="34"/>
  <c r="T1461" i="34"/>
  <c r="V1461" i="34"/>
  <c r="X1461" i="34"/>
  <c r="Y1461" i="34"/>
  <c r="N1462" i="34"/>
  <c r="R1462" i="34"/>
  <c r="S1462" i="34"/>
  <c r="T1462" i="34"/>
  <c r="V1462" i="34"/>
  <c r="X1462" i="34"/>
  <c r="Y1462" i="34"/>
  <c r="N1463" i="34"/>
  <c r="R1463" i="34"/>
  <c r="S1463" i="34"/>
  <c r="T1463" i="34"/>
  <c r="V1463" i="34"/>
  <c r="X1463" i="34"/>
  <c r="Y1463" i="34"/>
  <c r="N1464" i="34"/>
  <c r="R1464" i="34"/>
  <c r="S1464" i="34"/>
  <c r="T1464" i="34"/>
  <c r="V1464" i="34"/>
  <c r="X1464" i="34"/>
  <c r="Y1464" i="34"/>
  <c r="N1465" i="34"/>
  <c r="R1465" i="34"/>
  <c r="S1465" i="34"/>
  <c r="T1465" i="34"/>
  <c r="V1465" i="34"/>
  <c r="X1465" i="34"/>
  <c r="Y1465" i="34"/>
  <c r="N1466" i="34"/>
  <c r="R1466" i="34"/>
  <c r="S1466" i="34"/>
  <c r="T1466" i="34"/>
  <c r="V1466" i="34"/>
  <c r="X1466" i="34"/>
  <c r="Y1466" i="34"/>
  <c r="N1467" i="34"/>
  <c r="R1467" i="34"/>
  <c r="S1467" i="34"/>
  <c r="T1467" i="34"/>
  <c r="V1467" i="34"/>
  <c r="X1467" i="34"/>
  <c r="Y1467" i="34"/>
  <c r="N1468" i="34"/>
  <c r="R1468" i="34"/>
  <c r="S1468" i="34"/>
  <c r="T1468" i="34"/>
  <c r="V1468" i="34"/>
  <c r="X1468" i="34"/>
  <c r="Y1468" i="34"/>
  <c r="N1469" i="34"/>
  <c r="R1469" i="34"/>
  <c r="S1469" i="34"/>
  <c r="T1469" i="34"/>
  <c r="V1469" i="34"/>
  <c r="X1469" i="34"/>
  <c r="Y1469" i="34"/>
  <c r="N1470" i="34"/>
  <c r="R1470" i="34"/>
  <c r="S1470" i="34"/>
  <c r="T1470" i="34"/>
  <c r="V1470" i="34"/>
  <c r="X1470" i="34"/>
  <c r="Y1470" i="34"/>
  <c r="N1471" i="34"/>
  <c r="R1471" i="34"/>
  <c r="S1471" i="34"/>
  <c r="T1471" i="34"/>
  <c r="V1471" i="34"/>
  <c r="X1471" i="34"/>
  <c r="Y1471" i="34"/>
  <c r="N1472" i="34"/>
  <c r="R1472" i="34"/>
  <c r="S1472" i="34"/>
  <c r="T1472" i="34"/>
  <c r="V1472" i="34"/>
  <c r="X1472" i="34"/>
  <c r="Y1472" i="34"/>
  <c r="N1473" i="34"/>
  <c r="R1473" i="34"/>
  <c r="S1473" i="34"/>
  <c r="T1473" i="34"/>
  <c r="V1473" i="34"/>
  <c r="X1473" i="34"/>
  <c r="Y1473" i="34"/>
  <c r="N1474" i="34"/>
  <c r="R1474" i="34"/>
  <c r="S1474" i="34"/>
  <c r="T1474" i="34"/>
  <c r="V1474" i="34"/>
  <c r="X1474" i="34"/>
  <c r="Y1474" i="34"/>
  <c r="N1475" i="34"/>
  <c r="R1475" i="34"/>
  <c r="S1475" i="34"/>
  <c r="T1475" i="34"/>
  <c r="V1475" i="34"/>
  <c r="X1475" i="34"/>
  <c r="Y1475" i="34"/>
  <c r="N1476" i="34"/>
  <c r="R1476" i="34"/>
  <c r="S1476" i="34"/>
  <c r="T1476" i="34"/>
  <c r="V1476" i="34"/>
  <c r="X1476" i="34"/>
  <c r="Y1476" i="34"/>
  <c r="N1477" i="34"/>
  <c r="R1477" i="34"/>
  <c r="S1477" i="34"/>
  <c r="T1477" i="34"/>
  <c r="V1477" i="34"/>
  <c r="X1477" i="34"/>
  <c r="Y1477" i="34"/>
  <c r="N1478" i="34"/>
  <c r="R1478" i="34"/>
  <c r="S1478" i="34"/>
  <c r="T1478" i="34"/>
  <c r="V1478" i="34"/>
  <c r="X1478" i="34"/>
  <c r="Y1478" i="34"/>
  <c r="N1479" i="34"/>
  <c r="R1479" i="34"/>
  <c r="S1479" i="34"/>
  <c r="T1479" i="34"/>
  <c r="V1479" i="34"/>
  <c r="X1479" i="34"/>
  <c r="Y1479" i="34"/>
  <c r="N1480" i="34"/>
  <c r="R1480" i="34"/>
  <c r="S1480" i="34"/>
  <c r="T1480" i="34"/>
  <c r="V1480" i="34"/>
  <c r="X1480" i="34"/>
  <c r="Y1480" i="34"/>
  <c r="N1481" i="34"/>
  <c r="R1481" i="34"/>
  <c r="S1481" i="34"/>
  <c r="T1481" i="34"/>
  <c r="V1481" i="34"/>
  <c r="X1481" i="34"/>
  <c r="Y1481" i="34"/>
  <c r="N1482" i="34"/>
  <c r="R1482" i="34"/>
  <c r="S1482" i="34"/>
  <c r="T1482" i="34"/>
  <c r="V1482" i="34"/>
  <c r="X1482" i="34"/>
  <c r="Y1482" i="34"/>
  <c r="N1483" i="34"/>
  <c r="R1483" i="34"/>
  <c r="S1483" i="34"/>
  <c r="T1483" i="34"/>
  <c r="V1483" i="34"/>
  <c r="X1483" i="34"/>
  <c r="Y1483" i="34"/>
  <c r="N1484" i="34"/>
  <c r="R1484" i="34"/>
  <c r="S1484" i="34"/>
  <c r="T1484" i="34"/>
  <c r="V1484" i="34"/>
  <c r="X1484" i="34"/>
  <c r="Y1484" i="34"/>
  <c r="N1485" i="34"/>
  <c r="R1485" i="34"/>
  <c r="S1485" i="34"/>
  <c r="T1485" i="34"/>
  <c r="V1485" i="34"/>
  <c r="X1485" i="34"/>
  <c r="Y1485" i="34"/>
  <c r="N1486" i="34"/>
  <c r="R1486" i="34"/>
  <c r="S1486" i="34"/>
  <c r="T1486" i="34"/>
  <c r="V1486" i="34"/>
  <c r="X1486" i="34"/>
  <c r="Y1486" i="34"/>
  <c r="N1487" i="34"/>
  <c r="R1487" i="34"/>
  <c r="S1487" i="34"/>
  <c r="T1487" i="34"/>
  <c r="V1487" i="34"/>
  <c r="X1487" i="34"/>
  <c r="Y1487" i="34"/>
  <c r="N1488" i="34"/>
  <c r="R1488" i="34"/>
  <c r="S1488" i="34"/>
  <c r="T1488" i="34"/>
  <c r="V1488" i="34"/>
  <c r="X1488" i="34"/>
  <c r="Y1488" i="34"/>
  <c r="N1489" i="34"/>
  <c r="R1489" i="34"/>
  <c r="S1489" i="34"/>
  <c r="T1489" i="34"/>
  <c r="V1489" i="34"/>
  <c r="X1489" i="34"/>
  <c r="Y1489" i="34"/>
  <c r="N1490" i="34"/>
  <c r="R1490" i="34"/>
  <c r="S1490" i="34"/>
  <c r="T1490" i="34"/>
  <c r="V1490" i="34"/>
  <c r="X1490" i="34"/>
  <c r="Y1490" i="34"/>
  <c r="N1491" i="34"/>
  <c r="R1491" i="34"/>
  <c r="S1491" i="34"/>
  <c r="T1491" i="34"/>
  <c r="V1491" i="34"/>
  <c r="X1491" i="34"/>
  <c r="Y1491" i="34"/>
  <c r="N1492" i="34"/>
  <c r="R1492" i="34"/>
  <c r="S1492" i="34"/>
  <c r="T1492" i="34"/>
  <c r="V1492" i="34"/>
  <c r="X1492" i="34"/>
  <c r="Y1492" i="34"/>
  <c r="N1493" i="34"/>
  <c r="R1493" i="34"/>
  <c r="S1493" i="34"/>
  <c r="T1493" i="34"/>
  <c r="V1493" i="34"/>
  <c r="X1493" i="34"/>
  <c r="Y1493" i="34"/>
  <c r="N1494" i="34"/>
  <c r="R1494" i="34"/>
  <c r="S1494" i="34"/>
  <c r="T1494" i="34"/>
  <c r="V1494" i="34"/>
  <c r="X1494" i="34"/>
  <c r="Y1494" i="34"/>
  <c r="N1495" i="34"/>
  <c r="R1495" i="34"/>
  <c r="S1495" i="34"/>
  <c r="T1495" i="34"/>
  <c r="V1495" i="34"/>
  <c r="X1495" i="34"/>
  <c r="Y1495" i="34"/>
  <c r="N1496" i="34"/>
  <c r="R1496" i="34"/>
  <c r="S1496" i="34"/>
  <c r="T1496" i="34"/>
  <c r="V1496" i="34"/>
  <c r="X1496" i="34"/>
  <c r="Y1496" i="34"/>
  <c r="N1497" i="34"/>
  <c r="R1497" i="34"/>
  <c r="S1497" i="34"/>
  <c r="T1497" i="34"/>
  <c r="V1497" i="34"/>
  <c r="X1497" i="34"/>
  <c r="Y1497" i="34"/>
  <c r="N1498" i="34"/>
  <c r="R1498" i="34"/>
  <c r="S1498" i="34"/>
  <c r="T1498" i="34"/>
  <c r="V1498" i="34"/>
  <c r="X1498" i="34"/>
  <c r="Y1498" i="34"/>
  <c r="N1499" i="34"/>
  <c r="R1499" i="34"/>
  <c r="S1499" i="34"/>
  <c r="T1499" i="34"/>
  <c r="V1499" i="34"/>
  <c r="X1499" i="34"/>
  <c r="Y1499" i="34"/>
  <c r="N1500" i="34"/>
  <c r="R1500" i="34"/>
  <c r="S1500" i="34"/>
  <c r="T1500" i="34"/>
  <c r="V1500" i="34"/>
  <c r="X1500" i="34"/>
  <c r="Y1500" i="34"/>
  <c r="N1501" i="34"/>
  <c r="R1501" i="34"/>
  <c r="S1501" i="34"/>
  <c r="T1501" i="34"/>
  <c r="V1501" i="34"/>
  <c r="X1501" i="34"/>
  <c r="Y1501" i="34"/>
  <c r="N1502" i="34"/>
  <c r="R1502" i="34"/>
  <c r="S1502" i="34"/>
  <c r="T1502" i="34"/>
  <c r="V1502" i="34"/>
  <c r="X1502" i="34"/>
  <c r="Y1502" i="34"/>
  <c r="N1503" i="34"/>
  <c r="R1503" i="34"/>
  <c r="S1503" i="34"/>
  <c r="T1503" i="34"/>
  <c r="V1503" i="34"/>
  <c r="X1503" i="34"/>
  <c r="Y1503" i="34"/>
  <c r="N1504" i="34"/>
  <c r="R1504" i="34"/>
  <c r="S1504" i="34"/>
  <c r="T1504" i="34"/>
  <c r="V1504" i="34"/>
  <c r="X1504" i="34"/>
  <c r="Y1504" i="34"/>
  <c r="N1505" i="34"/>
  <c r="R1505" i="34"/>
  <c r="S1505" i="34"/>
  <c r="T1505" i="34"/>
  <c r="V1505" i="34"/>
  <c r="X1505" i="34"/>
  <c r="Y1505" i="34"/>
  <c r="N1506" i="34"/>
  <c r="R1506" i="34"/>
  <c r="S1506" i="34"/>
  <c r="T1506" i="34"/>
  <c r="V1506" i="34"/>
  <c r="X1506" i="34"/>
  <c r="Y1506" i="34"/>
  <c r="N1507" i="34"/>
  <c r="R1507" i="34"/>
  <c r="S1507" i="34"/>
  <c r="T1507" i="34"/>
  <c r="V1507" i="34"/>
  <c r="X1507" i="34"/>
  <c r="Y1507" i="34"/>
  <c r="N1508" i="34"/>
  <c r="R1508" i="34"/>
  <c r="S1508" i="34"/>
  <c r="T1508" i="34"/>
  <c r="V1508" i="34"/>
  <c r="X1508" i="34"/>
  <c r="Y1508" i="34"/>
  <c r="N1509" i="34"/>
  <c r="R1509" i="34"/>
  <c r="S1509" i="34"/>
  <c r="T1509" i="34"/>
  <c r="V1509" i="34"/>
  <c r="X1509" i="34"/>
  <c r="Y1509" i="34"/>
  <c r="N1510" i="34"/>
  <c r="R1510" i="34"/>
  <c r="S1510" i="34"/>
  <c r="T1510" i="34"/>
  <c r="V1510" i="34"/>
  <c r="X1510" i="34"/>
  <c r="Y1510" i="34"/>
  <c r="N1511" i="34"/>
  <c r="R1511" i="34"/>
  <c r="S1511" i="34"/>
  <c r="T1511" i="34"/>
  <c r="V1511" i="34"/>
  <c r="X1511" i="34"/>
  <c r="Y1511" i="34"/>
  <c r="N1512" i="34"/>
  <c r="R1512" i="34"/>
  <c r="S1512" i="34"/>
  <c r="T1512" i="34"/>
  <c r="V1512" i="34"/>
  <c r="X1512" i="34"/>
  <c r="Y1512" i="34"/>
  <c r="N1513" i="34"/>
  <c r="R1513" i="34"/>
  <c r="S1513" i="34"/>
  <c r="T1513" i="34"/>
  <c r="V1513" i="34"/>
  <c r="X1513" i="34"/>
  <c r="Y1513" i="34"/>
  <c r="N1514" i="34"/>
  <c r="R1514" i="34"/>
  <c r="S1514" i="34"/>
  <c r="T1514" i="34"/>
  <c r="V1514" i="34"/>
  <c r="X1514" i="34"/>
  <c r="Y1514" i="34"/>
  <c r="N1515" i="34"/>
  <c r="R1515" i="34"/>
  <c r="S1515" i="34"/>
  <c r="T1515" i="34"/>
  <c r="V1515" i="34"/>
  <c r="X1515" i="34"/>
  <c r="Y1515" i="34"/>
  <c r="N1516" i="34"/>
  <c r="R1516" i="34"/>
  <c r="S1516" i="34"/>
  <c r="T1516" i="34"/>
  <c r="V1516" i="34"/>
  <c r="X1516" i="34"/>
  <c r="Y1516" i="34"/>
  <c r="N1517" i="34"/>
  <c r="R1517" i="34"/>
  <c r="S1517" i="34"/>
  <c r="T1517" i="34"/>
  <c r="V1517" i="34"/>
  <c r="X1517" i="34"/>
  <c r="Y1517" i="34"/>
  <c r="N1518" i="34"/>
  <c r="R1518" i="34"/>
  <c r="S1518" i="34"/>
  <c r="T1518" i="34"/>
  <c r="V1518" i="34"/>
  <c r="X1518" i="34"/>
  <c r="Y1518" i="34"/>
  <c r="N1519" i="34"/>
  <c r="R1519" i="34"/>
  <c r="S1519" i="34"/>
  <c r="T1519" i="34"/>
  <c r="V1519" i="34"/>
  <c r="X1519" i="34"/>
  <c r="Y1519" i="34"/>
  <c r="N1520" i="34"/>
  <c r="R1520" i="34"/>
  <c r="S1520" i="34"/>
  <c r="T1520" i="34"/>
  <c r="V1520" i="34"/>
  <c r="X1520" i="34"/>
  <c r="Y1520" i="34"/>
  <c r="N1521" i="34"/>
  <c r="R1521" i="34"/>
  <c r="S1521" i="34"/>
  <c r="T1521" i="34"/>
  <c r="V1521" i="34"/>
  <c r="X1521" i="34"/>
  <c r="Y1521" i="34"/>
  <c r="N1522" i="34"/>
  <c r="R1522" i="34"/>
  <c r="S1522" i="34"/>
  <c r="T1522" i="34"/>
  <c r="V1522" i="34"/>
  <c r="X1522" i="34"/>
  <c r="Y1522" i="34"/>
  <c r="N1523" i="34"/>
  <c r="R1523" i="34"/>
  <c r="S1523" i="34"/>
  <c r="T1523" i="34"/>
  <c r="V1523" i="34"/>
  <c r="X1523" i="34"/>
  <c r="Y1523" i="34"/>
  <c r="N1524" i="34"/>
  <c r="R1524" i="34"/>
  <c r="S1524" i="34"/>
  <c r="T1524" i="34"/>
  <c r="V1524" i="34"/>
  <c r="X1524" i="34"/>
  <c r="Y1524" i="34"/>
  <c r="N1525" i="34"/>
  <c r="R1525" i="34"/>
  <c r="S1525" i="34"/>
  <c r="T1525" i="34"/>
  <c r="V1525" i="34"/>
  <c r="X1525" i="34"/>
  <c r="Y1525" i="34"/>
  <c r="N1526" i="34"/>
  <c r="R1526" i="34"/>
  <c r="S1526" i="34"/>
  <c r="T1526" i="34"/>
  <c r="V1526" i="34"/>
  <c r="X1526" i="34"/>
  <c r="Y1526" i="34"/>
  <c r="N1527" i="34"/>
  <c r="R1527" i="34"/>
  <c r="S1527" i="34"/>
  <c r="T1527" i="34"/>
  <c r="V1527" i="34"/>
  <c r="X1527" i="34"/>
  <c r="Y1527" i="34"/>
  <c r="N1528" i="34"/>
  <c r="R1528" i="34"/>
  <c r="S1528" i="34"/>
  <c r="T1528" i="34"/>
  <c r="V1528" i="34"/>
  <c r="X1528" i="34"/>
  <c r="Y1528" i="34"/>
  <c r="N1529" i="34"/>
  <c r="R1529" i="34"/>
  <c r="S1529" i="34"/>
  <c r="T1529" i="34"/>
  <c r="V1529" i="34"/>
  <c r="X1529" i="34"/>
  <c r="Y1529" i="34"/>
  <c r="N1530" i="34"/>
  <c r="R1530" i="34"/>
  <c r="S1530" i="34"/>
  <c r="T1530" i="34"/>
  <c r="V1530" i="34"/>
  <c r="X1530" i="34"/>
  <c r="Y1530" i="34"/>
  <c r="N1531" i="34"/>
  <c r="R1531" i="34"/>
  <c r="S1531" i="34"/>
  <c r="T1531" i="34"/>
  <c r="V1531" i="34"/>
  <c r="X1531" i="34"/>
  <c r="Y1531" i="34"/>
  <c r="N1532" i="34"/>
  <c r="R1532" i="34"/>
  <c r="S1532" i="34"/>
  <c r="T1532" i="34"/>
  <c r="V1532" i="34"/>
  <c r="X1532" i="34"/>
  <c r="Y1532" i="34"/>
  <c r="N1533" i="34"/>
  <c r="R1533" i="34"/>
  <c r="S1533" i="34"/>
  <c r="T1533" i="34"/>
  <c r="V1533" i="34"/>
  <c r="X1533" i="34"/>
  <c r="Y1533" i="34"/>
  <c r="N1534" i="34"/>
  <c r="R1534" i="34"/>
  <c r="S1534" i="34"/>
  <c r="T1534" i="34"/>
  <c r="V1534" i="34"/>
  <c r="X1534" i="34"/>
  <c r="Y1534" i="34"/>
  <c r="N1535" i="34"/>
  <c r="R1535" i="34"/>
  <c r="S1535" i="34"/>
  <c r="T1535" i="34"/>
  <c r="V1535" i="34"/>
  <c r="X1535" i="34"/>
  <c r="Y1535" i="34"/>
  <c r="N1536" i="34"/>
  <c r="R1536" i="34"/>
  <c r="S1536" i="34"/>
  <c r="T1536" i="34"/>
  <c r="V1536" i="34"/>
  <c r="X1536" i="34"/>
  <c r="Y1536" i="34"/>
  <c r="N1537" i="34"/>
  <c r="R1537" i="34"/>
  <c r="S1537" i="34"/>
  <c r="T1537" i="34"/>
  <c r="V1537" i="34"/>
  <c r="X1537" i="34"/>
  <c r="Y1537" i="34"/>
  <c r="N1538" i="34"/>
  <c r="R1538" i="34"/>
  <c r="S1538" i="34"/>
  <c r="T1538" i="34"/>
  <c r="V1538" i="34"/>
  <c r="X1538" i="34"/>
  <c r="Y1538" i="34"/>
  <c r="N1539" i="34"/>
  <c r="R1539" i="34"/>
  <c r="S1539" i="34"/>
  <c r="T1539" i="34"/>
  <c r="V1539" i="34"/>
  <c r="X1539" i="34"/>
  <c r="Y1539" i="34"/>
  <c r="N1540" i="34"/>
  <c r="R1540" i="34"/>
  <c r="S1540" i="34"/>
  <c r="T1540" i="34"/>
  <c r="V1540" i="34"/>
  <c r="X1540" i="34"/>
  <c r="Y1540" i="34"/>
  <c r="N1541" i="34"/>
  <c r="R1541" i="34"/>
  <c r="S1541" i="34"/>
  <c r="T1541" i="34"/>
  <c r="V1541" i="34"/>
  <c r="X1541" i="34"/>
  <c r="Y1541" i="34"/>
  <c r="N1542" i="34"/>
  <c r="R1542" i="34"/>
  <c r="S1542" i="34"/>
  <c r="T1542" i="34"/>
  <c r="V1542" i="34"/>
  <c r="X1542" i="34"/>
  <c r="Y1542" i="34"/>
  <c r="N1543" i="34"/>
  <c r="R1543" i="34"/>
  <c r="S1543" i="34"/>
  <c r="T1543" i="34"/>
  <c r="V1543" i="34"/>
  <c r="X1543" i="34"/>
  <c r="Y1543" i="34"/>
  <c r="N1544" i="34"/>
  <c r="R1544" i="34"/>
  <c r="S1544" i="34"/>
  <c r="T1544" i="34"/>
  <c r="V1544" i="34"/>
  <c r="X1544" i="34"/>
  <c r="Y1544" i="34"/>
  <c r="N1545" i="34"/>
  <c r="R1545" i="34"/>
  <c r="S1545" i="34"/>
  <c r="T1545" i="34"/>
  <c r="V1545" i="34"/>
  <c r="X1545" i="34"/>
  <c r="Y1545" i="34"/>
  <c r="N1546" i="34"/>
  <c r="R1546" i="34"/>
  <c r="S1546" i="34"/>
  <c r="T1546" i="34"/>
  <c r="V1546" i="34"/>
  <c r="X1546" i="34"/>
  <c r="Y1546" i="34"/>
  <c r="N1547" i="34"/>
  <c r="R1547" i="34"/>
  <c r="S1547" i="34"/>
  <c r="T1547" i="34"/>
  <c r="V1547" i="34"/>
  <c r="X1547" i="34"/>
  <c r="Y1547" i="34"/>
  <c r="N1548" i="34"/>
  <c r="R1548" i="34"/>
  <c r="S1548" i="34"/>
  <c r="T1548" i="34"/>
  <c r="V1548" i="34"/>
  <c r="X1548" i="34"/>
  <c r="Y1548" i="34"/>
  <c r="N1549" i="34"/>
  <c r="R1549" i="34"/>
  <c r="S1549" i="34"/>
  <c r="T1549" i="34"/>
  <c r="V1549" i="34"/>
  <c r="X1549" i="34"/>
  <c r="Y1549" i="34"/>
  <c r="N1550" i="34"/>
  <c r="R1550" i="34"/>
  <c r="S1550" i="34"/>
  <c r="T1550" i="34"/>
  <c r="V1550" i="34"/>
  <c r="X1550" i="34"/>
  <c r="Y1550" i="34"/>
  <c r="N1551" i="34"/>
  <c r="R1551" i="34"/>
  <c r="S1551" i="34"/>
  <c r="T1551" i="34"/>
  <c r="V1551" i="34"/>
  <c r="X1551" i="34"/>
  <c r="Y1551" i="34"/>
  <c r="N1552" i="34"/>
  <c r="R1552" i="34"/>
  <c r="S1552" i="34"/>
  <c r="T1552" i="34"/>
  <c r="V1552" i="34"/>
  <c r="X1552" i="34"/>
  <c r="Y1552" i="34"/>
  <c r="N1553" i="34"/>
  <c r="R1553" i="34"/>
  <c r="S1553" i="34"/>
  <c r="T1553" i="34"/>
  <c r="V1553" i="34"/>
  <c r="X1553" i="34"/>
  <c r="Y1553" i="34"/>
  <c r="N1554" i="34"/>
  <c r="R1554" i="34"/>
  <c r="S1554" i="34"/>
  <c r="T1554" i="34"/>
  <c r="V1554" i="34"/>
  <c r="X1554" i="34"/>
  <c r="Y1554" i="34"/>
  <c r="N1555" i="34"/>
  <c r="R1555" i="34"/>
  <c r="S1555" i="34"/>
  <c r="T1555" i="34"/>
  <c r="V1555" i="34"/>
  <c r="X1555" i="34"/>
  <c r="Y1555" i="34"/>
  <c r="N1556" i="34"/>
  <c r="R1556" i="34"/>
  <c r="S1556" i="34"/>
  <c r="T1556" i="34"/>
  <c r="V1556" i="34"/>
  <c r="X1556" i="34"/>
  <c r="Y1556" i="34"/>
  <c r="N1557" i="34"/>
  <c r="R1557" i="34"/>
  <c r="S1557" i="34"/>
  <c r="T1557" i="34"/>
  <c r="V1557" i="34"/>
  <c r="X1557" i="34"/>
  <c r="Y1557" i="34"/>
  <c r="N1558" i="34"/>
  <c r="R1558" i="34"/>
  <c r="S1558" i="34"/>
  <c r="T1558" i="34"/>
  <c r="V1558" i="34"/>
  <c r="X1558" i="34"/>
  <c r="Y1558" i="34"/>
  <c r="N1559" i="34"/>
  <c r="R1559" i="34"/>
  <c r="S1559" i="34"/>
  <c r="T1559" i="34"/>
  <c r="V1559" i="34"/>
  <c r="X1559" i="34"/>
  <c r="Y1559" i="34"/>
  <c r="N1560" i="34"/>
  <c r="R1560" i="34"/>
  <c r="S1560" i="34"/>
  <c r="T1560" i="34"/>
  <c r="V1560" i="34"/>
  <c r="X1560" i="34"/>
  <c r="Y1560" i="34"/>
  <c r="N1561" i="34"/>
  <c r="R1561" i="34"/>
  <c r="S1561" i="34"/>
  <c r="T1561" i="34"/>
  <c r="V1561" i="34"/>
  <c r="X1561" i="34"/>
  <c r="Y1561" i="34"/>
  <c r="N1562" i="34"/>
  <c r="R1562" i="34"/>
  <c r="S1562" i="34"/>
  <c r="T1562" i="34"/>
  <c r="V1562" i="34"/>
  <c r="X1562" i="34"/>
  <c r="Y1562" i="34"/>
  <c r="N1563" i="34"/>
  <c r="R1563" i="34"/>
  <c r="S1563" i="34"/>
  <c r="T1563" i="34"/>
  <c r="V1563" i="34"/>
  <c r="X1563" i="34"/>
  <c r="Y1563" i="34"/>
  <c r="N1564" i="34"/>
  <c r="R1564" i="34"/>
  <c r="S1564" i="34"/>
  <c r="T1564" i="34"/>
  <c r="V1564" i="34"/>
  <c r="X1564" i="34"/>
  <c r="Y1564" i="34"/>
  <c r="N1565" i="34"/>
  <c r="R1565" i="34"/>
  <c r="S1565" i="34"/>
  <c r="T1565" i="34"/>
  <c r="V1565" i="34"/>
  <c r="X1565" i="34"/>
  <c r="Y1565" i="34"/>
  <c r="N1566" i="34"/>
  <c r="R1566" i="34"/>
  <c r="S1566" i="34"/>
  <c r="T1566" i="34"/>
  <c r="V1566" i="34"/>
  <c r="X1566" i="34"/>
  <c r="Y1566" i="34"/>
  <c r="N1567" i="34"/>
  <c r="R1567" i="34"/>
  <c r="S1567" i="34"/>
  <c r="T1567" i="34"/>
  <c r="V1567" i="34"/>
  <c r="X1567" i="34"/>
  <c r="Y1567" i="34"/>
  <c r="N1568" i="34"/>
  <c r="R1568" i="34"/>
  <c r="S1568" i="34"/>
  <c r="T1568" i="34"/>
  <c r="V1568" i="34"/>
  <c r="X1568" i="34"/>
  <c r="Y1568" i="34"/>
  <c r="N1569" i="34"/>
  <c r="R1569" i="34"/>
  <c r="S1569" i="34"/>
  <c r="T1569" i="34"/>
  <c r="V1569" i="34"/>
  <c r="X1569" i="34"/>
  <c r="Y1569" i="34"/>
  <c r="N1570" i="34"/>
  <c r="R1570" i="34"/>
  <c r="S1570" i="34"/>
  <c r="T1570" i="34"/>
  <c r="V1570" i="34"/>
  <c r="X1570" i="34"/>
  <c r="Y1570" i="34"/>
  <c r="N1571" i="34"/>
  <c r="R1571" i="34"/>
  <c r="S1571" i="34"/>
  <c r="T1571" i="34"/>
  <c r="V1571" i="34"/>
  <c r="X1571" i="34"/>
  <c r="Y1571" i="34"/>
  <c r="N1572" i="34"/>
  <c r="R1572" i="34"/>
  <c r="S1572" i="34"/>
  <c r="T1572" i="34"/>
  <c r="V1572" i="34"/>
  <c r="X1572" i="34"/>
  <c r="Y1572" i="34"/>
  <c r="N1573" i="34"/>
  <c r="R1573" i="34"/>
  <c r="S1573" i="34"/>
  <c r="T1573" i="34"/>
  <c r="V1573" i="34"/>
  <c r="X1573" i="34"/>
  <c r="Y1573" i="34"/>
  <c r="N1574" i="34"/>
  <c r="R1574" i="34"/>
  <c r="S1574" i="34"/>
  <c r="T1574" i="34"/>
  <c r="V1574" i="34"/>
  <c r="X1574" i="34"/>
  <c r="Y1574" i="34"/>
  <c r="N1575" i="34"/>
  <c r="R1575" i="34"/>
  <c r="S1575" i="34"/>
  <c r="T1575" i="34"/>
  <c r="V1575" i="34"/>
  <c r="X1575" i="34"/>
  <c r="Y1575" i="34"/>
  <c r="N1576" i="34"/>
  <c r="R1576" i="34"/>
  <c r="S1576" i="34"/>
  <c r="T1576" i="34"/>
  <c r="V1576" i="34"/>
  <c r="X1576" i="34"/>
  <c r="Y1576" i="34"/>
  <c r="N1577" i="34"/>
  <c r="R1577" i="34"/>
  <c r="S1577" i="34"/>
  <c r="T1577" i="34"/>
  <c r="V1577" i="34"/>
  <c r="X1577" i="34"/>
  <c r="Y1577" i="34"/>
  <c r="N1578" i="34"/>
  <c r="R1578" i="34"/>
  <c r="S1578" i="34"/>
  <c r="T1578" i="34"/>
  <c r="V1578" i="34"/>
  <c r="X1578" i="34"/>
  <c r="Y1578" i="34"/>
  <c r="N1579" i="34"/>
  <c r="R1579" i="34"/>
  <c r="S1579" i="34"/>
  <c r="T1579" i="34"/>
  <c r="V1579" i="34"/>
  <c r="X1579" i="34"/>
  <c r="Y1579" i="34"/>
  <c r="N1580" i="34"/>
  <c r="R1580" i="34"/>
  <c r="S1580" i="34"/>
  <c r="T1580" i="34"/>
  <c r="V1580" i="34"/>
  <c r="X1580" i="34"/>
  <c r="Y1580" i="34"/>
  <c r="N1581" i="34"/>
  <c r="R1581" i="34"/>
  <c r="S1581" i="34"/>
  <c r="T1581" i="34"/>
  <c r="V1581" i="34"/>
  <c r="X1581" i="34"/>
  <c r="Y1581" i="34"/>
  <c r="N1582" i="34"/>
  <c r="R1582" i="34"/>
  <c r="S1582" i="34"/>
  <c r="T1582" i="34"/>
  <c r="V1582" i="34"/>
  <c r="X1582" i="34"/>
  <c r="Y1582" i="34"/>
  <c r="N1583" i="34"/>
  <c r="R1583" i="34"/>
  <c r="S1583" i="34"/>
  <c r="T1583" i="34"/>
  <c r="V1583" i="34"/>
  <c r="X1583" i="34"/>
  <c r="Y1583" i="34"/>
  <c r="N1584" i="34"/>
  <c r="R1584" i="34"/>
  <c r="S1584" i="34"/>
  <c r="T1584" i="34"/>
  <c r="V1584" i="34"/>
  <c r="X1584" i="34"/>
  <c r="Y1584" i="34"/>
  <c r="N1585" i="34"/>
  <c r="R1585" i="34"/>
  <c r="S1585" i="34"/>
  <c r="T1585" i="34"/>
  <c r="V1585" i="34"/>
  <c r="X1585" i="34"/>
  <c r="Y1585" i="34"/>
  <c r="N1586" i="34"/>
  <c r="R1586" i="34"/>
  <c r="S1586" i="34"/>
  <c r="T1586" i="34"/>
  <c r="V1586" i="34"/>
  <c r="X1586" i="34"/>
  <c r="Y1586" i="34"/>
  <c r="N1587" i="34"/>
  <c r="R1587" i="34"/>
  <c r="S1587" i="34"/>
  <c r="T1587" i="34"/>
  <c r="V1587" i="34"/>
  <c r="X1587" i="34"/>
  <c r="Y1587" i="34"/>
  <c r="N1588" i="34"/>
  <c r="R1588" i="34"/>
  <c r="S1588" i="34"/>
  <c r="T1588" i="34"/>
  <c r="V1588" i="34"/>
  <c r="X1588" i="34"/>
  <c r="Y1588" i="34"/>
  <c r="N1589" i="34"/>
  <c r="R1589" i="34"/>
  <c r="S1589" i="34"/>
  <c r="T1589" i="34"/>
  <c r="V1589" i="34"/>
  <c r="X1589" i="34"/>
  <c r="Y1589" i="34"/>
  <c r="N1590" i="34"/>
  <c r="R1590" i="34"/>
  <c r="S1590" i="34"/>
  <c r="T1590" i="34"/>
  <c r="V1590" i="34"/>
  <c r="X1590" i="34"/>
  <c r="Y1590" i="34"/>
  <c r="N1591" i="34"/>
  <c r="R1591" i="34"/>
  <c r="S1591" i="34"/>
  <c r="T1591" i="34"/>
  <c r="V1591" i="34"/>
  <c r="X1591" i="34"/>
  <c r="Y1591" i="34"/>
  <c r="N1592" i="34"/>
  <c r="R1592" i="34"/>
  <c r="S1592" i="34"/>
  <c r="T1592" i="34"/>
  <c r="V1592" i="34"/>
  <c r="X1592" i="34"/>
  <c r="Y1592" i="34"/>
  <c r="N1593" i="34"/>
  <c r="R1593" i="34"/>
  <c r="S1593" i="34"/>
  <c r="T1593" i="34"/>
  <c r="V1593" i="34"/>
  <c r="X1593" i="34"/>
  <c r="Y1593" i="34"/>
  <c r="N1594" i="34"/>
  <c r="R1594" i="34"/>
  <c r="S1594" i="34"/>
  <c r="T1594" i="34"/>
  <c r="V1594" i="34"/>
  <c r="X1594" i="34"/>
  <c r="Y1594" i="34"/>
  <c r="N1595" i="34"/>
  <c r="R1595" i="34"/>
  <c r="S1595" i="34"/>
  <c r="T1595" i="34"/>
  <c r="V1595" i="34"/>
  <c r="X1595" i="34"/>
  <c r="Y1595" i="34"/>
  <c r="N1596" i="34"/>
  <c r="R1596" i="34"/>
  <c r="S1596" i="34"/>
  <c r="T1596" i="34"/>
  <c r="V1596" i="34"/>
  <c r="X1596" i="34"/>
  <c r="Y1596" i="34"/>
  <c r="N1597" i="34"/>
  <c r="R1597" i="34"/>
  <c r="S1597" i="34"/>
  <c r="T1597" i="34"/>
  <c r="V1597" i="34"/>
  <c r="X1597" i="34"/>
  <c r="Y1597" i="34"/>
  <c r="N1598" i="34"/>
  <c r="R1598" i="34"/>
  <c r="S1598" i="34"/>
  <c r="T1598" i="34"/>
  <c r="V1598" i="34"/>
  <c r="X1598" i="34"/>
  <c r="Y1598" i="34"/>
  <c r="N1599" i="34"/>
  <c r="R1599" i="34"/>
  <c r="S1599" i="34"/>
  <c r="T1599" i="34"/>
  <c r="V1599" i="34"/>
  <c r="X1599" i="34"/>
  <c r="Y1599" i="34"/>
  <c r="N1600" i="34"/>
  <c r="R1600" i="34"/>
  <c r="S1600" i="34"/>
  <c r="T1600" i="34"/>
  <c r="V1600" i="34"/>
  <c r="X1600" i="34"/>
  <c r="Y1600" i="34"/>
  <c r="N1601" i="34"/>
  <c r="R1601" i="34"/>
  <c r="S1601" i="34"/>
  <c r="T1601" i="34"/>
  <c r="V1601" i="34"/>
  <c r="X1601" i="34"/>
  <c r="Y1601" i="34"/>
  <c r="N1602" i="34"/>
  <c r="R1602" i="34"/>
  <c r="S1602" i="34"/>
  <c r="T1602" i="34"/>
  <c r="V1602" i="34"/>
  <c r="X1602" i="34"/>
  <c r="Y1602" i="34"/>
  <c r="N1603" i="34"/>
  <c r="R1603" i="34"/>
  <c r="S1603" i="34"/>
  <c r="T1603" i="34"/>
  <c r="V1603" i="34"/>
  <c r="X1603" i="34"/>
  <c r="Y1603" i="34"/>
  <c r="N1604" i="34"/>
  <c r="R1604" i="34"/>
  <c r="S1604" i="34"/>
  <c r="T1604" i="34"/>
  <c r="V1604" i="34"/>
  <c r="X1604" i="34"/>
  <c r="Y1604" i="34"/>
  <c r="N1605" i="34"/>
  <c r="R1605" i="34"/>
  <c r="S1605" i="34"/>
  <c r="T1605" i="34"/>
  <c r="V1605" i="34"/>
  <c r="X1605" i="34"/>
  <c r="Y1605" i="34"/>
  <c r="N1606" i="34"/>
  <c r="R1606" i="34"/>
  <c r="S1606" i="34"/>
  <c r="T1606" i="34"/>
  <c r="V1606" i="34"/>
  <c r="X1606" i="34"/>
  <c r="Y1606" i="34"/>
  <c r="N1607" i="34"/>
  <c r="R1607" i="34"/>
  <c r="S1607" i="34"/>
  <c r="T1607" i="34"/>
  <c r="V1607" i="34"/>
  <c r="X1607" i="34"/>
  <c r="Y1607" i="34"/>
  <c r="N1608" i="34"/>
  <c r="R1608" i="34"/>
  <c r="S1608" i="34"/>
  <c r="T1608" i="34"/>
  <c r="V1608" i="34"/>
  <c r="X1608" i="34"/>
  <c r="Y1608" i="34"/>
  <c r="N1609" i="34"/>
  <c r="R1609" i="34"/>
  <c r="S1609" i="34"/>
  <c r="T1609" i="34"/>
  <c r="V1609" i="34"/>
  <c r="X1609" i="34"/>
  <c r="Y1609" i="34"/>
  <c r="N1610" i="34"/>
  <c r="R1610" i="34"/>
  <c r="S1610" i="34"/>
  <c r="T1610" i="34"/>
  <c r="V1610" i="34"/>
  <c r="X1610" i="34"/>
  <c r="Y1610" i="34"/>
  <c r="N1611" i="34"/>
  <c r="R1611" i="34"/>
  <c r="S1611" i="34"/>
  <c r="T1611" i="34"/>
  <c r="V1611" i="34"/>
  <c r="X1611" i="34"/>
  <c r="Y1611" i="34"/>
  <c r="N1612" i="34"/>
  <c r="R1612" i="34"/>
  <c r="S1612" i="34"/>
  <c r="T1612" i="34"/>
  <c r="V1612" i="34"/>
  <c r="X1612" i="34"/>
  <c r="Y1612" i="34"/>
  <c r="N1613" i="34"/>
  <c r="R1613" i="34"/>
  <c r="S1613" i="34"/>
  <c r="T1613" i="34"/>
  <c r="V1613" i="34"/>
  <c r="X1613" i="34"/>
  <c r="Y1613" i="34"/>
  <c r="N1614" i="34"/>
  <c r="R1614" i="34"/>
  <c r="S1614" i="34"/>
  <c r="T1614" i="34"/>
  <c r="V1614" i="34"/>
  <c r="X1614" i="34"/>
  <c r="Y1614" i="34"/>
  <c r="N1615" i="34"/>
  <c r="R1615" i="34"/>
  <c r="S1615" i="34"/>
  <c r="T1615" i="34"/>
  <c r="V1615" i="34"/>
  <c r="X1615" i="34"/>
  <c r="Y1615" i="34"/>
  <c r="N1616" i="34"/>
  <c r="R1616" i="34"/>
  <c r="S1616" i="34"/>
  <c r="T1616" i="34"/>
  <c r="V1616" i="34"/>
  <c r="X1616" i="34"/>
  <c r="Y1616" i="34"/>
  <c r="N1617" i="34"/>
  <c r="R1617" i="34"/>
  <c r="S1617" i="34"/>
  <c r="T1617" i="34"/>
  <c r="V1617" i="34"/>
  <c r="X1617" i="34"/>
  <c r="Y1617" i="34"/>
  <c r="N1618" i="34"/>
  <c r="R1618" i="34"/>
  <c r="S1618" i="34"/>
  <c r="T1618" i="34"/>
  <c r="V1618" i="34"/>
  <c r="X1618" i="34"/>
  <c r="Y1618" i="34"/>
  <c r="N1619" i="34"/>
  <c r="R1619" i="34"/>
  <c r="S1619" i="34"/>
  <c r="T1619" i="34"/>
  <c r="V1619" i="34"/>
  <c r="X1619" i="34"/>
  <c r="Y1619" i="34"/>
  <c r="N1620" i="34"/>
  <c r="R1620" i="34"/>
  <c r="S1620" i="34"/>
  <c r="T1620" i="34"/>
  <c r="V1620" i="34"/>
  <c r="X1620" i="34"/>
  <c r="Y1620" i="34"/>
  <c r="N1621" i="34"/>
  <c r="R1621" i="34"/>
  <c r="S1621" i="34"/>
  <c r="T1621" i="34"/>
  <c r="V1621" i="34"/>
  <c r="X1621" i="34"/>
  <c r="Y1621" i="34"/>
  <c r="N1622" i="34"/>
  <c r="R1622" i="34"/>
  <c r="S1622" i="34"/>
  <c r="T1622" i="34"/>
  <c r="V1622" i="34"/>
  <c r="X1622" i="34"/>
  <c r="Y1622" i="34"/>
  <c r="N1623" i="34"/>
  <c r="R1623" i="34"/>
  <c r="S1623" i="34"/>
  <c r="T1623" i="34"/>
  <c r="V1623" i="34"/>
  <c r="X1623" i="34"/>
  <c r="Y1623" i="34"/>
  <c r="N1624" i="34"/>
  <c r="R1624" i="34"/>
  <c r="S1624" i="34"/>
  <c r="T1624" i="34"/>
  <c r="V1624" i="34"/>
  <c r="X1624" i="34"/>
  <c r="Y1624" i="34"/>
  <c r="N1625" i="34"/>
  <c r="R1625" i="34"/>
  <c r="S1625" i="34"/>
  <c r="T1625" i="34"/>
  <c r="V1625" i="34"/>
  <c r="X1625" i="34"/>
  <c r="Y1625" i="34"/>
  <c r="N1626" i="34"/>
  <c r="R1626" i="34"/>
  <c r="S1626" i="34"/>
  <c r="T1626" i="34"/>
  <c r="V1626" i="34"/>
  <c r="X1626" i="34"/>
  <c r="Y1626" i="34"/>
  <c r="N1627" i="34"/>
  <c r="R1627" i="34"/>
  <c r="S1627" i="34"/>
  <c r="T1627" i="34"/>
  <c r="V1627" i="34"/>
  <c r="X1627" i="34"/>
  <c r="Y1627" i="34"/>
  <c r="N1628" i="34"/>
  <c r="R1628" i="34"/>
  <c r="S1628" i="34"/>
  <c r="T1628" i="34"/>
  <c r="V1628" i="34"/>
  <c r="X1628" i="34"/>
  <c r="Y1628" i="34"/>
  <c r="N1629" i="34"/>
  <c r="R1629" i="34"/>
  <c r="S1629" i="34"/>
  <c r="T1629" i="34"/>
  <c r="V1629" i="34"/>
  <c r="X1629" i="34"/>
  <c r="Y1629" i="34"/>
  <c r="N1630" i="34"/>
  <c r="R1630" i="34"/>
  <c r="S1630" i="34"/>
  <c r="T1630" i="34"/>
  <c r="V1630" i="34"/>
  <c r="X1630" i="34"/>
  <c r="Y1630" i="34"/>
  <c r="N1631" i="34"/>
  <c r="R1631" i="34"/>
  <c r="S1631" i="34"/>
  <c r="T1631" i="34"/>
  <c r="V1631" i="34"/>
  <c r="X1631" i="34"/>
  <c r="Y1631" i="34"/>
  <c r="N1632" i="34"/>
  <c r="R1632" i="34"/>
  <c r="S1632" i="34"/>
  <c r="T1632" i="34"/>
  <c r="V1632" i="34"/>
  <c r="X1632" i="34"/>
  <c r="Y1632" i="34"/>
  <c r="N1633" i="34"/>
  <c r="R1633" i="34"/>
  <c r="S1633" i="34"/>
  <c r="T1633" i="34"/>
  <c r="V1633" i="34"/>
  <c r="X1633" i="34"/>
  <c r="Y1633" i="34"/>
  <c r="N1634" i="34"/>
  <c r="R1634" i="34"/>
  <c r="S1634" i="34"/>
  <c r="T1634" i="34"/>
  <c r="V1634" i="34"/>
  <c r="X1634" i="34"/>
  <c r="Y1634" i="34"/>
  <c r="N1635" i="34"/>
  <c r="R1635" i="34"/>
  <c r="S1635" i="34"/>
  <c r="T1635" i="34"/>
  <c r="V1635" i="34"/>
  <c r="X1635" i="34"/>
  <c r="Y1635" i="34"/>
  <c r="N1636" i="34"/>
  <c r="R1636" i="34"/>
  <c r="S1636" i="34"/>
  <c r="T1636" i="34"/>
  <c r="V1636" i="34"/>
  <c r="X1636" i="34"/>
  <c r="Y1636" i="34"/>
  <c r="N1637" i="34"/>
  <c r="R1637" i="34"/>
  <c r="S1637" i="34"/>
  <c r="T1637" i="34"/>
  <c r="V1637" i="34"/>
  <c r="X1637" i="34"/>
  <c r="Y1637" i="34"/>
  <c r="N1638" i="34"/>
  <c r="R1638" i="34"/>
  <c r="S1638" i="34"/>
  <c r="T1638" i="34"/>
  <c r="V1638" i="34"/>
  <c r="X1638" i="34"/>
  <c r="Y1638" i="34"/>
  <c r="N1639" i="34"/>
  <c r="R1639" i="34"/>
  <c r="S1639" i="34"/>
  <c r="T1639" i="34"/>
  <c r="V1639" i="34"/>
  <c r="X1639" i="34"/>
  <c r="Y1639" i="34"/>
  <c r="N1640" i="34"/>
  <c r="R1640" i="34"/>
  <c r="S1640" i="34"/>
  <c r="T1640" i="34"/>
  <c r="V1640" i="34"/>
  <c r="X1640" i="34"/>
  <c r="Y1640" i="34"/>
  <c r="N1641" i="34"/>
  <c r="R1641" i="34"/>
  <c r="S1641" i="34"/>
  <c r="T1641" i="34"/>
  <c r="V1641" i="34"/>
  <c r="X1641" i="34"/>
  <c r="Y1641" i="34"/>
  <c r="N1642" i="34"/>
  <c r="R1642" i="34"/>
  <c r="S1642" i="34"/>
  <c r="T1642" i="34"/>
  <c r="V1642" i="34"/>
  <c r="X1642" i="34"/>
  <c r="Y1642" i="34"/>
  <c r="N1643" i="34"/>
  <c r="R1643" i="34"/>
  <c r="S1643" i="34"/>
  <c r="T1643" i="34"/>
  <c r="V1643" i="34"/>
  <c r="X1643" i="34"/>
  <c r="Y1643" i="34"/>
  <c r="N1644" i="34"/>
  <c r="R1644" i="34"/>
  <c r="S1644" i="34"/>
  <c r="T1644" i="34"/>
  <c r="V1644" i="34"/>
  <c r="X1644" i="34"/>
  <c r="Y1644" i="34"/>
  <c r="N1645" i="34"/>
  <c r="R1645" i="34"/>
  <c r="S1645" i="34"/>
  <c r="T1645" i="34"/>
  <c r="V1645" i="34"/>
  <c r="X1645" i="34"/>
  <c r="Y1645" i="34"/>
  <c r="N1646" i="34"/>
  <c r="R1646" i="34"/>
  <c r="S1646" i="34"/>
  <c r="T1646" i="34"/>
  <c r="V1646" i="34"/>
  <c r="X1646" i="34"/>
  <c r="Y1646" i="34"/>
  <c r="N1647" i="34"/>
  <c r="R1647" i="34"/>
  <c r="S1647" i="34"/>
  <c r="T1647" i="34"/>
  <c r="V1647" i="34"/>
  <c r="X1647" i="34"/>
  <c r="Y1647" i="34"/>
  <c r="N1648" i="34"/>
  <c r="R1648" i="34"/>
  <c r="S1648" i="34"/>
  <c r="T1648" i="34"/>
  <c r="V1648" i="34"/>
  <c r="X1648" i="34"/>
  <c r="Y1648" i="34"/>
  <c r="N1649" i="34"/>
  <c r="R1649" i="34"/>
  <c r="S1649" i="34"/>
  <c r="T1649" i="34"/>
  <c r="V1649" i="34"/>
  <c r="X1649" i="34"/>
  <c r="Y1649" i="34"/>
  <c r="N1650" i="34"/>
  <c r="R1650" i="34"/>
  <c r="S1650" i="34"/>
  <c r="T1650" i="34"/>
  <c r="V1650" i="34"/>
  <c r="X1650" i="34"/>
  <c r="Y1650" i="34"/>
  <c r="N1651" i="34"/>
  <c r="R1651" i="34"/>
  <c r="S1651" i="34"/>
  <c r="T1651" i="34"/>
  <c r="V1651" i="34"/>
  <c r="X1651" i="34"/>
  <c r="Y1651" i="34"/>
  <c r="N1652" i="34"/>
  <c r="R1652" i="34"/>
  <c r="S1652" i="34"/>
  <c r="T1652" i="34"/>
  <c r="V1652" i="34"/>
  <c r="X1652" i="34"/>
  <c r="Y1652" i="34"/>
  <c r="N1653" i="34"/>
  <c r="R1653" i="34"/>
  <c r="S1653" i="34"/>
  <c r="T1653" i="34"/>
  <c r="V1653" i="34"/>
  <c r="X1653" i="34"/>
  <c r="Y1653" i="34"/>
  <c r="N1654" i="34"/>
  <c r="R1654" i="34"/>
  <c r="S1654" i="34"/>
  <c r="T1654" i="34"/>
  <c r="V1654" i="34"/>
  <c r="X1654" i="34"/>
  <c r="Y1654" i="34"/>
  <c r="N1655" i="34"/>
  <c r="R1655" i="34"/>
  <c r="S1655" i="34"/>
  <c r="T1655" i="34"/>
  <c r="V1655" i="34"/>
  <c r="X1655" i="34"/>
  <c r="Y1655" i="34"/>
  <c r="N1656" i="34"/>
  <c r="R1656" i="34"/>
  <c r="S1656" i="34"/>
  <c r="T1656" i="34"/>
  <c r="V1656" i="34"/>
  <c r="X1656" i="34"/>
  <c r="Y1656" i="34"/>
  <c r="N1657" i="34"/>
  <c r="R1657" i="34"/>
  <c r="S1657" i="34"/>
  <c r="T1657" i="34"/>
  <c r="V1657" i="34"/>
  <c r="X1657" i="34"/>
  <c r="Y1657" i="34"/>
  <c r="N1658" i="34"/>
  <c r="R1658" i="34"/>
  <c r="S1658" i="34"/>
  <c r="T1658" i="34"/>
  <c r="V1658" i="34"/>
  <c r="X1658" i="34"/>
  <c r="Y1658" i="34"/>
  <c r="N1659" i="34"/>
  <c r="R1659" i="34"/>
  <c r="S1659" i="34"/>
  <c r="T1659" i="34"/>
  <c r="V1659" i="34"/>
  <c r="X1659" i="34"/>
  <c r="Y1659" i="34"/>
  <c r="N1660" i="34"/>
  <c r="R1660" i="34"/>
  <c r="S1660" i="34"/>
  <c r="T1660" i="34"/>
  <c r="V1660" i="34"/>
  <c r="X1660" i="34"/>
  <c r="Y1660" i="34"/>
  <c r="N1661" i="34"/>
  <c r="R1661" i="34"/>
  <c r="S1661" i="34"/>
  <c r="T1661" i="34"/>
  <c r="V1661" i="34"/>
  <c r="X1661" i="34"/>
  <c r="Y1661" i="34"/>
  <c r="N1662" i="34"/>
  <c r="R1662" i="34"/>
  <c r="S1662" i="34"/>
  <c r="T1662" i="34"/>
  <c r="V1662" i="34"/>
  <c r="X1662" i="34"/>
  <c r="Y1662" i="34"/>
  <c r="N1663" i="34"/>
  <c r="R1663" i="34"/>
  <c r="S1663" i="34"/>
  <c r="T1663" i="34"/>
  <c r="V1663" i="34"/>
  <c r="X1663" i="34"/>
  <c r="Y1663" i="34"/>
  <c r="N1664" i="34"/>
  <c r="R1664" i="34"/>
  <c r="S1664" i="34"/>
  <c r="T1664" i="34"/>
  <c r="V1664" i="34"/>
  <c r="X1664" i="34"/>
  <c r="Y1664" i="34"/>
  <c r="N1665" i="34"/>
  <c r="R1665" i="34"/>
  <c r="S1665" i="34"/>
  <c r="T1665" i="34"/>
  <c r="V1665" i="34"/>
  <c r="X1665" i="34"/>
  <c r="Y1665" i="34"/>
  <c r="N1666" i="34"/>
  <c r="R1666" i="34"/>
  <c r="S1666" i="34"/>
  <c r="T1666" i="34"/>
  <c r="V1666" i="34"/>
  <c r="X1666" i="34"/>
  <c r="Y1666" i="34"/>
  <c r="N1667" i="34"/>
  <c r="R1667" i="34"/>
  <c r="S1667" i="34"/>
  <c r="T1667" i="34"/>
  <c r="V1667" i="34"/>
  <c r="X1667" i="34"/>
  <c r="Y1667" i="34"/>
  <c r="N1668" i="34"/>
  <c r="R1668" i="34"/>
  <c r="S1668" i="34"/>
  <c r="T1668" i="34"/>
  <c r="V1668" i="34"/>
  <c r="X1668" i="34"/>
  <c r="Y1668" i="34"/>
  <c r="N1669" i="34"/>
  <c r="R1669" i="34"/>
  <c r="S1669" i="34"/>
  <c r="T1669" i="34"/>
  <c r="V1669" i="34"/>
  <c r="X1669" i="34"/>
  <c r="Y1669" i="34"/>
  <c r="N1670" i="34"/>
  <c r="R1670" i="34"/>
  <c r="S1670" i="34"/>
  <c r="T1670" i="34"/>
  <c r="V1670" i="34"/>
  <c r="X1670" i="34"/>
  <c r="Y1670" i="34"/>
  <c r="N1671" i="34"/>
  <c r="R1671" i="34"/>
  <c r="S1671" i="34"/>
  <c r="T1671" i="34"/>
  <c r="V1671" i="34"/>
  <c r="X1671" i="34"/>
  <c r="Y1671" i="34"/>
  <c r="N1672" i="34"/>
  <c r="R1672" i="34"/>
  <c r="S1672" i="34"/>
  <c r="T1672" i="34"/>
  <c r="V1672" i="34"/>
  <c r="X1672" i="34"/>
  <c r="Y1672" i="34"/>
  <c r="N1673" i="34"/>
  <c r="R1673" i="34"/>
  <c r="S1673" i="34"/>
  <c r="T1673" i="34"/>
  <c r="V1673" i="34"/>
  <c r="X1673" i="34"/>
  <c r="Y1673" i="34"/>
  <c r="N1674" i="34"/>
  <c r="R1674" i="34"/>
  <c r="S1674" i="34"/>
  <c r="T1674" i="34"/>
  <c r="V1674" i="34"/>
  <c r="X1674" i="34"/>
  <c r="Y1674" i="34"/>
  <c r="N1675" i="34"/>
  <c r="R1675" i="34"/>
  <c r="S1675" i="34"/>
  <c r="T1675" i="34"/>
  <c r="V1675" i="34"/>
  <c r="X1675" i="34"/>
  <c r="Y1675" i="34"/>
  <c r="N1676" i="34"/>
  <c r="R1676" i="34"/>
  <c r="S1676" i="34"/>
  <c r="T1676" i="34"/>
  <c r="V1676" i="34"/>
  <c r="X1676" i="34"/>
  <c r="Y1676" i="34"/>
  <c r="N1677" i="34"/>
  <c r="R1677" i="34"/>
  <c r="S1677" i="34"/>
  <c r="T1677" i="34"/>
  <c r="V1677" i="34"/>
  <c r="X1677" i="34"/>
  <c r="Y1677" i="34"/>
  <c r="N1678" i="34"/>
  <c r="R1678" i="34"/>
  <c r="S1678" i="34"/>
  <c r="T1678" i="34"/>
  <c r="V1678" i="34"/>
  <c r="X1678" i="34"/>
  <c r="Y1678" i="34"/>
  <c r="N1679" i="34"/>
  <c r="R1679" i="34"/>
  <c r="S1679" i="34"/>
  <c r="T1679" i="34"/>
  <c r="V1679" i="34"/>
  <c r="X1679" i="34"/>
  <c r="Y1679" i="34"/>
  <c r="N1680" i="34"/>
  <c r="R1680" i="34"/>
  <c r="S1680" i="34"/>
  <c r="T1680" i="34"/>
  <c r="V1680" i="34"/>
  <c r="X1680" i="34"/>
  <c r="Y1680" i="34"/>
  <c r="N1681" i="34"/>
  <c r="R1681" i="34"/>
  <c r="S1681" i="34"/>
  <c r="T1681" i="34"/>
  <c r="V1681" i="34"/>
  <c r="X1681" i="34"/>
  <c r="Y1681" i="34"/>
  <c r="N1682" i="34"/>
  <c r="R1682" i="34"/>
  <c r="S1682" i="34"/>
  <c r="T1682" i="34"/>
  <c r="V1682" i="34"/>
  <c r="X1682" i="34"/>
  <c r="Y1682" i="34"/>
  <c r="N1683" i="34"/>
  <c r="R1683" i="34"/>
  <c r="S1683" i="34"/>
  <c r="T1683" i="34"/>
  <c r="V1683" i="34"/>
  <c r="X1683" i="34"/>
  <c r="Y1683" i="34"/>
  <c r="N1684" i="34"/>
  <c r="R1684" i="34"/>
  <c r="S1684" i="34"/>
  <c r="T1684" i="34"/>
  <c r="V1684" i="34"/>
  <c r="X1684" i="34"/>
  <c r="Y1684" i="34"/>
  <c r="N1685" i="34"/>
  <c r="R1685" i="34"/>
  <c r="S1685" i="34"/>
  <c r="T1685" i="34"/>
  <c r="V1685" i="34"/>
  <c r="X1685" i="34"/>
  <c r="Y1685" i="34"/>
  <c r="N1686" i="34"/>
  <c r="R1686" i="34"/>
  <c r="S1686" i="34"/>
  <c r="T1686" i="34"/>
  <c r="V1686" i="34"/>
  <c r="X1686" i="34"/>
  <c r="Y1686" i="34"/>
  <c r="N1687" i="34"/>
  <c r="R1687" i="34"/>
  <c r="S1687" i="34"/>
  <c r="T1687" i="34"/>
  <c r="V1687" i="34"/>
  <c r="X1687" i="34"/>
  <c r="Y1687" i="34"/>
  <c r="N1688" i="34"/>
  <c r="R1688" i="34"/>
  <c r="S1688" i="34"/>
  <c r="T1688" i="34"/>
  <c r="V1688" i="34"/>
  <c r="X1688" i="34"/>
  <c r="Y1688" i="34"/>
  <c r="N1689" i="34"/>
  <c r="R1689" i="34"/>
  <c r="S1689" i="34"/>
  <c r="T1689" i="34"/>
  <c r="V1689" i="34"/>
  <c r="X1689" i="34"/>
  <c r="Y1689" i="34"/>
  <c r="N1690" i="34"/>
  <c r="R1690" i="34"/>
  <c r="S1690" i="34"/>
  <c r="T1690" i="34"/>
  <c r="V1690" i="34"/>
  <c r="X1690" i="34"/>
  <c r="Y1690" i="34"/>
  <c r="N1691" i="34"/>
  <c r="R1691" i="34"/>
  <c r="S1691" i="34"/>
  <c r="T1691" i="34"/>
  <c r="V1691" i="34"/>
  <c r="X1691" i="34"/>
  <c r="Y1691" i="34"/>
  <c r="N1692" i="34"/>
  <c r="R1692" i="34"/>
  <c r="S1692" i="34"/>
  <c r="T1692" i="34"/>
  <c r="V1692" i="34"/>
  <c r="X1692" i="34"/>
  <c r="Y1692" i="34"/>
  <c r="N1693" i="34"/>
  <c r="R1693" i="34"/>
  <c r="S1693" i="34"/>
  <c r="T1693" i="34"/>
  <c r="V1693" i="34"/>
  <c r="X1693" i="34"/>
  <c r="Y1693" i="34"/>
  <c r="N1694" i="34"/>
  <c r="R1694" i="34"/>
  <c r="S1694" i="34"/>
  <c r="T1694" i="34"/>
  <c r="V1694" i="34"/>
  <c r="X1694" i="34"/>
  <c r="Y1694" i="34"/>
  <c r="N1695" i="34"/>
  <c r="R1695" i="34"/>
  <c r="S1695" i="34"/>
  <c r="T1695" i="34"/>
  <c r="V1695" i="34"/>
  <c r="X1695" i="34"/>
  <c r="Y1695" i="34"/>
  <c r="N1696" i="34"/>
  <c r="R1696" i="34"/>
  <c r="S1696" i="34"/>
  <c r="T1696" i="34"/>
  <c r="V1696" i="34"/>
  <c r="X1696" i="34"/>
  <c r="Y1696" i="34"/>
  <c r="N1697" i="34"/>
  <c r="R1697" i="34"/>
  <c r="S1697" i="34"/>
  <c r="T1697" i="34"/>
  <c r="V1697" i="34"/>
  <c r="X1697" i="34"/>
  <c r="Y1697" i="34"/>
  <c r="N1698" i="34"/>
  <c r="R1698" i="34"/>
  <c r="S1698" i="34"/>
  <c r="T1698" i="34"/>
  <c r="V1698" i="34"/>
  <c r="X1698" i="34"/>
  <c r="Y1698" i="34"/>
  <c r="N1699" i="34"/>
  <c r="R1699" i="34"/>
  <c r="S1699" i="34"/>
  <c r="T1699" i="34"/>
  <c r="V1699" i="34"/>
  <c r="X1699" i="34"/>
  <c r="Y1699" i="34"/>
  <c r="N1700" i="34"/>
  <c r="R1700" i="34"/>
  <c r="S1700" i="34"/>
  <c r="T1700" i="34"/>
  <c r="V1700" i="34"/>
  <c r="X1700" i="34"/>
  <c r="Y1700" i="34"/>
  <c r="N1701" i="34"/>
  <c r="R1701" i="34"/>
  <c r="S1701" i="34"/>
  <c r="T1701" i="34"/>
  <c r="V1701" i="34"/>
  <c r="X1701" i="34"/>
  <c r="Y1701" i="34"/>
  <c r="N1702" i="34"/>
  <c r="R1702" i="34"/>
  <c r="S1702" i="34"/>
  <c r="T1702" i="34"/>
  <c r="V1702" i="34"/>
  <c r="X1702" i="34"/>
  <c r="Y1702" i="34"/>
  <c r="N1703" i="34"/>
  <c r="R1703" i="34"/>
  <c r="S1703" i="34"/>
  <c r="T1703" i="34"/>
  <c r="V1703" i="34"/>
  <c r="X1703" i="34"/>
  <c r="Y1703" i="34"/>
  <c r="N1704" i="34"/>
  <c r="R1704" i="34"/>
  <c r="S1704" i="34"/>
  <c r="T1704" i="34"/>
  <c r="V1704" i="34"/>
  <c r="X1704" i="34"/>
  <c r="Y1704" i="34"/>
  <c r="N1705" i="34"/>
  <c r="R1705" i="34"/>
  <c r="S1705" i="34"/>
  <c r="T1705" i="34"/>
  <c r="V1705" i="34"/>
  <c r="X1705" i="34"/>
  <c r="Y1705" i="34"/>
  <c r="N1706" i="34"/>
  <c r="R1706" i="34"/>
  <c r="S1706" i="34"/>
  <c r="T1706" i="34"/>
  <c r="V1706" i="34"/>
  <c r="X1706" i="34"/>
  <c r="Y1706" i="34"/>
  <c r="N1707" i="34"/>
  <c r="R1707" i="34"/>
  <c r="S1707" i="34"/>
  <c r="T1707" i="34"/>
  <c r="V1707" i="34"/>
  <c r="X1707" i="34"/>
  <c r="Y1707" i="34"/>
  <c r="N1708" i="34"/>
  <c r="R1708" i="34"/>
  <c r="S1708" i="34"/>
  <c r="T1708" i="34"/>
  <c r="V1708" i="34"/>
  <c r="X1708" i="34"/>
  <c r="Y1708" i="34"/>
  <c r="N1709" i="34"/>
  <c r="R1709" i="34"/>
  <c r="S1709" i="34"/>
  <c r="T1709" i="34"/>
  <c r="V1709" i="34"/>
  <c r="X1709" i="34"/>
  <c r="Y1709" i="34"/>
  <c r="N1710" i="34"/>
  <c r="R1710" i="34"/>
  <c r="S1710" i="34"/>
  <c r="T1710" i="34"/>
  <c r="V1710" i="34"/>
  <c r="X1710" i="34"/>
  <c r="Y1710" i="34"/>
  <c r="N1711" i="34"/>
  <c r="R1711" i="34"/>
  <c r="S1711" i="34"/>
  <c r="T1711" i="34"/>
  <c r="V1711" i="34"/>
  <c r="X1711" i="34"/>
  <c r="Y1711" i="34"/>
  <c r="N1712" i="34"/>
  <c r="R1712" i="34"/>
  <c r="S1712" i="34"/>
  <c r="T1712" i="34"/>
  <c r="V1712" i="34"/>
  <c r="X1712" i="34"/>
  <c r="Y1712" i="34"/>
  <c r="N1713" i="34"/>
  <c r="R1713" i="34"/>
  <c r="S1713" i="34"/>
  <c r="T1713" i="34"/>
  <c r="V1713" i="34"/>
  <c r="X1713" i="34"/>
  <c r="Y1713" i="34"/>
  <c r="N1714" i="34"/>
  <c r="R1714" i="34"/>
  <c r="S1714" i="34"/>
  <c r="T1714" i="34"/>
  <c r="V1714" i="34"/>
  <c r="X1714" i="34"/>
  <c r="Y1714" i="34"/>
  <c r="N1715" i="34"/>
  <c r="R1715" i="34"/>
  <c r="S1715" i="34"/>
  <c r="T1715" i="34"/>
  <c r="V1715" i="34"/>
  <c r="X1715" i="34"/>
  <c r="Y1715" i="34"/>
  <c r="N1716" i="34"/>
  <c r="R1716" i="34"/>
  <c r="S1716" i="34"/>
  <c r="T1716" i="34"/>
  <c r="V1716" i="34"/>
  <c r="X1716" i="34"/>
  <c r="Y1716" i="34"/>
  <c r="N1717" i="34"/>
  <c r="R1717" i="34"/>
  <c r="S1717" i="34"/>
  <c r="T1717" i="34"/>
  <c r="V1717" i="34"/>
  <c r="X1717" i="34"/>
  <c r="Y1717" i="34"/>
  <c r="N1718" i="34"/>
  <c r="R1718" i="34"/>
  <c r="S1718" i="34"/>
  <c r="T1718" i="34"/>
  <c r="V1718" i="34"/>
  <c r="X1718" i="34"/>
  <c r="Y1718" i="34"/>
  <c r="N1719" i="34"/>
  <c r="R1719" i="34"/>
  <c r="S1719" i="34"/>
  <c r="T1719" i="34"/>
  <c r="V1719" i="34"/>
  <c r="X1719" i="34"/>
  <c r="Y1719" i="34"/>
  <c r="N1720" i="34"/>
  <c r="R1720" i="34"/>
  <c r="S1720" i="34"/>
  <c r="T1720" i="34"/>
  <c r="V1720" i="34"/>
  <c r="X1720" i="34"/>
  <c r="Y1720" i="34"/>
  <c r="N1721" i="34"/>
  <c r="R1721" i="34"/>
  <c r="S1721" i="34"/>
  <c r="T1721" i="34"/>
  <c r="V1721" i="34"/>
  <c r="X1721" i="34"/>
  <c r="Y1721" i="34"/>
  <c r="N1722" i="34"/>
  <c r="R1722" i="34"/>
  <c r="S1722" i="34"/>
  <c r="T1722" i="34"/>
  <c r="V1722" i="34"/>
  <c r="X1722" i="34"/>
  <c r="Y1722" i="34"/>
  <c r="N1723" i="34"/>
  <c r="R1723" i="34"/>
  <c r="S1723" i="34"/>
  <c r="T1723" i="34"/>
  <c r="V1723" i="34"/>
  <c r="X1723" i="34"/>
  <c r="Y1723" i="34"/>
  <c r="N1724" i="34"/>
  <c r="R1724" i="34"/>
  <c r="S1724" i="34"/>
  <c r="T1724" i="34"/>
  <c r="V1724" i="34"/>
  <c r="X1724" i="34"/>
  <c r="Y1724" i="34"/>
  <c r="N1725" i="34"/>
  <c r="R1725" i="34"/>
  <c r="S1725" i="34"/>
  <c r="T1725" i="34"/>
  <c r="V1725" i="34"/>
  <c r="X1725" i="34"/>
  <c r="Y1725" i="34"/>
  <c r="N1726" i="34"/>
  <c r="R1726" i="34"/>
  <c r="S1726" i="34"/>
  <c r="T1726" i="34"/>
  <c r="V1726" i="34"/>
  <c r="X1726" i="34"/>
  <c r="Y1726" i="34"/>
  <c r="N1727" i="34"/>
  <c r="R1727" i="34"/>
  <c r="S1727" i="34"/>
  <c r="T1727" i="34"/>
  <c r="V1727" i="34"/>
  <c r="X1727" i="34"/>
  <c r="Y1727" i="34"/>
  <c r="N1728" i="34"/>
  <c r="R1728" i="34"/>
  <c r="S1728" i="34"/>
  <c r="T1728" i="34"/>
  <c r="V1728" i="34"/>
  <c r="X1728" i="34"/>
  <c r="Y1728" i="34"/>
  <c r="N1729" i="34"/>
  <c r="R1729" i="34"/>
  <c r="S1729" i="34"/>
  <c r="T1729" i="34"/>
  <c r="V1729" i="34"/>
  <c r="X1729" i="34"/>
  <c r="Y1729" i="34"/>
  <c r="N1730" i="34"/>
  <c r="R1730" i="34"/>
  <c r="S1730" i="34"/>
  <c r="T1730" i="34"/>
  <c r="V1730" i="34"/>
  <c r="X1730" i="34"/>
  <c r="Y1730" i="34"/>
  <c r="N1731" i="34"/>
  <c r="R1731" i="34"/>
  <c r="S1731" i="34"/>
  <c r="T1731" i="34"/>
  <c r="V1731" i="34"/>
  <c r="X1731" i="34"/>
  <c r="Y1731" i="34"/>
  <c r="N1732" i="34"/>
  <c r="R1732" i="34"/>
  <c r="S1732" i="34"/>
  <c r="T1732" i="34"/>
  <c r="V1732" i="34"/>
  <c r="X1732" i="34"/>
  <c r="Y1732" i="34"/>
  <c r="N1733" i="34"/>
  <c r="R1733" i="34"/>
  <c r="S1733" i="34"/>
  <c r="T1733" i="34"/>
  <c r="V1733" i="34"/>
  <c r="X1733" i="34"/>
  <c r="Y1733" i="34"/>
  <c r="N1734" i="34"/>
  <c r="R1734" i="34"/>
  <c r="S1734" i="34"/>
  <c r="T1734" i="34"/>
  <c r="V1734" i="34"/>
  <c r="X1734" i="34"/>
  <c r="Y1734" i="34"/>
  <c r="N1735" i="34"/>
  <c r="R1735" i="34"/>
  <c r="S1735" i="34"/>
  <c r="T1735" i="34"/>
  <c r="V1735" i="34"/>
  <c r="X1735" i="34"/>
  <c r="Y1735" i="34"/>
  <c r="N1736" i="34"/>
  <c r="R1736" i="34"/>
  <c r="S1736" i="34"/>
  <c r="T1736" i="34"/>
  <c r="V1736" i="34"/>
  <c r="X1736" i="34"/>
  <c r="Y1736" i="34"/>
  <c r="N1737" i="34"/>
  <c r="R1737" i="34"/>
  <c r="S1737" i="34"/>
  <c r="T1737" i="34"/>
  <c r="V1737" i="34"/>
  <c r="X1737" i="34"/>
  <c r="Y1737" i="34"/>
  <c r="N1738" i="34"/>
  <c r="R1738" i="34"/>
  <c r="S1738" i="34"/>
  <c r="T1738" i="34"/>
  <c r="V1738" i="34"/>
  <c r="X1738" i="34"/>
  <c r="Y1738" i="34"/>
  <c r="N1739" i="34"/>
  <c r="R1739" i="34"/>
  <c r="S1739" i="34"/>
  <c r="T1739" i="34"/>
  <c r="V1739" i="34"/>
  <c r="X1739" i="34"/>
  <c r="Y1739" i="34"/>
  <c r="N1740" i="34"/>
  <c r="R1740" i="34"/>
  <c r="S1740" i="34"/>
  <c r="T1740" i="34"/>
  <c r="V1740" i="34"/>
  <c r="X1740" i="34"/>
  <c r="Y1740" i="34"/>
  <c r="N1741" i="34"/>
  <c r="R1741" i="34"/>
  <c r="S1741" i="34"/>
  <c r="T1741" i="34"/>
  <c r="V1741" i="34"/>
  <c r="X1741" i="34"/>
  <c r="Y1741" i="34"/>
  <c r="N1742" i="34"/>
  <c r="R1742" i="34"/>
  <c r="S1742" i="34"/>
  <c r="T1742" i="34"/>
  <c r="V1742" i="34"/>
  <c r="X1742" i="34"/>
  <c r="Y1742" i="34"/>
  <c r="N1743" i="34"/>
  <c r="R1743" i="34"/>
  <c r="S1743" i="34"/>
  <c r="T1743" i="34"/>
  <c r="V1743" i="34"/>
  <c r="X1743" i="34"/>
  <c r="Y1743" i="34"/>
  <c r="N1744" i="34"/>
  <c r="R1744" i="34"/>
  <c r="S1744" i="34"/>
  <c r="T1744" i="34"/>
  <c r="V1744" i="34"/>
  <c r="X1744" i="34"/>
  <c r="Y1744" i="34"/>
  <c r="N1745" i="34"/>
  <c r="R1745" i="34"/>
  <c r="S1745" i="34"/>
  <c r="T1745" i="34"/>
  <c r="V1745" i="34"/>
  <c r="X1745" i="34"/>
  <c r="Y1745" i="34"/>
  <c r="N1746" i="34"/>
  <c r="R1746" i="34"/>
  <c r="S1746" i="34"/>
  <c r="T1746" i="34"/>
  <c r="V1746" i="34"/>
  <c r="X1746" i="34"/>
  <c r="Y1746" i="34"/>
  <c r="N1747" i="34"/>
  <c r="R1747" i="34"/>
  <c r="S1747" i="34"/>
  <c r="T1747" i="34"/>
  <c r="V1747" i="34"/>
  <c r="X1747" i="34"/>
  <c r="Y1747" i="34"/>
  <c r="N1748" i="34"/>
  <c r="R1748" i="34"/>
  <c r="S1748" i="34"/>
  <c r="T1748" i="34"/>
  <c r="V1748" i="34"/>
  <c r="X1748" i="34"/>
  <c r="Y1748" i="34"/>
  <c r="N1749" i="34"/>
  <c r="R1749" i="34"/>
  <c r="S1749" i="34"/>
  <c r="T1749" i="34"/>
  <c r="V1749" i="34"/>
  <c r="X1749" i="34"/>
  <c r="Y1749" i="34"/>
  <c r="N1750" i="34"/>
  <c r="R1750" i="34"/>
  <c r="S1750" i="34"/>
  <c r="T1750" i="34"/>
  <c r="V1750" i="34"/>
  <c r="X1750" i="34"/>
  <c r="Y1750" i="34"/>
  <c r="N1751" i="34"/>
  <c r="R1751" i="34"/>
  <c r="S1751" i="34"/>
  <c r="T1751" i="34"/>
  <c r="V1751" i="34"/>
  <c r="X1751" i="34"/>
  <c r="Y1751" i="34"/>
  <c r="N1752" i="34"/>
  <c r="R1752" i="34"/>
  <c r="S1752" i="34"/>
  <c r="T1752" i="34"/>
  <c r="V1752" i="34"/>
  <c r="X1752" i="34"/>
  <c r="Y1752" i="34"/>
  <c r="N1753" i="34"/>
  <c r="R1753" i="34"/>
  <c r="S1753" i="34"/>
  <c r="T1753" i="34"/>
  <c r="V1753" i="34"/>
  <c r="X1753" i="34"/>
  <c r="Y1753" i="34"/>
  <c r="N1754" i="34"/>
  <c r="R1754" i="34"/>
  <c r="S1754" i="34"/>
  <c r="T1754" i="34"/>
  <c r="V1754" i="34"/>
  <c r="X1754" i="34"/>
  <c r="Y1754" i="34"/>
  <c r="N1755" i="34"/>
  <c r="R1755" i="34"/>
  <c r="S1755" i="34"/>
  <c r="T1755" i="34"/>
  <c r="V1755" i="34"/>
  <c r="X1755" i="34"/>
  <c r="Y1755" i="34"/>
  <c r="N1756" i="34"/>
  <c r="R1756" i="34"/>
  <c r="S1756" i="34"/>
  <c r="T1756" i="34"/>
  <c r="V1756" i="34"/>
  <c r="X1756" i="34"/>
  <c r="Y1756" i="34"/>
  <c r="N1757" i="34"/>
  <c r="R1757" i="34"/>
  <c r="S1757" i="34"/>
  <c r="T1757" i="34"/>
  <c r="V1757" i="34"/>
  <c r="X1757" i="34"/>
  <c r="Y1757" i="34"/>
  <c r="N1758" i="34"/>
  <c r="R1758" i="34"/>
  <c r="S1758" i="34"/>
  <c r="T1758" i="34"/>
  <c r="V1758" i="34"/>
  <c r="X1758" i="34"/>
  <c r="Y1758" i="34"/>
  <c r="N1759" i="34"/>
  <c r="R1759" i="34"/>
  <c r="S1759" i="34"/>
  <c r="T1759" i="34"/>
  <c r="V1759" i="34"/>
  <c r="X1759" i="34"/>
  <c r="Y1759" i="34"/>
  <c r="N1760" i="34"/>
  <c r="R1760" i="34"/>
  <c r="S1760" i="34"/>
  <c r="T1760" i="34"/>
  <c r="V1760" i="34"/>
  <c r="X1760" i="34"/>
  <c r="Y1760" i="34"/>
  <c r="N1761" i="34"/>
  <c r="R1761" i="34"/>
  <c r="S1761" i="34"/>
  <c r="T1761" i="34"/>
  <c r="V1761" i="34"/>
  <c r="X1761" i="34"/>
  <c r="Y1761" i="34"/>
  <c r="N1762" i="34"/>
  <c r="R1762" i="34"/>
  <c r="S1762" i="34"/>
  <c r="T1762" i="34"/>
  <c r="V1762" i="34"/>
  <c r="X1762" i="34"/>
  <c r="Y1762" i="34"/>
  <c r="N1763" i="34"/>
  <c r="R1763" i="34"/>
  <c r="S1763" i="34"/>
  <c r="T1763" i="34"/>
  <c r="V1763" i="34"/>
  <c r="X1763" i="34"/>
  <c r="Y1763" i="34"/>
  <c r="N1764" i="34"/>
  <c r="R1764" i="34"/>
  <c r="S1764" i="34"/>
  <c r="T1764" i="34"/>
  <c r="V1764" i="34"/>
  <c r="X1764" i="34"/>
  <c r="Y1764" i="34"/>
  <c r="N1765" i="34"/>
  <c r="R1765" i="34"/>
  <c r="S1765" i="34"/>
  <c r="T1765" i="34"/>
  <c r="V1765" i="34"/>
  <c r="X1765" i="34"/>
  <c r="Y1765" i="34"/>
  <c r="N1766" i="34"/>
  <c r="R1766" i="34"/>
  <c r="S1766" i="34"/>
  <c r="T1766" i="34"/>
  <c r="V1766" i="34"/>
  <c r="X1766" i="34"/>
  <c r="Y1766" i="34"/>
  <c r="N1767" i="34"/>
  <c r="R1767" i="34"/>
  <c r="S1767" i="34"/>
  <c r="T1767" i="34"/>
  <c r="V1767" i="34"/>
  <c r="X1767" i="34"/>
  <c r="Y1767" i="34"/>
  <c r="N1768" i="34"/>
  <c r="R1768" i="34"/>
  <c r="S1768" i="34"/>
  <c r="T1768" i="34"/>
  <c r="V1768" i="34"/>
  <c r="X1768" i="34"/>
  <c r="Y1768" i="34"/>
  <c r="N1769" i="34"/>
  <c r="R1769" i="34"/>
  <c r="S1769" i="34"/>
  <c r="T1769" i="34"/>
  <c r="V1769" i="34"/>
  <c r="X1769" i="34"/>
  <c r="Y1769" i="34"/>
  <c r="N1770" i="34"/>
  <c r="R1770" i="34"/>
  <c r="S1770" i="34"/>
  <c r="T1770" i="34"/>
  <c r="V1770" i="34"/>
  <c r="X1770" i="34"/>
  <c r="Y1770" i="34"/>
  <c r="N1771" i="34"/>
  <c r="R1771" i="34"/>
  <c r="S1771" i="34"/>
  <c r="T1771" i="34"/>
  <c r="V1771" i="34"/>
  <c r="X1771" i="34"/>
  <c r="Y1771" i="34"/>
  <c r="N1772" i="34"/>
  <c r="R1772" i="34"/>
  <c r="S1772" i="34"/>
  <c r="T1772" i="34"/>
  <c r="V1772" i="34"/>
  <c r="X1772" i="34"/>
  <c r="Y1772" i="34"/>
  <c r="N1773" i="34"/>
  <c r="R1773" i="34"/>
  <c r="S1773" i="34"/>
  <c r="T1773" i="34"/>
  <c r="V1773" i="34"/>
  <c r="X1773" i="34"/>
  <c r="Y1773" i="34"/>
  <c r="N1774" i="34"/>
  <c r="R1774" i="34"/>
  <c r="S1774" i="34"/>
  <c r="T1774" i="34"/>
  <c r="V1774" i="34"/>
  <c r="X1774" i="34"/>
  <c r="Y1774" i="34"/>
  <c r="N1775" i="34"/>
  <c r="R1775" i="34"/>
  <c r="S1775" i="34"/>
  <c r="T1775" i="34"/>
  <c r="V1775" i="34"/>
  <c r="X1775" i="34"/>
  <c r="Y1775" i="34"/>
  <c r="N1776" i="34"/>
  <c r="R1776" i="34"/>
  <c r="S1776" i="34"/>
  <c r="T1776" i="34"/>
  <c r="V1776" i="34"/>
  <c r="X1776" i="34"/>
  <c r="Y1776" i="34"/>
  <c r="N1777" i="34"/>
  <c r="R1777" i="34"/>
  <c r="S1777" i="34"/>
  <c r="T1777" i="34"/>
  <c r="V1777" i="34"/>
  <c r="X1777" i="34"/>
  <c r="Y1777" i="34"/>
  <c r="N1778" i="34"/>
  <c r="R1778" i="34"/>
  <c r="S1778" i="34"/>
  <c r="T1778" i="34"/>
  <c r="V1778" i="34"/>
  <c r="X1778" i="34"/>
  <c r="Y1778" i="34"/>
  <c r="N1779" i="34"/>
  <c r="R1779" i="34"/>
  <c r="S1779" i="34"/>
  <c r="T1779" i="34"/>
  <c r="V1779" i="34"/>
  <c r="X1779" i="34"/>
  <c r="Y1779" i="34"/>
  <c r="N1780" i="34"/>
  <c r="R1780" i="34"/>
  <c r="S1780" i="34"/>
  <c r="T1780" i="34"/>
  <c r="V1780" i="34"/>
  <c r="X1780" i="34"/>
  <c r="Y1780" i="34"/>
  <c r="N1781" i="34"/>
  <c r="R1781" i="34"/>
  <c r="S1781" i="34"/>
  <c r="T1781" i="34"/>
  <c r="V1781" i="34"/>
  <c r="X1781" i="34"/>
  <c r="Y1781" i="34"/>
  <c r="N1782" i="34"/>
  <c r="R1782" i="34"/>
  <c r="S1782" i="34"/>
  <c r="T1782" i="34"/>
  <c r="V1782" i="34"/>
  <c r="X1782" i="34"/>
  <c r="Y1782" i="34"/>
  <c r="N1783" i="34"/>
  <c r="R1783" i="34"/>
  <c r="S1783" i="34"/>
  <c r="T1783" i="34"/>
  <c r="V1783" i="34"/>
  <c r="X1783" i="34"/>
  <c r="Y1783" i="34"/>
  <c r="N1784" i="34"/>
  <c r="R1784" i="34"/>
  <c r="S1784" i="34"/>
  <c r="T1784" i="34"/>
  <c r="V1784" i="34"/>
  <c r="X1784" i="34"/>
  <c r="Y1784" i="34"/>
  <c r="N1785" i="34"/>
  <c r="R1785" i="34"/>
  <c r="S1785" i="34"/>
  <c r="T1785" i="34"/>
  <c r="V1785" i="34"/>
  <c r="X1785" i="34"/>
  <c r="Y1785" i="34"/>
  <c r="N1786" i="34"/>
  <c r="R1786" i="34"/>
  <c r="S1786" i="34"/>
  <c r="T1786" i="34"/>
  <c r="V1786" i="34"/>
  <c r="X1786" i="34"/>
  <c r="Y1786" i="34"/>
  <c r="N1787" i="34"/>
  <c r="R1787" i="34"/>
  <c r="S1787" i="34"/>
  <c r="T1787" i="34"/>
  <c r="V1787" i="34"/>
  <c r="X1787" i="34"/>
  <c r="Y1787" i="34"/>
  <c r="N1788" i="34"/>
  <c r="R1788" i="34"/>
  <c r="S1788" i="34"/>
  <c r="T1788" i="34"/>
  <c r="V1788" i="34"/>
  <c r="X1788" i="34"/>
  <c r="Y1788" i="34"/>
  <c r="N1789" i="34"/>
  <c r="R1789" i="34"/>
  <c r="S1789" i="34"/>
  <c r="T1789" i="34"/>
  <c r="V1789" i="34"/>
  <c r="X1789" i="34"/>
  <c r="Y1789" i="34"/>
  <c r="N1790" i="34"/>
  <c r="R1790" i="34"/>
  <c r="S1790" i="34"/>
  <c r="T1790" i="34"/>
  <c r="V1790" i="34"/>
  <c r="X1790" i="34"/>
  <c r="Y1790" i="34"/>
  <c r="N1791" i="34"/>
  <c r="R1791" i="34"/>
  <c r="S1791" i="34"/>
  <c r="T1791" i="34"/>
  <c r="V1791" i="34"/>
  <c r="X1791" i="34"/>
  <c r="Y1791" i="34"/>
  <c r="N1792" i="34"/>
  <c r="R1792" i="34"/>
  <c r="S1792" i="34"/>
  <c r="T1792" i="34"/>
  <c r="V1792" i="34"/>
  <c r="X1792" i="34"/>
  <c r="Y1792" i="34"/>
  <c r="N1793" i="34"/>
  <c r="R1793" i="34"/>
  <c r="S1793" i="34"/>
  <c r="T1793" i="34"/>
  <c r="V1793" i="34"/>
  <c r="X1793" i="34"/>
  <c r="Y1793" i="34"/>
  <c r="N1794" i="34"/>
  <c r="R1794" i="34"/>
  <c r="S1794" i="34"/>
  <c r="T1794" i="34"/>
  <c r="V1794" i="34"/>
  <c r="X1794" i="34"/>
  <c r="Y1794" i="34"/>
  <c r="N1795" i="34"/>
  <c r="R1795" i="34"/>
  <c r="S1795" i="34"/>
  <c r="T1795" i="34"/>
  <c r="V1795" i="34"/>
  <c r="X1795" i="34"/>
  <c r="Y1795" i="34"/>
  <c r="N1796" i="34"/>
  <c r="R1796" i="34"/>
  <c r="S1796" i="34"/>
  <c r="T1796" i="34"/>
  <c r="V1796" i="34"/>
  <c r="X1796" i="34"/>
  <c r="Y1796" i="34"/>
  <c r="N1797" i="34"/>
  <c r="R1797" i="34"/>
  <c r="S1797" i="34"/>
  <c r="T1797" i="34"/>
  <c r="V1797" i="34"/>
  <c r="X1797" i="34"/>
  <c r="Y1797" i="34"/>
  <c r="N1798" i="34"/>
  <c r="R1798" i="34"/>
  <c r="S1798" i="34"/>
  <c r="T1798" i="34"/>
  <c r="V1798" i="34"/>
  <c r="X1798" i="34"/>
  <c r="Y1798" i="34"/>
  <c r="N1799" i="34"/>
  <c r="R1799" i="34"/>
  <c r="S1799" i="34"/>
  <c r="T1799" i="34"/>
  <c r="V1799" i="34"/>
  <c r="X1799" i="34"/>
  <c r="Y1799" i="34"/>
  <c r="N1800" i="34"/>
  <c r="R1800" i="34"/>
  <c r="S1800" i="34"/>
  <c r="T1800" i="34"/>
  <c r="V1800" i="34"/>
  <c r="X1800" i="34"/>
  <c r="Y1800" i="34"/>
  <c r="N1801" i="34"/>
  <c r="R1801" i="34"/>
  <c r="S1801" i="34"/>
  <c r="T1801" i="34"/>
  <c r="V1801" i="34"/>
  <c r="X1801" i="34"/>
  <c r="Y1801" i="34"/>
  <c r="N1802" i="34"/>
  <c r="R1802" i="34"/>
  <c r="S1802" i="34"/>
  <c r="T1802" i="34"/>
  <c r="V1802" i="34"/>
  <c r="X1802" i="34"/>
  <c r="Y1802" i="34"/>
  <c r="N1803" i="34"/>
  <c r="R1803" i="34"/>
  <c r="S1803" i="34"/>
  <c r="T1803" i="34"/>
  <c r="V1803" i="34"/>
  <c r="X1803" i="34"/>
  <c r="Y1803" i="34"/>
  <c r="N1804" i="34"/>
  <c r="R1804" i="34"/>
  <c r="S1804" i="34"/>
  <c r="T1804" i="34"/>
  <c r="V1804" i="34"/>
  <c r="X1804" i="34"/>
  <c r="Y1804" i="34"/>
  <c r="N1805" i="34"/>
  <c r="R1805" i="34"/>
  <c r="S1805" i="34"/>
  <c r="T1805" i="34"/>
  <c r="V1805" i="34"/>
  <c r="X1805" i="34"/>
  <c r="Y1805" i="34"/>
  <c r="N1806" i="34"/>
  <c r="R1806" i="34"/>
  <c r="S1806" i="34"/>
  <c r="T1806" i="34"/>
  <c r="V1806" i="34"/>
  <c r="X1806" i="34"/>
  <c r="Y1806" i="34"/>
  <c r="N1807" i="34"/>
  <c r="R1807" i="34"/>
  <c r="S1807" i="34"/>
  <c r="T1807" i="34"/>
  <c r="V1807" i="34"/>
  <c r="X1807" i="34"/>
  <c r="Y1807" i="34"/>
  <c r="N1808" i="34"/>
  <c r="R1808" i="34"/>
  <c r="S1808" i="34"/>
  <c r="T1808" i="34"/>
  <c r="V1808" i="34"/>
  <c r="X1808" i="34"/>
  <c r="Y1808" i="34"/>
  <c r="N1809" i="34"/>
  <c r="R1809" i="34"/>
  <c r="S1809" i="34"/>
  <c r="T1809" i="34"/>
  <c r="V1809" i="34"/>
  <c r="X1809" i="34"/>
  <c r="Y1809" i="34"/>
  <c r="N1810" i="34"/>
  <c r="R1810" i="34"/>
  <c r="S1810" i="34"/>
  <c r="T1810" i="34"/>
  <c r="V1810" i="34"/>
  <c r="X1810" i="34"/>
  <c r="Y1810" i="34"/>
  <c r="N1811" i="34"/>
  <c r="R1811" i="34"/>
  <c r="S1811" i="34"/>
  <c r="T1811" i="34"/>
  <c r="V1811" i="34"/>
  <c r="X1811" i="34"/>
  <c r="Y1811" i="34"/>
  <c r="N1812" i="34"/>
  <c r="R1812" i="34"/>
  <c r="S1812" i="34"/>
  <c r="T1812" i="34"/>
  <c r="V1812" i="34"/>
  <c r="X1812" i="34"/>
  <c r="Y1812" i="34"/>
  <c r="N1813" i="34"/>
  <c r="R1813" i="34"/>
  <c r="S1813" i="34"/>
  <c r="T1813" i="34"/>
  <c r="V1813" i="34"/>
  <c r="X1813" i="34"/>
  <c r="Y1813" i="34"/>
  <c r="N1814" i="34"/>
  <c r="R1814" i="34"/>
  <c r="S1814" i="34"/>
  <c r="T1814" i="34"/>
  <c r="V1814" i="34"/>
  <c r="X1814" i="34"/>
  <c r="Y1814" i="34"/>
  <c r="N1815" i="34"/>
  <c r="R1815" i="34"/>
  <c r="S1815" i="34"/>
  <c r="T1815" i="34"/>
  <c r="V1815" i="34"/>
  <c r="X1815" i="34"/>
  <c r="Y1815" i="34"/>
  <c r="N1816" i="34"/>
  <c r="R1816" i="34"/>
  <c r="S1816" i="34"/>
  <c r="T1816" i="34"/>
  <c r="V1816" i="34"/>
  <c r="X1816" i="34"/>
  <c r="Y1816" i="34"/>
  <c r="N1817" i="34"/>
  <c r="R1817" i="34"/>
  <c r="S1817" i="34"/>
  <c r="T1817" i="34"/>
  <c r="V1817" i="34"/>
  <c r="X1817" i="34"/>
  <c r="Y1817" i="34"/>
  <c r="N1818" i="34"/>
  <c r="R1818" i="34"/>
  <c r="S1818" i="34"/>
  <c r="T1818" i="34"/>
  <c r="V1818" i="34"/>
  <c r="X1818" i="34"/>
  <c r="Y1818" i="34"/>
  <c r="N1819" i="34"/>
  <c r="R1819" i="34"/>
  <c r="S1819" i="34"/>
  <c r="T1819" i="34"/>
  <c r="V1819" i="34"/>
  <c r="X1819" i="34"/>
  <c r="Y1819" i="34"/>
  <c r="N1820" i="34"/>
  <c r="R1820" i="34"/>
  <c r="S1820" i="34"/>
  <c r="T1820" i="34"/>
  <c r="V1820" i="34"/>
  <c r="X1820" i="34"/>
  <c r="Y1820" i="34"/>
  <c r="N1821" i="34"/>
  <c r="R1821" i="34"/>
  <c r="S1821" i="34"/>
  <c r="T1821" i="34"/>
  <c r="V1821" i="34"/>
  <c r="X1821" i="34"/>
  <c r="Y1821" i="34"/>
  <c r="N1822" i="34"/>
  <c r="R1822" i="34"/>
  <c r="S1822" i="34"/>
  <c r="T1822" i="34"/>
  <c r="V1822" i="34"/>
  <c r="X1822" i="34"/>
  <c r="Y1822" i="34"/>
  <c r="N1823" i="34"/>
  <c r="R1823" i="34"/>
  <c r="S1823" i="34"/>
  <c r="T1823" i="34"/>
  <c r="V1823" i="34"/>
  <c r="X1823" i="34"/>
  <c r="Y1823" i="34"/>
  <c r="N1824" i="34"/>
  <c r="R1824" i="34"/>
  <c r="S1824" i="34"/>
  <c r="T1824" i="34"/>
  <c r="V1824" i="34"/>
  <c r="X1824" i="34"/>
  <c r="Y1824" i="34"/>
  <c r="N1825" i="34"/>
  <c r="R1825" i="34"/>
  <c r="S1825" i="34"/>
  <c r="T1825" i="34"/>
  <c r="V1825" i="34"/>
  <c r="X1825" i="34"/>
  <c r="Y1825" i="34"/>
  <c r="N1826" i="34"/>
  <c r="R1826" i="34"/>
  <c r="S1826" i="34"/>
  <c r="T1826" i="34"/>
  <c r="V1826" i="34"/>
  <c r="X1826" i="34"/>
  <c r="Y1826" i="34"/>
  <c r="N1827" i="34"/>
  <c r="R1827" i="34"/>
  <c r="S1827" i="34"/>
  <c r="T1827" i="34"/>
  <c r="V1827" i="34"/>
  <c r="X1827" i="34"/>
  <c r="Y1827" i="34"/>
  <c r="N1828" i="34"/>
  <c r="R1828" i="34"/>
  <c r="S1828" i="34"/>
  <c r="T1828" i="34"/>
  <c r="V1828" i="34"/>
  <c r="X1828" i="34"/>
  <c r="Y1828" i="34"/>
  <c r="N1829" i="34"/>
  <c r="R1829" i="34"/>
  <c r="S1829" i="34"/>
  <c r="T1829" i="34"/>
  <c r="V1829" i="34"/>
  <c r="X1829" i="34"/>
  <c r="Y1829" i="34"/>
  <c r="N1830" i="34"/>
  <c r="R1830" i="34"/>
  <c r="S1830" i="34"/>
  <c r="T1830" i="34"/>
  <c r="V1830" i="34"/>
  <c r="X1830" i="34"/>
  <c r="Y1830" i="34"/>
  <c r="N1831" i="34"/>
  <c r="R1831" i="34"/>
  <c r="S1831" i="34"/>
  <c r="T1831" i="34"/>
  <c r="V1831" i="34"/>
  <c r="X1831" i="34"/>
  <c r="Y1831" i="34"/>
  <c r="N1832" i="34"/>
  <c r="R1832" i="34"/>
  <c r="S1832" i="34"/>
  <c r="T1832" i="34"/>
  <c r="V1832" i="34"/>
  <c r="X1832" i="34"/>
  <c r="Y1832" i="34"/>
  <c r="N1833" i="34"/>
  <c r="R1833" i="34"/>
  <c r="S1833" i="34"/>
  <c r="T1833" i="34"/>
  <c r="V1833" i="34"/>
  <c r="X1833" i="34"/>
  <c r="Y1833" i="34"/>
  <c r="N1834" i="34"/>
  <c r="R1834" i="34"/>
  <c r="S1834" i="34"/>
  <c r="T1834" i="34"/>
  <c r="V1834" i="34"/>
  <c r="X1834" i="34"/>
  <c r="Y1834" i="34"/>
  <c r="N1835" i="34"/>
  <c r="R1835" i="34"/>
  <c r="S1835" i="34"/>
  <c r="T1835" i="34"/>
  <c r="V1835" i="34"/>
  <c r="X1835" i="34"/>
  <c r="Y1835" i="34"/>
  <c r="N1836" i="34"/>
  <c r="R1836" i="34"/>
  <c r="S1836" i="34"/>
  <c r="T1836" i="34"/>
  <c r="V1836" i="34"/>
  <c r="X1836" i="34"/>
  <c r="Y1836" i="34"/>
  <c r="N1837" i="34"/>
  <c r="R1837" i="34"/>
  <c r="S1837" i="34"/>
  <c r="T1837" i="34"/>
  <c r="V1837" i="34"/>
  <c r="X1837" i="34"/>
  <c r="Y1837" i="34"/>
  <c r="N1838" i="34"/>
  <c r="R1838" i="34"/>
  <c r="S1838" i="34"/>
  <c r="T1838" i="34"/>
  <c r="V1838" i="34"/>
  <c r="X1838" i="34"/>
  <c r="Y1838" i="34"/>
  <c r="N1839" i="34"/>
  <c r="R1839" i="34"/>
  <c r="S1839" i="34"/>
  <c r="T1839" i="34"/>
  <c r="V1839" i="34"/>
  <c r="X1839" i="34"/>
  <c r="Y1839" i="34"/>
  <c r="N1840" i="34"/>
  <c r="R1840" i="34"/>
  <c r="S1840" i="34"/>
  <c r="T1840" i="34"/>
  <c r="V1840" i="34"/>
  <c r="X1840" i="34"/>
  <c r="Y1840" i="34"/>
  <c r="N1841" i="34"/>
  <c r="R1841" i="34"/>
  <c r="S1841" i="34"/>
  <c r="T1841" i="34"/>
  <c r="V1841" i="34"/>
  <c r="X1841" i="34"/>
  <c r="Y1841" i="34"/>
  <c r="N1842" i="34"/>
  <c r="R1842" i="34"/>
  <c r="S1842" i="34"/>
  <c r="T1842" i="34"/>
  <c r="V1842" i="34"/>
  <c r="X1842" i="34"/>
  <c r="Y1842" i="34"/>
  <c r="N1843" i="34"/>
  <c r="R1843" i="34"/>
  <c r="S1843" i="34"/>
  <c r="T1843" i="34"/>
  <c r="V1843" i="34"/>
  <c r="X1843" i="34"/>
  <c r="Y1843" i="34"/>
  <c r="N1844" i="34"/>
  <c r="R1844" i="34"/>
  <c r="S1844" i="34"/>
  <c r="T1844" i="34"/>
  <c r="V1844" i="34"/>
  <c r="X1844" i="34"/>
  <c r="Y1844" i="34"/>
  <c r="N1845" i="34"/>
  <c r="R1845" i="34"/>
  <c r="S1845" i="34"/>
  <c r="T1845" i="34"/>
  <c r="V1845" i="34"/>
  <c r="X1845" i="34"/>
  <c r="Y1845" i="34"/>
  <c r="N1846" i="34"/>
  <c r="R1846" i="34"/>
  <c r="S1846" i="34"/>
  <c r="T1846" i="34"/>
  <c r="V1846" i="34"/>
  <c r="X1846" i="34"/>
  <c r="Y1846" i="34"/>
  <c r="N1847" i="34"/>
  <c r="R1847" i="34"/>
  <c r="S1847" i="34"/>
  <c r="T1847" i="34"/>
  <c r="V1847" i="34"/>
  <c r="X1847" i="34"/>
  <c r="Y1847" i="34"/>
  <c r="N1848" i="34"/>
  <c r="R1848" i="34"/>
  <c r="S1848" i="34"/>
  <c r="T1848" i="34"/>
  <c r="V1848" i="34"/>
  <c r="X1848" i="34"/>
  <c r="Y1848" i="34"/>
  <c r="N1849" i="34"/>
  <c r="R1849" i="34"/>
  <c r="S1849" i="34"/>
  <c r="T1849" i="34"/>
  <c r="V1849" i="34"/>
  <c r="X1849" i="34"/>
  <c r="Y1849" i="34"/>
  <c r="N1850" i="34"/>
  <c r="R1850" i="34"/>
  <c r="S1850" i="34"/>
  <c r="T1850" i="34"/>
  <c r="V1850" i="34"/>
  <c r="X1850" i="34"/>
  <c r="Y1850" i="34"/>
  <c r="N1851" i="34"/>
  <c r="R1851" i="34"/>
  <c r="S1851" i="34"/>
  <c r="T1851" i="34"/>
  <c r="V1851" i="34"/>
  <c r="X1851" i="34"/>
  <c r="Y1851" i="34"/>
  <c r="N1852" i="34"/>
  <c r="R1852" i="34"/>
  <c r="S1852" i="34"/>
  <c r="T1852" i="34"/>
  <c r="V1852" i="34"/>
  <c r="X1852" i="34"/>
  <c r="Y1852" i="34"/>
  <c r="N1853" i="34"/>
  <c r="R1853" i="34"/>
  <c r="S1853" i="34"/>
  <c r="T1853" i="34"/>
  <c r="V1853" i="34"/>
  <c r="X1853" i="34"/>
  <c r="Y1853" i="34"/>
  <c r="N1854" i="34"/>
  <c r="R1854" i="34"/>
  <c r="S1854" i="34"/>
  <c r="T1854" i="34"/>
  <c r="V1854" i="34"/>
  <c r="X1854" i="34"/>
  <c r="Y1854" i="34"/>
  <c r="N1855" i="34"/>
  <c r="R1855" i="34"/>
  <c r="S1855" i="34"/>
  <c r="T1855" i="34"/>
  <c r="V1855" i="34"/>
  <c r="X1855" i="34"/>
  <c r="Y1855" i="34"/>
  <c r="N1856" i="34"/>
  <c r="R1856" i="34"/>
  <c r="S1856" i="34"/>
  <c r="T1856" i="34"/>
  <c r="V1856" i="34"/>
  <c r="X1856" i="34"/>
  <c r="Y1856" i="34"/>
  <c r="N1857" i="34"/>
  <c r="R1857" i="34"/>
  <c r="S1857" i="34"/>
  <c r="T1857" i="34"/>
  <c r="V1857" i="34"/>
  <c r="X1857" i="34"/>
  <c r="Y1857" i="34"/>
  <c r="N1858" i="34"/>
  <c r="R1858" i="34"/>
  <c r="S1858" i="34"/>
  <c r="T1858" i="34"/>
  <c r="V1858" i="34"/>
  <c r="X1858" i="34"/>
  <c r="Y1858" i="34"/>
  <c r="N1859" i="34"/>
  <c r="R1859" i="34"/>
  <c r="S1859" i="34"/>
  <c r="T1859" i="34"/>
  <c r="V1859" i="34"/>
  <c r="X1859" i="34"/>
  <c r="Y1859" i="34"/>
  <c r="N1860" i="34"/>
  <c r="R1860" i="34"/>
  <c r="S1860" i="34"/>
  <c r="T1860" i="34"/>
  <c r="V1860" i="34"/>
  <c r="X1860" i="34"/>
  <c r="Y1860" i="34"/>
  <c r="N1861" i="34"/>
  <c r="R1861" i="34"/>
  <c r="S1861" i="34"/>
  <c r="T1861" i="34"/>
  <c r="V1861" i="34"/>
  <c r="X1861" i="34"/>
  <c r="Y1861" i="34"/>
  <c r="N1862" i="34"/>
  <c r="R1862" i="34"/>
  <c r="S1862" i="34"/>
  <c r="T1862" i="34"/>
  <c r="V1862" i="34"/>
  <c r="X1862" i="34"/>
  <c r="Y1862" i="34"/>
  <c r="N1863" i="34"/>
  <c r="R1863" i="34"/>
  <c r="S1863" i="34"/>
  <c r="T1863" i="34"/>
  <c r="V1863" i="34"/>
  <c r="X1863" i="34"/>
  <c r="Y1863" i="34"/>
  <c r="N1864" i="34"/>
  <c r="R1864" i="34"/>
  <c r="S1864" i="34"/>
  <c r="T1864" i="34"/>
  <c r="V1864" i="34"/>
  <c r="X1864" i="34"/>
  <c r="Y1864" i="34"/>
  <c r="N1865" i="34"/>
  <c r="R1865" i="34"/>
  <c r="S1865" i="34"/>
  <c r="T1865" i="34"/>
  <c r="V1865" i="34"/>
  <c r="X1865" i="34"/>
  <c r="Y1865" i="34"/>
  <c r="N1866" i="34"/>
  <c r="R1866" i="34"/>
  <c r="S1866" i="34"/>
  <c r="T1866" i="34"/>
  <c r="V1866" i="34"/>
  <c r="X1866" i="34"/>
  <c r="Y1866" i="34"/>
  <c r="N1867" i="34"/>
  <c r="R1867" i="34"/>
  <c r="S1867" i="34"/>
  <c r="T1867" i="34"/>
  <c r="V1867" i="34"/>
  <c r="X1867" i="34"/>
  <c r="Y1867" i="34"/>
  <c r="N1868" i="34"/>
  <c r="R1868" i="34"/>
  <c r="S1868" i="34"/>
  <c r="T1868" i="34"/>
  <c r="V1868" i="34"/>
  <c r="X1868" i="34"/>
  <c r="Y1868" i="34"/>
  <c r="N1869" i="34"/>
  <c r="R1869" i="34"/>
  <c r="S1869" i="34"/>
  <c r="T1869" i="34"/>
  <c r="V1869" i="34"/>
  <c r="X1869" i="34"/>
  <c r="Y1869" i="34"/>
  <c r="N1870" i="34"/>
  <c r="R1870" i="34"/>
  <c r="S1870" i="34"/>
  <c r="T1870" i="34"/>
  <c r="V1870" i="34"/>
  <c r="X1870" i="34"/>
  <c r="Y1870" i="34"/>
  <c r="N1871" i="34"/>
  <c r="R1871" i="34"/>
  <c r="S1871" i="34"/>
  <c r="T1871" i="34"/>
  <c r="V1871" i="34"/>
  <c r="X1871" i="34"/>
  <c r="Y1871" i="34"/>
  <c r="N1872" i="34"/>
  <c r="R1872" i="34"/>
  <c r="S1872" i="34"/>
  <c r="T1872" i="34"/>
  <c r="V1872" i="34"/>
  <c r="X1872" i="34"/>
  <c r="Y1872" i="34"/>
  <c r="N1873" i="34"/>
  <c r="R1873" i="34"/>
  <c r="S1873" i="34"/>
  <c r="T1873" i="34"/>
  <c r="V1873" i="34"/>
  <c r="X1873" i="34"/>
  <c r="Y1873" i="34"/>
  <c r="N1874" i="34"/>
  <c r="R1874" i="34"/>
  <c r="S1874" i="34"/>
  <c r="T1874" i="34"/>
  <c r="V1874" i="34"/>
  <c r="X1874" i="34"/>
  <c r="Y1874" i="34"/>
  <c r="N1875" i="34"/>
  <c r="R1875" i="34"/>
  <c r="S1875" i="34"/>
  <c r="T1875" i="34"/>
  <c r="V1875" i="34"/>
  <c r="X1875" i="34"/>
  <c r="Y1875" i="34"/>
  <c r="N1876" i="34"/>
  <c r="R1876" i="34"/>
  <c r="S1876" i="34"/>
  <c r="T1876" i="34"/>
  <c r="V1876" i="34"/>
  <c r="X1876" i="34"/>
  <c r="Y1876" i="34"/>
  <c r="N1877" i="34"/>
  <c r="R1877" i="34"/>
  <c r="S1877" i="34"/>
  <c r="T1877" i="34"/>
  <c r="V1877" i="34"/>
  <c r="X1877" i="34"/>
  <c r="Y1877" i="34"/>
  <c r="N1878" i="34"/>
  <c r="R1878" i="34"/>
  <c r="S1878" i="34"/>
  <c r="T1878" i="34"/>
  <c r="V1878" i="34"/>
  <c r="X1878" i="34"/>
  <c r="Y1878" i="34"/>
  <c r="N1879" i="34"/>
  <c r="R1879" i="34"/>
  <c r="S1879" i="34"/>
  <c r="T1879" i="34"/>
  <c r="V1879" i="34"/>
  <c r="X1879" i="34"/>
  <c r="Y1879" i="34"/>
  <c r="N1880" i="34"/>
  <c r="R1880" i="34"/>
  <c r="S1880" i="34"/>
  <c r="T1880" i="34"/>
  <c r="V1880" i="34"/>
  <c r="X1880" i="34"/>
  <c r="Y1880" i="34"/>
  <c r="N1881" i="34"/>
  <c r="R1881" i="34"/>
  <c r="S1881" i="34"/>
  <c r="T1881" i="34"/>
  <c r="V1881" i="34"/>
  <c r="X1881" i="34"/>
  <c r="Y1881" i="34"/>
  <c r="N1882" i="34"/>
  <c r="R1882" i="34"/>
  <c r="S1882" i="34"/>
  <c r="T1882" i="34"/>
  <c r="V1882" i="34"/>
  <c r="X1882" i="34"/>
  <c r="Y1882" i="34"/>
  <c r="N1883" i="34"/>
  <c r="R1883" i="34"/>
  <c r="S1883" i="34"/>
  <c r="T1883" i="34"/>
  <c r="V1883" i="34"/>
  <c r="X1883" i="34"/>
  <c r="Y1883" i="34"/>
  <c r="N1884" i="34"/>
  <c r="R1884" i="34"/>
  <c r="S1884" i="34"/>
  <c r="T1884" i="34"/>
  <c r="V1884" i="34"/>
  <c r="X1884" i="34"/>
  <c r="Y1884" i="34"/>
  <c r="N1885" i="34"/>
  <c r="R1885" i="34"/>
  <c r="S1885" i="34"/>
  <c r="T1885" i="34"/>
  <c r="V1885" i="34"/>
  <c r="X1885" i="34"/>
  <c r="Y1885" i="34"/>
  <c r="N1886" i="34"/>
  <c r="R1886" i="34"/>
  <c r="S1886" i="34"/>
  <c r="T1886" i="34"/>
  <c r="V1886" i="34"/>
  <c r="X1886" i="34"/>
  <c r="Y1886" i="34"/>
  <c r="N1887" i="34"/>
  <c r="R1887" i="34"/>
  <c r="S1887" i="34"/>
  <c r="T1887" i="34"/>
  <c r="V1887" i="34"/>
  <c r="X1887" i="34"/>
  <c r="Y1887" i="34"/>
  <c r="N1888" i="34"/>
  <c r="R1888" i="34"/>
  <c r="S1888" i="34"/>
  <c r="T1888" i="34"/>
  <c r="V1888" i="34"/>
  <c r="X1888" i="34"/>
  <c r="Y1888" i="34"/>
  <c r="N1889" i="34"/>
  <c r="R1889" i="34"/>
  <c r="S1889" i="34"/>
  <c r="T1889" i="34"/>
  <c r="V1889" i="34"/>
  <c r="X1889" i="34"/>
  <c r="Y1889" i="34"/>
  <c r="N1890" i="34"/>
  <c r="R1890" i="34"/>
  <c r="S1890" i="34"/>
  <c r="T1890" i="34"/>
  <c r="V1890" i="34"/>
  <c r="X1890" i="34"/>
  <c r="Y1890" i="34"/>
  <c r="N1891" i="34"/>
  <c r="R1891" i="34"/>
  <c r="S1891" i="34"/>
  <c r="T1891" i="34"/>
  <c r="V1891" i="34"/>
  <c r="X1891" i="34"/>
  <c r="Y1891" i="34"/>
  <c r="N1892" i="34"/>
  <c r="R1892" i="34"/>
  <c r="S1892" i="34"/>
  <c r="T1892" i="34"/>
  <c r="V1892" i="34"/>
  <c r="X1892" i="34"/>
  <c r="Y1892" i="34"/>
  <c r="N1893" i="34"/>
  <c r="R1893" i="34"/>
  <c r="S1893" i="34"/>
  <c r="T1893" i="34"/>
  <c r="V1893" i="34"/>
  <c r="X1893" i="34"/>
  <c r="Y1893" i="34"/>
  <c r="N1894" i="34"/>
  <c r="R1894" i="34"/>
  <c r="S1894" i="34"/>
  <c r="T1894" i="34"/>
  <c r="V1894" i="34"/>
  <c r="X1894" i="34"/>
  <c r="Y1894" i="34"/>
  <c r="N1895" i="34"/>
  <c r="R1895" i="34"/>
  <c r="S1895" i="34"/>
  <c r="T1895" i="34"/>
  <c r="V1895" i="34"/>
  <c r="X1895" i="34"/>
  <c r="Y1895" i="34"/>
  <c r="N1896" i="34"/>
  <c r="R1896" i="34"/>
  <c r="S1896" i="34"/>
  <c r="T1896" i="34"/>
  <c r="V1896" i="34"/>
  <c r="X1896" i="34"/>
  <c r="Y1896" i="34"/>
  <c r="N1897" i="34"/>
  <c r="R1897" i="34"/>
  <c r="S1897" i="34"/>
  <c r="T1897" i="34"/>
  <c r="V1897" i="34"/>
  <c r="X1897" i="34"/>
  <c r="Y1897" i="34"/>
  <c r="N1898" i="34"/>
  <c r="R1898" i="34"/>
  <c r="S1898" i="34"/>
  <c r="T1898" i="34"/>
  <c r="V1898" i="34"/>
  <c r="X1898" i="34"/>
  <c r="Y1898" i="34"/>
  <c r="N1899" i="34"/>
  <c r="R1899" i="34"/>
  <c r="S1899" i="34"/>
  <c r="T1899" i="34"/>
  <c r="V1899" i="34"/>
  <c r="X1899" i="34"/>
  <c r="Y1899" i="34"/>
  <c r="N1900" i="34"/>
  <c r="R1900" i="34"/>
  <c r="S1900" i="34"/>
  <c r="T1900" i="34"/>
  <c r="V1900" i="34"/>
  <c r="X1900" i="34"/>
  <c r="Y1900" i="34"/>
  <c r="N1901" i="34"/>
  <c r="R1901" i="34"/>
  <c r="S1901" i="34"/>
  <c r="T1901" i="34"/>
  <c r="V1901" i="34"/>
  <c r="X1901" i="34"/>
  <c r="Y1901" i="34"/>
  <c r="N1902" i="34"/>
  <c r="R1902" i="34"/>
  <c r="S1902" i="34"/>
  <c r="T1902" i="34"/>
  <c r="V1902" i="34"/>
  <c r="X1902" i="34"/>
  <c r="Y1902" i="34"/>
  <c r="N1903" i="34"/>
  <c r="R1903" i="34"/>
  <c r="S1903" i="34"/>
  <c r="T1903" i="34"/>
  <c r="V1903" i="34"/>
  <c r="X1903" i="34"/>
  <c r="Y1903" i="34"/>
  <c r="N1904" i="34"/>
  <c r="R1904" i="34"/>
  <c r="S1904" i="34"/>
  <c r="T1904" i="34"/>
  <c r="V1904" i="34"/>
  <c r="X1904" i="34"/>
  <c r="Y1904" i="34"/>
  <c r="N1905" i="34"/>
  <c r="R1905" i="34"/>
  <c r="S1905" i="34"/>
  <c r="T1905" i="34"/>
  <c r="V1905" i="34"/>
  <c r="X1905" i="34"/>
  <c r="Y1905" i="34"/>
  <c r="N1906" i="34"/>
  <c r="R1906" i="34"/>
  <c r="S1906" i="34"/>
  <c r="T1906" i="34"/>
  <c r="V1906" i="34"/>
  <c r="X1906" i="34"/>
  <c r="Y1906" i="34"/>
  <c r="N1907" i="34"/>
  <c r="R1907" i="34"/>
  <c r="S1907" i="34"/>
  <c r="T1907" i="34"/>
  <c r="V1907" i="34"/>
  <c r="X1907" i="34"/>
  <c r="Y1907" i="34"/>
  <c r="N1908" i="34"/>
  <c r="R1908" i="34"/>
  <c r="S1908" i="34"/>
  <c r="T1908" i="34"/>
  <c r="V1908" i="34"/>
  <c r="X1908" i="34"/>
  <c r="Y1908" i="34"/>
  <c r="N1909" i="34"/>
  <c r="R1909" i="34"/>
  <c r="S1909" i="34"/>
  <c r="T1909" i="34"/>
  <c r="V1909" i="34"/>
  <c r="X1909" i="34"/>
  <c r="Y1909" i="34"/>
  <c r="N1910" i="34"/>
  <c r="R1910" i="34"/>
  <c r="S1910" i="34"/>
  <c r="T1910" i="34"/>
  <c r="V1910" i="34"/>
  <c r="X1910" i="34"/>
  <c r="Y1910" i="34"/>
  <c r="N1911" i="34"/>
  <c r="R1911" i="34"/>
  <c r="S1911" i="34"/>
  <c r="T1911" i="34"/>
  <c r="V1911" i="34"/>
  <c r="X1911" i="34"/>
  <c r="Y1911" i="34"/>
  <c r="N1912" i="34"/>
  <c r="R1912" i="34"/>
  <c r="S1912" i="34"/>
  <c r="T1912" i="34"/>
  <c r="V1912" i="34"/>
  <c r="X1912" i="34"/>
  <c r="Y1912" i="34"/>
  <c r="N1913" i="34"/>
  <c r="R1913" i="34"/>
  <c r="S1913" i="34"/>
  <c r="T1913" i="34"/>
  <c r="V1913" i="34"/>
  <c r="X1913" i="34"/>
  <c r="Y1913" i="34"/>
  <c r="N1914" i="34"/>
  <c r="R1914" i="34"/>
  <c r="S1914" i="34"/>
  <c r="T1914" i="34"/>
  <c r="V1914" i="34"/>
  <c r="X1914" i="34"/>
  <c r="Y1914" i="34"/>
  <c r="N1915" i="34"/>
  <c r="R1915" i="34"/>
  <c r="S1915" i="34"/>
  <c r="T1915" i="34"/>
  <c r="V1915" i="34"/>
  <c r="X1915" i="34"/>
  <c r="Y1915" i="34"/>
  <c r="N1916" i="34"/>
  <c r="R1916" i="34"/>
  <c r="S1916" i="34"/>
  <c r="T1916" i="34"/>
  <c r="V1916" i="34"/>
  <c r="X1916" i="34"/>
  <c r="Y1916" i="34"/>
  <c r="N1917" i="34"/>
  <c r="R1917" i="34"/>
  <c r="S1917" i="34"/>
  <c r="T1917" i="34"/>
  <c r="V1917" i="34"/>
  <c r="X1917" i="34"/>
  <c r="Y1917" i="34"/>
  <c r="N1918" i="34"/>
  <c r="R1918" i="34"/>
  <c r="S1918" i="34"/>
  <c r="T1918" i="34"/>
  <c r="V1918" i="34"/>
  <c r="X1918" i="34"/>
  <c r="Y1918" i="34"/>
  <c r="N1919" i="34"/>
  <c r="R1919" i="34"/>
  <c r="S1919" i="34"/>
  <c r="T1919" i="34"/>
  <c r="V1919" i="34"/>
  <c r="X1919" i="34"/>
  <c r="Y1919" i="34"/>
  <c r="N1920" i="34"/>
  <c r="R1920" i="34"/>
  <c r="S1920" i="34"/>
  <c r="T1920" i="34"/>
  <c r="V1920" i="34"/>
  <c r="X1920" i="34"/>
  <c r="Y1920" i="34"/>
  <c r="N1921" i="34"/>
  <c r="R1921" i="34"/>
  <c r="S1921" i="34"/>
  <c r="T1921" i="34"/>
  <c r="V1921" i="34"/>
  <c r="X1921" i="34"/>
  <c r="Y1921" i="34"/>
  <c r="N1922" i="34"/>
  <c r="R1922" i="34"/>
  <c r="S1922" i="34"/>
  <c r="T1922" i="34"/>
  <c r="V1922" i="34"/>
  <c r="X1922" i="34"/>
  <c r="Y1922" i="34"/>
  <c r="N1923" i="34"/>
  <c r="R1923" i="34"/>
  <c r="S1923" i="34"/>
  <c r="T1923" i="34"/>
  <c r="V1923" i="34"/>
  <c r="X1923" i="34"/>
  <c r="Y1923" i="34"/>
  <c r="N1924" i="34"/>
  <c r="R1924" i="34"/>
  <c r="S1924" i="34"/>
  <c r="T1924" i="34"/>
  <c r="V1924" i="34"/>
  <c r="X1924" i="34"/>
  <c r="Y1924" i="34"/>
  <c r="N1925" i="34"/>
  <c r="R1925" i="34"/>
  <c r="S1925" i="34"/>
  <c r="T1925" i="34"/>
  <c r="V1925" i="34"/>
  <c r="X1925" i="34"/>
  <c r="Y1925" i="34"/>
  <c r="N1926" i="34"/>
  <c r="R1926" i="34"/>
  <c r="S1926" i="34"/>
  <c r="T1926" i="34"/>
  <c r="V1926" i="34"/>
  <c r="X1926" i="34"/>
  <c r="Y1926" i="34"/>
  <c r="N1927" i="34"/>
  <c r="R1927" i="34"/>
  <c r="S1927" i="34"/>
  <c r="T1927" i="34"/>
  <c r="V1927" i="34"/>
  <c r="X1927" i="34"/>
  <c r="Y1927" i="34"/>
  <c r="N1928" i="34"/>
  <c r="R1928" i="34"/>
  <c r="S1928" i="34"/>
  <c r="T1928" i="34"/>
  <c r="V1928" i="34"/>
  <c r="X1928" i="34"/>
  <c r="Y1928" i="34"/>
  <c r="N1929" i="34"/>
  <c r="R1929" i="34"/>
  <c r="S1929" i="34"/>
  <c r="T1929" i="34"/>
  <c r="V1929" i="34"/>
  <c r="X1929" i="34"/>
  <c r="Y1929" i="34"/>
  <c r="N1930" i="34"/>
  <c r="R1930" i="34"/>
  <c r="S1930" i="34"/>
  <c r="T1930" i="34"/>
  <c r="V1930" i="34"/>
  <c r="X1930" i="34"/>
  <c r="Y1930" i="34"/>
  <c r="N1931" i="34"/>
  <c r="R1931" i="34"/>
  <c r="S1931" i="34"/>
  <c r="T1931" i="34"/>
  <c r="V1931" i="34"/>
  <c r="X1931" i="34"/>
  <c r="Y1931" i="34"/>
  <c r="N1932" i="34"/>
  <c r="R1932" i="34"/>
  <c r="S1932" i="34"/>
  <c r="T1932" i="34"/>
  <c r="V1932" i="34"/>
  <c r="X1932" i="34"/>
  <c r="Y1932" i="34"/>
  <c r="N1933" i="34"/>
  <c r="R1933" i="34"/>
  <c r="S1933" i="34"/>
  <c r="T1933" i="34"/>
  <c r="V1933" i="34"/>
  <c r="X1933" i="34"/>
  <c r="Y1933" i="34"/>
  <c r="N1934" i="34"/>
  <c r="R1934" i="34"/>
  <c r="S1934" i="34"/>
  <c r="T1934" i="34"/>
  <c r="V1934" i="34"/>
  <c r="X1934" i="34"/>
  <c r="Y1934" i="34"/>
  <c r="N1935" i="34"/>
  <c r="R1935" i="34"/>
  <c r="S1935" i="34"/>
  <c r="T1935" i="34"/>
  <c r="V1935" i="34"/>
  <c r="X1935" i="34"/>
  <c r="Y1935" i="34"/>
  <c r="N1936" i="34"/>
  <c r="R1936" i="34"/>
  <c r="S1936" i="34"/>
  <c r="T1936" i="34"/>
  <c r="V1936" i="34"/>
  <c r="X1936" i="34"/>
  <c r="Y1936" i="34"/>
  <c r="N1937" i="34"/>
  <c r="R1937" i="34"/>
  <c r="S1937" i="34"/>
  <c r="T1937" i="34"/>
  <c r="V1937" i="34"/>
  <c r="X1937" i="34"/>
  <c r="Y1937" i="34"/>
  <c r="N1938" i="34"/>
  <c r="R1938" i="34"/>
  <c r="S1938" i="34"/>
  <c r="T1938" i="34"/>
  <c r="V1938" i="34"/>
  <c r="X1938" i="34"/>
  <c r="Y1938" i="34"/>
  <c r="N1939" i="34"/>
  <c r="R1939" i="34"/>
  <c r="S1939" i="34"/>
  <c r="T1939" i="34"/>
  <c r="V1939" i="34"/>
  <c r="X1939" i="34"/>
  <c r="Y1939" i="34"/>
  <c r="N1940" i="34"/>
  <c r="R1940" i="34"/>
  <c r="S1940" i="34"/>
  <c r="T1940" i="34"/>
  <c r="V1940" i="34"/>
  <c r="X1940" i="34"/>
  <c r="Y1940" i="34"/>
  <c r="N1941" i="34"/>
  <c r="R1941" i="34"/>
  <c r="S1941" i="34"/>
  <c r="T1941" i="34"/>
  <c r="V1941" i="34"/>
  <c r="X1941" i="34"/>
  <c r="Y1941" i="34"/>
  <c r="N1942" i="34"/>
  <c r="R1942" i="34"/>
  <c r="S1942" i="34"/>
  <c r="T1942" i="34"/>
  <c r="V1942" i="34"/>
  <c r="X1942" i="34"/>
  <c r="Y1942" i="34"/>
  <c r="N1943" i="34"/>
  <c r="R1943" i="34"/>
  <c r="S1943" i="34"/>
  <c r="T1943" i="34"/>
  <c r="V1943" i="34"/>
  <c r="X1943" i="34"/>
  <c r="Y1943" i="34"/>
  <c r="N1944" i="34"/>
  <c r="R1944" i="34"/>
  <c r="S1944" i="34"/>
  <c r="T1944" i="34"/>
  <c r="V1944" i="34"/>
  <c r="X1944" i="34"/>
  <c r="Y1944" i="34"/>
  <c r="N1945" i="34"/>
  <c r="R1945" i="34"/>
  <c r="S1945" i="34"/>
  <c r="T1945" i="34"/>
  <c r="V1945" i="34"/>
  <c r="X1945" i="34"/>
  <c r="Y1945" i="34"/>
  <c r="N1946" i="34"/>
  <c r="R1946" i="34"/>
  <c r="S1946" i="34"/>
  <c r="T1946" i="34"/>
  <c r="V1946" i="34"/>
  <c r="X1946" i="34"/>
  <c r="Y1946" i="34"/>
  <c r="N1947" i="34"/>
  <c r="R1947" i="34"/>
  <c r="S1947" i="34"/>
  <c r="T1947" i="34"/>
  <c r="V1947" i="34"/>
  <c r="X1947" i="34"/>
  <c r="Y1947" i="34"/>
  <c r="N1948" i="34"/>
  <c r="R1948" i="34"/>
  <c r="S1948" i="34"/>
  <c r="T1948" i="34"/>
  <c r="V1948" i="34"/>
  <c r="X1948" i="34"/>
  <c r="Y1948" i="34"/>
  <c r="N1949" i="34"/>
  <c r="R1949" i="34"/>
  <c r="S1949" i="34"/>
  <c r="T1949" i="34"/>
  <c r="V1949" i="34"/>
  <c r="X1949" i="34"/>
  <c r="Y1949" i="34"/>
  <c r="N1950" i="34"/>
  <c r="R1950" i="34"/>
  <c r="S1950" i="34"/>
  <c r="T1950" i="34"/>
  <c r="V1950" i="34"/>
  <c r="X1950" i="34"/>
  <c r="Y1950" i="34"/>
  <c r="N1951" i="34"/>
  <c r="R1951" i="34"/>
  <c r="S1951" i="34"/>
  <c r="T1951" i="34"/>
  <c r="V1951" i="34"/>
  <c r="X1951" i="34"/>
  <c r="Y1951" i="34"/>
  <c r="N1952" i="34"/>
  <c r="R1952" i="34"/>
  <c r="S1952" i="34"/>
  <c r="T1952" i="34"/>
  <c r="V1952" i="34"/>
  <c r="X1952" i="34"/>
  <c r="Y1952" i="34"/>
  <c r="N1953" i="34"/>
  <c r="R1953" i="34"/>
  <c r="S1953" i="34"/>
  <c r="T1953" i="34"/>
  <c r="V1953" i="34"/>
  <c r="X1953" i="34"/>
  <c r="Y1953" i="34"/>
  <c r="N1954" i="34"/>
  <c r="R1954" i="34"/>
  <c r="S1954" i="34"/>
  <c r="T1954" i="34"/>
  <c r="V1954" i="34"/>
  <c r="X1954" i="34"/>
  <c r="Y1954" i="34"/>
  <c r="N1955" i="34"/>
  <c r="R1955" i="34"/>
  <c r="S1955" i="34"/>
  <c r="T1955" i="34"/>
  <c r="V1955" i="34"/>
  <c r="X1955" i="34"/>
  <c r="Y1955" i="34"/>
  <c r="N1956" i="34"/>
  <c r="R1956" i="34"/>
  <c r="S1956" i="34"/>
  <c r="T1956" i="34"/>
  <c r="V1956" i="34"/>
  <c r="X1956" i="34"/>
  <c r="Y1956" i="34"/>
  <c r="N1957" i="34"/>
  <c r="R1957" i="34"/>
  <c r="S1957" i="34"/>
  <c r="T1957" i="34"/>
  <c r="V1957" i="34"/>
  <c r="X1957" i="34"/>
  <c r="Y1957" i="34"/>
  <c r="N1958" i="34"/>
  <c r="R1958" i="34"/>
  <c r="S1958" i="34"/>
  <c r="T1958" i="34"/>
  <c r="V1958" i="34"/>
  <c r="X1958" i="34"/>
  <c r="Y1958" i="34"/>
  <c r="N1959" i="34"/>
  <c r="R1959" i="34"/>
  <c r="S1959" i="34"/>
  <c r="T1959" i="34"/>
  <c r="V1959" i="34"/>
  <c r="X1959" i="34"/>
  <c r="Y1959" i="34"/>
  <c r="N1960" i="34"/>
  <c r="R1960" i="34"/>
  <c r="S1960" i="34"/>
  <c r="T1960" i="34"/>
  <c r="V1960" i="34"/>
  <c r="X1960" i="34"/>
  <c r="Y1960" i="34"/>
  <c r="N1961" i="34"/>
  <c r="R1961" i="34"/>
  <c r="S1961" i="34"/>
  <c r="T1961" i="34"/>
  <c r="V1961" i="34"/>
  <c r="X1961" i="34"/>
  <c r="Y1961" i="34"/>
  <c r="N1962" i="34"/>
  <c r="R1962" i="34"/>
  <c r="S1962" i="34"/>
  <c r="T1962" i="34"/>
  <c r="V1962" i="34"/>
  <c r="X1962" i="34"/>
  <c r="Y1962" i="34"/>
  <c r="N1963" i="34"/>
  <c r="R1963" i="34"/>
  <c r="S1963" i="34"/>
  <c r="T1963" i="34"/>
  <c r="V1963" i="34"/>
  <c r="X1963" i="34"/>
  <c r="Y1963" i="34"/>
  <c r="N1964" i="34"/>
  <c r="R1964" i="34"/>
  <c r="S1964" i="34"/>
  <c r="T1964" i="34"/>
  <c r="V1964" i="34"/>
  <c r="X1964" i="34"/>
  <c r="Y1964" i="34"/>
  <c r="N1965" i="34"/>
  <c r="R1965" i="34"/>
  <c r="S1965" i="34"/>
  <c r="T1965" i="34"/>
  <c r="V1965" i="34"/>
  <c r="X1965" i="34"/>
  <c r="Y1965" i="34"/>
  <c r="N1966" i="34"/>
  <c r="R1966" i="34"/>
  <c r="S1966" i="34"/>
  <c r="T1966" i="34"/>
  <c r="V1966" i="34"/>
  <c r="X1966" i="34"/>
  <c r="Y1966" i="34"/>
  <c r="N1967" i="34"/>
  <c r="R1967" i="34"/>
  <c r="S1967" i="34"/>
  <c r="T1967" i="34"/>
  <c r="V1967" i="34"/>
  <c r="X1967" i="34"/>
  <c r="Y1967" i="34"/>
  <c r="N1968" i="34"/>
  <c r="R1968" i="34"/>
  <c r="S1968" i="34"/>
  <c r="T1968" i="34"/>
  <c r="V1968" i="34"/>
  <c r="X1968" i="34"/>
  <c r="Y1968" i="34"/>
  <c r="N1969" i="34"/>
  <c r="R1969" i="34"/>
  <c r="S1969" i="34"/>
  <c r="T1969" i="34"/>
  <c r="V1969" i="34"/>
  <c r="X1969" i="34"/>
  <c r="Y1969" i="34"/>
  <c r="N1970" i="34"/>
  <c r="R1970" i="34"/>
  <c r="S1970" i="34"/>
  <c r="T1970" i="34"/>
  <c r="V1970" i="34"/>
  <c r="X1970" i="34"/>
  <c r="Y1970" i="34"/>
  <c r="N1971" i="34"/>
  <c r="R1971" i="34"/>
  <c r="S1971" i="34"/>
  <c r="T1971" i="34"/>
  <c r="V1971" i="34"/>
  <c r="X1971" i="34"/>
  <c r="Y1971" i="34"/>
  <c r="N1972" i="34"/>
  <c r="R1972" i="34"/>
  <c r="S1972" i="34"/>
  <c r="T1972" i="34"/>
  <c r="V1972" i="34"/>
  <c r="X1972" i="34"/>
  <c r="Y1972" i="34"/>
  <c r="N1973" i="34"/>
  <c r="R1973" i="34"/>
  <c r="S1973" i="34"/>
  <c r="T1973" i="34"/>
  <c r="V1973" i="34"/>
  <c r="X1973" i="34"/>
  <c r="Y1973" i="34"/>
  <c r="N1974" i="34"/>
  <c r="R1974" i="34"/>
  <c r="S1974" i="34"/>
  <c r="T1974" i="34"/>
  <c r="V1974" i="34"/>
  <c r="X1974" i="34"/>
  <c r="Y1974" i="34"/>
  <c r="N1975" i="34"/>
  <c r="R1975" i="34"/>
  <c r="S1975" i="34"/>
  <c r="T1975" i="34"/>
  <c r="V1975" i="34"/>
  <c r="X1975" i="34"/>
  <c r="Y1975" i="34"/>
  <c r="N1976" i="34"/>
  <c r="R1976" i="34"/>
  <c r="S1976" i="34"/>
  <c r="T1976" i="34"/>
  <c r="V1976" i="34"/>
  <c r="X1976" i="34"/>
  <c r="Y1976" i="34"/>
  <c r="N1977" i="34"/>
  <c r="R1977" i="34"/>
  <c r="S1977" i="34"/>
  <c r="T1977" i="34"/>
  <c r="V1977" i="34"/>
  <c r="X1977" i="34"/>
  <c r="Y1977" i="34"/>
  <c r="N1978" i="34"/>
  <c r="R1978" i="34"/>
  <c r="S1978" i="34"/>
  <c r="T1978" i="34"/>
  <c r="V1978" i="34"/>
  <c r="X1978" i="34"/>
  <c r="Y1978" i="34"/>
  <c r="N1979" i="34"/>
  <c r="R1979" i="34"/>
  <c r="S1979" i="34"/>
  <c r="T1979" i="34"/>
  <c r="V1979" i="34"/>
  <c r="X1979" i="34"/>
  <c r="Y1979" i="34"/>
  <c r="N1980" i="34"/>
  <c r="R1980" i="34"/>
  <c r="S1980" i="34"/>
  <c r="T1980" i="34"/>
  <c r="V1980" i="34"/>
  <c r="X1980" i="34"/>
  <c r="Y1980" i="34"/>
  <c r="N1981" i="34"/>
  <c r="R1981" i="34"/>
  <c r="S1981" i="34"/>
  <c r="T1981" i="34"/>
  <c r="V1981" i="34"/>
  <c r="X1981" i="34"/>
  <c r="Y1981" i="34"/>
  <c r="N1982" i="34"/>
  <c r="R1982" i="34"/>
  <c r="S1982" i="34"/>
  <c r="T1982" i="34"/>
  <c r="V1982" i="34"/>
  <c r="X1982" i="34"/>
  <c r="Y1982" i="34"/>
  <c r="N1983" i="34"/>
  <c r="R1983" i="34"/>
  <c r="S1983" i="34"/>
  <c r="T1983" i="34"/>
  <c r="V1983" i="34"/>
  <c r="X1983" i="34"/>
  <c r="Y1983" i="34"/>
  <c r="N1984" i="34"/>
  <c r="R1984" i="34"/>
  <c r="S1984" i="34"/>
  <c r="T1984" i="34"/>
  <c r="V1984" i="34"/>
  <c r="X1984" i="34"/>
  <c r="Y1984" i="34"/>
  <c r="N1985" i="34"/>
  <c r="R1985" i="34"/>
  <c r="S1985" i="34"/>
  <c r="T1985" i="34"/>
  <c r="V1985" i="34"/>
  <c r="X1985" i="34"/>
  <c r="Y1985" i="34"/>
  <c r="N1986" i="34"/>
  <c r="R1986" i="34"/>
  <c r="S1986" i="34"/>
  <c r="T1986" i="34"/>
  <c r="V1986" i="34"/>
  <c r="X1986" i="34"/>
  <c r="Y1986" i="34"/>
  <c r="N1987" i="34"/>
  <c r="R1987" i="34"/>
  <c r="S1987" i="34"/>
  <c r="T1987" i="34"/>
  <c r="V1987" i="34"/>
  <c r="X1987" i="34"/>
  <c r="Y1987" i="34"/>
  <c r="N1988" i="34"/>
  <c r="R1988" i="34"/>
  <c r="S1988" i="34"/>
  <c r="T1988" i="34"/>
  <c r="V1988" i="34"/>
  <c r="X1988" i="34"/>
  <c r="Y1988" i="34"/>
  <c r="N1989" i="34"/>
  <c r="R1989" i="34"/>
  <c r="S1989" i="34"/>
  <c r="T1989" i="34"/>
  <c r="V1989" i="34"/>
  <c r="X1989" i="34"/>
  <c r="Y1989" i="34"/>
  <c r="N1990" i="34"/>
  <c r="R1990" i="34"/>
  <c r="S1990" i="34"/>
  <c r="T1990" i="34"/>
  <c r="V1990" i="34"/>
  <c r="X1990" i="34"/>
  <c r="Y1990" i="34"/>
  <c r="N1991" i="34"/>
  <c r="R1991" i="34"/>
  <c r="S1991" i="34"/>
  <c r="T1991" i="34"/>
  <c r="V1991" i="34"/>
  <c r="X1991" i="34"/>
  <c r="Y1991" i="34"/>
  <c r="N1992" i="34"/>
  <c r="R1992" i="34"/>
  <c r="S1992" i="34"/>
  <c r="T1992" i="34"/>
  <c r="V1992" i="34"/>
  <c r="X1992" i="34"/>
  <c r="Y1992" i="34"/>
  <c r="N1993" i="34"/>
  <c r="R1993" i="34"/>
  <c r="S1993" i="34"/>
  <c r="T1993" i="34"/>
  <c r="V1993" i="34"/>
  <c r="X1993" i="34"/>
  <c r="Y1993" i="34"/>
  <c r="N1994" i="34"/>
  <c r="R1994" i="34"/>
  <c r="S1994" i="34"/>
  <c r="T1994" i="34"/>
  <c r="V1994" i="34"/>
  <c r="X1994" i="34"/>
  <c r="Y1994" i="34"/>
  <c r="N1995" i="34"/>
  <c r="R1995" i="34"/>
  <c r="S1995" i="34"/>
  <c r="T1995" i="34"/>
  <c r="V1995" i="34"/>
  <c r="X1995" i="34"/>
  <c r="Y1995" i="34"/>
  <c r="N1996" i="34"/>
  <c r="R1996" i="34"/>
  <c r="S1996" i="34"/>
  <c r="T1996" i="34"/>
  <c r="V1996" i="34"/>
  <c r="X1996" i="34"/>
  <c r="Y1996" i="34"/>
  <c r="N1997" i="34"/>
  <c r="R1997" i="34"/>
  <c r="S1997" i="34"/>
  <c r="T1997" i="34"/>
  <c r="V1997" i="34"/>
  <c r="X1997" i="34"/>
  <c r="Y1997" i="34"/>
  <c r="N1998" i="34"/>
  <c r="R1998" i="34"/>
  <c r="S1998" i="34"/>
  <c r="T1998" i="34"/>
  <c r="V1998" i="34"/>
  <c r="X1998" i="34"/>
  <c r="Y1998" i="34"/>
  <c r="N1999" i="34"/>
  <c r="R1999" i="34"/>
  <c r="S1999" i="34"/>
  <c r="T1999" i="34"/>
  <c r="V1999" i="34"/>
  <c r="X1999" i="34"/>
  <c r="Y1999" i="34"/>
  <c r="N2000" i="34"/>
  <c r="R2000" i="34"/>
  <c r="S2000" i="34"/>
  <c r="T2000" i="34"/>
  <c r="V2000" i="34"/>
  <c r="X2000" i="34"/>
  <c r="Y2000" i="34"/>
  <c r="N2001" i="34"/>
  <c r="R2001" i="34"/>
  <c r="S2001" i="34"/>
  <c r="T2001" i="34"/>
  <c r="V2001" i="34"/>
  <c r="X2001" i="34"/>
  <c r="Y2001" i="34"/>
  <c r="N2002" i="34"/>
  <c r="R2002" i="34"/>
  <c r="S2002" i="34"/>
  <c r="T2002" i="34"/>
  <c r="V2002" i="34"/>
  <c r="X2002" i="34"/>
  <c r="Y2002" i="34"/>
  <c r="N2003" i="34"/>
  <c r="R2003" i="34"/>
  <c r="S2003" i="34"/>
  <c r="T2003" i="34"/>
  <c r="V2003" i="34"/>
  <c r="X2003" i="34"/>
  <c r="Y2003" i="34"/>
  <c r="N2004" i="34"/>
  <c r="R2004" i="34"/>
  <c r="S2004" i="34"/>
  <c r="T2004" i="34"/>
  <c r="V2004" i="34"/>
  <c r="X2004" i="34"/>
  <c r="Y2004" i="34"/>
  <c r="N2005" i="34"/>
  <c r="R2005" i="34"/>
  <c r="S2005" i="34"/>
  <c r="T2005" i="34"/>
  <c r="V2005" i="34"/>
  <c r="X2005" i="34"/>
  <c r="Y2005" i="34"/>
  <c r="N2006" i="34"/>
  <c r="R2006" i="34"/>
  <c r="S2006" i="34"/>
  <c r="T2006" i="34"/>
  <c r="V2006" i="34"/>
  <c r="X2006" i="34"/>
  <c r="Y2006" i="34"/>
  <c r="N2007" i="34"/>
  <c r="R2007" i="34"/>
  <c r="S2007" i="34"/>
  <c r="T2007" i="34"/>
  <c r="V2007" i="34"/>
  <c r="X2007" i="34"/>
  <c r="Y2007" i="34"/>
  <c r="N2008" i="34"/>
  <c r="R2008" i="34"/>
  <c r="S2008" i="34"/>
  <c r="T2008" i="34"/>
  <c r="V2008" i="34"/>
  <c r="X2008" i="34"/>
  <c r="Y2008" i="34"/>
  <c r="N2009" i="34"/>
  <c r="R2009" i="34"/>
  <c r="S2009" i="34"/>
  <c r="T2009" i="34"/>
  <c r="V2009" i="34"/>
  <c r="X2009" i="34"/>
  <c r="Y2009" i="34"/>
  <c r="N2010" i="34"/>
  <c r="R2010" i="34"/>
  <c r="S2010" i="34"/>
  <c r="T2010" i="34"/>
  <c r="V2010" i="34"/>
  <c r="X2010" i="34"/>
  <c r="Y2010" i="34"/>
  <c r="N2011" i="34"/>
  <c r="R2011" i="34"/>
  <c r="S2011" i="34"/>
  <c r="T2011" i="34"/>
  <c r="V2011" i="34"/>
  <c r="X2011" i="34"/>
  <c r="Y2011" i="34"/>
  <c r="N2012" i="34"/>
  <c r="R2012" i="34"/>
  <c r="S2012" i="34"/>
  <c r="T2012" i="34"/>
  <c r="V2012" i="34"/>
  <c r="X2012" i="34"/>
  <c r="Y2012" i="34"/>
  <c r="N2013" i="34"/>
  <c r="R2013" i="34"/>
  <c r="S2013" i="34"/>
  <c r="T2013" i="34"/>
  <c r="V2013" i="34"/>
  <c r="X2013" i="34"/>
  <c r="Y2013" i="34"/>
  <c r="N2014" i="34"/>
  <c r="R2014" i="34"/>
  <c r="S2014" i="34"/>
  <c r="T2014" i="34"/>
  <c r="V2014" i="34"/>
  <c r="X2014" i="34"/>
  <c r="Y2014" i="34"/>
  <c r="N2015" i="34"/>
  <c r="R2015" i="34"/>
  <c r="S2015" i="34"/>
  <c r="T2015" i="34"/>
  <c r="V2015" i="34"/>
  <c r="X2015" i="34"/>
  <c r="Y2015" i="34"/>
  <c r="N2016" i="34"/>
  <c r="R2016" i="34"/>
  <c r="S2016" i="34"/>
  <c r="T2016" i="34"/>
  <c r="V2016" i="34"/>
  <c r="X2016" i="34"/>
  <c r="Y2016" i="34"/>
  <c r="N2017" i="34"/>
  <c r="R2017" i="34"/>
  <c r="S2017" i="34"/>
  <c r="T2017" i="34"/>
  <c r="V2017" i="34"/>
  <c r="X2017" i="34"/>
  <c r="Y2017" i="34"/>
  <c r="N2018" i="34"/>
  <c r="R2018" i="34"/>
  <c r="S2018" i="34"/>
  <c r="T2018" i="34"/>
  <c r="V2018" i="34"/>
  <c r="X2018" i="34"/>
  <c r="Y2018" i="34"/>
  <c r="N2019" i="34"/>
  <c r="R2019" i="34"/>
  <c r="S2019" i="34"/>
  <c r="T2019" i="34"/>
  <c r="V2019" i="34"/>
  <c r="X2019" i="34"/>
  <c r="Y2019" i="34"/>
  <c r="N2020" i="34"/>
  <c r="R2020" i="34"/>
  <c r="S2020" i="34"/>
  <c r="T2020" i="34"/>
  <c r="V2020" i="34"/>
  <c r="X2020" i="34"/>
  <c r="Y2020" i="34"/>
  <c r="N2021" i="34"/>
  <c r="R2021" i="34"/>
  <c r="S2021" i="34"/>
  <c r="T2021" i="34"/>
  <c r="V2021" i="34"/>
  <c r="X2021" i="34"/>
  <c r="Y2021" i="34"/>
  <c r="N2022" i="34"/>
  <c r="R2022" i="34"/>
  <c r="S2022" i="34"/>
  <c r="T2022" i="34"/>
  <c r="V2022" i="34"/>
  <c r="X2022" i="34"/>
  <c r="Y2022" i="34"/>
  <c r="N2023" i="34"/>
  <c r="R2023" i="34"/>
  <c r="S2023" i="34"/>
  <c r="T2023" i="34"/>
  <c r="V2023" i="34"/>
  <c r="X2023" i="34"/>
  <c r="Y2023" i="34"/>
  <c r="N2024" i="34"/>
  <c r="R2024" i="34"/>
  <c r="S2024" i="34"/>
  <c r="T2024" i="34"/>
  <c r="V2024" i="34"/>
  <c r="X2024" i="34"/>
  <c r="Y2024" i="34"/>
  <c r="N2025" i="34"/>
  <c r="R2025" i="34"/>
  <c r="S2025" i="34"/>
  <c r="T2025" i="34"/>
  <c r="V2025" i="34"/>
  <c r="X2025" i="34"/>
  <c r="Y2025" i="34"/>
  <c r="N2026" i="34"/>
  <c r="R2026" i="34"/>
  <c r="S2026" i="34"/>
  <c r="T2026" i="34"/>
  <c r="V2026" i="34"/>
  <c r="X2026" i="34"/>
  <c r="Y2026" i="34"/>
  <c r="N2027" i="34"/>
  <c r="R2027" i="34"/>
  <c r="S2027" i="34"/>
  <c r="T2027" i="34"/>
  <c r="V2027" i="34"/>
  <c r="X2027" i="34"/>
  <c r="Y2027" i="34"/>
  <c r="N2028" i="34"/>
  <c r="R2028" i="34"/>
  <c r="S2028" i="34"/>
  <c r="T2028" i="34"/>
  <c r="V2028" i="34"/>
  <c r="X2028" i="34"/>
  <c r="Y2028" i="34"/>
  <c r="N2029" i="34"/>
  <c r="R2029" i="34"/>
  <c r="S2029" i="34"/>
  <c r="T2029" i="34"/>
  <c r="V2029" i="34"/>
  <c r="X2029" i="34"/>
  <c r="Y2029" i="34"/>
  <c r="N2030" i="34"/>
  <c r="R2030" i="34"/>
  <c r="S2030" i="34"/>
  <c r="T2030" i="34"/>
  <c r="V2030" i="34"/>
  <c r="X2030" i="34"/>
  <c r="Y2030" i="34"/>
  <c r="N2031" i="34"/>
  <c r="R2031" i="34"/>
  <c r="S2031" i="34"/>
  <c r="T2031" i="34"/>
  <c r="V2031" i="34"/>
  <c r="X2031" i="34"/>
  <c r="Y2031" i="34"/>
  <c r="N2032" i="34"/>
  <c r="R2032" i="34"/>
  <c r="S2032" i="34"/>
  <c r="T2032" i="34"/>
  <c r="V2032" i="34"/>
  <c r="X2032" i="34"/>
  <c r="Y2032" i="34"/>
  <c r="N2033" i="34"/>
  <c r="R2033" i="34"/>
  <c r="S2033" i="34"/>
  <c r="T2033" i="34"/>
  <c r="V2033" i="34"/>
  <c r="X2033" i="34"/>
  <c r="Y2033" i="34"/>
  <c r="N2034" i="34"/>
  <c r="R2034" i="34"/>
  <c r="S2034" i="34"/>
  <c r="T2034" i="34"/>
  <c r="V2034" i="34"/>
  <c r="X2034" i="34"/>
  <c r="Y2034" i="34"/>
  <c r="N2035" i="34"/>
  <c r="R2035" i="34"/>
  <c r="S2035" i="34"/>
  <c r="T2035" i="34"/>
  <c r="V2035" i="34"/>
  <c r="X2035" i="34"/>
  <c r="Y2035" i="34"/>
  <c r="N2036" i="34"/>
  <c r="R2036" i="34"/>
  <c r="S2036" i="34"/>
  <c r="T2036" i="34"/>
  <c r="V2036" i="34"/>
  <c r="X2036" i="34"/>
  <c r="Y2036" i="34"/>
  <c r="N2037" i="34"/>
  <c r="R2037" i="34"/>
  <c r="S2037" i="34"/>
  <c r="T2037" i="34"/>
  <c r="V2037" i="34"/>
  <c r="X2037" i="34"/>
  <c r="Y2037" i="34"/>
  <c r="N2038" i="34"/>
  <c r="R2038" i="34"/>
  <c r="S2038" i="34"/>
  <c r="T2038" i="34"/>
  <c r="V2038" i="34"/>
  <c r="X2038" i="34"/>
  <c r="Y2038" i="34"/>
  <c r="N2039" i="34"/>
  <c r="R2039" i="34"/>
  <c r="S2039" i="34"/>
  <c r="T2039" i="34"/>
  <c r="V2039" i="34"/>
  <c r="X2039" i="34"/>
  <c r="Y2039" i="34"/>
  <c r="N2040" i="34"/>
  <c r="R2040" i="34"/>
  <c r="S2040" i="34"/>
  <c r="T2040" i="34"/>
  <c r="V2040" i="34"/>
  <c r="X2040" i="34"/>
  <c r="Y2040" i="34"/>
  <c r="N2041" i="34"/>
  <c r="R2041" i="34"/>
  <c r="S2041" i="34"/>
  <c r="T2041" i="34"/>
  <c r="V2041" i="34"/>
  <c r="X2041" i="34"/>
  <c r="Y2041" i="34"/>
  <c r="N2042" i="34"/>
  <c r="R2042" i="34"/>
  <c r="S2042" i="34"/>
  <c r="T2042" i="34"/>
  <c r="V2042" i="34"/>
  <c r="X2042" i="34"/>
  <c r="Y2042" i="34"/>
  <c r="N2043" i="34"/>
  <c r="R2043" i="34"/>
  <c r="S2043" i="34"/>
  <c r="T2043" i="34"/>
  <c r="V2043" i="34"/>
  <c r="X2043" i="34"/>
  <c r="Y2043" i="34"/>
  <c r="N2044" i="34"/>
  <c r="R2044" i="34"/>
  <c r="S2044" i="34"/>
  <c r="T2044" i="34"/>
  <c r="V2044" i="34"/>
  <c r="X2044" i="34"/>
  <c r="Y2044" i="34"/>
  <c r="N2045" i="34"/>
  <c r="R2045" i="34"/>
  <c r="S2045" i="34"/>
  <c r="T2045" i="34"/>
  <c r="V2045" i="34"/>
  <c r="X2045" i="34"/>
  <c r="Y2045" i="34"/>
  <c r="N2046" i="34"/>
  <c r="R2046" i="34"/>
  <c r="S2046" i="34"/>
  <c r="T2046" i="34"/>
  <c r="V2046" i="34"/>
  <c r="X2046" i="34"/>
  <c r="Y2046" i="34"/>
  <c r="N2047" i="34"/>
  <c r="R2047" i="34"/>
  <c r="S2047" i="34"/>
  <c r="T2047" i="34"/>
  <c r="V2047" i="34"/>
  <c r="X2047" i="34"/>
  <c r="Y2047" i="34"/>
  <c r="N2048" i="34"/>
  <c r="R2048" i="34"/>
  <c r="S2048" i="34"/>
  <c r="T2048" i="34"/>
  <c r="V2048" i="34"/>
  <c r="X2048" i="34"/>
  <c r="Y2048" i="34"/>
  <c r="N2049" i="34"/>
  <c r="R2049" i="34"/>
  <c r="S2049" i="34"/>
  <c r="T2049" i="34"/>
  <c r="V2049" i="34"/>
  <c r="X2049" i="34"/>
  <c r="Y2049" i="34"/>
  <c r="N2050" i="34"/>
  <c r="R2050" i="34"/>
  <c r="S2050" i="34"/>
  <c r="T2050" i="34"/>
  <c r="V2050" i="34"/>
  <c r="X2050" i="34"/>
  <c r="Y2050" i="34"/>
  <c r="N2051" i="34"/>
  <c r="R2051" i="34"/>
  <c r="S2051" i="34"/>
  <c r="T2051" i="34"/>
  <c r="V2051" i="34"/>
  <c r="X2051" i="34"/>
  <c r="Y2051" i="34"/>
  <c r="N2052" i="34"/>
  <c r="R2052" i="34"/>
  <c r="S2052" i="34"/>
  <c r="T2052" i="34"/>
  <c r="V2052" i="34"/>
  <c r="X2052" i="34"/>
  <c r="Y2052" i="34"/>
  <c r="N2053" i="34"/>
  <c r="R2053" i="34"/>
  <c r="S2053" i="34"/>
  <c r="T2053" i="34"/>
  <c r="V2053" i="34"/>
  <c r="X2053" i="34"/>
  <c r="Y2053" i="34"/>
  <c r="N2054" i="34"/>
  <c r="R2054" i="34"/>
  <c r="S2054" i="34"/>
  <c r="T2054" i="34"/>
  <c r="V2054" i="34"/>
  <c r="X2054" i="34"/>
  <c r="Y2054" i="34"/>
  <c r="N2055" i="34"/>
  <c r="R2055" i="34"/>
  <c r="S2055" i="34"/>
  <c r="T2055" i="34"/>
  <c r="V2055" i="34"/>
  <c r="X2055" i="34"/>
  <c r="Y2055" i="34"/>
  <c r="N2056" i="34"/>
  <c r="R2056" i="34"/>
  <c r="S2056" i="34"/>
  <c r="T2056" i="34"/>
  <c r="V2056" i="34"/>
  <c r="X2056" i="34"/>
  <c r="Y2056" i="34"/>
  <c r="N2057" i="34"/>
  <c r="R2057" i="34"/>
  <c r="S2057" i="34"/>
  <c r="T2057" i="34"/>
  <c r="V2057" i="34"/>
  <c r="X2057" i="34"/>
  <c r="Y2057" i="34"/>
  <c r="N2058" i="34"/>
  <c r="R2058" i="34"/>
  <c r="S2058" i="34"/>
  <c r="T2058" i="34"/>
  <c r="V2058" i="34"/>
  <c r="X2058" i="34"/>
  <c r="Y2058" i="34"/>
  <c r="N2059" i="34"/>
  <c r="R2059" i="34"/>
  <c r="S2059" i="34"/>
  <c r="T2059" i="34"/>
  <c r="V2059" i="34"/>
  <c r="X2059" i="34"/>
  <c r="Y2059" i="34"/>
  <c r="N2060" i="34"/>
  <c r="R2060" i="34"/>
  <c r="S2060" i="34"/>
  <c r="T2060" i="34"/>
  <c r="V2060" i="34"/>
  <c r="X2060" i="34"/>
  <c r="Y2060" i="34"/>
  <c r="N2061" i="34"/>
  <c r="R2061" i="34"/>
  <c r="S2061" i="34"/>
  <c r="T2061" i="34"/>
  <c r="V2061" i="34"/>
  <c r="X2061" i="34"/>
  <c r="Y2061" i="34"/>
  <c r="N2062" i="34"/>
  <c r="R2062" i="34"/>
  <c r="S2062" i="34"/>
  <c r="T2062" i="34"/>
  <c r="V2062" i="34"/>
  <c r="X2062" i="34"/>
  <c r="Y2062" i="34"/>
  <c r="N2063" i="34"/>
  <c r="R2063" i="34"/>
  <c r="S2063" i="34"/>
  <c r="T2063" i="34"/>
  <c r="V2063" i="34"/>
  <c r="X2063" i="34"/>
  <c r="Y2063" i="34"/>
  <c r="N2064" i="34"/>
  <c r="R2064" i="34"/>
  <c r="S2064" i="34"/>
  <c r="T2064" i="34"/>
  <c r="V2064" i="34"/>
  <c r="X2064" i="34"/>
  <c r="Y2064" i="34"/>
  <c r="N2065" i="34"/>
  <c r="R2065" i="34"/>
  <c r="S2065" i="34"/>
  <c r="T2065" i="34"/>
  <c r="V2065" i="34"/>
  <c r="X2065" i="34"/>
  <c r="Y2065" i="34"/>
  <c r="N2066" i="34"/>
  <c r="R2066" i="34"/>
  <c r="S2066" i="34"/>
  <c r="T2066" i="34"/>
  <c r="V2066" i="34"/>
  <c r="X2066" i="34"/>
  <c r="Y2066" i="34"/>
  <c r="N2067" i="34"/>
  <c r="R2067" i="34"/>
  <c r="S2067" i="34"/>
  <c r="T2067" i="34"/>
  <c r="V2067" i="34"/>
  <c r="X2067" i="34"/>
  <c r="Y2067" i="34"/>
  <c r="N2068" i="34"/>
  <c r="R2068" i="34"/>
  <c r="S2068" i="34"/>
  <c r="T2068" i="34"/>
  <c r="V2068" i="34"/>
  <c r="X2068" i="34"/>
  <c r="Y2068" i="34"/>
  <c r="N2069" i="34"/>
  <c r="R2069" i="34"/>
  <c r="S2069" i="34"/>
  <c r="T2069" i="34"/>
  <c r="V2069" i="34"/>
  <c r="X2069" i="34"/>
  <c r="Y2069" i="34"/>
  <c r="N2070" i="34"/>
  <c r="R2070" i="34"/>
  <c r="S2070" i="34"/>
  <c r="T2070" i="34"/>
  <c r="V2070" i="34"/>
  <c r="X2070" i="34"/>
  <c r="Y2070" i="34"/>
  <c r="N2071" i="34"/>
  <c r="R2071" i="34"/>
  <c r="S2071" i="34"/>
  <c r="T2071" i="34"/>
  <c r="V2071" i="34"/>
  <c r="X2071" i="34"/>
  <c r="Y2071" i="34"/>
  <c r="N2072" i="34"/>
  <c r="R2072" i="34"/>
  <c r="S2072" i="34"/>
  <c r="T2072" i="34"/>
  <c r="V2072" i="34"/>
  <c r="X2072" i="34"/>
  <c r="Y2072" i="34"/>
  <c r="N2073" i="34"/>
  <c r="R2073" i="34"/>
  <c r="S2073" i="34"/>
  <c r="T2073" i="34"/>
  <c r="V2073" i="34"/>
  <c r="X2073" i="34"/>
  <c r="Y2073" i="34"/>
  <c r="N2074" i="34"/>
  <c r="R2074" i="34"/>
  <c r="S2074" i="34"/>
  <c r="T2074" i="34"/>
  <c r="V2074" i="34"/>
  <c r="X2074" i="34"/>
  <c r="Y2074" i="34"/>
  <c r="N2075" i="34"/>
  <c r="R2075" i="34"/>
  <c r="S2075" i="34"/>
  <c r="T2075" i="34"/>
  <c r="V2075" i="34"/>
  <c r="X2075" i="34"/>
  <c r="Y2075" i="34"/>
  <c r="N2076" i="34"/>
  <c r="R2076" i="34"/>
  <c r="S2076" i="34"/>
  <c r="T2076" i="34"/>
  <c r="V2076" i="34"/>
  <c r="X2076" i="34"/>
  <c r="Y2076" i="34"/>
  <c r="N2077" i="34"/>
  <c r="R2077" i="34"/>
  <c r="S2077" i="34"/>
  <c r="T2077" i="34"/>
  <c r="V2077" i="34"/>
  <c r="X2077" i="34"/>
  <c r="Y2077" i="34"/>
  <c r="N2078" i="34"/>
  <c r="R2078" i="34"/>
  <c r="S2078" i="34"/>
  <c r="T2078" i="34"/>
  <c r="V2078" i="34"/>
  <c r="X2078" i="34"/>
  <c r="Y2078" i="34"/>
  <c r="N2079" i="34"/>
  <c r="R2079" i="34"/>
  <c r="S2079" i="34"/>
  <c r="T2079" i="34"/>
  <c r="V2079" i="34"/>
  <c r="X2079" i="34"/>
  <c r="Y2079" i="34"/>
  <c r="N2080" i="34"/>
  <c r="R2080" i="34"/>
  <c r="S2080" i="34"/>
  <c r="T2080" i="34"/>
  <c r="V2080" i="34"/>
  <c r="X2080" i="34"/>
  <c r="Y2080" i="34"/>
  <c r="N2081" i="34"/>
  <c r="R2081" i="34"/>
  <c r="S2081" i="34"/>
  <c r="T2081" i="34"/>
  <c r="V2081" i="34"/>
  <c r="X2081" i="34"/>
  <c r="Y2081" i="34"/>
  <c r="N2082" i="34"/>
  <c r="R2082" i="34"/>
  <c r="S2082" i="34"/>
  <c r="T2082" i="34"/>
  <c r="V2082" i="34"/>
  <c r="X2082" i="34"/>
  <c r="Y2082" i="34"/>
  <c r="N2083" i="34"/>
  <c r="R2083" i="34"/>
  <c r="S2083" i="34"/>
  <c r="T2083" i="34"/>
  <c r="V2083" i="34"/>
  <c r="X2083" i="34"/>
  <c r="Y2083" i="34"/>
  <c r="N2084" i="34"/>
  <c r="R2084" i="34"/>
  <c r="S2084" i="34"/>
  <c r="T2084" i="34"/>
  <c r="V2084" i="34"/>
  <c r="X2084" i="34"/>
  <c r="Y2084" i="34"/>
  <c r="N2085" i="34"/>
  <c r="R2085" i="34"/>
  <c r="S2085" i="34"/>
  <c r="T2085" i="34"/>
  <c r="V2085" i="34"/>
  <c r="X2085" i="34"/>
  <c r="Y2085" i="34"/>
  <c r="N2086" i="34"/>
  <c r="R2086" i="34"/>
  <c r="S2086" i="34"/>
  <c r="T2086" i="34"/>
  <c r="V2086" i="34"/>
  <c r="X2086" i="34"/>
  <c r="Y2086" i="34"/>
  <c r="N2087" i="34"/>
  <c r="R2087" i="34"/>
  <c r="S2087" i="34"/>
  <c r="T2087" i="34"/>
  <c r="V2087" i="34"/>
  <c r="X2087" i="34"/>
  <c r="Y2087" i="34"/>
  <c r="N2088" i="34"/>
  <c r="R2088" i="34"/>
  <c r="S2088" i="34"/>
  <c r="T2088" i="34"/>
  <c r="V2088" i="34"/>
  <c r="X2088" i="34"/>
  <c r="Y2088" i="34"/>
  <c r="N2089" i="34"/>
  <c r="R2089" i="34"/>
  <c r="S2089" i="34"/>
  <c r="T2089" i="34"/>
  <c r="V2089" i="34"/>
  <c r="X2089" i="34"/>
  <c r="Y2089" i="34"/>
  <c r="N2090" i="34"/>
  <c r="R2090" i="34"/>
  <c r="S2090" i="34"/>
  <c r="T2090" i="34"/>
  <c r="V2090" i="34"/>
  <c r="X2090" i="34"/>
  <c r="Y2090" i="34"/>
  <c r="N2091" i="34"/>
  <c r="R2091" i="34"/>
  <c r="S2091" i="34"/>
  <c r="T2091" i="34"/>
  <c r="V2091" i="34"/>
  <c r="X2091" i="34"/>
  <c r="Y2091" i="34"/>
  <c r="N2092" i="34"/>
  <c r="R2092" i="34"/>
  <c r="S2092" i="34"/>
  <c r="T2092" i="34"/>
  <c r="V2092" i="34"/>
  <c r="X2092" i="34"/>
  <c r="Y2092" i="34"/>
  <c r="N2093" i="34"/>
  <c r="R2093" i="34"/>
  <c r="S2093" i="34"/>
  <c r="T2093" i="34"/>
  <c r="V2093" i="34"/>
  <c r="X2093" i="34"/>
  <c r="Y2093" i="34"/>
  <c r="N2094" i="34"/>
  <c r="R2094" i="34"/>
  <c r="S2094" i="34"/>
  <c r="T2094" i="34"/>
  <c r="V2094" i="34"/>
  <c r="X2094" i="34"/>
  <c r="Y2094" i="34"/>
  <c r="N2095" i="34"/>
  <c r="R2095" i="34"/>
  <c r="S2095" i="34"/>
  <c r="T2095" i="34"/>
  <c r="V2095" i="34"/>
  <c r="X2095" i="34"/>
  <c r="Y2095" i="34"/>
  <c r="N2096" i="34"/>
  <c r="R2096" i="34"/>
  <c r="S2096" i="34"/>
  <c r="T2096" i="34"/>
  <c r="V2096" i="34"/>
  <c r="X2096" i="34"/>
  <c r="Y2096" i="34"/>
  <c r="N2097" i="34"/>
  <c r="R2097" i="34"/>
  <c r="S2097" i="34"/>
  <c r="T2097" i="34"/>
  <c r="V2097" i="34"/>
  <c r="X2097" i="34"/>
  <c r="Y2097" i="34"/>
  <c r="N2098" i="34"/>
  <c r="R2098" i="34"/>
  <c r="S2098" i="34"/>
  <c r="T2098" i="34"/>
  <c r="V2098" i="34"/>
  <c r="X2098" i="34"/>
  <c r="Y2098" i="34"/>
  <c r="N2099" i="34"/>
  <c r="R2099" i="34"/>
  <c r="S2099" i="34"/>
  <c r="T2099" i="34"/>
  <c r="V2099" i="34"/>
  <c r="X2099" i="34"/>
  <c r="Y2099" i="34"/>
  <c r="N2100" i="34"/>
  <c r="R2100" i="34"/>
  <c r="S2100" i="34"/>
  <c r="T2100" i="34"/>
  <c r="V2100" i="34"/>
  <c r="X2100" i="34"/>
  <c r="Y2100" i="34"/>
  <c r="N2101" i="34"/>
  <c r="R2101" i="34"/>
  <c r="S2101" i="34"/>
  <c r="T2101" i="34"/>
  <c r="V2101" i="34"/>
  <c r="X2101" i="34"/>
  <c r="Y2101" i="34"/>
  <c r="N2102" i="34"/>
  <c r="R2102" i="34"/>
  <c r="S2102" i="34"/>
  <c r="T2102" i="34"/>
  <c r="V2102" i="34"/>
  <c r="X2102" i="34"/>
  <c r="Y2102" i="34"/>
  <c r="N2103" i="34"/>
  <c r="R2103" i="34"/>
  <c r="S2103" i="34"/>
  <c r="T2103" i="34"/>
  <c r="V2103" i="34"/>
  <c r="X2103" i="34"/>
  <c r="Y2103" i="34"/>
  <c r="N2104" i="34"/>
  <c r="R2104" i="34"/>
  <c r="S2104" i="34"/>
  <c r="T2104" i="34"/>
  <c r="V2104" i="34"/>
  <c r="X2104" i="34"/>
  <c r="Y2104" i="34"/>
  <c r="N2105" i="34"/>
  <c r="R2105" i="34"/>
  <c r="S2105" i="34"/>
  <c r="T2105" i="34"/>
  <c r="V2105" i="34"/>
  <c r="X2105" i="34"/>
  <c r="Y2105" i="34"/>
  <c r="N2106" i="34"/>
  <c r="R2106" i="34"/>
  <c r="S2106" i="34"/>
  <c r="T2106" i="34"/>
  <c r="V2106" i="34"/>
  <c r="X2106" i="34"/>
  <c r="Y2106" i="34"/>
  <c r="N2107" i="34"/>
  <c r="R2107" i="34"/>
  <c r="S2107" i="34"/>
  <c r="T2107" i="34"/>
  <c r="V2107" i="34"/>
  <c r="X2107" i="34"/>
  <c r="Y2107" i="34"/>
  <c r="N2108" i="34"/>
  <c r="R2108" i="34"/>
  <c r="S2108" i="34"/>
  <c r="T2108" i="34"/>
  <c r="V2108" i="34"/>
  <c r="X2108" i="34"/>
  <c r="Y2108" i="34"/>
  <c r="N2109" i="34"/>
  <c r="R2109" i="34"/>
  <c r="S2109" i="34"/>
  <c r="T2109" i="34"/>
  <c r="V2109" i="34"/>
  <c r="X2109" i="34"/>
  <c r="Y2109" i="34"/>
  <c r="N2110" i="34"/>
  <c r="R2110" i="34"/>
  <c r="S2110" i="34"/>
  <c r="T2110" i="34"/>
  <c r="V2110" i="34"/>
  <c r="X2110" i="34"/>
  <c r="Y2110" i="34"/>
  <c r="N2111" i="34"/>
  <c r="R2111" i="34"/>
  <c r="S2111" i="34"/>
  <c r="T2111" i="34"/>
  <c r="V2111" i="34"/>
  <c r="X2111" i="34"/>
  <c r="Y2111" i="34"/>
  <c r="N2112" i="34"/>
  <c r="R2112" i="34"/>
  <c r="S2112" i="34"/>
  <c r="T2112" i="34"/>
  <c r="V2112" i="34"/>
  <c r="X2112" i="34"/>
  <c r="Y2112" i="34"/>
  <c r="N2113" i="34"/>
  <c r="R2113" i="34"/>
  <c r="S2113" i="34"/>
  <c r="T2113" i="34"/>
  <c r="V2113" i="34"/>
  <c r="X2113" i="34"/>
  <c r="Y2113" i="34"/>
  <c r="N2114" i="34"/>
  <c r="R2114" i="34"/>
  <c r="S2114" i="34"/>
  <c r="T2114" i="34"/>
  <c r="V2114" i="34"/>
  <c r="X2114" i="34"/>
  <c r="Y2114" i="34"/>
  <c r="N2115" i="34"/>
  <c r="R2115" i="34"/>
  <c r="S2115" i="34"/>
  <c r="T2115" i="34"/>
  <c r="V2115" i="34"/>
  <c r="X2115" i="34"/>
  <c r="Y2115" i="34"/>
  <c r="N2116" i="34"/>
  <c r="R2116" i="34"/>
  <c r="S2116" i="34"/>
  <c r="T2116" i="34"/>
  <c r="V2116" i="34"/>
  <c r="X2116" i="34"/>
  <c r="Y2116" i="34"/>
  <c r="N2117" i="34"/>
  <c r="R2117" i="34"/>
  <c r="S2117" i="34"/>
  <c r="T2117" i="34"/>
  <c r="V2117" i="34"/>
  <c r="X2117" i="34"/>
  <c r="Y2117" i="34"/>
  <c r="N2118" i="34"/>
  <c r="R2118" i="34"/>
  <c r="S2118" i="34"/>
  <c r="T2118" i="34"/>
  <c r="V2118" i="34"/>
  <c r="X2118" i="34"/>
  <c r="Y2118" i="34"/>
  <c r="N2119" i="34"/>
  <c r="R2119" i="34"/>
  <c r="S2119" i="34"/>
  <c r="T2119" i="34"/>
  <c r="V2119" i="34"/>
  <c r="X2119" i="34"/>
  <c r="Y2119" i="34"/>
  <c r="N2120" i="34"/>
  <c r="R2120" i="34"/>
  <c r="S2120" i="34"/>
  <c r="T2120" i="34"/>
  <c r="V2120" i="34"/>
  <c r="X2120" i="34"/>
  <c r="Y2120" i="34"/>
  <c r="N2121" i="34"/>
  <c r="R2121" i="34"/>
  <c r="S2121" i="34"/>
  <c r="T2121" i="34"/>
  <c r="V2121" i="34"/>
  <c r="X2121" i="34"/>
  <c r="Y2121" i="34"/>
  <c r="N2122" i="34"/>
  <c r="R2122" i="34"/>
  <c r="S2122" i="34"/>
  <c r="T2122" i="34"/>
  <c r="V2122" i="34"/>
  <c r="X2122" i="34"/>
  <c r="Y2122" i="34"/>
  <c r="N2123" i="34"/>
  <c r="R2123" i="34"/>
  <c r="S2123" i="34"/>
  <c r="T2123" i="34"/>
  <c r="V2123" i="34"/>
  <c r="X2123" i="34"/>
  <c r="Y2123" i="34"/>
  <c r="N2124" i="34"/>
  <c r="R2124" i="34"/>
  <c r="S2124" i="34"/>
  <c r="T2124" i="34"/>
  <c r="V2124" i="34"/>
  <c r="X2124" i="34"/>
  <c r="Y2124" i="34"/>
  <c r="N2125" i="34"/>
  <c r="R2125" i="34"/>
  <c r="S2125" i="34"/>
  <c r="T2125" i="34"/>
  <c r="V2125" i="34"/>
  <c r="X2125" i="34"/>
  <c r="Y2125" i="34"/>
  <c r="N2126" i="34"/>
  <c r="R2126" i="34"/>
  <c r="S2126" i="34"/>
  <c r="T2126" i="34"/>
  <c r="V2126" i="34"/>
  <c r="X2126" i="34"/>
  <c r="Y2126" i="34"/>
  <c r="N2127" i="34"/>
  <c r="R2127" i="34"/>
  <c r="S2127" i="34"/>
  <c r="T2127" i="34"/>
  <c r="V2127" i="34"/>
  <c r="X2127" i="34"/>
  <c r="Y2127" i="34"/>
  <c r="N2128" i="34"/>
  <c r="R2128" i="34"/>
  <c r="S2128" i="34"/>
  <c r="T2128" i="34"/>
  <c r="V2128" i="34"/>
  <c r="X2128" i="34"/>
  <c r="Y2128" i="34"/>
  <c r="N2129" i="34"/>
  <c r="R2129" i="34"/>
  <c r="S2129" i="34"/>
  <c r="T2129" i="34"/>
  <c r="V2129" i="34"/>
  <c r="X2129" i="34"/>
  <c r="Y2129" i="34"/>
  <c r="N2130" i="34"/>
  <c r="R2130" i="34"/>
  <c r="S2130" i="34"/>
  <c r="T2130" i="34"/>
  <c r="V2130" i="34"/>
  <c r="X2130" i="34"/>
  <c r="Y2130" i="34"/>
  <c r="N2131" i="34"/>
  <c r="R2131" i="34"/>
  <c r="S2131" i="34"/>
  <c r="T2131" i="34"/>
  <c r="V2131" i="34"/>
  <c r="X2131" i="34"/>
  <c r="Y2131" i="34"/>
  <c r="N2132" i="34"/>
  <c r="R2132" i="34"/>
  <c r="S2132" i="34"/>
  <c r="T2132" i="34"/>
  <c r="V2132" i="34"/>
  <c r="X2132" i="34"/>
  <c r="Y2132" i="34"/>
  <c r="N2133" i="34"/>
  <c r="R2133" i="34"/>
  <c r="S2133" i="34"/>
  <c r="T2133" i="34"/>
  <c r="V2133" i="34"/>
  <c r="X2133" i="34"/>
  <c r="Y2133" i="34"/>
  <c r="N2134" i="34"/>
  <c r="R2134" i="34"/>
  <c r="S2134" i="34"/>
  <c r="T2134" i="34"/>
  <c r="V2134" i="34"/>
  <c r="X2134" i="34"/>
  <c r="Y2134" i="34"/>
  <c r="N2135" i="34"/>
  <c r="R2135" i="34"/>
  <c r="S2135" i="34"/>
  <c r="T2135" i="34"/>
  <c r="V2135" i="34"/>
  <c r="X2135" i="34"/>
  <c r="Y2135" i="34"/>
  <c r="N2136" i="34"/>
  <c r="R2136" i="34"/>
  <c r="S2136" i="34"/>
  <c r="T2136" i="34"/>
  <c r="V2136" i="34"/>
  <c r="X2136" i="34"/>
  <c r="Y2136" i="34"/>
  <c r="N2137" i="34"/>
  <c r="R2137" i="34"/>
  <c r="S2137" i="34"/>
  <c r="T2137" i="34"/>
  <c r="V2137" i="34"/>
  <c r="X2137" i="34"/>
  <c r="Y2137" i="34"/>
  <c r="N2138" i="34"/>
  <c r="R2138" i="34"/>
  <c r="S2138" i="34"/>
  <c r="T2138" i="34"/>
  <c r="V2138" i="34"/>
  <c r="X2138" i="34"/>
  <c r="Y2138" i="34"/>
  <c r="N2139" i="34"/>
  <c r="R2139" i="34"/>
  <c r="S2139" i="34"/>
  <c r="T2139" i="34"/>
  <c r="V2139" i="34"/>
  <c r="X2139" i="34"/>
  <c r="Y2139" i="34"/>
  <c r="N2140" i="34"/>
  <c r="R2140" i="34"/>
  <c r="S2140" i="34"/>
  <c r="T2140" i="34"/>
  <c r="V2140" i="34"/>
  <c r="X2140" i="34"/>
  <c r="Y2140" i="34"/>
  <c r="N2141" i="34"/>
  <c r="R2141" i="34"/>
  <c r="S2141" i="34"/>
  <c r="T2141" i="34"/>
  <c r="V2141" i="34"/>
  <c r="X2141" i="34"/>
  <c r="Y2141" i="34"/>
  <c r="N2142" i="34"/>
  <c r="R2142" i="34"/>
  <c r="S2142" i="34"/>
  <c r="T2142" i="34"/>
  <c r="V2142" i="34"/>
  <c r="X2142" i="34"/>
  <c r="Y2142" i="34"/>
  <c r="N2143" i="34"/>
  <c r="R2143" i="34"/>
  <c r="S2143" i="34"/>
  <c r="T2143" i="34"/>
  <c r="V2143" i="34"/>
  <c r="X2143" i="34"/>
  <c r="Y2143" i="34"/>
  <c r="N2144" i="34"/>
  <c r="R2144" i="34"/>
  <c r="S2144" i="34"/>
  <c r="T2144" i="34"/>
  <c r="V2144" i="34"/>
  <c r="X2144" i="34"/>
  <c r="Y2144" i="34"/>
  <c r="N2145" i="34"/>
  <c r="R2145" i="34"/>
  <c r="S2145" i="34"/>
  <c r="T2145" i="34"/>
  <c r="V2145" i="34"/>
  <c r="X2145" i="34"/>
  <c r="Y2145" i="34"/>
  <c r="N2146" i="34"/>
  <c r="R2146" i="34"/>
  <c r="S2146" i="34"/>
  <c r="T2146" i="34"/>
  <c r="V2146" i="34"/>
  <c r="X2146" i="34"/>
  <c r="Y2146" i="34"/>
  <c r="N2147" i="34"/>
  <c r="R2147" i="34"/>
  <c r="S2147" i="34"/>
  <c r="T2147" i="34"/>
  <c r="V2147" i="34"/>
  <c r="X2147" i="34"/>
  <c r="Y2147" i="34"/>
  <c r="N2148" i="34"/>
  <c r="R2148" i="34"/>
  <c r="S2148" i="34"/>
  <c r="T2148" i="34"/>
  <c r="V2148" i="34"/>
  <c r="X2148" i="34"/>
  <c r="Y2148" i="34"/>
  <c r="N2149" i="34"/>
  <c r="R2149" i="34"/>
  <c r="S2149" i="34"/>
  <c r="T2149" i="34"/>
  <c r="V2149" i="34"/>
  <c r="X2149" i="34"/>
  <c r="Y2149" i="34"/>
  <c r="N2150" i="34"/>
  <c r="R2150" i="34"/>
  <c r="S2150" i="34"/>
  <c r="T2150" i="34"/>
  <c r="V2150" i="34"/>
  <c r="X2150" i="34"/>
  <c r="Y2150" i="34"/>
  <c r="N2151" i="34"/>
  <c r="R2151" i="34"/>
  <c r="S2151" i="34"/>
  <c r="T2151" i="34"/>
  <c r="V2151" i="34"/>
  <c r="X2151" i="34"/>
  <c r="Y2151" i="34"/>
  <c r="N2152" i="34"/>
  <c r="R2152" i="34"/>
  <c r="S2152" i="34"/>
  <c r="T2152" i="34"/>
  <c r="V2152" i="34"/>
  <c r="X2152" i="34"/>
  <c r="Y2152" i="34"/>
  <c r="N2153" i="34"/>
  <c r="R2153" i="34"/>
  <c r="S2153" i="34"/>
  <c r="T2153" i="34"/>
  <c r="V2153" i="34"/>
  <c r="X2153" i="34"/>
  <c r="Y2153" i="34"/>
  <c r="N2154" i="34"/>
  <c r="R2154" i="34"/>
  <c r="S2154" i="34"/>
  <c r="T2154" i="34"/>
  <c r="V2154" i="34"/>
  <c r="X2154" i="34"/>
  <c r="Y2154" i="34"/>
  <c r="N2155" i="34"/>
  <c r="R2155" i="34"/>
  <c r="S2155" i="34"/>
  <c r="T2155" i="34"/>
  <c r="V2155" i="34"/>
  <c r="X2155" i="34"/>
  <c r="Y2155" i="34"/>
  <c r="N2156" i="34"/>
  <c r="R2156" i="34"/>
  <c r="S2156" i="34"/>
  <c r="T2156" i="34"/>
  <c r="V2156" i="34"/>
  <c r="X2156" i="34"/>
  <c r="Y2156" i="34"/>
  <c r="N2157" i="34"/>
  <c r="R2157" i="34"/>
  <c r="S2157" i="34"/>
  <c r="T2157" i="34"/>
  <c r="V2157" i="34"/>
  <c r="X2157" i="34"/>
  <c r="Y2157" i="34"/>
  <c r="N2158" i="34"/>
  <c r="R2158" i="34"/>
  <c r="S2158" i="34"/>
  <c r="T2158" i="34"/>
  <c r="V2158" i="34"/>
  <c r="X2158" i="34"/>
  <c r="Y2158" i="34"/>
  <c r="N2159" i="34"/>
  <c r="R2159" i="34"/>
  <c r="S2159" i="34"/>
  <c r="T2159" i="34"/>
  <c r="V2159" i="34"/>
  <c r="X2159" i="34"/>
  <c r="Y2159" i="34"/>
  <c r="N2160" i="34"/>
  <c r="R2160" i="34"/>
  <c r="S2160" i="34"/>
  <c r="T2160" i="34"/>
  <c r="V2160" i="34"/>
  <c r="X2160" i="34"/>
  <c r="Y2160" i="34"/>
  <c r="N2161" i="34"/>
  <c r="R2161" i="34"/>
  <c r="S2161" i="34"/>
  <c r="T2161" i="34"/>
  <c r="V2161" i="34"/>
  <c r="X2161" i="34"/>
  <c r="Y2161" i="34"/>
  <c r="N2162" i="34"/>
  <c r="R2162" i="34"/>
  <c r="S2162" i="34"/>
  <c r="T2162" i="34"/>
  <c r="V2162" i="34"/>
  <c r="X2162" i="34"/>
  <c r="Y2162" i="34"/>
  <c r="N2163" i="34"/>
  <c r="R2163" i="34"/>
  <c r="S2163" i="34"/>
  <c r="T2163" i="34"/>
  <c r="V2163" i="34"/>
  <c r="X2163" i="34"/>
  <c r="Y2163" i="34"/>
  <c r="N2164" i="34"/>
  <c r="R2164" i="34"/>
  <c r="S2164" i="34"/>
  <c r="T2164" i="34"/>
  <c r="V2164" i="34"/>
  <c r="X2164" i="34"/>
  <c r="Y2164" i="34"/>
  <c r="N2165" i="34"/>
  <c r="R2165" i="34"/>
  <c r="S2165" i="34"/>
  <c r="T2165" i="34"/>
  <c r="V2165" i="34"/>
  <c r="X2165" i="34"/>
  <c r="Y2165" i="34"/>
  <c r="N2166" i="34"/>
  <c r="R2166" i="34"/>
  <c r="S2166" i="34"/>
  <c r="T2166" i="34"/>
  <c r="V2166" i="34"/>
  <c r="X2166" i="34"/>
  <c r="Y2166" i="34"/>
  <c r="N2167" i="34"/>
  <c r="R2167" i="34"/>
  <c r="S2167" i="34"/>
  <c r="T2167" i="34"/>
  <c r="V2167" i="34"/>
  <c r="X2167" i="34"/>
  <c r="Y2167" i="34"/>
  <c r="N2168" i="34"/>
  <c r="R2168" i="34"/>
  <c r="S2168" i="34"/>
  <c r="T2168" i="34"/>
  <c r="V2168" i="34"/>
  <c r="X2168" i="34"/>
  <c r="Y2168" i="34"/>
  <c r="N2169" i="34"/>
  <c r="R2169" i="34"/>
  <c r="S2169" i="34"/>
  <c r="T2169" i="34"/>
  <c r="V2169" i="34"/>
  <c r="X2169" i="34"/>
  <c r="Y2169" i="34"/>
  <c r="N2170" i="34"/>
  <c r="R2170" i="34"/>
  <c r="S2170" i="34"/>
  <c r="T2170" i="34"/>
  <c r="V2170" i="34"/>
  <c r="X2170" i="34"/>
  <c r="Y2170" i="34"/>
  <c r="N2171" i="34"/>
  <c r="R2171" i="34"/>
  <c r="S2171" i="34"/>
  <c r="T2171" i="34"/>
  <c r="V2171" i="34"/>
  <c r="X2171" i="34"/>
  <c r="Y2171" i="34"/>
  <c r="N2172" i="34"/>
  <c r="R2172" i="34"/>
  <c r="S2172" i="34"/>
  <c r="T2172" i="34"/>
  <c r="V2172" i="34"/>
  <c r="X2172" i="34"/>
  <c r="Y2172" i="34"/>
  <c r="N2173" i="34"/>
  <c r="R2173" i="34"/>
  <c r="S2173" i="34"/>
  <c r="T2173" i="34"/>
  <c r="V2173" i="34"/>
  <c r="X2173" i="34"/>
  <c r="Y2173" i="34"/>
  <c r="N2174" i="34"/>
  <c r="R2174" i="34"/>
  <c r="S2174" i="34"/>
  <c r="T2174" i="34"/>
  <c r="V2174" i="34"/>
  <c r="X2174" i="34"/>
  <c r="Y2174" i="34"/>
  <c r="N2175" i="34"/>
  <c r="R2175" i="34"/>
  <c r="S2175" i="34"/>
  <c r="T2175" i="34"/>
  <c r="V2175" i="34"/>
  <c r="X2175" i="34"/>
  <c r="Y2175" i="34"/>
  <c r="N2176" i="34"/>
  <c r="R2176" i="34"/>
  <c r="S2176" i="34"/>
  <c r="T2176" i="34"/>
  <c r="V2176" i="34"/>
  <c r="X2176" i="34"/>
  <c r="Y2176" i="34"/>
  <c r="N2177" i="34"/>
  <c r="R2177" i="34"/>
  <c r="S2177" i="34"/>
  <c r="T2177" i="34"/>
  <c r="V2177" i="34"/>
  <c r="X2177" i="34"/>
  <c r="Y2177" i="34"/>
  <c r="N2178" i="34"/>
  <c r="R2178" i="34"/>
  <c r="S2178" i="34"/>
  <c r="T2178" i="34"/>
  <c r="V2178" i="34"/>
  <c r="X2178" i="34"/>
  <c r="Y2178" i="34"/>
  <c r="N2179" i="34"/>
  <c r="R2179" i="34"/>
  <c r="S2179" i="34"/>
  <c r="T2179" i="34"/>
  <c r="V2179" i="34"/>
  <c r="X2179" i="34"/>
  <c r="Y2179" i="34"/>
  <c r="N2180" i="34"/>
  <c r="R2180" i="34"/>
  <c r="S2180" i="34"/>
  <c r="T2180" i="34"/>
  <c r="V2180" i="34"/>
  <c r="X2180" i="34"/>
  <c r="Y2180" i="34"/>
  <c r="N2181" i="34"/>
  <c r="R2181" i="34"/>
  <c r="S2181" i="34"/>
  <c r="T2181" i="34"/>
  <c r="V2181" i="34"/>
  <c r="X2181" i="34"/>
  <c r="Y2181" i="34"/>
  <c r="N2182" i="34"/>
  <c r="R2182" i="34"/>
  <c r="S2182" i="34"/>
  <c r="T2182" i="34"/>
  <c r="V2182" i="34"/>
  <c r="X2182" i="34"/>
  <c r="Y2182" i="34"/>
  <c r="N2183" i="34"/>
  <c r="R2183" i="34"/>
  <c r="S2183" i="34"/>
  <c r="T2183" i="34"/>
  <c r="V2183" i="34"/>
  <c r="X2183" i="34"/>
  <c r="Y2183" i="34"/>
  <c r="N2184" i="34"/>
  <c r="R2184" i="34"/>
  <c r="S2184" i="34"/>
  <c r="T2184" i="34"/>
  <c r="V2184" i="34"/>
  <c r="X2184" i="34"/>
  <c r="Y2184" i="34"/>
  <c r="N2185" i="34"/>
  <c r="R2185" i="34"/>
  <c r="S2185" i="34"/>
  <c r="T2185" i="34"/>
  <c r="V2185" i="34"/>
  <c r="X2185" i="34"/>
  <c r="Y2185" i="34"/>
  <c r="N2186" i="34"/>
  <c r="R2186" i="34"/>
  <c r="S2186" i="34"/>
  <c r="T2186" i="34"/>
  <c r="V2186" i="34"/>
  <c r="X2186" i="34"/>
  <c r="Y2186" i="34"/>
  <c r="N2187" i="34"/>
  <c r="R2187" i="34"/>
  <c r="S2187" i="34"/>
  <c r="T2187" i="34"/>
  <c r="V2187" i="34"/>
  <c r="X2187" i="34"/>
  <c r="Y2187" i="34"/>
  <c r="N2188" i="34"/>
  <c r="R2188" i="34"/>
  <c r="S2188" i="34"/>
  <c r="T2188" i="34"/>
  <c r="V2188" i="34"/>
  <c r="X2188" i="34"/>
  <c r="Y2188" i="34"/>
  <c r="N2189" i="34"/>
  <c r="R2189" i="34"/>
  <c r="S2189" i="34"/>
  <c r="T2189" i="34"/>
  <c r="V2189" i="34"/>
  <c r="X2189" i="34"/>
  <c r="Y2189" i="34"/>
  <c r="N2190" i="34"/>
  <c r="R2190" i="34"/>
  <c r="S2190" i="34"/>
  <c r="T2190" i="34"/>
  <c r="V2190" i="34"/>
  <c r="X2190" i="34"/>
  <c r="Y2190" i="34"/>
  <c r="N2191" i="34"/>
  <c r="R2191" i="34"/>
  <c r="S2191" i="34"/>
  <c r="T2191" i="34"/>
  <c r="V2191" i="34"/>
  <c r="X2191" i="34"/>
  <c r="Y2191" i="34"/>
  <c r="N2192" i="34"/>
  <c r="R2192" i="34"/>
  <c r="S2192" i="34"/>
  <c r="T2192" i="34"/>
  <c r="V2192" i="34"/>
  <c r="X2192" i="34"/>
  <c r="Y2192" i="34"/>
  <c r="N2193" i="34"/>
  <c r="R2193" i="34"/>
  <c r="S2193" i="34"/>
  <c r="T2193" i="34"/>
  <c r="V2193" i="34"/>
  <c r="X2193" i="34"/>
  <c r="Y2193" i="34"/>
  <c r="N2194" i="34"/>
  <c r="R2194" i="34"/>
  <c r="S2194" i="34"/>
  <c r="T2194" i="34"/>
  <c r="V2194" i="34"/>
  <c r="X2194" i="34"/>
  <c r="Y2194" i="34"/>
  <c r="N2195" i="34"/>
  <c r="R2195" i="34"/>
  <c r="S2195" i="34"/>
  <c r="T2195" i="34"/>
  <c r="V2195" i="34"/>
  <c r="X2195" i="34"/>
  <c r="Y2195" i="34"/>
  <c r="N2196" i="34"/>
  <c r="R2196" i="34"/>
  <c r="S2196" i="34"/>
  <c r="T2196" i="34"/>
  <c r="V2196" i="34"/>
  <c r="X2196" i="34"/>
  <c r="Y2196" i="34"/>
  <c r="N2197" i="34"/>
  <c r="R2197" i="34"/>
  <c r="S2197" i="34"/>
  <c r="T2197" i="34"/>
  <c r="V2197" i="34"/>
  <c r="X2197" i="34"/>
  <c r="Y2197" i="34"/>
  <c r="N2198" i="34"/>
  <c r="R2198" i="34"/>
  <c r="S2198" i="34"/>
  <c r="T2198" i="34"/>
  <c r="V2198" i="34"/>
  <c r="X2198" i="34"/>
  <c r="Y2198" i="34"/>
  <c r="N2199" i="34"/>
  <c r="R2199" i="34"/>
  <c r="S2199" i="34"/>
  <c r="T2199" i="34"/>
  <c r="V2199" i="34"/>
  <c r="X2199" i="34"/>
  <c r="Y2199" i="34"/>
  <c r="N2200" i="34"/>
  <c r="R2200" i="34"/>
  <c r="S2200" i="34"/>
  <c r="T2200" i="34"/>
  <c r="V2200" i="34"/>
  <c r="X2200" i="34"/>
  <c r="Y2200" i="34"/>
  <c r="N2201" i="34"/>
  <c r="R2201" i="34"/>
  <c r="S2201" i="34"/>
  <c r="T2201" i="34"/>
  <c r="V2201" i="34"/>
  <c r="X2201" i="34"/>
  <c r="Y2201" i="34"/>
  <c r="N2202" i="34"/>
  <c r="R2202" i="34"/>
  <c r="S2202" i="34"/>
  <c r="T2202" i="34"/>
  <c r="V2202" i="34"/>
  <c r="X2202" i="34"/>
  <c r="Y2202" i="34"/>
  <c r="N2203" i="34"/>
  <c r="R2203" i="34"/>
  <c r="S2203" i="34"/>
  <c r="T2203" i="34"/>
  <c r="V2203" i="34"/>
  <c r="X2203" i="34"/>
  <c r="Y2203" i="34"/>
  <c r="N2204" i="34"/>
  <c r="R2204" i="34"/>
  <c r="S2204" i="34"/>
  <c r="T2204" i="34"/>
  <c r="V2204" i="34"/>
  <c r="X2204" i="34"/>
  <c r="Y2204" i="34"/>
  <c r="N2205" i="34"/>
  <c r="R2205" i="34"/>
  <c r="S2205" i="34"/>
  <c r="T2205" i="34"/>
  <c r="V2205" i="34"/>
  <c r="X2205" i="34"/>
  <c r="Y2205" i="34"/>
  <c r="N2206" i="34"/>
  <c r="R2206" i="34"/>
  <c r="S2206" i="34"/>
  <c r="T2206" i="34"/>
  <c r="V2206" i="34"/>
  <c r="X2206" i="34"/>
  <c r="Y2206" i="34"/>
  <c r="N2207" i="34"/>
  <c r="R2207" i="34"/>
  <c r="S2207" i="34"/>
  <c r="T2207" i="34"/>
  <c r="V2207" i="34"/>
  <c r="X2207" i="34"/>
  <c r="Y2207" i="34"/>
  <c r="N2208" i="34"/>
  <c r="R2208" i="34"/>
  <c r="S2208" i="34"/>
  <c r="T2208" i="34"/>
  <c r="V2208" i="34"/>
  <c r="X2208" i="34"/>
  <c r="Y2208" i="34"/>
  <c r="N2209" i="34"/>
  <c r="R2209" i="34"/>
  <c r="S2209" i="34"/>
  <c r="T2209" i="34"/>
  <c r="V2209" i="34"/>
  <c r="X2209" i="34"/>
  <c r="Y2209" i="34"/>
  <c r="N2210" i="34"/>
  <c r="R2210" i="34"/>
  <c r="S2210" i="34"/>
  <c r="T2210" i="34"/>
  <c r="V2210" i="34"/>
  <c r="X2210" i="34"/>
  <c r="Y2210" i="34"/>
  <c r="N2211" i="34"/>
  <c r="R2211" i="34"/>
  <c r="S2211" i="34"/>
  <c r="T2211" i="34"/>
  <c r="V2211" i="34"/>
  <c r="X2211" i="34"/>
  <c r="Y2211" i="34"/>
  <c r="N2212" i="34"/>
  <c r="R2212" i="34"/>
  <c r="S2212" i="34"/>
  <c r="T2212" i="34"/>
  <c r="V2212" i="34"/>
  <c r="X2212" i="34"/>
  <c r="Y2212" i="34"/>
  <c r="N2213" i="34"/>
  <c r="R2213" i="34"/>
  <c r="S2213" i="34"/>
  <c r="T2213" i="34"/>
  <c r="V2213" i="34"/>
  <c r="X2213" i="34"/>
  <c r="Y2213" i="34"/>
  <c r="N2214" i="34"/>
  <c r="R2214" i="34"/>
  <c r="S2214" i="34"/>
  <c r="T2214" i="34"/>
  <c r="V2214" i="34"/>
  <c r="X2214" i="34"/>
  <c r="Y2214" i="34"/>
  <c r="N2215" i="34"/>
  <c r="R2215" i="34"/>
  <c r="S2215" i="34"/>
  <c r="T2215" i="34"/>
  <c r="V2215" i="34"/>
  <c r="X2215" i="34"/>
  <c r="Y2215" i="34"/>
  <c r="N2216" i="34"/>
  <c r="R2216" i="34"/>
  <c r="S2216" i="34"/>
  <c r="T2216" i="34"/>
  <c r="V2216" i="34"/>
  <c r="X2216" i="34"/>
  <c r="Y2216" i="34"/>
  <c r="N2217" i="34"/>
  <c r="R2217" i="34"/>
  <c r="S2217" i="34"/>
  <c r="T2217" i="34"/>
  <c r="V2217" i="34"/>
  <c r="X2217" i="34"/>
  <c r="Y2217" i="34"/>
  <c r="N2218" i="34"/>
  <c r="R2218" i="34"/>
  <c r="S2218" i="34"/>
  <c r="T2218" i="34"/>
  <c r="V2218" i="34"/>
  <c r="X2218" i="34"/>
  <c r="Y2218" i="34"/>
  <c r="N2219" i="34"/>
  <c r="R2219" i="34"/>
  <c r="S2219" i="34"/>
  <c r="T2219" i="34"/>
  <c r="V2219" i="34"/>
  <c r="X2219" i="34"/>
  <c r="Y2219" i="34"/>
  <c r="N2220" i="34"/>
  <c r="R2220" i="34"/>
  <c r="S2220" i="34"/>
  <c r="T2220" i="34"/>
  <c r="V2220" i="34"/>
  <c r="X2220" i="34"/>
  <c r="Y2220" i="34"/>
  <c r="N2221" i="34"/>
  <c r="R2221" i="34"/>
  <c r="S2221" i="34"/>
  <c r="T2221" i="34"/>
  <c r="V2221" i="34"/>
  <c r="X2221" i="34"/>
  <c r="Y2221" i="34"/>
  <c r="N2222" i="34"/>
  <c r="R2222" i="34"/>
  <c r="S2222" i="34"/>
  <c r="T2222" i="34"/>
  <c r="V2222" i="34"/>
  <c r="X2222" i="34"/>
  <c r="Y2222" i="34"/>
  <c r="N2223" i="34"/>
  <c r="R2223" i="34"/>
  <c r="S2223" i="34"/>
  <c r="T2223" i="34"/>
  <c r="V2223" i="34"/>
  <c r="X2223" i="34"/>
  <c r="Y2223" i="34"/>
  <c r="N2224" i="34"/>
  <c r="R2224" i="34"/>
  <c r="S2224" i="34"/>
  <c r="T2224" i="34"/>
  <c r="V2224" i="34"/>
  <c r="X2224" i="34"/>
  <c r="Y2224" i="34"/>
  <c r="N2225" i="34"/>
  <c r="R2225" i="34"/>
  <c r="S2225" i="34"/>
  <c r="T2225" i="34"/>
  <c r="V2225" i="34"/>
  <c r="X2225" i="34"/>
  <c r="Y2225" i="34"/>
  <c r="N2226" i="34"/>
  <c r="R2226" i="34"/>
  <c r="S2226" i="34"/>
  <c r="T2226" i="34"/>
  <c r="V2226" i="34"/>
  <c r="X2226" i="34"/>
  <c r="Y2226" i="34"/>
  <c r="N2227" i="34"/>
  <c r="R2227" i="34"/>
  <c r="S2227" i="34"/>
  <c r="T2227" i="34"/>
  <c r="V2227" i="34"/>
  <c r="X2227" i="34"/>
  <c r="Y2227" i="34"/>
  <c r="N2228" i="34"/>
  <c r="R2228" i="34"/>
  <c r="S2228" i="34"/>
  <c r="T2228" i="34"/>
  <c r="V2228" i="34"/>
  <c r="X2228" i="34"/>
  <c r="Y2228" i="34"/>
  <c r="N2229" i="34"/>
  <c r="R2229" i="34"/>
  <c r="S2229" i="34"/>
  <c r="T2229" i="34"/>
  <c r="V2229" i="34"/>
  <c r="X2229" i="34"/>
  <c r="Y2229" i="34"/>
  <c r="N2230" i="34"/>
  <c r="R2230" i="34"/>
  <c r="S2230" i="34"/>
  <c r="T2230" i="34"/>
  <c r="V2230" i="34"/>
  <c r="X2230" i="34"/>
  <c r="Y2230" i="34"/>
  <c r="N2231" i="34"/>
  <c r="R2231" i="34"/>
  <c r="S2231" i="34"/>
  <c r="T2231" i="34"/>
  <c r="V2231" i="34"/>
  <c r="X2231" i="34"/>
  <c r="Y2231" i="34"/>
  <c r="N2232" i="34"/>
  <c r="R2232" i="34"/>
  <c r="S2232" i="34"/>
  <c r="T2232" i="34"/>
  <c r="V2232" i="34"/>
  <c r="X2232" i="34"/>
  <c r="Y2232" i="34"/>
  <c r="N2233" i="34"/>
  <c r="R2233" i="34"/>
  <c r="S2233" i="34"/>
  <c r="T2233" i="34"/>
  <c r="V2233" i="34"/>
  <c r="X2233" i="34"/>
  <c r="Y2233" i="34"/>
  <c r="N2234" i="34"/>
  <c r="R2234" i="34"/>
  <c r="S2234" i="34"/>
  <c r="T2234" i="34"/>
  <c r="V2234" i="34"/>
  <c r="X2234" i="34"/>
  <c r="Y2234" i="34"/>
  <c r="N2235" i="34"/>
  <c r="R2235" i="34"/>
  <c r="S2235" i="34"/>
  <c r="T2235" i="34"/>
  <c r="V2235" i="34"/>
  <c r="X2235" i="34"/>
  <c r="Y2235" i="34"/>
  <c r="N2236" i="34"/>
  <c r="R2236" i="34"/>
  <c r="S2236" i="34"/>
  <c r="T2236" i="34"/>
  <c r="V2236" i="34"/>
  <c r="X2236" i="34"/>
  <c r="Y2236" i="34"/>
  <c r="N2237" i="34"/>
  <c r="R2237" i="34"/>
  <c r="S2237" i="34"/>
  <c r="T2237" i="34"/>
  <c r="V2237" i="34"/>
  <c r="X2237" i="34"/>
  <c r="Y2237" i="34"/>
  <c r="N2238" i="34"/>
  <c r="R2238" i="34"/>
  <c r="S2238" i="34"/>
  <c r="T2238" i="34"/>
  <c r="V2238" i="34"/>
  <c r="X2238" i="34"/>
  <c r="Y2238" i="34"/>
  <c r="N2239" i="34"/>
  <c r="R2239" i="34"/>
  <c r="S2239" i="34"/>
  <c r="T2239" i="34"/>
  <c r="V2239" i="34"/>
  <c r="X2239" i="34"/>
  <c r="Y2239" i="34"/>
  <c r="N2240" i="34"/>
  <c r="R2240" i="34"/>
  <c r="S2240" i="34"/>
  <c r="T2240" i="34"/>
  <c r="V2240" i="34"/>
  <c r="X2240" i="34"/>
  <c r="Y2240" i="34"/>
  <c r="N2241" i="34"/>
  <c r="R2241" i="34"/>
  <c r="S2241" i="34"/>
  <c r="T2241" i="34"/>
  <c r="V2241" i="34"/>
  <c r="X2241" i="34"/>
  <c r="Y2241" i="34"/>
  <c r="N2242" i="34"/>
  <c r="R2242" i="34"/>
  <c r="S2242" i="34"/>
  <c r="T2242" i="34"/>
  <c r="V2242" i="34"/>
  <c r="X2242" i="34"/>
  <c r="Y2242" i="34"/>
  <c r="N2243" i="34"/>
  <c r="R2243" i="34"/>
  <c r="S2243" i="34"/>
  <c r="T2243" i="34"/>
  <c r="V2243" i="34"/>
  <c r="X2243" i="34"/>
  <c r="Y2243" i="34"/>
  <c r="N2244" i="34"/>
  <c r="R2244" i="34"/>
  <c r="S2244" i="34"/>
  <c r="T2244" i="34"/>
  <c r="V2244" i="34"/>
  <c r="X2244" i="34"/>
  <c r="Y2244" i="34"/>
  <c r="N2245" i="34"/>
  <c r="R2245" i="34"/>
  <c r="S2245" i="34"/>
  <c r="T2245" i="34"/>
  <c r="V2245" i="34"/>
  <c r="X2245" i="34"/>
  <c r="Y2245" i="34"/>
  <c r="N2246" i="34"/>
  <c r="R2246" i="34"/>
  <c r="S2246" i="34"/>
  <c r="T2246" i="34"/>
  <c r="V2246" i="34"/>
  <c r="X2246" i="34"/>
  <c r="Y2246" i="34"/>
  <c r="N2247" i="34"/>
  <c r="R2247" i="34"/>
  <c r="S2247" i="34"/>
  <c r="T2247" i="34"/>
  <c r="V2247" i="34"/>
  <c r="X2247" i="34"/>
  <c r="Y2247" i="34"/>
  <c r="N2248" i="34"/>
  <c r="R2248" i="34"/>
  <c r="S2248" i="34"/>
  <c r="T2248" i="34"/>
  <c r="V2248" i="34"/>
  <c r="X2248" i="34"/>
  <c r="Y2248" i="34"/>
  <c r="N2249" i="34"/>
  <c r="R2249" i="34"/>
  <c r="S2249" i="34"/>
  <c r="T2249" i="34"/>
  <c r="V2249" i="34"/>
  <c r="X2249" i="34"/>
  <c r="Y2249" i="34"/>
  <c r="N2250" i="34"/>
  <c r="R2250" i="34"/>
  <c r="S2250" i="34"/>
  <c r="T2250" i="34"/>
  <c r="V2250" i="34"/>
  <c r="X2250" i="34"/>
  <c r="Y2250" i="34"/>
  <c r="N2251" i="34"/>
  <c r="R2251" i="34"/>
  <c r="S2251" i="34"/>
  <c r="T2251" i="34"/>
  <c r="V2251" i="34"/>
  <c r="X2251" i="34"/>
  <c r="Y2251" i="34"/>
  <c r="N2252" i="34"/>
  <c r="R2252" i="34"/>
  <c r="S2252" i="34"/>
  <c r="T2252" i="34"/>
  <c r="V2252" i="34"/>
  <c r="X2252" i="34"/>
  <c r="Y2252" i="34"/>
  <c r="N2253" i="34"/>
  <c r="R2253" i="34"/>
  <c r="S2253" i="34"/>
  <c r="T2253" i="34"/>
  <c r="V2253" i="34"/>
  <c r="X2253" i="34"/>
  <c r="Y2253" i="34"/>
  <c r="N2254" i="34"/>
  <c r="R2254" i="34"/>
  <c r="S2254" i="34"/>
  <c r="T2254" i="34"/>
  <c r="V2254" i="34"/>
  <c r="X2254" i="34"/>
  <c r="Y2254" i="34"/>
  <c r="N2255" i="34"/>
  <c r="R2255" i="34"/>
  <c r="S2255" i="34"/>
  <c r="T2255" i="34"/>
  <c r="V2255" i="34"/>
  <c r="X2255" i="34"/>
  <c r="Y2255" i="34"/>
  <c r="N2256" i="34"/>
  <c r="R2256" i="34"/>
  <c r="S2256" i="34"/>
  <c r="T2256" i="34"/>
  <c r="V2256" i="34"/>
  <c r="X2256" i="34"/>
  <c r="Y2256" i="34"/>
  <c r="N2257" i="34"/>
  <c r="R2257" i="34"/>
  <c r="S2257" i="34"/>
  <c r="T2257" i="34"/>
  <c r="V2257" i="34"/>
  <c r="X2257" i="34"/>
  <c r="Y2257" i="34"/>
  <c r="N2258" i="34"/>
  <c r="R2258" i="34"/>
  <c r="S2258" i="34"/>
  <c r="T2258" i="34"/>
  <c r="V2258" i="34"/>
  <c r="X2258" i="34"/>
  <c r="Y2258" i="34"/>
  <c r="N2259" i="34"/>
  <c r="R2259" i="34"/>
  <c r="S2259" i="34"/>
  <c r="T2259" i="34"/>
  <c r="V2259" i="34"/>
  <c r="X2259" i="34"/>
  <c r="Y2259" i="34"/>
  <c r="N2260" i="34"/>
  <c r="R2260" i="34"/>
  <c r="S2260" i="34"/>
  <c r="T2260" i="34"/>
  <c r="V2260" i="34"/>
  <c r="X2260" i="34"/>
  <c r="Y2260" i="34"/>
  <c r="N2261" i="34"/>
  <c r="R2261" i="34"/>
  <c r="S2261" i="34"/>
  <c r="T2261" i="34"/>
  <c r="V2261" i="34"/>
  <c r="X2261" i="34"/>
  <c r="Y2261" i="34"/>
  <c r="N2262" i="34"/>
  <c r="R2262" i="34"/>
  <c r="S2262" i="34"/>
  <c r="T2262" i="34"/>
  <c r="V2262" i="34"/>
  <c r="X2262" i="34"/>
  <c r="Y2262" i="34"/>
  <c r="N2263" i="34"/>
  <c r="R2263" i="34"/>
  <c r="S2263" i="34"/>
  <c r="T2263" i="34"/>
  <c r="V2263" i="34"/>
  <c r="X2263" i="34"/>
  <c r="Y2263" i="34"/>
  <c r="N2264" i="34"/>
  <c r="R2264" i="34"/>
  <c r="S2264" i="34"/>
  <c r="T2264" i="34"/>
  <c r="V2264" i="34"/>
  <c r="X2264" i="34"/>
  <c r="Y2264" i="34"/>
  <c r="N2265" i="34"/>
  <c r="R2265" i="34"/>
  <c r="S2265" i="34"/>
  <c r="T2265" i="34"/>
  <c r="V2265" i="34"/>
  <c r="X2265" i="34"/>
  <c r="Y2265" i="34"/>
  <c r="N2266" i="34"/>
  <c r="R2266" i="34"/>
  <c r="S2266" i="34"/>
  <c r="T2266" i="34"/>
  <c r="V2266" i="34"/>
  <c r="X2266" i="34"/>
  <c r="Y2266" i="34"/>
  <c r="N2267" i="34"/>
  <c r="R2267" i="34"/>
  <c r="S2267" i="34"/>
  <c r="T2267" i="34"/>
  <c r="V2267" i="34"/>
  <c r="X2267" i="34"/>
  <c r="Y2267" i="34"/>
  <c r="N2268" i="34"/>
  <c r="R2268" i="34"/>
  <c r="S2268" i="34"/>
  <c r="T2268" i="34"/>
  <c r="V2268" i="34"/>
  <c r="X2268" i="34"/>
  <c r="Y2268" i="34"/>
  <c r="N2269" i="34"/>
  <c r="R2269" i="34"/>
  <c r="S2269" i="34"/>
  <c r="T2269" i="34"/>
  <c r="V2269" i="34"/>
  <c r="X2269" i="34"/>
  <c r="Y2269" i="34"/>
  <c r="N2270" i="34"/>
  <c r="R2270" i="34"/>
  <c r="S2270" i="34"/>
  <c r="T2270" i="34"/>
  <c r="V2270" i="34"/>
  <c r="X2270" i="34"/>
  <c r="Y2270" i="34"/>
  <c r="N2271" i="34"/>
  <c r="R2271" i="34"/>
  <c r="S2271" i="34"/>
  <c r="T2271" i="34"/>
  <c r="V2271" i="34"/>
  <c r="X2271" i="34"/>
  <c r="Y2271" i="34"/>
  <c r="N2272" i="34"/>
  <c r="R2272" i="34"/>
  <c r="S2272" i="34"/>
  <c r="T2272" i="34"/>
  <c r="V2272" i="34"/>
  <c r="X2272" i="34"/>
  <c r="Y2272" i="34"/>
  <c r="N2273" i="34"/>
  <c r="R2273" i="34"/>
  <c r="S2273" i="34"/>
  <c r="T2273" i="34"/>
  <c r="V2273" i="34"/>
  <c r="X2273" i="34"/>
  <c r="Y2273" i="34"/>
  <c r="N2274" i="34"/>
  <c r="R2274" i="34"/>
  <c r="S2274" i="34"/>
  <c r="T2274" i="34"/>
  <c r="V2274" i="34"/>
  <c r="X2274" i="34"/>
  <c r="Y2274" i="34"/>
  <c r="N2275" i="34"/>
  <c r="R2275" i="34"/>
  <c r="S2275" i="34"/>
  <c r="T2275" i="34"/>
  <c r="V2275" i="34"/>
  <c r="X2275" i="34"/>
  <c r="Y2275" i="34"/>
  <c r="N2276" i="34"/>
  <c r="R2276" i="34"/>
  <c r="S2276" i="34"/>
  <c r="T2276" i="34"/>
  <c r="V2276" i="34"/>
  <c r="X2276" i="34"/>
  <c r="Y2276" i="34"/>
  <c r="N2277" i="34"/>
  <c r="R2277" i="34"/>
  <c r="S2277" i="34"/>
  <c r="T2277" i="34"/>
  <c r="V2277" i="34"/>
  <c r="X2277" i="34"/>
  <c r="Y2277" i="34"/>
  <c r="N2278" i="34"/>
  <c r="R2278" i="34"/>
  <c r="S2278" i="34"/>
  <c r="T2278" i="34"/>
  <c r="V2278" i="34"/>
  <c r="X2278" i="34"/>
  <c r="Y2278" i="34"/>
  <c r="N2279" i="34"/>
  <c r="R2279" i="34"/>
  <c r="S2279" i="34"/>
  <c r="T2279" i="34"/>
  <c r="V2279" i="34"/>
  <c r="X2279" i="34"/>
  <c r="Y2279" i="34"/>
  <c r="N2280" i="34"/>
  <c r="R2280" i="34"/>
  <c r="S2280" i="34"/>
  <c r="T2280" i="34"/>
  <c r="V2280" i="34"/>
  <c r="X2280" i="34"/>
  <c r="Y2280" i="34"/>
  <c r="N2281" i="34"/>
  <c r="R2281" i="34"/>
  <c r="S2281" i="34"/>
  <c r="T2281" i="34"/>
  <c r="V2281" i="34"/>
  <c r="X2281" i="34"/>
  <c r="Y2281" i="34"/>
  <c r="N2282" i="34"/>
  <c r="R2282" i="34"/>
  <c r="S2282" i="34"/>
  <c r="T2282" i="34"/>
  <c r="V2282" i="34"/>
  <c r="X2282" i="34"/>
  <c r="Y2282" i="34"/>
  <c r="N2283" i="34"/>
  <c r="R2283" i="34"/>
  <c r="S2283" i="34"/>
  <c r="T2283" i="34"/>
  <c r="V2283" i="34"/>
  <c r="X2283" i="34"/>
  <c r="Y2283" i="34"/>
  <c r="N2284" i="34"/>
  <c r="R2284" i="34"/>
  <c r="S2284" i="34"/>
  <c r="T2284" i="34"/>
  <c r="V2284" i="34"/>
  <c r="X2284" i="34"/>
  <c r="Y2284" i="34"/>
  <c r="N2285" i="34"/>
  <c r="R2285" i="34"/>
  <c r="S2285" i="34"/>
  <c r="T2285" i="34"/>
  <c r="V2285" i="34"/>
  <c r="X2285" i="34"/>
  <c r="Y2285" i="34"/>
  <c r="N2286" i="34"/>
  <c r="R2286" i="34"/>
  <c r="S2286" i="34"/>
  <c r="T2286" i="34"/>
  <c r="V2286" i="34"/>
  <c r="X2286" i="34"/>
  <c r="Y2286" i="34"/>
  <c r="N2287" i="34"/>
  <c r="R2287" i="34"/>
  <c r="S2287" i="34"/>
  <c r="T2287" i="34"/>
  <c r="V2287" i="34"/>
  <c r="X2287" i="34"/>
  <c r="Y2287" i="34"/>
  <c r="N2288" i="34"/>
  <c r="R2288" i="34"/>
  <c r="S2288" i="34"/>
  <c r="T2288" i="34"/>
  <c r="V2288" i="34"/>
  <c r="X2288" i="34"/>
  <c r="Y2288" i="34"/>
  <c r="N2289" i="34"/>
  <c r="R2289" i="34"/>
  <c r="S2289" i="34"/>
  <c r="T2289" i="34"/>
  <c r="V2289" i="34"/>
  <c r="X2289" i="34"/>
  <c r="Y2289" i="34"/>
  <c r="N2290" i="34"/>
  <c r="R2290" i="34"/>
  <c r="S2290" i="34"/>
  <c r="T2290" i="34"/>
  <c r="V2290" i="34"/>
  <c r="X2290" i="34"/>
  <c r="Y2290" i="34"/>
  <c r="N2291" i="34"/>
  <c r="R2291" i="34"/>
  <c r="S2291" i="34"/>
  <c r="T2291" i="34"/>
  <c r="V2291" i="34"/>
  <c r="X2291" i="34"/>
  <c r="Y2291" i="34"/>
  <c r="N2292" i="34"/>
  <c r="R2292" i="34"/>
  <c r="S2292" i="34"/>
  <c r="T2292" i="34"/>
  <c r="V2292" i="34"/>
  <c r="X2292" i="34"/>
  <c r="Y2292" i="34"/>
  <c r="N2293" i="34"/>
  <c r="R2293" i="34"/>
  <c r="S2293" i="34"/>
  <c r="T2293" i="34"/>
  <c r="V2293" i="34"/>
  <c r="X2293" i="34"/>
  <c r="Y2293" i="34"/>
  <c r="N2294" i="34"/>
  <c r="R2294" i="34"/>
  <c r="S2294" i="34"/>
  <c r="T2294" i="34"/>
  <c r="V2294" i="34"/>
  <c r="X2294" i="34"/>
  <c r="Y2294" i="34"/>
  <c r="N2295" i="34"/>
  <c r="R2295" i="34"/>
  <c r="S2295" i="34"/>
  <c r="T2295" i="34"/>
  <c r="V2295" i="34"/>
  <c r="X2295" i="34"/>
  <c r="Y2295" i="34"/>
  <c r="N2296" i="34"/>
  <c r="R2296" i="34"/>
  <c r="S2296" i="34"/>
  <c r="T2296" i="34"/>
  <c r="V2296" i="34"/>
  <c r="X2296" i="34"/>
  <c r="Y2296" i="34"/>
  <c r="N2297" i="34"/>
  <c r="R2297" i="34"/>
  <c r="S2297" i="34"/>
  <c r="T2297" i="34"/>
  <c r="V2297" i="34"/>
  <c r="X2297" i="34"/>
  <c r="Y2297" i="34"/>
  <c r="N2298" i="34"/>
  <c r="R2298" i="34"/>
  <c r="S2298" i="34"/>
  <c r="T2298" i="34"/>
  <c r="V2298" i="34"/>
  <c r="X2298" i="34"/>
  <c r="Y2298" i="34"/>
  <c r="N2299" i="34"/>
  <c r="R2299" i="34"/>
  <c r="S2299" i="34"/>
  <c r="T2299" i="34"/>
  <c r="V2299" i="34"/>
  <c r="X2299" i="34"/>
  <c r="Y2299" i="34"/>
  <c r="N2300" i="34"/>
  <c r="R2300" i="34"/>
  <c r="S2300" i="34"/>
  <c r="T2300" i="34"/>
  <c r="V2300" i="34"/>
  <c r="X2300" i="34"/>
  <c r="Y2300" i="34"/>
  <c r="N2301" i="34"/>
  <c r="R2301" i="34"/>
  <c r="S2301" i="34"/>
  <c r="T2301" i="34"/>
  <c r="V2301" i="34"/>
  <c r="X2301" i="34"/>
  <c r="Y2301" i="34"/>
  <c r="N2302" i="34"/>
  <c r="R2302" i="34"/>
  <c r="S2302" i="34"/>
  <c r="T2302" i="34"/>
  <c r="V2302" i="34"/>
  <c r="X2302" i="34"/>
  <c r="Y2302" i="34"/>
  <c r="N2303" i="34"/>
  <c r="R2303" i="34"/>
  <c r="S2303" i="34"/>
  <c r="T2303" i="34"/>
  <c r="V2303" i="34"/>
  <c r="X2303" i="34"/>
  <c r="Y2303" i="34"/>
  <c r="N2304" i="34"/>
  <c r="R2304" i="34"/>
  <c r="S2304" i="34"/>
  <c r="T2304" i="34"/>
  <c r="V2304" i="34"/>
  <c r="X2304" i="34"/>
  <c r="Y2304" i="34"/>
  <c r="N2305" i="34"/>
  <c r="R2305" i="34"/>
  <c r="S2305" i="34"/>
  <c r="T2305" i="34"/>
  <c r="V2305" i="34"/>
  <c r="X2305" i="34"/>
  <c r="Y2305" i="34"/>
  <c r="N2306" i="34"/>
  <c r="R2306" i="34"/>
  <c r="S2306" i="34"/>
  <c r="T2306" i="34"/>
  <c r="V2306" i="34"/>
  <c r="X2306" i="34"/>
  <c r="Y2306" i="34"/>
  <c r="N2307" i="34"/>
  <c r="R2307" i="34"/>
  <c r="S2307" i="34"/>
  <c r="T2307" i="34"/>
  <c r="V2307" i="34"/>
  <c r="X2307" i="34"/>
  <c r="Y2307" i="34"/>
  <c r="N2308" i="34"/>
  <c r="R2308" i="34"/>
  <c r="S2308" i="34"/>
  <c r="T2308" i="34"/>
  <c r="V2308" i="34"/>
  <c r="X2308" i="34"/>
  <c r="Y2308" i="34"/>
  <c r="N2309" i="34"/>
  <c r="R2309" i="34"/>
  <c r="S2309" i="34"/>
  <c r="T2309" i="34"/>
  <c r="V2309" i="34"/>
  <c r="X2309" i="34"/>
  <c r="Y2309" i="34"/>
  <c r="N2310" i="34"/>
  <c r="R2310" i="34"/>
  <c r="S2310" i="34"/>
  <c r="T2310" i="34"/>
  <c r="V2310" i="34"/>
  <c r="X2310" i="34"/>
  <c r="Y2310" i="34"/>
  <c r="N2311" i="34"/>
  <c r="R2311" i="34"/>
  <c r="S2311" i="34"/>
  <c r="T2311" i="34"/>
  <c r="V2311" i="34"/>
  <c r="X2311" i="34"/>
  <c r="Y2311" i="34"/>
  <c r="N2312" i="34"/>
  <c r="R2312" i="34"/>
  <c r="S2312" i="34"/>
  <c r="T2312" i="34"/>
  <c r="V2312" i="34"/>
  <c r="X2312" i="34"/>
  <c r="Y2312" i="34"/>
  <c r="N2313" i="34"/>
  <c r="R2313" i="34"/>
  <c r="S2313" i="34"/>
  <c r="T2313" i="34"/>
  <c r="V2313" i="34"/>
  <c r="X2313" i="34"/>
  <c r="Y2313" i="34"/>
  <c r="N2314" i="34"/>
  <c r="R2314" i="34"/>
  <c r="S2314" i="34"/>
  <c r="T2314" i="34"/>
  <c r="V2314" i="34"/>
  <c r="X2314" i="34"/>
  <c r="Y2314" i="34"/>
  <c r="N2315" i="34"/>
  <c r="R2315" i="34"/>
  <c r="S2315" i="34"/>
  <c r="T2315" i="34"/>
  <c r="V2315" i="34"/>
  <c r="X2315" i="34"/>
  <c r="Y2315" i="34"/>
  <c r="N2316" i="34"/>
  <c r="R2316" i="34"/>
  <c r="S2316" i="34"/>
  <c r="T2316" i="34"/>
  <c r="V2316" i="34"/>
  <c r="X2316" i="34"/>
  <c r="Y2316" i="34"/>
  <c r="N2317" i="34"/>
  <c r="R2317" i="34"/>
  <c r="S2317" i="34"/>
  <c r="T2317" i="34"/>
  <c r="V2317" i="34"/>
  <c r="X2317" i="34"/>
  <c r="Y2317" i="34"/>
  <c r="N2318" i="34"/>
  <c r="R2318" i="34"/>
  <c r="S2318" i="34"/>
  <c r="T2318" i="34"/>
  <c r="V2318" i="34"/>
  <c r="X2318" i="34"/>
  <c r="Y2318" i="34"/>
  <c r="N2319" i="34"/>
  <c r="R2319" i="34"/>
  <c r="S2319" i="34"/>
  <c r="T2319" i="34"/>
  <c r="V2319" i="34"/>
  <c r="X2319" i="34"/>
  <c r="Y2319" i="34"/>
  <c r="N2320" i="34"/>
  <c r="R2320" i="34"/>
  <c r="S2320" i="34"/>
  <c r="T2320" i="34"/>
  <c r="V2320" i="34"/>
  <c r="X2320" i="34"/>
  <c r="Y2320" i="34"/>
  <c r="N2321" i="34"/>
  <c r="R2321" i="34"/>
  <c r="S2321" i="34"/>
  <c r="T2321" i="34"/>
  <c r="V2321" i="34"/>
  <c r="X2321" i="34"/>
  <c r="Y2321" i="34"/>
  <c r="N2322" i="34"/>
  <c r="R2322" i="34"/>
  <c r="S2322" i="34"/>
  <c r="T2322" i="34"/>
  <c r="V2322" i="34"/>
  <c r="X2322" i="34"/>
  <c r="Y2322" i="34"/>
  <c r="N2323" i="34"/>
  <c r="R2323" i="34"/>
  <c r="S2323" i="34"/>
  <c r="T2323" i="34"/>
  <c r="V2323" i="34"/>
  <c r="X2323" i="34"/>
  <c r="Y2323" i="34"/>
  <c r="N2324" i="34"/>
  <c r="R2324" i="34"/>
  <c r="S2324" i="34"/>
  <c r="T2324" i="34"/>
  <c r="V2324" i="34"/>
  <c r="X2324" i="34"/>
  <c r="Y2324" i="34"/>
  <c r="N2325" i="34"/>
  <c r="R2325" i="34"/>
  <c r="S2325" i="34"/>
  <c r="T2325" i="34"/>
  <c r="V2325" i="34"/>
  <c r="X2325" i="34"/>
  <c r="Y2325" i="34"/>
  <c r="N2326" i="34"/>
  <c r="R2326" i="34"/>
  <c r="S2326" i="34"/>
  <c r="T2326" i="34"/>
  <c r="V2326" i="34"/>
  <c r="X2326" i="34"/>
  <c r="Y2326" i="34"/>
  <c r="N2327" i="34"/>
  <c r="R2327" i="34"/>
  <c r="S2327" i="34"/>
  <c r="T2327" i="34"/>
  <c r="V2327" i="34"/>
  <c r="X2327" i="34"/>
  <c r="Y2327" i="34"/>
  <c r="N2328" i="34"/>
  <c r="R2328" i="34"/>
  <c r="S2328" i="34"/>
  <c r="T2328" i="34"/>
  <c r="V2328" i="34"/>
  <c r="X2328" i="34"/>
  <c r="Y2328" i="34"/>
  <c r="N2329" i="34"/>
  <c r="R2329" i="34"/>
  <c r="S2329" i="34"/>
  <c r="T2329" i="34"/>
  <c r="V2329" i="34"/>
  <c r="X2329" i="34"/>
  <c r="Y2329" i="34"/>
  <c r="N2330" i="34"/>
  <c r="R2330" i="34"/>
  <c r="S2330" i="34"/>
  <c r="T2330" i="34"/>
  <c r="V2330" i="34"/>
  <c r="X2330" i="34"/>
  <c r="Y2330" i="34"/>
  <c r="N2331" i="34"/>
  <c r="R2331" i="34"/>
  <c r="S2331" i="34"/>
  <c r="T2331" i="34"/>
  <c r="V2331" i="34"/>
  <c r="X2331" i="34"/>
  <c r="Y2331" i="34"/>
  <c r="N2332" i="34"/>
  <c r="R2332" i="34"/>
  <c r="S2332" i="34"/>
  <c r="T2332" i="34"/>
  <c r="V2332" i="34"/>
  <c r="X2332" i="34"/>
  <c r="Y2332" i="34"/>
  <c r="N2333" i="34"/>
  <c r="R2333" i="34"/>
  <c r="S2333" i="34"/>
  <c r="T2333" i="34"/>
  <c r="V2333" i="34"/>
  <c r="X2333" i="34"/>
  <c r="Y2333" i="34"/>
  <c r="N2334" i="34"/>
  <c r="R2334" i="34"/>
  <c r="S2334" i="34"/>
  <c r="T2334" i="34"/>
  <c r="V2334" i="34"/>
  <c r="X2334" i="34"/>
  <c r="Y2334" i="34"/>
  <c r="N2335" i="34"/>
  <c r="R2335" i="34"/>
  <c r="S2335" i="34"/>
  <c r="T2335" i="34"/>
  <c r="V2335" i="34"/>
  <c r="X2335" i="34"/>
  <c r="Y2335" i="34"/>
  <c r="N2336" i="34"/>
  <c r="R2336" i="34"/>
  <c r="S2336" i="34"/>
  <c r="T2336" i="34"/>
  <c r="V2336" i="34"/>
  <c r="X2336" i="34"/>
  <c r="Y2336" i="34"/>
  <c r="N2337" i="34"/>
  <c r="R2337" i="34"/>
  <c r="S2337" i="34"/>
  <c r="T2337" i="34"/>
  <c r="V2337" i="34"/>
  <c r="X2337" i="34"/>
  <c r="Y2337" i="34"/>
  <c r="N2338" i="34"/>
  <c r="R2338" i="34"/>
  <c r="S2338" i="34"/>
  <c r="T2338" i="34"/>
  <c r="V2338" i="34"/>
  <c r="X2338" i="34"/>
  <c r="Y2338" i="34"/>
  <c r="N2339" i="34"/>
  <c r="R2339" i="34"/>
  <c r="S2339" i="34"/>
  <c r="T2339" i="34"/>
  <c r="V2339" i="34"/>
  <c r="X2339" i="34"/>
  <c r="Y2339" i="34"/>
  <c r="N2340" i="34"/>
  <c r="R2340" i="34"/>
  <c r="S2340" i="34"/>
  <c r="T2340" i="34"/>
  <c r="V2340" i="34"/>
  <c r="X2340" i="34"/>
  <c r="Y2340" i="34"/>
  <c r="N2341" i="34"/>
  <c r="R2341" i="34"/>
  <c r="S2341" i="34"/>
  <c r="T2341" i="34"/>
  <c r="V2341" i="34"/>
  <c r="X2341" i="34"/>
  <c r="Y2341" i="34"/>
  <c r="N2342" i="34"/>
  <c r="R2342" i="34"/>
  <c r="S2342" i="34"/>
  <c r="T2342" i="34"/>
  <c r="V2342" i="34"/>
  <c r="X2342" i="34"/>
  <c r="Y2342" i="34"/>
  <c r="N2343" i="34"/>
  <c r="R2343" i="34"/>
  <c r="S2343" i="34"/>
  <c r="T2343" i="34"/>
  <c r="V2343" i="34"/>
  <c r="X2343" i="34"/>
  <c r="Y2343" i="34"/>
  <c r="N2344" i="34"/>
  <c r="R2344" i="34"/>
  <c r="S2344" i="34"/>
  <c r="T2344" i="34"/>
  <c r="V2344" i="34"/>
  <c r="X2344" i="34"/>
  <c r="Y2344" i="34"/>
  <c r="N2345" i="34"/>
  <c r="R2345" i="34"/>
  <c r="S2345" i="34"/>
  <c r="T2345" i="34"/>
  <c r="V2345" i="34"/>
  <c r="X2345" i="34"/>
  <c r="Y2345" i="34"/>
  <c r="N2346" i="34"/>
  <c r="R2346" i="34"/>
  <c r="S2346" i="34"/>
  <c r="T2346" i="34"/>
  <c r="V2346" i="34"/>
  <c r="X2346" i="34"/>
  <c r="Y2346" i="34"/>
  <c r="N2347" i="34"/>
  <c r="R2347" i="34"/>
  <c r="S2347" i="34"/>
  <c r="T2347" i="34"/>
  <c r="V2347" i="34"/>
  <c r="X2347" i="34"/>
  <c r="Y2347" i="34"/>
  <c r="N2348" i="34"/>
  <c r="R2348" i="34"/>
  <c r="S2348" i="34"/>
  <c r="T2348" i="34"/>
  <c r="V2348" i="34"/>
  <c r="X2348" i="34"/>
  <c r="Y2348" i="34"/>
  <c r="N2349" i="34"/>
  <c r="R2349" i="34"/>
  <c r="S2349" i="34"/>
  <c r="T2349" i="34"/>
  <c r="V2349" i="34"/>
  <c r="X2349" i="34"/>
  <c r="Y2349" i="34"/>
  <c r="N2350" i="34"/>
  <c r="R2350" i="34"/>
  <c r="S2350" i="34"/>
  <c r="T2350" i="34"/>
  <c r="V2350" i="34"/>
  <c r="X2350" i="34"/>
  <c r="Y2350" i="34"/>
  <c r="N2351" i="34"/>
  <c r="R2351" i="34"/>
  <c r="S2351" i="34"/>
  <c r="T2351" i="34"/>
  <c r="V2351" i="34"/>
  <c r="X2351" i="34"/>
  <c r="Y2351" i="34"/>
  <c r="N2352" i="34"/>
  <c r="R2352" i="34"/>
  <c r="S2352" i="34"/>
  <c r="T2352" i="34"/>
  <c r="V2352" i="34"/>
  <c r="X2352" i="34"/>
  <c r="Y2352" i="34"/>
  <c r="N2353" i="34"/>
  <c r="R2353" i="34"/>
  <c r="S2353" i="34"/>
  <c r="T2353" i="34"/>
  <c r="V2353" i="34"/>
  <c r="X2353" i="34"/>
  <c r="Y2353" i="34"/>
  <c r="N2354" i="34"/>
  <c r="R2354" i="34"/>
  <c r="S2354" i="34"/>
  <c r="T2354" i="34"/>
  <c r="V2354" i="34"/>
  <c r="X2354" i="34"/>
  <c r="Y2354" i="34"/>
  <c r="N2355" i="34"/>
  <c r="R2355" i="34"/>
  <c r="S2355" i="34"/>
  <c r="T2355" i="34"/>
  <c r="V2355" i="34"/>
  <c r="X2355" i="34"/>
  <c r="Y2355" i="34"/>
  <c r="N2356" i="34"/>
  <c r="R2356" i="34"/>
  <c r="S2356" i="34"/>
  <c r="T2356" i="34"/>
  <c r="V2356" i="34"/>
  <c r="X2356" i="34"/>
  <c r="Y2356" i="34"/>
  <c r="N2357" i="34"/>
  <c r="R2357" i="34"/>
  <c r="S2357" i="34"/>
  <c r="T2357" i="34"/>
  <c r="V2357" i="34"/>
  <c r="X2357" i="34"/>
  <c r="Y2357" i="34"/>
  <c r="N2358" i="34"/>
  <c r="R2358" i="34"/>
  <c r="S2358" i="34"/>
  <c r="T2358" i="34"/>
  <c r="V2358" i="34"/>
  <c r="X2358" i="34"/>
  <c r="Y2358" i="34"/>
  <c r="N2359" i="34"/>
  <c r="R2359" i="34"/>
  <c r="S2359" i="34"/>
  <c r="T2359" i="34"/>
  <c r="V2359" i="34"/>
  <c r="X2359" i="34"/>
  <c r="Y2359" i="34"/>
  <c r="N2360" i="34"/>
  <c r="R2360" i="34"/>
  <c r="S2360" i="34"/>
  <c r="T2360" i="34"/>
  <c r="V2360" i="34"/>
  <c r="X2360" i="34"/>
  <c r="Y2360" i="34"/>
  <c r="N2361" i="34"/>
  <c r="R2361" i="34"/>
  <c r="S2361" i="34"/>
  <c r="T2361" i="34"/>
  <c r="V2361" i="34"/>
  <c r="X2361" i="34"/>
  <c r="Y2361" i="34"/>
  <c r="N2362" i="34"/>
  <c r="R2362" i="34"/>
  <c r="S2362" i="34"/>
  <c r="T2362" i="34"/>
  <c r="V2362" i="34"/>
  <c r="X2362" i="34"/>
  <c r="Y2362" i="34"/>
  <c r="N2363" i="34"/>
  <c r="R2363" i="34"/>
  <c r="S2363" i="34"/>
  <c r="T2363" i="34"/>
  <c r="V2363" i="34"/>
  <c r="X2363" i="34"/>
  <c r="Y2363" i="34"/>
  <c r="N2364" i="34"/>
  <c r="R2364" i="34"/>
  <c r="S2364" i="34"/>
  <c r="T2364" i="34"/>
  <c r="V2364" i="34"/>
  <c r="X2364" i="34"/>
  <c r="Y2364" i="34"/>
  <c r="N2365" i="34"/>
  <c r="R2365" i="34"/>
  <c r="S2365" i="34"/>
  <c r="T2365" i="34"/>
  <c r="V2365" i="34"/>
  <c r="X2365" i="34"/>
  <c r="Y2365" i="34"/>
  <c r="N2366" i="34"/>
  <c r="R2366" i="34"/>
  <c r="S2366" i="34"/>
  <c r="T2366" i="34"/>
  <c r="V2366" i="34"/>
  <c r="X2366" i="34"/>
  <c r="Y2366" i="34"/>
  <c r="N2367" i="34"/>
  <c r="R2367" i="34"/>
  <c r="S2367" i="34"/>
  <c r="T2367" i="34"/>
  <c r="V2367" i="34"/>
  <c r="X2367" i="34"/>
  <c r="Y2367" i="34"/>
  <c r="N2368" i="34"/>
  <c r="R2368" i="34"/>
  <c r="S2368" i="34"/>
  <c r="T2368" i="34"/>
  <c r="V2368" i="34"/>
  <c r="X2368" i="34"/>
  <c r="Y2368" i="34"/>
  <c r="N2369" i="34"/>
  <c r="R2369" i="34"/>
  <c r="S2369" i="34"/>
  <c r="T2369" i="34"/>
  <c r="V2369" i="34"/>
  <c r="X2369" i="34"/>
  <c r="Y2369" i="34"/>
  <c r="N2370" i="34"/>
  <c r="R2370" i="34"/>
  <c r="S2370" i="34"/>
  <c r="T2370" i="34"/>
  <c r="V2370" i="34"/>
  <c r="X2370" i="34"/>
  <c r="Y2370" i="34"/>
  <c r="N2371" i="34"/>
  <c r="R2371" i="34"/>
  <c r="S2371" i="34"/>
  <c r="T2371" i="34"/>
  <c r="V2371" i="34"/>
  <c r="X2371" i="34"/>
  <c r="Y2371" i="34"/>
  <c r="N2372" i="34"/>
  <c r="R2372" i="34"/>
  <c r="S2372" i="34"/>
  <c r="T2372" i="34"/>
  <c r="V2372" i="34"/>
  <c r="X2372" i="34"/>
  <c r="Y2372" i="34"/>
  <c r="N2373" i="34"/>
  <c r="R2373" i="34"/>
  <c r="S2373" i="34"/>
  <c r="T2373" i="34"/>
  <c r="V2373" i="34"/>
  <c r="X2373" i="34"/>
  <c r="Y2373" i="34"/>
  <c r="N2374" i="34"/>
  <c r="R2374" i="34"/>
  <c r="S2374" i="34"/>
  <c r="T2374" i="34"/>
  <c r="V2374" i="34"/>
  <c r="X2374" i="34"/>
  <c r="Y2374" i="34"/>
  <c r="N2375" i="34"/>
  <c r="R2375" i="34"/>
  <c r="S2375" i="34"/>
  <c r="T2375" i="34"/>
  <c r="V2375" i="34"/>
  <c r="X2375" i="34"/>
  <c r="Y2375" i="34"/>
  <c r="N2376" i="34"/>
  <c r="R2376" i="34"/>
  <c r="S2376" i="34"/>
  <c r="T2376" i="34"/>
  <c r="V2376" i="34"/>
  <c r="X2376" i="34"/>
  <c r="Y2376" i="34"/>
  <c r="N2377" i="34"/>
  <c r="R2377" i="34"/>
  <c r="S2377" i="34"/>
  <c r="T2377" i="34"/>
  <c r="V2377" i="34"/>
  <c r="X2377" i="34"/>
  <c r="Y2377" i="34"/>
  <c r="N2378" i="34"/>
  <c r="R2378" i="34"/>
  <c r="S2378" i="34"/>
  <c r="T2378" i="34"/>
  <c r="V2378" i="34"/>
  <c r="X2378" i="34"/>
  <c r="Y2378" i="34"/>
  <c r="N2379" i="34"/>
  <c r="R2379" i="34"/>
  <c r="S2379" i="34"/>
  <c r="T2379" i="34"/>
  <c r="V2379" i="34"/>
  <c r="X2379" i="34"/>
  <c r="Y2379" i="34"/>
  <c r="N2380" i="34"/>
  <c r="R2380" i="34"/>
  <c r="S2380" i="34"/>
  <c r="T2380" i="34"/>
  <c r="V2380" i="34"/>
  <c r="X2380" i="34"/>
  <c r="Y2380" i="34"/>
  <c r="N2381" i="34"/>
  <c r="R2381" i="34"/>
  <c r="S2381" i="34"/>
  <c r="T2381" i="34"/>
  <c r="V2381" i="34"/>
  <c r="X2381" i="34"/>
  <c r="Y2381" i="34"/>
  <c r="N2382" i="34"/>
  <c r="R2382" i="34"/>
  <c r="S2382" i="34"/>
  <c r="T2382" i="34"/>
  <c r="V2382" i="34"/>
  <c r="X2382" i="34"/>
  <c r="Y2382" i="34"/>
  <c r="N2383" i="34"/>
  <c r="R2383" i="34"/>
  <c r="S2383" i="34"/>
  <c r="T2383" i="34"/>
  <c r="V2383" i="34"/>
  <c r="X2383" i="34"/>
  <c r="Y2383" i="34"/>
  <c r="N2384" i="34"/>
  <c r="R2384" i="34"/>
  <c r="S2384" i="34"/>
  <c r="T2384" i="34"/>
  <c r="V2384" i="34"/>
  <c r="X2384" i="34"/>
  <c r="Y2384" i="34"/>
  <c r="N2385" i="34"/>
  <c r="R2385" i="34"/>
  <c r="S2385" i="34"/>
  <c r="T2385" i="34"/>
  <c r="V2385" i="34"/>
  <c r="X2385" i="34"/>
  <c r="Y2385" i="34"/>
  <c r="N2386" i="34"/>
  <c r="R2386" i="34"/>
  <c r="S2386" i="34"/>
  <c r="T2386" i="34"/>
  <c r="V2386" i="34"/>
  <c r="X2386" i="34"/>
  <c r="Y2386" i="34"/>
  <c r="N2387" i="34"/>
  <c r="R2387" i="34"/>
  <c r="S2387" i="34"/>
  <c r="T2387" i="34"/>
  <c r="V2387" i="34"/>
  <c r="X2387" i="34"/>
  <c r="Y2387" i="34"/>
  <c r="N2388" i="34"/>
  <c r="R2388" i="34"/>
  <c r="S2388" i="34"/>
  <c r="T2388" i="34"/>
  <c r="V2388" i="34"/>
  <c r="X2388" i="34"/>
  <c r="Y2388" i="34"/>
  <c r="N2389" i="34"/>
  <c r="R2389" i="34"/>
  <c r="S2389" i="34"/>
  <c r="T2389" i="34"/>
  <c r="V2389" i="34"/>
  <c r="X2389" i="34"/>
  <c r="Y2389" i="34"/>
  <c r="N2390" i="34"/>
  <c r="R2390" i="34"/>
  <c r="S2390" i="34"/>
  <c r="T2390" i="34"/>
  <c r="V2390" i="34"/>
  <c r="X2390" i="34"/>
  <c r="Y2390" i="34"/>
  <c r="N2391" i="34"/>
  <c r="R2391" i="34"/>
  <c r="S2391" i="34"/>
  <c r="T2391" i="34"/>
  <c r="V2391" i="34"/>
  <c r="X2391" i="34"/>
  <c r="Y2391" i="34"/>
  <c r="N2392" i="34"/>
  <c r="R2392" i="34"/>
  <c r="S2392" i="34"/>
  <c r="T2392" i="34"/>
  <c r="V2392" i="34"/>
  <c r="X2392" i="34"/>
  <c r="Y2392" i="34"/>
  <c r="N2393" i="34"/>
  <c r="R2393" i="34"/>
  <c r="S2393" i="34"/>
  <c r="T2393" i="34"/>
  <c r="V2393" i="34"/>
  <c r="X2393" i="34"/>
  <c r="Y2393" i="34"/>
  <c r="N2394" i="34"/>
  <c r="R2394" i="34"/>
  <c r="S2394" i="34"/>
  <c r="T2394" i="34"/>
  <c r="V2394" i="34"/>
  <c r="X2394" i="34"/>
  <c r="Y2394" i="34"/>
  <c r="N2395" i="34"/>
  <c r="R2395" i="34"/>
  <c r="S2395" i="34"/>
  <c r="T2395" i="34"/>
  <c r="V2395" i="34"/>
  <c r="X2395" i="34"/>
  <c r="Y2395" i="34"/>
  <c r="N2396" i="34"/>
  <c r="R2396" i="34"/>
  <c r="S2396" i="34"/>
  <c r="T2396" i="34"/>
  <c r="V2396" i="34"/>
  <c r="X2396" i="34"/>
  <c r="Y2396" i="34"/>
  <c r="N2397" i="34"/>
  <c r="R2397" i="34"/>
  <c r="S2397" i="34"/>
  <c r="T2397" i="34"/>
  <c r="V2397" i="34"/>
  <c r="X2397" i="34"/>
  <c r="Y2397" i="34"/>
  <c r="N2398" i="34"/>
  <c r="R2398" i="34"/>
  <c r="S2398" i="34"/>
  <c r="T2398" i="34"/>
  <c r="V2398" i="34"/>
  <c r="X2398" i="34"/>
  <c r="Y2398" i="34"/>
  <c r="N2399" i="34"/>
  <c r="R2399" i="34"/>
  <c r="S2399" i="34"/>
  <c r="T2399" i="34"/>
  <c r="V2399" i="34"/>
  <c r="X2399" i="34"/>
  <c r="Y2399" i="34"/>
  <c r="N2400" i="34"/>
  <c r="R2400" i="34"/>
  <c r="S2400" i="34"/>
  <c r="T2400" i="34"/>
  <c r="V2400" i="34"/>
  <c r="X2400" i="34"/>
  <c r="Y2400" i="34"/>
  <c r="N2401" i="34"/>
  <c r="R2401" i="34"/>
  <c r="S2401" i="34"/>
  <c r="T2401" i="34"/>
  <c r="V2401" i="34"/>
  <c r="X2401" i="34"/>
  <c r="Y2401" i="34"/>
  <c r="N2402" i="34"/>
  <c r="R2402" i="34"/>
  <c r="S2402" i="34"/>
  <c r="T2402" i="34"/>
  <c r="V2402" i="34"/>
  <c r="X2402" i="34"/>
  <c r="Y2402" i="34"/>
  <c r="N2403" i="34"/>
  <c r="R2403" i="34"/>
  <c r="S2403" i="34"/>
  <c r="T2403" i="34"/>
  <c r="V2403" i="34"/>
  <c r="X2403" i="34"/>
  <c r="Y2403" i="34"/>
  <c r="N2404" i="34"/>
  <c r="R2404" i="34"/>
  <c r="S2404" i="34"/>
  <c r="T2404" i="34"/>
  <c r="V2404" i="34"/>
  <c r="X2404" i="34"/>
  <c r="Y2404" i="34"/>
  <c r="N2405" i="34"/>
  <c r="R2405" i="34"/>
  <c r="S2405" i="34"/>
  <c r="T2405" i="34"/>
  <c r="V2405" i="34"/>
  <c r="X2405" i="34"/>
  <c r="Y2405" i="34"/>
  <c r="N2406" i="34"/>
  <c r="R2406" i="34"/>
  <c r="S2406" i="34"/>
  <c r="T2406" i="34"/>
  <c r="V2406" i="34"/>
  <c r="X2406" i="34"/>
  <c r="Y2406" i="34"/>
  <c r="N2407" i="34"/>
  <c r="R2407" i="34"/>
  <c r="S2407" i="34"/>
  <c r="T2407" i="34"/>
  <c r="V2407" i="34"/>
  <c r="X2407" i="34"/>
  <c r="Y2407" i="34"/>
  <c r="N2408" i="34"/>
  <c r="R2408" i="34"/>
  <c r="S2408" i="34"/>
  <c r="T2408" i="34"/>
  <c r="V2408" i="34"/>
  <c r="X2408" i="34"/>
  <c r="Y2408" i="34"/>
  <c r="N2409" i="34"/>
  <c r="R2409" i="34"/>
  <c r="S2409" i="34"/>
  <c r="T2409" i="34"/>
  <c r="V2409" i="34"/>
  <c r="X2409" i="34"/>
  <c r="Y2409" i="34"/>
  <c r="N2410" i="34"/>
  <c r="R2410" i="34"/>
  <c r="S2410" i="34"/>
  <c r="T2410" i="34"/>
  <c r="V2410" i="34"/>
  <c r="X2410" i="34"/>
  <c r="Y2410" i="34"/>
  <c r="N2411" i="34"/>
  <c r="R2411" i="34"/>
  <c r="S2411" i="34"/>
  <c r="T2411" i="34"/>
  <c r="V2411" i="34"/>
  <c r="X2411" i="34"/>
  <c r="Y2411" i="34"/>
  <c r="N2412" i="34"/>
  <c r="R2412" i="34"/>
  <c r="S2412" i="34"/>
  <c r="T2412" i="34"/>
  <c r="V2412" i="34"/>
  <c r="X2412" i="34"/>
  <c r="Y2412" i="34"/>
  <c r="N2413" i="34"/>
  <c r="R2413" i="34"/>
  <c r="S2413" i="34"/>
  <c r="T2413" i="34"/>
  <c r="V2413" i="34"/>
  <c r="X2413" i="34"/>
  <c r="Y2413" i="34"/>
  <c r="N2414" i="34"/>
  <c r="R2414" i="34"/>
  <c r="S2414" i="34"/>
  <c r="T2414" i="34"/>
  <c r="V2414" i="34"/>
  <c r="X2414" i="34"/>
  <c r="Y2414" i="34"/>
  <c r="N2415" i="34"/>
  <c r="R2415" i="34"/>
  <c r="S2415" i="34"/>
  <c r="T2415" i="34"/>
  <c r="V2415" i="34"/>
  <c r="X2415" i="34"/>
  <c r="Y2415" i="34"/>
  <c r="N2416" i="34"/>
  <c r="R2416" i="34"/>
  <c r="S2416" i="34"/>
  <c r="T2416" i="34"/>
  <c r="V2416" i="34"/>
  <c r="X2416" i="34"/>
  <c r="Y2416" i="34"/>
  <c r="N2417" i="34"/>
  <c r="R2417" i="34"/>
  <c r="S2417" i="34"/>
  <c r="T2417" i="34"/>
  <c r="V2417" i="34"/>
  <c r="X2417" i="34"/>
  <c r="Y2417" i="34"/>
  <c r="N2418" i="34"/>
  <c r="R2418" i="34"/>
  <c r="S2418" i="34"/>
  <c r="T2418" i="34"/>
  <c r="V2418" i="34"/>
  <c r="X2418" i="34"/>
  <c r="Y2418" i="34"/>
  <c r="N2419" i="34"/>
  <c r="R2419" i="34"/>
  <c r="S2419" i="34"/>
  <c r="T2419" i="34"/>
  <c r="V2419" i="34"/>
  <c r="X2419" i="34"/>
  <c r="Y2419" i="34"/>
  <c r="N2420" i="34"/>
  <c r="R2420" i="34"/>
  <c r="S2420" i="34"/>
  <c r="T2420" i="34"/>
  <c r="V2420" i="34"/>
  <c r="X2420" i="34"/>
  <c r="Y2420" i="34"/>
  <c r="N2421" i="34"/>
  <c r="R2421" i="34"/>
  <c r="S2421" i="34"/>
  <c r="T2421" i="34"/>
  <c r="V2421" i="34"/>
  <c r="X2421" i="34"/>
  <c r="Y2421" i="34"/>
  <c r="N2422" i="34"/>
  <c r="R2422" i="34"/>
  <c r="S2422" i="34"/>
  <c r="T2422" i="34"/>
  <c r="V2422" i="34"/>
  <c r="X2422" i="34"/>
  <c r="Y2422" i="34"/>
  <c r="N2423" i="34"/>
  <c r="R2423" i="34"/>
  <c r="S2423" i="34"/>
  <c r="T2423" i="34"/>
  <c r="V2423" i="34"/>
  <c r="X2423" i="34"/>
  <c r="Y2423" i="34"/>
  <c r="N2424" i="34"/>
  <c r="R2424" i="34"/>
  <c r="S2424" i="34"/>
  <c r="T2424" i="34"/>
  <c r="V2424" i="34"/>
  <c r="X2424" i="34"/>
  <c r="Y2424" i="34"/>
  <c r="N2425" i="34"/>
  <c r="R2425" i="34"/>
  <c r="S2425" i="34"/>
  <c r="T2425" i="34"/>
  <c r="V2425" i="34"/>
  <c r="X2425" i="34"/>
  <c r="Y2425" i="34"/>
  <c r="N2426" i="34"/>
  <c r="R2426" i="34"/>
  <c r="S2426" i="34"/>
  <c r="T2426" i="34"/>
  <c r="V2426" i="34"/>
  <c r="X2426" i="34"/>
  <c r="Y2426" i="34"/>
  <c r="N2427" i="34"/>
  <c r="R2427" i="34"/>
  <c r="S2427" i="34"/>
  <c r="T2427" i="34"/>
  <c r="V2427" i="34"/>
  <c r="X2427" i="34"/>
  <c r="Y2427" i="34"/>
  <c r="N2428" i="34"/>
  <c r="R2428" i="34"/>
  <c r="S2428" i="34"/>
  <c r="T2428" i="34"/>
  <c r="V2428" i="34"/>
  <c r="X2428" i="34"/>
  <c r="Y2428" i="34"/>
  <c r="N2429" i="34"/>
  <c r="R2429" i="34"/>
  <c r="S2429" i="34"/>
  <c r="T2429" i="34"/>
  <c r="V2429" i="34"/>
  <c r="X2429" i="34"/>
  <c r="Y2429" i="34"/>
  <c r="N2430" i="34"/>
  <c r="R2430" i="34"/>
  <c r="S2430" i="34"/>
  <c r="T2430" i="34"/>
  <c r="V2430" i="34"/>
  <c r="X2430" i="34"/>
  <c r="Y2430" i="34"/>
  <c r="N2431" i="34"/>
  <c r="R2431" i="34"/>
  <c r="S2431" i="34"/>
  <c r="T2431" i="34"/>
  <c r="V2431" i="34"/>
  <c r="X2431" i="34"/>
  <c r="Y2431" i="34"/>
  <c r="N2432" i="34"/>
  <c r="R2432" i="34"/>
  <c r="S2432" i="34"/>
  <c r="T2432" i="34"/>
  <c r="V2432" i="34"/>
  <c r="X2432" i="34"/>
  <c r="Y2432" i="34"/>
  <c r="N2433" i="34"/>
  <c r="R2433" i="34"/>
  <c r="S2433" i="34"/>
  <c r="T2433" i="34"/>
  <c r="V2433" i="34"/>
  <c r="X2433" i="34"/>
  <c r="Y2433" i="34"/>
  <c r="N2434" i="34"/>
  <c r="R2434" i="34"/>
  <c r="S2434" i="34"/>
  <c r="T2434" i="34"/>
  <c r="V2434" i="34"/>
  <c r="X2434" i="34"/>
  <c r="Y2434" i="34"/>
  <c r="N2435" i="34"/>
  <c r="R2435" i="34"/>
  <c r="S2435" i="34"/>
  <c r="T2435" i="34"/>
  <c r="V2435" i="34"/>
  <c r="X2435" i="34"/>
  <c r="Y2435" i="34"/>
  <c r="N2436" i="34"/>
  <c r="R2436" i="34"/>
  <c r="S2436" i="34"/>
  <c r="T2436" i="34"/>
  <c r="V2436" i="34"/>
  <c r="X2436" i="34"/>
  <c r="Y2436" i="34"/>
  <c r="N2437" i="34"/>
  <c r="R2437" i="34"/>
  <c r="S2437" i="34"/>
  <c r="T2437" i="34"/>
  <c r="V2437" i="34"/>
  <c r="X2437" i="34"/>
  <c r="Y2437" i="34"/>
  <c r="N2438" i="34"/>
  <c r="R2438" i="34"/>
  <c r="S2438" i="34"/>
  <c r="T2438" i="34"/>
  <c r="V2438" i="34"/>
  <c r="X2438" i="34"/>
  <c r="Y2438" i="34"/>
  <c r="N2439" i="34"/>
  <c r="R2439" i="34"/>
  <c r="S2439" i="34"/>
  <c r="T2439" i="34"/>
  <c r="V2439" i="34"/>
  <c r="X2439" i="34"/>
  <c r="Y2439" i="34"/>
  <c r="N2440" i="34"/>
  <c r="R2440" i="34"/>
  <c r="S2440" i="34"/>
  <c r="T2440" i="34"/>
  <c r="V2440" i="34"/>
  <c r="X2440" i="34"/>
  <c r="Y2440" i="34"/>
  <c r="N2441" i="34"/>
  <c r="R2441" i="34"/>
  <c r="S2441" i="34"/>
  <c r="T2441" i="34"/>
  <c r="V2441" i="34"/>
  <c r="X2441" i="34"/>
  <c r="Y2441" i="34"/>
  <c r="N2442" i="34"/>
  <c r="R2442" i="34"/>
  <c r="S2442" i="34"/>
  <c r="T2442" i="34"/>
  <c r="V2442" i="34"/>
  <c r="X2442" i="34"/>
  <c r="Y2442" i="34"/>
  <c r="N2443" i="34"/>
  <c r="R2443" i="34"/>
  <c r="S2443" i="34"/>
  <c r="T2443" i="34"/>
  <c r="V2443" i="34"/>
  <c r="X2443" i="34"/>
  <c r="Y2443" i="34"/>
  <c r="N2444" i="34"/>
  <c r="R2444" i="34"/>
  <c r="S2444" i="34"/>
  <c r="T2444" i="34"/>
  <c r="V2444" i="34"/>
  <c r="X2444" i="34"/>
  <c r="Y2444" i="34"/>
  <c r="N2445" i="34"/>
  <c r="R2445" i="34"/>
  <c r="S2445" i="34"/>
  <c r="T2445" i="34"/>
  <c r="V2445" i="34"/>
  <c r="X2445" i="34"/>
  <c r="Y2445" i="34"/>
  <c r="N2446" i="34"/>
  <c r="R2446" i="34"/>
  <c r="S2446" i="34"/>
  <c r="T2446" i="34"/>
  <c r="V2446" i="34"/>
  <c r="X2446" i="34"/>
  <c r="Y2446" i="34"/>
  <c r="N2447" i="34"/>
  <c r="R2447" i="34"/>
  <c r="S2447" i="34"/>
  <c r="T2447" i="34"/>
  <c r="V2447" i="34"/>
  <c r="X2447" i="34"/>
  <c r="Y2447" i="34"/>
  <c r="N2448" i="34"/>
  <c r="R2448" i="34"/>
  <c r="S2448" i="34"/>
  <c r="T2448" i="34"/>
  <c r="V2448" i="34"/>
  <c r="X2448" i="34"/>
  <c r="Y2448" i="34"/>
  <c r="N2449" i="34"/>
  <c r="R2449" i="34"/>
  <c r="S2449" i="34"/>
  <c r="T2449" i="34"/>
  <c r="V2449" i="34"/>
  <c r="X2449" i="34"/>
  <c r="Y2449" i="34"/>
  <c r="N2450" i="34"/>
  <c r="R2450" i="34"/>
  <c r="S2450" i="34"/>
  <c r="T2450" i="34"/>
  <c r="V2450" i="34"/>
  <c r="X2450" i="34"/>
  <c r="Y2450" i="34"/>
  <c r="N2451" i="34"/>
  <c r="R2451" i="34"/>
  <c r="S2451" i="34"/>
  <c r="T2451" i="34"/>
  <c r="V2451" i="34"/>
  <c r="X2451" i="34"/>
  <c r="Y2451" i="34"/>
  <c r="N2452" i="34"/>
  <c r="R2452" i="34"/>
  <c r="S2452" i="34"/>
  <c r="T2452" i="34"/>
  <c r="V2452" i="34"/>
  <c r="X2452" i="34"/>
  <c r="Y2452" i="34"/>
  <c r="N2453" i="34"/>
  <c r="R2453" i="34"/>
  <c r="S2453" i="34"/>
  <c r="T2453" i="34"/>
  <c r="V2453" i="34"/>
  <c r="X2453" i="34"/>
  <c r="Y2453" i="34"/>
  <c r="N2454" i="34"/>
  <c r="R2454" i="34"/>
  <c r="S2454" i="34"/>
  <c r="T2454" i="34"/>
  <c r="V2454" i="34"/>
  <c r="X2454" i="34"/>
  <c r="Y2454" i="34"/>
  <c r="N2455" i="34"/>
  <c r="R2455" i="34"/>
  <c r="S2455" i="34"/>
  <c r="T2455" i="34"/>
  <c r="V2455" i="34"/>
  <c r="X2455" i="34"/>
  <c r="Y2455" i="34"/>
  <c r="N2456" i="34"/>
  <c r="R2456" i="34"/>
  <c r="S2456" i="34"/>
  <c r="T2456" i="34"/>
  <c r="V2456" i="34"/>
  <c r="X2456" i="34"/>
  <c r="Y2456" i="34"/>
  <c r="N2457" i="34"/>
  <c r="R2457" i="34"/>
  <c r="S2457" i="34"/>
  <c r="T2457" i="34"/>
  <c r="V2457" i="34"/>
  <c r="X2457" i="34"/>
  <c r="Y2457" i="34"/>
  <c r="N2458" i="34"/>
  <c r="R2458" i="34"/>
  <c r="S2458" i="34"/>
  <c r="T2458" i="34"/>
  <c r="V2458" i="34"/>
  <c r="X2458" i="34"/>
  <c r="Y2458" i="34"/>
  <c r="N2459" i="34"/>
  <c r="R2459" i="34"/>
  <c r="S2459" i="34"/>
  <c r="T2459" i="34"/>
  <c r="V2459" i="34"/>
  <c r="X2459" i="34"/>
  <c r="Y2459" i="34"/>
  <c r="N2460" i="34"/>
  <c r="R2460" i="34"/>
  <c r="S2460" i="34"/>
  <c r="T2460" i="34"/>
  <c r="V2460" i="34"/>
  <c r="X2460" i="34"/>
  <c r="Y2460" i="34"/>
  <c r="N2461" i="34"/>
  <c r="R2461" i="34"/>
  <c r="S2461" i="34"/>
  <c r="T2461" i="34"/>
  <c r="V2461" i="34"/>
  <c r="X2461" i="34"/>
  <c r="Y2461" i="34"/>
  <c r="N2462" i="34"/>
  <c r="R2462" i="34"/>
  <c r="S2462" i="34"/>
  <c r="T2462" i="34"/>
  <c r="V2462" i="34"/>
  <c r="X2462" i="34"/>
  <c r="Y2462" i="34"/>
  <c r="N2463" i="34"/>
  <c r="R2463" i="34"/>
  <c r="S2463" i="34"/>
  <c r="T2463" i="34"/>
  <c r="V2463" i="34"/>
  <c r="X2463" i="34"/>
  <c r="Y2463" i="34"/>
  <c r="N2464" i="34"/>
  <c r="R2464" i="34"/>
  <c r="S2464" i="34"/>
  <c r="T2464" i="34"/>
  <c r="V2464" i="34"/>
  <c r="X2464" i="34"/>
  <c r="Y2464" i="34"/>
  <c r="N2465" i="34"/>
  <c r="R2465" i="34"/>
  <c r="S2465" i="34"/>
  <c r="T2465" i="34"/>
  <c r="V2465" i="34"/>
  <c r="X2465" i="34"/>
  <c r="Y2465" i="34"/>
  <c r="N2466" i="34"/>
  <c r="R2466" i="34"/>
  <c r="S2466" i="34"/>
  <c r="T2466" i="34"/>
  <c r="V2466" i="34"/>
  <c r="X2466" i="34"/>
  <c r="Y2466" i="34"/>
  <c r="N2467" i="34"/>
  <c r="R2467" i="34"/>
  <c r="S2467" i="34"/>
  <c r="T2467" i="34"/>
  <c r="V2467" i="34"/>
  <c r="X2467" i="34"/>
  <c r="Y2467" i="34"/>
  <c r="N2468" i="34"/>
  <c r="R2468" i="34"/>
  <c r="S2468" i="34"/>
  <c r="T2468" i="34"/>
  <c r="V2468" i="34"/>
  <c r="X2468" i="34"/>
  <c r="Y2468" i="34"/>
  <c r="N2469" i="34"/>
  <c r="R2469" i="34"/>
  <c r="S2469" i="34"/>
  <c r="T2469" i="34"/>
  <c r="V2469" i="34"/>
  <c r="X2469" i="34"/>
  <c r="Y2469" i="34"/>
  <c r="N2470" i="34"/>
  <c r="R2470" i="34"/>
  <c r="S2470" i="34"/>
  <c r="T2470" i="34"/>
  <c r="V2470" i="34"/>
  <c r="X2470" i="34"/>
  <c r="Y2470" i="34"/>
  <c r="N2471" i="34"/>
  <c r="R2471" i="34"/>
  <c r="S2471" i="34"/>
  <c r="T2471" i="34"/>
  <c r="V2471" i="34"/>
  <c r="X2471" i="34"/>
  <c r="Y2471" i="34"/>
  <c r="N2472" i="34"/>
  <c r="R2472" i="34"/>
  <c r="S2472" i="34"/>
  <c r="T2472" i="34"/>
  <c r="V2472" i="34"/>
  <c r="X2472" i="34"/>
  <c r="Y2472" i="34"/>
  <c r="N2473" i="34"/>
  <c r="R2473" i="34"/>
  <c r="S2473" i="34"/>
  <c r="T2473" i="34"/>
  <c r="V2473" i="34"/>
  <c r="X2473" i="34"/>
  <c r="Y2473" i="34"/>
  <c r="N2474" i="34"/>
  <c r="R2474" i="34"/>
  <c r="S2474" i="34"/>
  <c r="T2474" i="34"/>
  <c r="V2474" i="34"/>
  <c r="X2474" i="34"/>
  <c r="Y2474" i="34"/>
  <c r="N2475" i="34"/>
  <c r="R2475" i="34"/>
  <c r="S2475" i="34"/>
  <c r="T2475" i="34"/>
  <c r="V2475" i="34"/>
  <c r="X2475" i="34"/>
  <c r="Y2475" i="34"/>
  <c r="N2476" i="34"/>
  <c r="R2476" i="34"/>
  <c r="S2476" i="34"/>
  <c r="T2476" i="34"/>
  <c r="V2476" i="34"/>
  <c r="X2476" i="34"/>
  <c r="Y2476" i="34"/>
  <c r="N2477" i="34"/>
  <c r="R2477" i="34"/>
  <c r="S2477" i="34"/>
  <c r="T2477" i="34"/>
  <c r="V2477" i="34"/>
  <c r="X2477" i="34"/>
  <c r="Y2477" i="34"/>
  <c r="N2478" i="34"/>
  <c r="R2478" i="34"/>
  <c r="S2478" i="34"/>
  <c r="T2478" i="34"/>
  <c r="V2478" i="34"/>
  <c r="X2478" i="34"/>
  <c r="Y2478" i="34"/>
  <c r="N2479" i="34"/>
  <c r="R2479" i="34"/>
  <c r="S2479" i="34"/>
  <c r="T2479" i="34"/>
  <c r="V2479" i="34"/>
  <c r="X2479" i="34"/>
  <c r="Y2479" i="34"/>
  <c r="N2480" i="34"/>
  <c r="R2480" i="34"/>
  <c r="S2480" i="34"/>
  <c r="T2480" i="34"/>
  <c r="V2480" i="34"/>
  <c r="X2480" i="34"/>
  <c r="Y2480" i="34"/>
  <c r="N2481" i="34"/>
  <c r="R2481" i="34"/>
  <c r="S2481" i="34"/>
  <c r="T2481" i="34"/>
  <c r="V2481" i="34"/>
  <c r="X2481" i="34"/>
  <c r="Y2481" i="34"/>
  <c r="N2482" i="34"/>
  <c r="R2482" i="34"/>
  <c r="S2482" i="34"/>
  <c r="T2482" i="34"/>
  <c r="V2482" i="34"/>
  <c r="X2482" i="34"/>
  <c r="Y2482" i="34"/>
  <c r="N2483" i="34"/>
  <c r="R2483" i="34"/>
  <c r="S2483" i="34"/>
  <c r="T2483" i="34"/>
  <c r="V2483" i="34"/>
  <c r="X2483" i="34"/>
  <c r="Y2483" i="34"/>
  <c r="N2484" i="34"/>
  <c r="R2484" i="34"/>
  <c r="S2484" i="34"/>
  <c r="T2484" i="34"/>
  <c r="V2484" i="34"/>
  <c r="X2484" i="34"/>
  <c r="Y2484" i="34"/>
  <c r="N2485" i="34"/>
  <c r="R2485" i="34"/>
  <c r="S2485" i="34"/>
  <c r="T2485" i="34"/>
  <c r="V2485" i="34"/>
  <c r="X2485" i="34"/>
  <c r="Y2485" i="34"/>
  <c r="N2486" i="34"/>
  <c r="R2486" i="34"/>
  <c r="S2486" i="34"/>
  <c r="T2486" i="34"/>
  <c r="V2486" i="34"/>
  <c r="X2486" i="34"/>
  <c r="Y2486" i="34"/>
  <c r="N2487" i="34"/>
  <c r="R2487" i="34"/>
  <c r="S2487" i="34"/>
  <c r="T2487" i="34"/>
  <c r="V2487" i="34"/>
  <c r="X2487" i="34"/>
  <c r="Y2487" i="34"/>
  <c r="N2488" i="34"/>
  <c r="R2488" i="34"/>
  <c r="S2488" i="34"/>
  <c r="T2488" i="34"/>
  <c r="V2488" i="34"/>
  <c r="X2488" i="34"/>
  <c r="Y2488" i="34"/>
  <c r="N2489" i="34"/>
  <c r="R2489" i="34"/>
  <c r="S2489" i="34"/>
  <c r="T2489" i="34"/>
  <c r="V2489" i="34"/>
  <c r="X2489" i="34"/>
  <c r="Y2489" i="34"/>
  <c r="N2490" i="34"/>
  <c r="R2490" i="34"/>
  <c r="S2490" i="34"/>
  <c r="T2490" i="34"/>
  <c r="V2490" i="34"/>
  <c r="X2490" i="34"/>
  <c r="Y2490" i="34"/>
  <c r="N2491" i="34"/>
  <c r="R2491" i="34"/>
  <c r="S2491" i="34"/>
  <c r="T2491" i="34"/>
  <c r="V2491" i="34"/>
  <c r="X2491" i="34"/>
  <c r="Y2491" i="34"/>
  <c r="N2492" i="34"/>
  <c r="R2492" i="34"/>
  <c r="S2492" i="34"/>
  <c r="T2492" i="34"/>
  <c r="V2492" i="34"/>
  <c r="X2492" i="34"/>
  <c r="Y2492" i="34"/>
  <c r="N2493" i="34"/>
  <c r="R2493" i="34"/>
  <c r="S2493" i="34"/>
  <c r="T2493" i="34"/>
  <c r="V2493" i="34"/>
  <c r="X2493" i="34"/>
  <c r="Y2493" i="34"/>
  <c r="N2494" i="34"/>
  <c r="R2494" i="34"/>
  <c r="S2494" i="34"/>
  <c r="T2494" i="34"/>
  <c r="V2494" i="34"/>
  <c r="X2494" i="34"/>
  <c r="Y2494" i="34"/>
  <c r="N2495" i="34"/>
  <c r="R2495" i="34"/>
  <c r="S2495" i="34"/>
  <c r="T2495" i="34"/>
  <c r="V2495" i="34"/>
  <c r="X2495" i="34"/>
  <c r="Y2495" i="34"/>
  <c r="N2496" i="34"/>
  <c r="R2496" i="34"/>
  <c r="S2496" i="34"/>
  <c r="T2496" i="34"/>
  <c r="V2496" i="34"/>
  <c r="X2496" i="34"/>
  <c r="Y2496" i="34"/>
  <c r="N2497" i="34"/>
  <c r="R2497" i="34"/>
  <c r="S2497" i="34"/>
  <c r="T2497" i="34"/>
  <c r="V2497" i="34"/>
  <c r="X2497" i="34"/>
  <c r="Y2497" i="34"/>
  <c r="N2498" i="34"/>
  <c r="R2498" i="34"/>
  <c r="S2498" i="34"/>
  <c r="T2498" i="34"/>
  <c r="V2498" i="34"/>
  <c r="X2498" i="34"/>
  <c r="Y2498" i="34"/>
  <c r="N2499" i="34"/>
  <c r="R2499" i="34"/>
  <c r="S2499" i="34"/>
  <c r="T2499" i="34"/>
  <c r="V2499" i="34"/>
  <c r="X2499" i="34"/>
  <c r="Y2499" i="34"/>
  <c r="N2500" i="34"/>
  <c r="R2500" i="34"/>
  <c r="S2500" i="34"/>
  <c r="T2500" i="34"/>
  <c r="V2500" i="34"/>
  <c r="X2500" i="34"/>
  <c r="Y2500" i="34"/>
  <c r="N2501" i="34"/>
  <c r="R2501" i="34"/>
  <c r="S2501" i="34"/>
  <c r="T2501" i="34"/>
  <c r="V2501" i="34"/>
  <c r="X2501" i="34"/>
  <c r="Y2501" i="34"/>
  <c r="N2502" i="34"/>
  <c r="R2502" i="34"/>
  <c r="S2502" i="34"/>
  <c r="T2502" i="34"/>
  <c r="V2502" i="34"/>
  <c r="X2502" i="34"/>
  <c r="Y2502" i="34"/>
  <c r="N2503" i="34"/>
  <c r="R2503" i="34"/>
  <c r="S2503" i="34"/>
  <c r="T2503" i="34"/>
  <c r="V2503" i="34"/>
  <c r="X2503" i="34"/>
  <c r="Y2503" i="34"/>
  <c r="N2504" i="34"/>
  <c r="R2504" i="34"/>
  <c r="S2504" i="34"/>
  <c r="T2504" i="34"/>
  <c r="V2504" i="34"/>
  <c r="X2504" i="34"/>
  <c r="Y2504" i="34"/>
  <c r="N2505" i="34"/>
  <c r="R2505" i="34"/>
  <c r="S2505" i="34"/>
  <c r="T2505" i="34"/>
  <c r="V2505" i="34"/>
  <c r="X2505" i="34"/>
  <c r="Y2505" i="34"/>
  <c r="N2506" i="34"/>
  <c r="R2506" i="34"/>
  <c r="S2506" i="34"/>
  <c r="T2506" i="34"/>
  <c r="V2506" i="34"/>
  <c r="X2506" i="34"/>
  <c r="Y2506" i="34"/>
  <c r="N2507" i="34"/>
  <c r="R2507" i="34"/>
  <c r="S2507" i="34"/>
  <c r="T2507" i="34"/>
  <c r="V2507" i="34"/>
  <c r="X2507" i="34"/>
  <c r="Y2507" i="34"/>
  <c r="N2508" i="34"/>
  <c r="R2508" i="34"/>
  <c r="S2508" i="34"/>
  <c r="T2508" i="34"/>
  <c r="V2508" i="34"/>
  <c r="X2508" i="34"/>
  <c r="Y2508" i="34"/>
  <c r="N2509" i="34"/>
  <c r="R2509" i="34"/>
  <c r="S2509" i="34"/>
  <c r="T2509" i="34"/>
  <c r="V2509" i="34"/>
  <c r="X2509" i="34"/>
  <c r="Y2509" i="34"/>
  <c r="N2510" i="34"/>
  <c r="R2510" i="34"/>
  <c r="S2510" i="34"/>
  <c r="T2510" i="34"/>
  <c r="V2510" i="34"/>
  <c r="X2510" i="34"/>
  <c r="Y2510" i="34"/>
  <c r="N2511" i="34"/>
  <c r="R2511" i="34"/>
  <c r="S2511" i="34"/>
  <c r="T2511" i="34"/>
  <c r="V2511" i="34"/>
  <c r="X2511" i="34"/>
  <c r="Y2511" i="34"/>
  <c r="N2512" i="34"/>
  <c r="R2512" i="34"/>
  <c r="S2512" i="34"/>
  <c r="T2512" i="34"/>
  <c r="V2512" i="34"/>
  <c r="X2512" i="34"/>
  <c r="Y2512" i="34"/>
  <c r="N2513" i="34"/>
  <c r="R2513" i="34"/>
  <c r="S2513" i="34"/>
  <c r="T2513" i="34"/>
  <c r="V2513" i="34"/>
  <c r="X2513" i="34"/>
  <c r="Y2513" i="34"/>
  <c r="N2514" i="34"/>
  <c r="R2514" i="34"/>
  <c r="S2514" i="34"/>
  <c r="T2514" i="34"/>
  <c r="V2514" i="34"/>
  <c r="X2514" i="34"/>
  <c r="Y2514" i="34"/>
  <c r="N2515" i="34"/>
  <c r="R2515" i="34"/>
  <c r="S2515" i="34"/>
  <c r="T2515" i="34"/>
  <c r="V2515" i="34"/>
  <c r="X2515" i="34"/>
  <c r="Y2515" i="34"/>
  <c r="N2516" i="34"/>
  <c r="R2516" i="34"/>
  <c r="S2516" i="34"/>
  <c r="T2516" i="34"/>
  <c r="V2516" i="34"/>
  <c r="X2516" i="34"/>
  <c r="Y2516" i="34"/>
  <c r="N2517" i="34"/>
  <c r="R2517" i="34"/>
  <c r="S2517" i="34"/>
  <c r="T2517" i="34"/>
  <c r="V2517" i="34"/>
  <c r="X2517" i="34"/>
  <c r="Y2517" i="34"/>
  <c r="N2518" i="34"/>
  <c r="R2518" i="34"/>
  <c r="S2518" i="34"/>
  <c r="T2518" i="34"/>
  <c r="V2518" i="34"/>
  <c r="X2518" i="34"/>
  <c r="Y2518" i="34"/>
  <c r="N2519" i="34"/>
  <c r="R2519" i="34"/>
  <c r="S2519" i="34"/>
  <c r="T2519" i="34"/>
  <c r="V2519" i="34"/>
  <c r="X2519" i="34"/>
  <c r="Y2519" i="34"/>
  <c r="N2520" i="34"/>
  <c r="R2520" i="34"/>
  <c r="S2520" i="34"/>
  <c r="T2520" i="34"/>
  <c r="V2520" i="34"/>
  <c r="X2520" i="34"/>
  <c r="Y2520" i="34"/>
  <c r="N2521" i="34"/>
  <c r="R2521" i="34"/>
  <c r="S2521" i="34"/>
  <c r="T2521" i="34"/>
  <c r="V2521" i="34"/>
  <c r="X2521" i="34"/>
  <c r="Y2521" i="34"/>
  <c r="N2522" i="34"/>
  <c r="R2522" i="34"/>
  <c r="S2522" i="34"/>
  <c r="T2522" i="34"/>
  <c r="V2522" i="34"/>
  <c r="X2522" i="34"/>
  <c r="Y2522" i="34"/>
  <c r="N2523" i="34"/>
  <c r="R2523" i="34"/>
  <c r="S2523" i="34"/>
  <c r="T2523" i="34"/>
  <c r="V2523" i="34"/>
  <c r="X2523" i="34"/>
  <c r="Y2523" i="34"/>
  <c r="N2524" i="34"/>
  <c r="R2524" i="34"/>
  <c r="S2524" i="34"/>
  <c r="T2524" i="34"/>
  <c r="V2524" i="34"/>
  <c r="X2524" i="34"/>
  <c r="Y2524" i="34"/>
  <c r="N2525" i="34"/>
  <c r="R2525" i="34"/>
  <c r="S2525" i="34"/>
  <c r="T2525" i="34"/>
  <c r="V2525" i="34"/>
  <c r="X2525" i="34"/>
  <c r="Y2525" i="34"/>
  <c r="N2526" i="34"/>
  <c r="R2526" i="34"/>
  <c r="S2526" i="34"/>
  <c r="T2526" i="34"/>
  <c r="V2526" i="34"/>
  <c r="X2526" i="34"/>
  <c r="Y2526" i="34"/>
  <c r="N2527" i="34"/>
  <c r="R2527" i="34"/>
  <c r="S2527" i="34"/>
  <c r="T2527" i="34"/>
  <c r="V2527" i="34"/>
  <c r="X2527" i="34"/>
  <c r="Y2527" i="34"/>
  <c r="N2528" i="34"/>
  <c r="R2528" i="34"/>
  <c r="S2528" i="34"/>
  <c r="T2528" i="34"/>
  <c r="V2528" i="34"/>
  <c r="X2528" i="34"/>
  <c r="Y2528" i="34"/>
  <c r="N2529" i="34"/>
  <c r="R2529" i="34"/>
  <c r="S2529" i="34"/>
  <c r="T2529" i="34"/>
  <c r="V2529" i="34"/>
  <c r="X2529" i="34"/>
  <c r="Y2529" i="34"/>
  <c r="N2530" i="34"/>
  <c r="R2530" i="34"/>
  <c r="S2530" i="34"/>
  <c r="T2530" i="34"/>
  <c r="V2530" i="34"/>
  <c r="X2530" i="34"/>
  <c r="Y2530" i="34"/>
  <c r="N2531" i="34"/>
  <c r="R2531" i="34"/>
  <c r="S2531" i="34"/>
  <c r="T2531" i="34"/>
  <c r="V2531" i="34"/>
  <c r="X2531" i="34"/>
  <c r="Y2531" i="34"/>
  <c r="N2532" i="34"/>
  <c r="R2532" i="34"/>
  <c r="S2532" i="34"/>
  <c r="T2532" i="34"/>
  <c r="V2532" i="34"/>
  <c r="X2532" i="34"/>
  <c r="Y2532" i="34"/>
  <c r="N2533" i="34"/>
  <c r="R2533" i="34"/>
  <c r="S2533" i="34"/>
  <c r="T2533" i="34"/>
  <c r="V2533" i="34"/>
  <c r="X2533" i="34"/>
  <c r="Y2533" i="34"/>
  <c r="N2534" i="34"/>
  <c r="R2534" i="34"/>
  <c r="S2534" i="34"/>
  <c r="T2534" i="34"/>
  <c r="V2534" i="34"/>
  <c r="X2534" i="34"/>
  <c r="Y2534" i="34"/>
  <c r="N2535" i="34"/>
  <c r="R2535" i="34"/>
  <c r="S2535" i="34"/>
  <c r="T2535" i="34"/>
  <c r="V2535" i="34"/>
  <c r="X2535" i="34"/>
  <c r="Y2535" i="34"/>
  <c r="N2536" i="34"/>
  <c r="R2536" i="34"/>
  <c r="S2536" i="34"/>
  <c r="T2536" i="34"/>
  <c r="V2536" i="34"/>
  <c r="X2536" i="34"/>
  <c r="Y2536" i="34"/>
  <c r="N2537" i="34"/>
  <c r="R2537" i="34"/>
  <c r="S2537" i="34"/>
  <c r="T2537" i="34"/>
  <c r="V2537" i="34"/>
  <c r="X2537" i="34"/>
  <c r="Y2537" i="34"/>
  <c r="N2538" i="34"/>
  <c r="R2538" i="34"/>
  <c r="S2538" i="34"/>
  <c r="T2538" i="34"/>
  <c r="V2538" i="34"/>
  <c r="X2538" i="34"/>
  <c r="Y2538" i="34"/>
  <c r="N2539" i="34"/>
  <c r="R2539" i="34"/>
  <c r="S2539" i="34"/>
  <c r="T2539" i="34"/>
  <c r="V2539" i="34"/>
  <c r="X2539" i="34"/>
  <c r="Y2539" i="34"/>
  <c r="N2540" i="34"/>
  <c r="R2540" i="34"/>
  <c r="S2540" i="34"/>
  <c r="T2540" i="34"/>
  <c r="V2540" i="34"/>
  <c r="X2540" i="34"/>
  <c r="Y2540" i="34"/>
  <c r="N2541" i="34"/>
  <c r="R2541" i="34"/>
  <c r="S2541" i="34"/>
  <c r="T2541" i="34"/>
  <c r="V2541" i="34"/>
  <c r="X2541" i="34"/>
  <c r="Y2541" i="34"/>
  <c r="N2542" i="34"/>
  <c r="R2542" i="34"/>
  <c r="S2542" i="34"/>
  <c r="T2542" i="34"/>
  <c r="V2542" i="34"/>
  <c r="X2542" i="34"/>
  <c r="Y2542" i="34"/>
  <c r="N2543" i="34"/>
  <c r="R2543" i="34"/>
  <c r="S2543" i="34"/>
  <c r="T2543" i="34"/>
  <c r="V2543" i="34"/>
  <c r="X2543" i="34"/>
  <c r="Y2543" i="34"/>
  <c r="N2544" i="34"/>
  <c r="R2544" i="34"/>
  <c r="S2544" i="34"/>
  <c r="T2544" i="34"/>
  <c r="V2544" i="34"/>
  <c r="X2544" i="34"/>
  <c r="Y2544" i="34"/>
  <c r="N2545" i="34"/>
  <c r="R2545" i="34"/>
  <c r="S2545" i="34"/>
  <c r="T2545" i="34"/>
  <c r="V2545" i="34"/>
  <c r="X2545" i="34"/>
  <c r="Y2545" i="34"/>
  <c r="N2546" i="34"/>
  <c r="R2546" i="34"/>
  <c r="S2546" i="34"/>
  <c r="T2546" i="34"/>
  <c r="V2546" i="34"/>
  <c r="X2546" i="34"/>
  <c r="Y2546" i="34"/>
  <c r="N2547" i="34"/>
  <c r="R2547" i="34"/>
  <c r="S2547" i="34"/>
  <c r="T2547" i="34"/>
  <c r="V2547" i="34"/>
  <c r="X2547" i="34"/>
  <c r="Y2547" i="34"/>
  <c r="N2548" i="34"/>
  <c r="R2548" i="34"/>
  <c r="S2548" i="34"/>
  <c r="T2548" i="34"/>
  <c r="V2548" i="34"/>
  <c r="X2548" i="34"/>
  <c r="Y2548" i="34"/>
  <c r="N2549" i="34"/>
  <c r="R2549" i="34"/>
  <c r="S2549" i="34"/>
  <c r="T2549" i="34"/>
  <c r="V2549" i="34"/>
  <c r="X2549" i="34"/>
  <c r="Y2549" i="34"/>
  <c r="N2550" i="34"/>
  <c r="R2550" i="34"/>
  <c r="S2550" i="34"/>
  <c r="T2550" i="34"/>
  <c r="V2550" i="34"/>
  <c r="X2550" i="34"/>
  <c r="Y2550" i="34"/>
  <c r="N2551" i="34"/>
  <c r="R2551" i="34"/>
  <c r="S2551" i="34"/>
  <c r="T2551" i="34"/>
  <c r="V2551" i="34"/>
  <c r="X2551" i="34"/>
  <c r="Y2551" i="34"/>
  <c r="N2552" i="34"/>
  <c r="R2552" i="34"/>
  <c r="S2552" i="34"/>
  <c r="T2552" i="34"/>
  <c r="V2552" i="34"/>
  <c r="X2552" i="34"/>
  <c r="Y2552" i="34"/>
  <c r="N2553" i="34"/>
  <c r="R2553" i="34"/>
  <c r="S2553" i="34"/>
  <c r="T2553" i="34"/>
  <c r="V2553" i="34"/>
  <c r="X2553" i="34"/>
  <c r="Y2553" i="34"/>
  <c r="N2554" i="34"/>
  <c r="R2554" i="34"/>
  <c r="S2554" i="34"/>
  <c r="T2554" i="34"/>
  <c r="V2554" i="34"/>
  <c r="X2554" i="34"/>
  <c r="Y2554" i="34"/>
  <c r="N2555" i="34"/>
  <c r="R2555" i="34"/>
  <c r="S2555" i="34"/>
  <c r="T2555" i="34"/>
  <c r="V2555" i="34"/>
  <c r="X2555" i="34"/>
  <c r="Y2555" i="34"/>
  <c r="N2556" i="34"/>
  <c r="R2556" i="34"/>
  <c r="S2556" i="34"/>
  <c r="T2556" i="34"/>
  <c r="V2556" i="34"/>
  <c r="X2556" i="34"/>
  <c r="Y2556" i="34"/>
  <c r="N2557" i="34"/>
  <c r="R2557" i="34"/>
  <c r="S2557" i="34"/>
  <c r="T2557" i="34"/>
  <c r="V2557" i="34"/>
  <c r="X2557" i="34"/>
  <c r="Y2557" i="34"/>
  <c r="N2558" i="34"/>
  <c r="R2558" i="34"/>
  <c r="S2558" i="34"/>
  <c r="T2558" i="34"/>
  <c r="V2558" i="34"/>
  <c r="X2558" i="34"/>
  <c r="Y2558" i="34"/>
  <c r="N2559" i="34"/>
  <c r="R2559" i="34"/>
  <c r="S2559" i="34"/>
  <c r="T2559" i="34"/>
  <c r="V2559" i="34"/>
  <c r="X2559" i="34"/>
  <c r="Y2559" i="34"/>
  <c r="N2560" i="34"/>
  <c r="R2560" i="34"/>
  <c r="S2560" i="34"/>
  <c r="T2560" i="34"/>
  <c r="V2560" i="34"/>
  <c r="X2560" i="34"/>
  <c r="Y2560" i="34"/>
  <c r="N2561" i="34"/>
  <c r="R2561" i="34"/>
  <c r="S2561" i="34"/>
  <c r="T2561" i="34"/>
  <c r="V2561" i="34"/>
  <c r="X2561" i="34"/>
  <c r="Y2561" i="34"/>
  <c r="N2562" i="34"/>
  <c r="R2562" i="34"/>
  <c r="S2562" i="34"/>
  <c r="T2562" i="34"/>
  <c r="V2562" i="34"/>
  <c r="X2562" i="34"/>
  <c r="Y2562" i="34"/>
  <c r="N2563" i="34"/>
  <c r="R2563" i="34"/>
  <c r="S2563" i="34"/>
  <c r="T2563" i="34"/>
  <c r="V2563" i="34"/>
  <c r="X2563" i="34"/>
  <c r="Y2563" i="34"/>
  <c r="N2564" i="34"/>
  <c r="R2564" i="34"/>
  <c r="S2564" i="34"/>
  <c r="T2564" i="34"/>
  <c r="V2564" i="34"/>
  <c r="X2564" i="34"/>
  <c r="Y2564" i="34"/>
  <c r="N2565" i="34"/>
  <c r="R2565" i="34"/>
  <c r="S2565" i="34"/>
  <c r="T2565" i="34"/>
  <c r="V2565" i="34"/>
  <c r="X2565" i="34"/>
  <c r="Y2565" i="34"/>
  <c r="N2566" i="34"/>
  <c r="R2566" i="34"/>
  <c r="S2566" i="34"/>
  <c r="T2566" i="34"/>
  <c r="V2566" i="34"/>
  <c r="X2566" i="34"/>
  <c r="Y2566" i="34"/>
  <c r="N2567" i="34"/>
  <c r="R2567" i="34"/>
  <c r="S2567" i="34"/>
  <c r="T2567" i="34"/>
  <c r="V2567" i="34"/>
  <c r="X2567" i="34"/>
  <c r="Y2567" i="34"/>
  <c r="N2568" i="34"/>
  <c r="R2568" i="34"/>
  <c r="S2568" i="34"/>
  <c r="T2568" i="34"/>
  <c r="V2568" i="34"/>
  <c r="X2568" i="34"/>
  <c r="Y2568" i="34"/>
  <c r="N2569" i="34"/>
  <c r="R2569" i="34"/>
  <c r="S2569" i="34"/>
  <c r="T2569" i="34"/>
  <c r="V2569" i="34"/>
  <c r="X2569" i="34"/>
  <c r="Y2569" i="34"/>
  <c r="N2570" i="34"/>
  <c r="R2570" i="34"/>
  <c r="S2570" i="34"/>
  <c r="T2570" i="34"/>
  <c r="V2570" i="34"/>
  <c r="X2570" i="34"/>
  <c r="Y2570" i="34"/>
  <c r="N2571" i="34"/>
  <c r="R2571" i="34"/>
  <c r="S2571" i="34"/>
  <c r="T2571" i="34"/>
  <c r="V2571" i="34"/>
  <c r="X2571" i="34"/>
  <c r="Y2571" i="34"/>
  <c r="N2572" i="34"/>
  <c r="R2572" i="34"/>
  <c r="S2572" i="34"/>
  <c r="T2572" i="34"/>
  <c r="V2572" i="34"/>
  <c r="X2572" i="34"/>
  <c r="Y2572" i="34"/>
  <c r="N2573" i="34"/>
  <c r="R2573" i="34"/>
  <c r="S2573" i="34"/>
  <c r="T2573" i="34"/>
  <c r="V2573" i="34"/>
  <c r="X2573" i="34"/>
  <c r="Y2573" i="34"/>
  <c r="N2574" i="34"/>
  <c r="R2574" i="34"/>
  <c r="S2574" i="34"/>
  <c r="T2574" i="34"/>
  <c r="V2574" i="34"/>
  <c r="X2574" i="34"/>
  <c r="Y2574" i="34"/>
  <c r="N2575" i="34"/>
  <c r="R2575" i="34"/>
  <c r="S2575" i="34"/>
  <c r="T2575" i="34"/>
  <c r="V2575" i="34"/>
  <c r="X2575" i="34"/>
  <c r="Y2575" i="34"/>
  <c r="N2576" i="34"/>
  <c r="R2576" i="34"/>
  <c r="S2576" i="34"/>
  <c r="T2576" i="34"/>
  <c r="V2576" i="34"/>
  <c r="X2576" i="34"/>
  <c r="Y2576" i="34"/>
  <c r="N2577" i="34"/>
  <c r="R2577" i="34"/>
  <c r="S2577" i="34"/>
  <c r="T2577" i="34"/>
  <c r="V2577" i="34"/>
  <c r="X2577" i="34"/>
  <c r="Y2577" i="34"/>
  <c r="N2578" i="34"/>
  <c r="R2578" i="34"/>
  <c r="S2578" i="34"/>
  <c r="T2578" i="34"/>
  <c r="V2578" i="34"/>
  <c r="X2578" i="34"/>
  <c r="Y2578" i="34"/>
  <c r="N2579" i="34"/>
  <c r="R2579" i="34"/>
  <c r="S2579" i="34"/>
  <c r="T2579" i="34"/>
  <c r="V2579" i="34"/>
  <c r="X2579" i="34"/>
  <c r="Y2579" i="34"/>
  <c r="N2580" i="34"/>
  <c r="R2580" i="34"/>
  <c r="S2580" i="34"/>
  <c r="T2580" i="34"/>
  <c r="V2580" i="34"/>
  <c r="X2580" i="34"/>
  <c r="Y2580" i="34"/>
  <c r="N2581" i="34"/>
  <c r="R2581" i="34"/>
  <c r="S2581" i="34"/>
  <c r="T2581" i="34"/>
  <c r="V2581" i="34"/>
  <c r="X2581" i="34"/>
  <c r="Y2581" i="34"/>
  <c r="N2582" i="34"/>
  <c r="R2582" i="34"/>
  <c r="S2582" i="34"/>
  <c r="T2582" i="34"/>
  <c r="V2582" i="34"/>
  <c r="X2582" i="34"/>
  <c r="Y2582" i="34"/>
  <c r="N2583" i="34"/>
  <c r="R2583" i="34"/>
  <c r="S2583" i="34"/>
  <c r="T2583" i="34"/>
  <c r="V2583" i="34"/>
  <c r="X2583" i="34"/>
  <c r="Y2583" i="34"/>
  <c r="N2584" i="34"/>
  <c r="R2584" i="34"/>
  <c r="S2584" i="34"/>
  <c r="T2584" i="34"/>
  <c r="V2584" i="34"/>
  <c r="X2584" i="34"/>
  <c r="Y2584" i="34"/>
  <c r="N2585" i="34"/>
  <c r="R2585" i="34"/>
  <c r="S2585" i="34"/>
  <c r="T2585" i="34"/>
  <c r="V2585" i="34"/>
  <c r="X2585" i="34"/>
  <c r="Y2585" i="34"/>
  <c r="N2586" i="34"/>
  <c r="R2586" i="34"/>
  <c r="S2586" i="34"/>
  <c r="T2586" i="34"/>
  <c r="V2586" i="34"/>
  <c r="X2586" i="34"/>
  <c r="Y2586" i="34"/>
  <c r="N2587" i="34"/>
  <c r="R2587" i="34"/>
  <c r="S2587" i="34"/>
  <c r="T2587" i="34"/>
  <c r="V2587" i="34"/>
  <c r="X2587" i="34"/>
  <c r="Y2587" i="34"/>
  <c r="N2588" i="34"/>
  <c r="R2588" i="34"/>
  <c r="S2588" i="34"/>
  <c r="T2588" i="34"/>
  <c r="V2588" i="34"/>
  <c r="X2588" i="34"/>
  <c r="Y2588" i="34"/>
  <c r="N2589" i="34"/>
  <c r="R2589" i="34"/>
  <c r="S2589" i="34"/>
  <c r="T2589" i="34"/>
  <c r="V2589" i="34"/>
  <c r="X2589" i="34"/>
  <c r="Y2589" i="34"/>
  <c r="N2590" i="34"/>
  <c r="R2590" i="34"/>
  <c r="S2590" i="34"/>
  <c r="T2590" i="34"/>
  <c r="V2590" i="34"/>
  <c r="X2590" i="34"/>
  <c r="Y2590" i="34"/>
  <c r="N2591" i="34"/>
  <c r="R2591" i="34"/>
  <c r="S2591" i="34"/>
  <c r="T2591" i="34"/>
  <c r="V2591" i="34"/>
  <c r="X2591" i="34"/>
  <c r="Y2591" i="34"/>
  <c r="N2592" i="34"/>
  <c r="R2592" i="34"/>
  <c r="S2592" i="34"/>
  <c r="T2592" i="34"/>
  <c r="V2592" i="34"/>
  <c r="X2592" i="34"/>
  <c r="Y2592" i="34"/>
  <c r="N2593" i="34"/>
  <c r="R2593" i="34"/>
  <c r="S2593" i="34"/>
  <c r="T2593" i="34"/>
  <c r="V2593" i="34"/>
  <c r="X2593" i="34"/>
  <c r="Y2593" i="34"/>
  <c r="N2594" i="34"/>
  <c r="R2594" i="34"/>
  <c r="S2594" i="34"/>
  <c r="T2594" i="34"/>
  <c r="V2594" i="34"/>
  <c r="X2594" i="34"/>
  <c r="Y2594" i="34"/>
  <c r="N2595" i="34"/>
  <c r="R2595" i="34"/>
  <c r="S2595" i="34"/>
  <c r="T2595" i="34"/>
  <c r="V2595" i="34"/>
  <c r="X2595" i="34"/>
  <c r="Y2595" i="34"/>
  <c r="N2596" i="34"/>
  <c r="R2596" i="34"/>
  <c r="S2596" i="34"/>
  <c r="T2596" i="34"/>
  <c r="V2596" i="34"/>
  <c r="X2596" i="34"/>
  <c r="Y2596" i="34"/>
  <c r="N2597" i="34"/>
  <c r="R2597" i="34"/>
  <c r="S2597" i="34"/>
  <c r="T2597" i="34"/>
  <c r="V2597" i="34"/>
  <c r="X2597" i="34"/>
  <c r="Y2597" i="34"/>
  <c r="N2598" i="34"/>
  <c r="R2598" i="34"/>
  <c r="S2598" i="34"/>
  <c r="T2598" i="34"/>
  <c r="V2598" i="34"/>
  <c r="X2598" i="34"/>
  <c r="Y2598" i="34"/>
  <c r="N2599" i="34"/>
  <c r="R2599" i="34"/>
  <c r="S2599" i="34"/>
  <c r="T2599" i="34"/>
  <c r="V2599" i="34"/>
  <c r="X2599" i="34"/>
  <c r="Y2599" i="34"/>
  <c r="N2600" i="34"/>
  <c r="R2600" i="34"/>
  <c r="S2600" i="34"/>
  <c r="T2600" i="34"/>
  <c r="V2600" i="34"/>
  <c r="X2600" i="34"/>
  <c r="Y2600" i="34"/>
  <c r="N2601" i="34"/>
  <c r="R2601" i="34"/>
  <c r="S2601" i="34"/>
  <c r="T2601" i="34"/>
  <c r="V2601" i="34"/>
  <c r="X2601" i="34"/>
  <c r="Y2601" i="34"/>
  <c r="N2602" i="34"/>
  <c r="R2602" i="34"/>
  <c r="S2602" i="34"/>
  <c r="T2602" i="34"/>
  <c r="V2602" i="34"/>
  <c r="X2602" i="34"/>
  <c r="Y2602" i="34"/>
  <c r="N2603" i="34"/>
  <c r="R2603" i="34"/>
  <c r="S2603" i="34"/>
  <c r="T2603" i="34"/>
  <c r="V2603" i="34"/>
  <c r="X2603" i="34"/>
  <c r="Y2603" i="34"/>
  <c r="N2604" i="34"/>
  <c r="R2604" i="34"/>
  <c r="S2604" i="34"/>
  <c r="T2604" i="34"/>
  <c r="V2604" i="34"/>
  <c r="X2604" i="34"/>
  <c r="Y2604" i="34"/>
  <c r="N2605" i="34"/>
  <c r="R2605" i="34"/>
  <c r="S2605" i="34"/>
  <c r="T2605" i="34"/>
  <c r="V2605" i="34"/>
  <c r="X2605" i="34"/>
  <c r="Y2605" i="34"/>
  <c r="N2606" i="34"/>
  <c r="R2606" i="34"/>
  <c r="S2606" i="34"/>
  <c r="T2606" i="34"/>
  <c r="V2606" i="34"/>
  <c r="X2606" i="34"/>
  <c r="Y2606" i="34"/>
  <c r="N2607" i="34"/>
  <c r="R2607" i="34"/>
  <c r="S2607" i="34"/>
  <c r="T2607" i="34"/>
  <c r="V2607" i="34"/>
  <c r="X2607" i="34"/>
  <c r="Y2607" i="34"/>
  <c r="N2608" i="34"/>
  <c r="R2608" i="34"/>
  <c r="S2608" i="34"/>
  <c r="T2608" i="34"/>
  <c r="V2608" i="34"/>
  <c r="X2608" i="34"/>
  <c r="Y2608" i="34"/>
  <c r="N2609" i="34"/>
  <c r="R2609" i="34"/>
  <c r="S2609" i="34"/>
  <c r="T2609" i="34"/>
  <c r="V2609" i="34"/>
  <c r="X2609" i="34"/>
  <c r="Y2609" i="34"/>
  <c r="N2610" i="34"/>
  <c r="R2610" i="34"/>
  <c r="S2610" i="34"/>
  <c r="T2610" i="34"/>
  <c r="V2610" i="34"/>
  <c r="X2610" i="34"/>
  <c r="Y2610" i="34"/>
  <c r="N2611" i="34"/>
  <c r="R2611" i="34"/>
  <c r="S2611" i="34"/>
  <c r="T2611" i="34"/>
  <c r="V2611" i="34"/>
  <c r="X2611" i="34"/>
  <c r="Y2611" i="34"/>
  <c r="N2612" i="34"/>
  <c r="R2612" i="34"/>
  <c r="S2612" i="34"/>
  <c r="T2612" i="34"/>
  <c r="V2612" i="34"/>
  <c r="X2612" i="34"/>
  <c r="Y2612" i="34"/>
  <c r="N2613" i="34"/>
  <c r="R2613" i="34"/>
  <c r="S2613" i="34"/>
  <c r="T2613" i="34"/>
  <c r="V2613" i="34"/>
  <c r="X2613" i="34"/>
  <c r="Y2613" i="34"/>
  <c r="N2614" i="34"/>
  <c r="R2614" i="34"/>
  <c r="S2614" i="34"/>
  <c r="T2614" i="34"/>
  <c r="V2614" i="34"/>
  <c r="X2614" i="34"/>
  <c r="Y2614" i="34"/>
  <c r="N2615" i="34"/>
  <c r="R2615" i="34"/>
  <c r="S2615" i="34"/>
  <c r="T2615" i="34"/>
  <c r="V2615" i="34"/>
  <c r="X2615" i="34"/>
  <c r="Y2615" i="34"/>
  <c r="N2616" i="34"/>
  <c r="R2616" i="34"/>
  <c r="S2616" i="34"/>
  <c r="T2616" i="34"/>
  <c r="V2616" i="34"/>
  <c r="X2616" i="34"/>
  <c r="Y2616" i="34"/>
  <c r="N2617" i="34"/>
  <c r="R2617" i="34"/>
  <c r="S2617" i="34"/>
  <c r="T2617" i="34"/>
  <c r="V2617" i="34"/>
  <c r="X2617" i="34"/>
  <c r="Y2617" i="34"/>
  <c r="N2618" i="34"/>
  <c r="R2618" i="34"/>
  <c r="S2618" i="34"/>
  <c r="T2618" i="34"/>
  <c r="V2618" i="34"/>
  <c r="X2618" i="34"/>
  <c r="Y2618" i="34"/>
  <c r="N2619" i="34"/>
  <c r="R2619" i="34"/>
  <c r="S2619" i="34"/>
  <c r="T2619" i="34"/>
  <c r="V2619" i="34"/>
  <c r="X2619" i="34"/>
  <c r="Y2619" i="34"/>
  <c r="N2620" i="34"/>
  <c r="R2620" i="34"/>
  <c r="S2620" i="34"/>
  <c r="T2620" i="34"/>
  <c r="V2620" i="34"/>
  <c r="X2620" i="34"/>
  <c r="Y2620" i="34"/>
  <c r="N2621" i="34"/>
  <c r="R2621" i="34"/>
  <c r="S2621" i="34"/>
  <c r="T2621" i="34"/>
  <c r="V2621" i="34"/>
  <c r="X2621" i="34"/>
  <c r="Y2621" i="34"/>
  <c r="N2622" i="34"/>
  <c r="R2622" i="34"/>
  <c r="S2622" i="34"/>
  <c r="T2622" i="34"/>
  <c r="V2622" i="34"/>
  <c r="X2622" i="34"/>
  <c r="Y2622" i="34"/>
  <c r="N2623" i="34"/>
  <c r="R2623" i="34"/>
  <c r="S2623" i="34"/>
  <c r="T2623" i="34"/>
  <c r="V2623" i="34"/>
  <c r="X2623" i="34"/>
  <c r="Y2623" i="34"/>
  <c r="N2624" i="34"/>
  <c r="R2624" i="34"/>
  <c r="S2624" i="34"/>
  <c r="T2624" i="34"/>
  <c r="V2624" i="34"/>
  <c r="X2624" i="34"/>
  <c r="Y2624" i="34"/>
  <c r="N2625" i="34"/>
  <c r="R2625" i="34"/>
  <c r="S2625" i="34"/>
  <c r="T2625" i="34"/>
  <c r="V2625" i="34"/>
  <c r="X2625" i="34"/>
  <c r="Y2625" i="34"/>
  <c r="N2626" i="34"/>
  <c r="R2626" i="34"/>
  <c r="S2626" i="34"/>
  <c r="T2626" i="34"/>
  <c r="V2626" i="34"/>
  <c r="X2626" i="34"/>
  <c r="Y2626" i="34"/>
  <c r="N2627" i="34"/>
  <c r="R2627" i="34"/>
  <c r="S2627" i="34"/>
  <c r="T2627" i="34"/>
  <c r="V2627" i="34"/>
  <c r="X2627" i="34"/>
  <c r="Y2627" i="34"/>
  <c r="N2628" i="34"/>
  <c r="R2628" i="34"/>
  <c r="S2628" i="34"/>
  <c r="T2628" i="34"/>
  <c r="V2628" i="34"/>
  <c r="X2628" i="34"/>
  <c r="Y2628" i="34"/>
  <c r="N2629" i="34"/>
  <c r="R2629" i="34"/>
  <c r="S2629" i="34"/>
  <c r="T2629" i="34"/>
  <c r="V2629" i="34"/>
  <c r="X2629" i="34"/>
  <c r="Y2629" i="34"/>
  <c r="N2630" i="34"/>
  <c r="R2630" i="34"/>
  <c r="S2630" i="34"/>
  <c r="T2630" i="34"/>
  <c r="V2630" i="34"/>
  <c r="X2630" i="34"/>
  <c r="Y2630" i="34"/>
  <c r="N2631" i="34"/>
  <c r="R2631" i="34"/>
  <c r="S2631" i="34"/>
  <c r="T2631" i="34"/>
  <c r="V2631" i="34"/>
  <c r="X2631" i="34"/>
  <c r="Y2631" i="34"/>
  <c r="N2632" i="34"/>
  <c r="R2632" i="34"/>
  <c r="S2632" i="34"/>
  <c r="T2632" i="34"/>
  <c r="V2632" i="34"/>
  <c r="X2632" i="34"/>
  <c r="Y2632" i="34"/>
  <c r="N2633" i="34"/>
  <c r="R2633" i="34"/>
  <c r="S2633" i="34"/>
  <c r="T2633" i="34"/>
  <c r="V2633" i="34"/>
  <c r="X2633" i="34"/>
  <c r="Y2633" i="34"/>
  <c r="N2634" i="34"/>
  <c r="R2634" i="34"/>
  <c r="S2634" i="34"/>
  <c r="T2634" i="34"/>
  <c r="V2634" i="34"/>
  <c r="X2634" i="34"/>
  <c r="Y2634" i="34"/>
  <c r="N2635" i="34"/>
  <c r="R2635" i="34"/>
  <c r="S2635" i="34"/>
  <c r="T2635" i="34"/>
  <c r="V2635" i="34"/>
  <c r="X2635" i="34"/>
  <c r="Y2635" i="34"/>
  <c r="N2636" i="34"/>
  <c r="R2636" i="34"/>
  <c r="S2636" i="34"/>
  <c r="T2636" i="34"/>
  <c r="V2636" i="34"/>
  <c r="X2636" i="34"/>
  <c r="Y2636" i="34"/>
  <c r="N2637" i="34"/>
  <c r="R2637" i="34"/>
  <c r="S2637" i="34"/>
  <c r="T2637" i="34"/>
  <c r="V2637" i="34"/>
  <c r="X2637" i="34"/>
  <c r="Y2637" i="34"/>
  <c r="N2638" i="34"/>
  <c r="R2638" i="34"/>
  <c r="S2638" i="34"/>
  <c r="T2638" i="34"/>
  <c r="V2638" i="34"/>
  <c r="X2638" i="34"/>
  <c r="Y2638" i="34"/>
  <c r="N2639" i="34"/>
  <c r="R2639" i="34"/>
  <c r="S2639" i="34"/>
  <c r="T2639" i="34"/>
  <c r="V2639" i="34"/>
  <c r="X2639" i="34"/>
  <c r="Y2639" i="34"/>
  <c r="N2640" i="34"/>
  <c r="R2640" i="34"/>
  <c r="S2640" i="34"/>
  <c r="T2640" i="34"/>
  <c r="V2640" i="34"/>
  <c r="X2640" i="34"/>
  <c r="Y2640" i="34"/>
  <c r="N2641" i="34"/>
  <c r="R2641" i="34"/>
  <c r="S2641" i="34"/>
  <c r="T2641" i="34"/>
  <c r="V2641" i="34"/>
  <c r="X2641" i="34"/>
  <c r="Y2641" i="34"/>
  <c r="N2642" i="34"/>
  <c r="R2642" i="34"/>
  <c r="S2642" i="34"/>
  <c r="T2642" i="34"/>
  <c r="V2642" i="34"/>
  <c r="X2642" i="34"/>
  <c r="Y2642" i="34"/>
  <c r="N2643" i="34"/>
  <c r="R2643" i="34"/>
  <c r="S2643" i="34"/>
  <c r="T2643" i="34"/>
  <c r="V2643" i="34"/>
  <c r="X2643" i="34"/>
  <c r="Y2643" i="34"/>
  <c r="N2644" i="34"/>
  <c r="R2644" i="34"/>
  <c r="S2644" i="34"/>
  <c r="T2644" i="34"/>
  <c r="V2644" i="34"/>
  <c r="X2644" i="34"/>
  <c r="Y2644" i="34"/>
  <c r="N2645" i="34"/>
  <c r="R2645" i="34"/>
  <c r="S2645" i="34"/>
  <c r="T2645" i="34"/>
  <c r="V2645" i="34"/>
  <c r="X2645" i="34"/>
  <c r="Y2645" i="34"/>
  <c r="N2646" i="34"/>
  <c r="R2646" i="34"/>
  <c r="S2646" i="34"/>
  <c r="T2646" i="34"/>
  <c r="V2646" i="34"/>
  <c r="X2646" i="34"/>
  <c r="Y2646" i="34"/>
  <c r="N2647" i="34"/>
  <c r="R2647" i="34"/>
  <c r="S2647" i="34"/>
  <c r="T2647" i="34"/>
  <c r="V2647" i="34"/>
  <c r="X2647" i="34"/>
  <c r="Y2647" i="34"/>
  <c r="N2648" i="34"/>
  <c r="R2648" i="34"/>
  <c r="S2648" i="34"/>
  <c r="T2648" i="34"/>
  <c r="V2648" i="34"/>
  <c r="X2648" i="34"/>
  <c r="Y2648" i="34"/>
  <c r="N2649" i="34"/>
  <c r="R2649" i="34"/>
  <c r="S2649" i="34"/>
  <c r="T2649" i="34"/>
  <c r="V2649" i="34"/>
  <c r="X2649" i="34"/>
  <c r="Y2649" i="34"/>
  <c r="N2650" i="34"/>
  <c r="R2650" i="34"/>
  <c r="S2650" i="34"/>
  <c r="T2650" i="34"/>
  <c r="V2650" i="34"/>
  <c r="X2650" i="34"/>
  <c r="Y2650" i="34"/>
  <c r="N2651" i="34"/>
  <c r="R2651" i="34"/>
  <c r="S2651" i="34"/>
  <c r="T2651" i="34"/>
  <c r="V2651" i="34"/>
  <c r="X2651" i="34"/>
  <c r="Y2651" i="34"/>
  <c r="N2652" i="34"/>
  <c r="R2652" i="34"/>
  <c r="S2652" i="34"/>
  <c r="T2652" i="34"/>
  <c r="V2652" i="34"/>
  <c r="X2652" i="34"/>
  <c r="Y2652" i="34"/>
  <c r="N2653" i="34"/>
  <c r="R2653" i="34"/>
  <c r="S2653" i="34"/>
  <c r="T2653" i="34"/>
  <c r="V2653" i="34"/>
  <c r="X2653" i="34"/>
  <c r="Y2653" i="34"/>
  <c r="N2654" i="34"/>
  <c r="R2654" i="34"/>
  <c r="S2654" i="34"/>
  <c r="T2654" i="34"/>
  <c r="V2654" i="34"/>
  <c r="X2654" i="34"/>
  <c r="Y2654" i="34"/>
  <c r="N2655" i="34"/>
  <c r="R2655" i="34"/>
  <c r="S2655" i="34"/>
  <c r="T2655" i="34"/>
  <c r="V2655" i="34"/>
  <c r="X2655" i="34"/>
  <c r="Y2655" i="34"/>
  <c r="N2656" i="34"/>
  <c r="R2656" i="34"/>
  <c r="S2656" i="34"/>
  <c r="T2656" i="34"/>
  <c r="V2656" i="34"/>
  <c r="X2656" i="34"/>
  <c r="Y2656" i="34"/>
  <c r="N2657" i="34"/>
  <c r="R2657" i="34"/>
  <c r="S2657" i="34"/>
  <c r="T2657" i="34"/>
  <c r="V2657" i="34"/>
  <c r="X2657" i="34"/>
  <c r="Y2657" i="34"/>
  <c r="N2658" i="34"/>
  <c r="R2658" i="34"/>
  <c r="S2658" i="34"/>
  <c r="T2658" i="34"/>
  <c r="V2658" i="34"/>
  <c r="X2658" i="34"/>
  <c r="Y2658" i="34"/>
  <c r="N2659" i="34"/>
  <c r="R2659" i="34"/>
  <c r="S2659" i="34"/>
  <c r="T2659" i="34"/>
  <c r="V2659" i="34"/>
  <c r="X2659" i="34"/>
  <c r="Y2659" i="34"/>
  <c r="N2660" i="34"/>
  <c r="R2660" i="34"/>
  <c r="S2660" i="34"/>
  <c r="T2660" i="34"/>
  <c r="V2660" i="34"/>
  <c r="X2660" i="34"/>
  <c r="Y2660" i="34"/>
  <c r="N2661" i="34"/>
  <c r="R2661" i="34"/>
  <c r="S2661" i="34"/>
  <c r="T2661" i="34"/>
  <c r="V2661" i="34"/>
  <c r="X2661" i="34"/>
  <c r="Y2661" i="34"/>
  <c r="N2662" i="34"/>
  <c r="R2662" i="34"/>
  <c r="S2662" i="34"/>
  <c r="T2662" i="34"/>
  <c r="V2662" i="34"/>
  <c r="X2662" i="34"/>
  <c r="Y2662" i="34"/>
  <c r="N2663" i="34"/>
  <c r="R2663" i="34"/>
  <c r="S2663" i="34"/>
  <c r="T2663" i="34"/>
  <c r="V2663" i="34"/>
  <c r="X2663" i="34"/>
  <c r="Y2663" i="34"/>
  <c r="N2664" i="34"/>
  <c r="R2664" i="34"/>
  <c r="S2664" i="34"/>
  <c r="T2664" i="34"/>
  <c r="V2664" i="34"/>
  <c r="X2664" i="34"/>
  <c r="Y2664" i="34"/>
  <c r="N2665" i="34"/>
  <c r="R2665" i="34"/>
  <c r="S2665" i="34"/>
  <c r="T2665" i="34"/>
  <c r="V2665" i="34"/>
  <c r="X2665" i="34"/>
  <c r="Y2665" i="34"/>
  <c r="N2666" i="34"/>
  <c r="R2666" i="34"/>
  <c r="S2666" i="34"/>
  <c r="T2666" i="34"/>
  <c r="V2666" i="34"/>
  <c r="X2666" i="34"/>
  <c r="Y2666" i="34"/>
  <c r="N2667" i="34"/>
  <c r="R2667" i="34"/>
  <c r="S2667" i="34"/>
  <c r="T2667" i="34"/>
  <c r="V2667" i="34"/>
  <c r="X2667" i="34"/>
  <c r="Y2667" i="34"/>
  <c r="N2668" i="34"/>
  <c r="R2668" i="34"/>
  <c r="S2668" i="34"/>
  <c r="T2668" i="34"/>
  <c r="V2668" i="34"/>
  <c r="X2668" i="34"/>
  <c r="Y2668" i="34"/>
  <c r="N2669" i="34"/>
  <c r="R2669" i="34"/>
  <c r="S2669" i="34"/>
  <c r="T2669" i="34"/>
  <c r="V2669" i="34"/>
  <c r="X2669" i="34"/>
  <c r="Y2669" i="34"/>
  <c r="N2670" i="34"/>
  <c r="R2670" i="34"/>
  <c r="S2670" i="34"/>
  <c r="T2670" i="34"/>
  <c r="V2670" i="34"/>
  <c r="X2670" i="34"/>
  <c r="Y2670" i="34"/>
  <c r="N2671" i="34"/>
  <c r="R2671" i="34"/>
  <c r="S2671" i="34"/>
  <c r="T2671" i="34"/>
  <c r="V2671" i="34"/>
  <c r="X2671" i="34"/>
  <c r="Y2671" i="34"/>
  <c r="N2672" i="34"/>
  <c r="R2672" i="34"/>
  <c r="S2672" i="34"/>
  <c r="T2672" i="34"/>
  <c r="V2672" i="34"/>
  <c r="X2672" i="34"/>
  <c r="Y2672" i="34"/>
  <c r="N2673" i="34"/>
  <c r="R2673" i="34"/>
  <c r="S2673" i="34"/>
  <c r="T2673" i="34"/>
  <c r="V2673" i="34"/>
  <c r="X2673" i="34"/>
  <c r="Y2673" i="34"/>
  <c r="N2674" i="34"/>
  <c r="R2674" i="34"/>
  <c r="S2674" i="34"/>
  <c r="T2674" i="34"/>
  <c r="V2674" i="34"/>
  <c r="X2674" i="34"/>
  <c r="Y2674" i="34"/>
  <c r="N2675" i="34"/>
  <c r="R2675" i="34"/>
  <c r="S2675" i="34"/>
  <c r="T2675" i="34"/>
  <c r="V2675" i="34"/>
  <c r="X2675" i="34"/>
  <c r="Y2675" i="34"/>
  <c r="N2676" i="34"/>
  <c r="R2676" i="34"/>
  <c r="S2676" i="34"/>
  <c r="T2676" i="34"/>
  <c r="V2676" i="34"/>
  <c r="X2676" i="34"/>
  <c r="Y2676" i="34"/>
  <c r="N2677" i="34"/>
  <c r="R2677" i="34"/>
  <c r="S2677" i="34"/>
  <c r="T2677" i="34"/>
  <c r="V2677" i="34"/>
  <c r="X2677" i="34"/>
  <c r="Y2677" i="34"/>
  <c r="N2678" i="34"/>
  <c r="R2678" i="34"/>
  <c r="S2678" i="34"/>
  <c r="T2678" i="34"/>
  <c r="V2678" i="34"/>
  <c r="X2678" i="34"/>
  <c r="Y2678" i="34"/>
  <c r="N2679" i="34"/>
  <c r="R2679" i="34"/>
  <c r="S2679" i="34"/>
  <c r="T2679" i="34"/>
  <c r="V2679" i="34"/>
  <c r="X2679" i="34"/>
  <c r="Y2679" i="34"/>
  <c r="N2680" i="34"/>
  <c r="R2680" i="34"/>
  <c r="S2680" i="34"/>
  <c r="T2680" i="34"/>
  <c r="V2680" i="34"/>
  <c r="X2680" i="34"/>
  <c r="Y2680" i="34"/>
  <c r="N2681" i="34"/>
  <c r="R2681" i="34"/>
  <c r="S2681" i="34"/>
  <c r="T2681" i="34"/>
  <c r="V2681" i="34"/>
  <c r="X2681" i="34"/>
  <c r="Y2681" i="34"/>
  <c r="N2682" i="34"/>
  <c r="R2682" i="34"/>
  <c r="S2682" i="34"/>
  <c r="T2682" i="34"/>
  <c r="V2682" i="34"/>
  <c r="X2682" i="34"/>
  <c r="Y2682" i="34"/>
  <c r="N2683" i="34"/>
  <c r="R2683" i="34"/>
  <c r="S2683" i="34"/>
  <c r="T2683" i="34"/>
  <c r="V2683" i="34"/>
  <c r="X2683" i="34"/>
  <c r="Y2683" i="34"/>
  <c r="N2684" i="34"/>
  <c r="R2684" i="34"/>
  <c r="S2684" i="34"/>
  <c r="T2684" i="34"/>
  <c r="V2684" i="34"/>
  <c r="X2684" i="34"/>
  <c r="Y2684" i="34"/>
  <c r="N2685" i="34"/>
  <c r="R2685" i="34"/>
  <c r="S2685" i="34"/>
  <c r="T2685" i="34"/>
  <c r="V2685" i="34"/>
  <c r="X2685" i="34"/>
  <c r="Y2685" i="34"/>
  <c r="N2686" i="34"/>
  <c r="R2686" i="34"/>
  <c r="S2686" i="34"/>
  <c r="T2686" i="34"/>
  <c r="V2686" i="34"/>
  <c r="X2686" i="34"/>
  <c r="Y2686" i="34"/>
  <c r="N2687" i="34"/>
  <c r="R2687" i="34"/>
  <c r="S2687" i="34"/>
  <c r="T2687" i="34"/>
  <c r="V2687" i="34"/>
  <c r="X2687" i="34"/>
  <c r="Y2687" i="34"/>
  <c r="N2688" i="34"/>
  <c r="R2688" i="34"/>
  <c r="S2688" i="34"/>
  <c r="T2688" i="34"/>
  <c r="V2688" i="34"/>
  <c r="X2688" i="34"/>
  <c r="Y2688" i="34"/>
  <c r="N2689" i="34"/>
  <c r="R2689" i="34"/>
  <c r="S2689" i="34"/>
  <c r="T2689" i="34"/>
  <c r="V2689" i="34"/>
  <c r="X2689" i="34"/>
  <c r="Y2689" i="34"/>
  <c r="N2690" i="34"/>
  <c r="R2690" i="34"/>
  <c r="S2690" i="34"/>
  <c r="T2690" i="34"/>
  <c r="V2690" i="34"/>
  <c r="X2690" i="34"/>
  <c r="Y2690" i="34"/>
  <c r="N2691" i="34"/>
  <c r="R2691" i="34"/>
  <c r="S2691" i="34"/>
  <c r="T2691" i="34"/>
  <c r="V2691" i="34"/>
  <c r="X2691" i="34"/>
  <c r="Y2691" i="34"/>
  <c r="N2692" i="34"/>
  <c r="R2692" i="34"/>
  <c r="S2692" i="34"/>
  <c r="T2692" i="34"/>
  <c r="V2692" i="34"/>
  <c r="X2692" i="34"/>
  <c r="Y2692" i="34"/>
  <c r="N2693" i="34"/>
  <c r="R2693" i="34"/>
  <c r="S2693" i="34"/>
  <c r="T2693" i="34"/>
  <c r="V2693" i="34"/>
  <c r="X2693" i="34"/>
  <c r="Y2693" i="34"/>
  <c r="N2694" i="34"/>
  <c r="R2694" i="34"/>
  <c r="S2694" i="34"/>
  <c r="T2694" i="34"/>
  <c r="V2694" i="34"/>
  <c r="X2694" i="34"/>
  <c r="Y2694" i="34"/>
  <c r="N2695" i="34"/>
  <c r="R2695" i="34"/>
  <c r="S2695" i="34"/>
  <c r="T2695" i="34"/>
  <c r="V2695" i="34"/>
  <c r="X2695" i="34"/>
  <c r="Y2695" i="34"/>
  <c r="N2696" i="34"/>
  <c r="R2696" i="34"/>
  <c r="S2696" i="34"/>
  <c r="T2696" i="34"/>
  <c r="V2696" i="34"/>
  <c r="X2696" i="34"/>
  <c r="Y2696" i="34"/>
  <c r="N2697" i="34"/>
  <c r="R2697" i="34"/>
  <c r="S2697" i="34"/>
  <c r="T2697" i="34"/>
  <c r="V2697" i="34"/>
  <c r="X2697" i="34"/>
  <c r="Y2697" i="34"/>
  <c r="N2698" i="34"/>
  <c r="R2698" i="34"/>
  <c r="S2698" i="34"/>
  <c r="T2698" i="34"/>
  <c r="V2698" i="34"/>
  <c r="X2698" i="34"/>
  <c r="Y2698" i="34"/>
  <c r="N2699" i="34"/>
  <c r="R2699" i="34"/>
  <c r="S2699" i="34"/>
  <c r="T2699" i="34"/>
  <c r="V2699" i="34"/>
  <c r="X2699" i="34"/>
  <c r="Y2699" i="34"/>
  <c r="N2700" i="34"/>
  <c r="R2700" i="34"/>
  <c r="S2700" i="34"/>
  <c r="T2700" i="34"/>
  <c r="V2700" i="34"/>
  <c r="X2700" i="34"/>
  <c r="Y2700" i="34"/>
  <c r="N2701" i="34"/>
  <c r="R2701" i="34"/>
  <c r="S2701" i="34"/>
  <c r="T2701" i="34"/>
  <c r="V2701" i="34"/>
  <c r="X2701" i="34"/>
  <c r="Y2701" i="34"/>
  <c r="N2702" i="34"/>
  <c r="R2702" i="34"/>
  <c r="S2702" i="34"/>
  <c r="T2702" i="34"/>
  <c r="V2702" i="34"/>
  <c r="X2702" i="34"/>
  <c r="Y2702" i="34"/>
  <c r="N2703" i="34"/>
  <c r="R2703" i="34"/>
  <c r="S2703" i="34"/>
  <c r="T2703" i="34"/>
  <c r="V2703" i="34"/>
  <c r="X2703" i="34"/>
  <c r="Y2703" i="34"/>
  <c r="N2704" i="34"/>
  <c r="R2704" i="34"/>
  <c r="S2704" i="34"/>
  <c r="T2704" i="34"/>
  <c r="V2704" i="34"/>
  <c r="X2704" i="34"/>
  <c r="Y2704" i="34"/>
  <c r="N2705" i="34"/>
  <c r="R2705" i="34"/>
  <c r="S2705" i="34"/>
  <c r="T2705" i="34"/>
  <c r="V2705" i="34"/>
  <c r="X2705" i="34"/>
  <c r="Y2705" i="34"/>
  <c r="N2706" i="34"/>
  <c r="R2706" i="34"/>
  <c r="S2706" i="34"/>
  <c r="T2706" i="34"/>
  <c r="V2706" i="34"/>
  <c r="X2706" i="34"/>
  <c r="Y2706" i="34"/>
  <c r="N2707" i="34"/>
  <c r="R2707" i="34"/>
  <c r="S2707" i="34"/>
  <c r="T2707" i="34"/>
  <c r="V2707" i="34"/>
  <c r="X2707" i="34"/>
  <c r="Y2707" i="34"/>
  <c r="N2708" i="34"/>
  <c r="R2708" i="34"/>
  <c r="S2708" i="34"/>
  <c r="T2708" i="34"/>
  <c r="V2708" i="34"/>
  <c r="X2708" i="34"/>
  <c r="Y2708" i="34"/>
  <c r="N2709" i="34"/>
  <c r="R2709" i="34"/>
  <c r="S2709" i="34"/>
  <c r="T2709" i="34"/>
  <c r="V2709" i="34"/>
  <c r="X2709" i="34"/>
  <c r="Y2709" i="34"/>
  <c r="N2710" i="34"/>
  <c r="R2710" i="34"/>
  <c r="S2710" i="34"/>
  <c r="T2710" i="34"/>
  <c r="V2710" i="34"/>
  <c r="X2710" i="34"/>
  <c r="Y2710" i="34"/>
  <c r="N2711" i="34"/>
  <c r="R2711" i="34"/>
  <c r="S2711" i="34"/>
  <c r="T2711" i="34"/>
  <c r="V2711" i="34"/>
  <c r="X2711" i="34"/>
  <c r="Y2711" i="34"/>
  <c r="N2712" i="34"/>
  <c r="R2712" i="34"/>
  <c r="S2712" i="34"/>
  <c r="T2712" i="34"/>
  <c r="V2712" i="34"/>
  <c r="X2712" i="34"/>
  <c r="Y2712" i="34"/>
  <c r="N2713" i="34"/>
  <c r="R2713" i="34"/>
  <c r="S2713" i="34"/>
  <c r="T2713" i="34"/>
  <c r="V2713" i="34"/>
  <c r="X2713" i="34"/>
  <c r="Y2713" i="34"/>
  <c r="N2714" i="34"/>
  <c r="R2714" i="34"/>
  <c r="S2714" i="34"/>
  <c r="T2714" i="34"/>
  <c r="V2714" i="34"/>
  <c r="X2714" i="34"/>
  <c r="Y2714" i="34"/>
  <c r="N2715" i="34"/>
  <c r="R2715" i="34"/>
  <c r="S2715" i="34"/>
  <c r="T2715" i="34"/>
  <c r="V2715" i="34"/>
  <c r="X2715" i="34"/>
  <c r="Y2715" i="34"/>
  <c r="N2716" i="34"/>
  <c r="R2716" i="34"/>
  <c r="S2716" i="34"/>
  <c r="T2716" i="34"/>
  <c r="V2716" i="34"/>
  <c r="X2716" i="34"/>
  <c r="Y2716" i="34"/>
  <c r="N2717" i="34"/>
  <c r="R2717" i="34"/>
  <c r="S2717" i="34"/>
  <c r="T2717" i="34"/>
  <c r="V2717" i="34"/>
  <c r="X2717" i="34"/>
  <c r="Y2717" i="34"/>
  <c r="N2718" i="34"/>
  <c r="R2718" i="34"/>
  <c r="S2718" i="34"/>
  <c r="T2718" i="34"/>
  <c r="V2718" i="34"/>
  <c r="X2718" i="34"/>
  <c r="Y2718" i="34"/>
  <c r="N2719" i="34"/>
  <c r="R2719" i="34"/>
  <c r="S2719" i="34"/>
  <c r="T2719" i="34"/>
  <c r="V2719" i="34"/>
  <c r="X2719" i="34"/>
  <c r="Y2719" i="34"/>
  <c r="N2720" i="34"/>
  <c r="R2720" i="34"/>
  <c r="S2720" i="34"/>
  <c r="T2720" i="34"/>
  <c r="V2720" i="34"/>
  <c r="X2720" i="34"/>
  <c r="Y2720" i="34"/>
  <c r="N2721" i="34"/>
  <c r="R2721" i="34"/>
  <c r="S2721" i="34"/>
  <c r="T2721" i="34"/>
  <c r="V2721" i="34"/>
  <c r="X2721" i="34"/>
  <c r="Y2721" i="34"/>
  <c r="N2722" i="34"/>
  <c r="R2722" i="34"/>
  <c r="S2722" i="34"/>
  <c r="T2722" i="34"/>
  <c r="V2722" i="34"/>
  <c r="X2722" i="34"/>
  <c r="Y2722" i="34"/>
  <c r="N2723" i="34"/>
  <c r="R2723" i="34"/>
  <c r="S2723" i="34"/>
  <c r="T2723" i="34"/>
  <c r="V2723" i="34"/>
  <c r="X2723" i="34"/>
  <c r="Y2723" i="34"/>
  <c r="N2724" i="34"/>
  <c r="R2724" i="34"/>
  <c r="S2724" i="34"/>
  <c r="T2724" i="34"/>
  <c r="V2724" i="34"/>
  <c r="X2724" i="34"/>
  <c r="Y2724" i="34"/>
  <c r="N2725" i="34"/>
  <c r="R2725" i="34"/>
  <c r="S2725" i="34"/>
  <c r="T2725" i="34"/>
  <c r="V2725" i="34"/>
  <c r="X2725" i="34"/>
  <c r="Y2725" i="34"/>
  <c r="N2726" i="34"/>
  <c r="R2726" i="34"/>
  <c r="S2726" i="34"/>
  <c r="T2726" i="34"/>
  <c r="V2726" i="34"/>
  <c r="X2726" i="34"/>
  <c r="Y2726" i="34"/>
  <c r="N2727" i="34"/>
  <c r="R2727" i="34"/>
  <c r="S2727" i="34"/>
  <c r="T2727" i="34"/>
  <c r="V2727" i="34"/>
  <c r="X2727" i="34"/>
  <c r="Y2727" i="34"/>
  <c r="N2728" i="34"/>
  <c r="R2728" i="34"/>
  <c r="S2728" i="34"/>
  <c r="T2728" i="34"/>
  <c r="V2728" i="34"/>
  <c r="X2728" i="34"/>
  <c r="Y2728" i="34"/>
  <c r="N2729" i="34"/>
  <c r="R2729" i="34"/>
  <c r="S2729" i="34"/>
  <c r="T2729" i="34"/>
  <c r="V2729" i="34"/>
  <c r="X2729" i="34"/>
  <c r="Y2729" i="34"/>
  <c r="N2730" i="34"/>
  <c r="R2730" i="34"/>
  <c r="S2730" i="34"/>
  <c r="T2730" i="34"/>
  <c r="V2730" i="34"/>
  <c r="X2730" i="34"/>
  <c r="Y2730" i="34"/>
  <c r="N2731" i="34"/>
  <c r="R2731" i="34"/>
  <c r="S2731" i="34"/>
  <c r="T2731" i="34"/>
  <c r="V2731" i="34"/>
  <c r="X2731" i="34"/>
  <c r="Y2731" i="34"/>
  <c r="N2732" i="34"/>
  <c r="R2732" i="34"/>
  <c r="S2732" i="34"/>
  <c r="T2732" i="34"/>
  <c r="V2732" i="34"/>
  <c r="X2732" i="34"/>
  <c r="Y2732" i="34"/>
  <c r="N2733" i="34"/>
  <c r="R2733" i="34"/>
  <c r="S2733" i="34"/>
  <c r="T2733" i="34"/>
  <c r="V2733" i="34"/>
  <c r="X2733" i="34"/>
  <c r="Y2733" i="34"/>
  <c r="N2734" i="34"/>
  <c r="R2734" i="34"/>
  <c r="S2734" i="34"/>
  <c r="T2734" i="34"/>
  <c r="V2734" i="34"/>
  <c r="X2734" i="34"/>
  <c r="Y2734" i="34"/>
  <c r="N2735" i="34"/>
  <c r="R2735" i="34"/>
  <c r="S2735" i="34"/>
  <c r="T2735" i="34"/>
  <c r="V2735" i="34"/>
  <c r="X2735" i="34"/>
  <c r="Y2735" i="34"/>
  <c r="N2736" i="34"/>
  <c r="R2736" i="34"/>
  <c r="S2736" i="34"/>
  <c r="T2736" i="34"/>
  <c r="V2736" i="34"/>
  <c r="X2736" i="34"/>
  <c r="Y2736" i="34"/>
  <c r="N2737" i="34"/>
  <c r="R2737" i="34"/>
  <c r="S2737" i="34"/>
  <c r="T2737" i="34"/>
  <c r="V2737" i="34"/>
  <c r="X2737" i="34"/>
  <c r="Y2737" i="34"/>
  <c r="N2738" i="34"/>
  <c r="R2738" i="34"/>
  <c r="S2738" i="34"/>
  <c r="T2738" i="34"/>
  <c r="V2738" i="34"/>
  <c r="X2738" i="34"/>
  <c r="Y2738" i="34"/>
  <c r="N2739" i="34"/>
  <c r="R2739" i="34"/>
  <c r="S2739" i="34"/>
  <c r="T2739" i="34"/>
  <c r="V2739" i="34"/>
  <c r="X2739" i="34"/>
  <c r="Y2739" i="34"/>
  <c r="N2740" i="34"/>
  <c r="R2740" i="34"/>
  <c r="S2740" i="34"/>
  <c r="T2740" i="34"/>
  <c r="V2740" i="34"/>
  <c r="X2740" i="34"/>
  <c r="Y2740" i="34"/>
  <c r="N2741" i="34"/>
  <c r="R2741" i="34"/>
  <c r="S2741" i="34"/>
  <c r="T2741" i="34"/>
  <c r="V2741" i="34"/>
  <c r="X2741" i="34"/>
  <c r="Y2741" i="34"/>
  <c r="N2742" i="34"/>
  <c r="R2742" i="34"/>
  <c r="S2742" i="34"/>
  <c r="T2742" i="34"/>
  <c r="V2742" i="34"/>
  <c r="X2742" i="34"/>
  <c r="Y2742" i="34"/>
  <c r="N2743" i="34"/>
  <c r="R2743" i="34"/>
  <c r="S2743" i="34"/>
  <c r="T2743" i="34"/>
  <c r="V2743" i="34"/>
  <c r="X2743" i="34"/>
  <c r="Y2743" i="34"/>
  <c r="N2744" i="34"/>
  <c r="R2744" i="34"/>
  <c r="S2744" i="34"/>
  <c r="T2744" i="34"/>
  <c r="V2744" i="34"/>
  <c r="X2744" i="34"/>
  <c r="Y2744" i="34"/>
  <c r="N2745" i="34"/>
  <c r="R2745" i="34"/>
  <c r="S2745" i="34"/>
  <c r="T2745" i="34"/>
  <c r="V2745" i="34"/>
  <c r="X2745" i="34"/>
  <c r="Y2745" i="34"/>
  <c r="N2746" i="34"/>
  <c r="R2746" i="34"/>
  <c r="S2746" i="34"/>
  <c r="T2746" i="34"/>
  <c r="V2746" i="34"/>
  <c r="X2746" i="34"/>
  <c r="Y2746" i="34"/>
  <c r="N2747" i="34"/>
  <c r="R2747" i="34"/>
  <c r="S2747" i="34"/>
  <c r="T2747" i="34"/>
  <c r="V2747" i="34"/>
  <c r="X2747" i="34"/>
  <c r="Y2747" i="34"/>
  <c r="N2748" i="34"/>
  <c r="R2748" i="34"/>
  <c r="S2748" i="34"/>
  <c r="T2748" i="34"/>
  <c r="V2748" i="34"/>
  <c r="X2748" i="34"/>
  <c r="Y2748" i="34"/>
  <c r="N2749" i="34"/>
  <c r="R2749" i="34"/>
  <c r="S2749" i="34"/>
  <c r="T2749" i="34"/>
  <c r="V2749" i="34"/>
  <c r="X2749" i="34"/>
  <c r="Y2749" i="34"/>
  <c r="N2750" i="34"/>
  <c r="R2750" i="34"/>
  <c r="S2750" i="34"/>
  <c r="T2750" i="34"/>
  <c r="V2750" i="34"/>
  <c r="X2750" i="34"/>
  <c r="Y2750" i="34"/>
  <c r="N2751" i="34"/>
  <c r="R2751" i="34"/>
  <c r="S2751" i="34"/>
  <c r="T2751" i="34"/>
  <c r="V2751" i="34"/>
  <c r="X2751" i="34"/>
  <c r="Y2751" i="34"/>
  <c r="N2752" i="34"/>
  <c r="R2752" i="34"/>
  <c r="S2752" i="34"/>
  <c r="T2752" i="34"/>
  <c r="V2752" i="34"/>
  <c r="X2752" i="34"/>
  <c r="Y2752" i="34"/>
  <c r="N2753" i="34"/>
  <c r="R2753" i="34"/>
  <c r="S2753" i="34"/>
  <c r="T2753" i="34"/>
  <c r="V2753" i="34"/>
  <c r="X2753" i="34"/>
  <c r="Y2753" i="34"/>
  <c r="N2754" i="34"/>
  <c r="R2754" i="34"/>
  <c r="S2754" i="34"/>
  <c r="T2754" i="34"/>
  <c r="V2754" i="34"/>
  <c r="X2754" i="34"/>
  <c r="Y2754" i="34"/>
  <c r="N2755" i="34"/>
  <c r="R2755" i="34"/>
  <c r="S2755" i="34"/>
  <c r="T2755" i="34"/>
  <c r="V2755" i="34"/>
  <c r="X2755" i="34"/>
  <c r="Y2755" i="34"/>
  <c r="N2756" i="34"/>
  <c r="R2756" i="34"/>
  <c r="S2756" i="34"/>
  <c r="T2756" i="34"/>
  <c r="V2756" i="34"/>
  <c r="X2756" i="34"/>
  <c r="Y2756" i="34"/>
  <c r="N2757" i="34"/>
  <c r="R2757" i="34"/>
  <c r="S2757" i="34"/>
  <c r="T2757" i="34"/>
  <c r="V2757" i="34"/>
  <c r="X2757" i="34"/>
  <c r="Y2757" i="34"/>
  <c r="N2758" i="34"/>
  <c r="R2758" i="34"/>
  <c r="S2758" i="34"/>
  <c r="T2758" i="34"/>
  <c r="V2758" i="34"/>
  <c r="X2758" i="34"/>
  <c r="Y2758" i="34"/>
  <c r="N2759" i="34"/>
  <c r="R2759" i="34"/>
  <c r="S2759" i="34"/>
  <c r="T2759" i="34"/>
  <c r="V2759" i="34"/>
  <c r="X2759" i="34"/>
  <c r="Y2759" i="34"/>
  <c r="N2760" i="34"/>
  <c r="R2760" i="34"/>
  <c r="S2760" i="34"/>
  <c r="T2760" i="34"/>
  <c r="V2760" i="34"/>
  <c r="X2760" i="34"/>
  <c r="Y2760" i="34"/>
  <c r="N2761" i="34"/>
  <c r="R2761" i="34"/>
  <c r="S2761" i="34"/>
  <c r="T2761" i="34"/>
  <c r="V2761" i="34"/>
  <c r="X2761" i="34"/>
  <c r="Y2761" i="34"/>
  <c r="N2762" i="34"/>
  <c r="R2762" i="34"/>
  <c r="S2762" i="34"/>
  <c r="T2762" i="34"/>
  <c r="V2762" i="34"/>
  <c r="X2762" i="34"/>
  <c r="Y2762" i="34"/>
  <c r="N2763" i="34"/>
  <c r="R2763" i="34"/>
  <c r="S2763" i="34"/>
  <c r="T2763" i="34"/>
  <c r="V2763" i="34"/>
  <c r="X2763" i="34"/>
  <c r="Y2763" i="34"/>
  <c r="N2764" i="34"/>
  <c r="R2764" i="34"/>
  <c r="S2764" i="34"/>
  <c r="T2764" i="34"/>
  <c r="V2764" i="34"/>
  <c r="X2764" i="34"/>
  <c r="Y2764" i="34"/>
  <c r="N2765" i="34"/>
  <c r="R2765" i="34"/>
  <c r="S2765" i="34"/>
  <c r="T2765" i="34"/>
  <c r="V2765" i="34"/>
  <c r="X2765" i="34"/>
  <c r="Y2765" i="34"/>
  <c r="N2766" i="34"/>
  <c r="R2766" i="34"/>
  <c r="S2766" i="34"/>
  <c r="T2766" i="34"/>
  <c r="V2766" i="34"/>
  <c r="X2766" i="34"/>
  <c r="Y2766" i="34"/>
  <c r="N2767" i="34"/>
  <c r="R2767" i="34"/>
  <c r="S2767" i="34"/>
  <c r="T2767" i="34"/>
  <c r="V2767" i="34"/>
  <c r="X2767" i="34"/>
  <c r="Y2767" i="34"/>
  <c r="N2768" i="34"/>
  <c r="R2768" i="34"/>
  <c r="S2768" i="34"/>
  <c r="T2768" i="34"/>
  <c r="V2768" i="34"/>
  <c r="X2768" i="34"/>
  <c r="Y2768" i="34"/>
  <c r="N2769" i="34"/>
  <c r="R2769" i="34"/>
  <c r="S2769" i="34"/>
  <c r="T2769" i="34"/>
  <c r="V2769" i="34"/>
  <c r="X2769" i="34"/>
  <c r="Y2769" i="34"/>
  <c r="N2770" i="34"/>
  <c r="R2770" i="34"/>
  <c r="S2770" i="34"/>
  <c r="T2770" i="34"/>
  <c r="V2770" i="34"/>
  <c r="X2770" i="34"/>
  <c r="Y2770" i="34"/>
  <c r="N2771" i="34"/>
  <c r="R2771" i="34"/>
  <c r="S2771" i="34"/>
  <c r="T2771" i="34"/>
  <c r="V2771" i="34"/>
  <c r="X2771" i="34"/>
  <c r="Y2771" i="34"/>
  <c r="N2772" i="34"/>
  <c r="R2772" i="34"/>
  <c r="S2772" i="34"/>
  <c r="T2772" i="34"/>
  <c r="V2772" i="34"/>
  <c r="X2772" i="34"/>
  <c r="Y2772" i="34"/>
  <c r="N2773" i="34"/>
  <c r="R2773" i="34"/>
  <c r="S2773" i="34"/>
  <c r="T2773" i="34"/>
  <c r="V2773" i="34"/>
  <c r="X2773" i="34"/>
  <c r="Y2773" i="34"/>
  <c r="N2774" i="34"/>
  <c r="R2774" i="34"/>
  <c r="S2774" i="34"/>
  <c r="T2774" i="34"/>
  <c r="V2774" i="34"/>
  <c r="X2774" i="34"/>
  <c r="Y2774" i="34"/>
  <c r="N2775" i="34"/>
  <c r="R2775" i="34"/>
  <c r="S2775" i="34"/>
  <c r="T2775" i="34"/>
  <c r="V2775" i="34"/>
  <c r="X2775" i="34"/>
  <c r="Y2775" i="34"/>
  <c r="N2776" i="34"/>
  <c r="R2776" i="34"/>
  <c r="S2776" i="34"/>
  <c r="T2776" i="34"/>
  <c r="V2776" i="34"/>
  <c r="X2776" i="34"/>
  <c r="Y2776" i="34"/>
  <c r="N2777" i="34"/>
  <c r="R2777" i="34"/>
  <c r="S2777" i="34"/>
  <c r="T2777" i="34"/>
  <c r="V2777" i="34"/>
  <c r="X2777" i="34"/>
  <c r="Y2777" i="34"/>
  <c r="N2778" i="34"/>
  <c r="R2778" i="34"/>
  <c r="S2778" i="34"/>
  <c r="T2778" i="34"/>
  <c r="V2778" i="34"/>
  <c r="X2778" i="34"/>
  <c r="Y2778" i="34"/>
  <c r="N2779" i="34"/>
  <c r="R2779" i="34"/>
  <c r="S2779" i="34"/>
  <c r="T2779" i="34"/>
  <c r="V2779" i="34"/>
  <c r="X2779" i="34"/>
  <c r="Y2779" i="34"/>
  <c r="N2780" i="34"/>
  <c r="R2780" i="34"/>
  <c r="S2780" i="34"/>
  <c r="T2780" i="34"/>
  <c r="V2780" i="34"/>
  <c r="X2780" i="34"/>
  <c r="Y2780" i="34"/>
  <c r="N2781" i="34"/>
  <c r="R2781" i="34"/>
  <c r="S2781" i="34"/>
  <c r="T2781" i="34"/>
  <c r="V2781" i="34"/>
  <c r="X2781" i="34"/>
  <c r="Y2781" i="34"/>
  <c r="N2782" i="34"/>
  <c r="R2782" i="34"/>
  <c r="S2782" i="34"/>
  <c r="T2782" i="34"/>
  <c r="V2782" i="34"/>
  <c r="X2782" i="34"/>
  <c r="Y2782" i="34"/>
  <c r="N2783" i="34"/>
  <c r="R2783" i="34"/>
  <c r="S2783" i="34"/>
  <c r="T2783" i="34"/>
  <c r="V2783" i="34"/>
  <c r="X2783" i="34"/>
  <c r="Y2783" i="34"/>
  <c r="N2784" i="34"/>
  <c r="R2784" i="34"/>
  <c r="S2784" i="34"/>
  <c r="T2784" i="34"/>
  <c r="V2784" i="34"/>
  <c r="X2784" i="34"/>
  <c r="Y2784" i="34"/>
  <c r="N2785" i="34"/>
  <c r="R2785" i="34"/>
  <c r="S2785" i="34"/>
  <c r="T2785" i="34"/>
  <c r="V2785" i="34"/>
  <c r="X2785" i="34"/>
  <c r="Y2785" i="34"/>
  <c r="N2786" i="34"/>
  <c r="R2786" i="34"/>
  <c r="S2786" i="34"/>
  <c r="T2786" i="34"/>
  <c r="V2786" i="34"/>
  <c r="X2786" i="34"/>
  <c r="Y2786" i="34"/>
  <c r="N2787" i="34"/>
  <c r="R2787" i="34"/>
  <c r="S2787" i="34"/>
  <c r="T2787" i="34"/>
  <c r="V2787" i="34"/>
  <c r="X2787" i="34"/>
  <c r="Y2787" i="34"/>
  <c r="N2788" i="34"/>
  <c r="R2788" i="34"/>
  <c r="S2788" i="34"/>
  <c r="T2788" i="34"/>
  <c r="V2788" i="34"/>
  <c r="X2788" i="34"/>
  <c r="Y2788" i="34"/>
  <c r="N2789" i="34"/>
  <c r="R2789" i="34"/>
  <c r="S2789" i="34"/>
  <c r="T2789" i="34"/>
  <c r="V2789" i="34"/>
  <c r="X2789" i="34"/>
  <c r="Y2789" i="34"/>
  <c r="N2790" i="34"/>
  <c r="R2790" i="34"/>
  <c r="S2790" i="34"/>
  <c r="T2790" i="34"/>
  <c r="V2790" i="34"/>
  <c r="X2790" i="34"/>
  <c r="Y2790" i="34"/>
  <c r="N2791" i="34"/>
  <c r="R2791" i="34"/>
  <c r="S2791" i="34"/>
  <c r="T2791" i="34"/>
  <c r="V2791" i="34"/>
  <c r="X2791" i="34"/>
  <c r="Y2791" i="34"/>
  <c r="N2792" i="34"/>
  <c r="R2792" i="34"/>
  <c r="S2792" i="34"/>
  <c r="T2792" i="34"/>
  <c r="V2792" i="34"/>
  <c r="X2792" i="34"/>
  <c r="Y2792" i="34"/>
  <c r="N2793" i="34"/>
  <c r="R2793" i="34"/>
  <c r="S2793" i="34"/>
  <c r="T2793" i="34"/>
  <c r="V2793" i="34"/>
  <c r="X2793" i="34"/>
  <c r="Y2793" i="34"/>
  <c r="N2794" i="34"/>
  <c r="R2794" i="34"/>
  <c r="S2794" i="34"/>
  <c r="T2794" i="34"/>
  <c r="V2794" i="34"/>
  <c r="X2794" i="34"/>
  <c r="Y2794" i="34"/>
  <c r="N2795" i="34"/>
  <c r="R2795" i="34"/>
  <c r="S2795" i="34"/>
  <c r="T2795" i="34"/>
  <c r="V2795" i="34"/>
  <c r="X2795" i="34"/>
  <c r="Y2795" i="34"/>
  <c r="N2796" i="34"/>
  <c r="R2796" i="34"/>
  <c r="S2796" i="34"/>
  <c r="T2796" i="34"/>
  <c r="V2796" i="34"/>
  <c r="X2796" i="34"/>
  <c r="Y2796" i="34"/>
  <c r="N2797" i="34"/>
  <c r="R2797" i="34"/>
  <c r="S2797" i="34"/>
  <c r="T2797" i="34"/>
  <c r="V2797" i="34"/>
  <c r="X2797" i="34"/>
  <c r="Y2797" i="34"/>
  <c r="N2798" i="34"/>
  <c r="R2798" i="34"/>
  <c r="S2798" i="34"/>
  <c r="T2798" i="34"/>
  <c r="V2798" i="34"/>
  <c r="X2798" i="34"/>
  <c r="Y2798" i="34"/>
  <c r="N2799" i="34"/>
  <c r="R2799" i="34"/>
  <c r="S2799" i="34"/>
  <c r="T2799" i="34"/>
  <c r="V2799" i="34"/>
  <c r="X2799" i="34"/>
  <c r="Y2799" i="34"/>
  <c r="N2800" i="34"/>
  <c r="R2800" i="34"/>
  <c r="S2800" i="34"/>
  <c r="T2800" i="34"/>
  <c r="V2800" i="34"/>
  <c r="X2800" i="34"/>
  <c r="Y2800" i="34"/>
  <c r="N2801" i="34"/>
  <c r="R2801" i="34"/>
  <c r="S2801" i="34"/>
  <c r="T2801" i="34"/>
  <c r="V2801" i="34"/>
  <c r="X2801" i="34"/>
  <c r="Y2801" i="34"/>
  <c r="N2802" i="34"/>
  <c r="R2802" i="34"/>
  <c r="S2802" i="34"/>
  <c r="T2802" i="34"/>
  <c r="V2802" i="34"/>
  <c r="X2802" i="34"/>
  <c r="Y2802" i="34"/>
  <c r="N2803" i="34"/>
  <c r="R2803" i="34"/>
  <c r="S2803" i="34"/>
  <c r="T2803" i="34"/>
  <c r="V2803" i="34"/>
  <c r="X2803" i="34"/>
  <c r="Y2803" i="34"/>
  <c r="N2804" i="34"/>
  <c r="R2804" i="34"/>
  <c r="S2804" i="34"/>
  <c r="T2804" i="34"/>
  <c r="V2804" i="34"/>
  <c r="X2804" i="34"/>
  <c r="Y2804" i="34"/>
  <c r="N2805" i="34"/>
  <c r="R2805" i="34"/>
  <c r="S2805" i="34"/>
  <c r="T2805" i="34"/>
  <c r="V2805" i="34"/>
  <c r="X2805" i="34"/>
  <c r="Y2805" i="34"/>
  <c r="N2806" i="34"/>
  <c r="R2806" i="34"/>
  <c r="S2806" i="34"/>
  <c r="T2806" i="34"/>
  <c r="V2806" i="34"/>
  <c r="X2806" i="34"/>
  <c r="Y2806" i="34"/>
  <c r="N2807" i="34"/>
  <c r="R2807" i="34"/>
  <c r="S2807" i="34"/>
  <c r="T2807" i="34"/>
  <c r="V2807" i="34"/>
  <c r="X2807" i="34"/>
  <c r="Y2807" i="34"/>
  <c r="N2808" i="34"/>
  <c r="R2808" i="34"/>
  <c r="S2808" i="34"/>
  <c r="T2808" i="34"/>
  <c r="V2808" i="34"/>
  <c r="X2808" i="34"/>
  <c r="Y2808" i="34"/>
  <c r="N2809" i="34"/>
  <c r="R2809" i="34"/>
  <c r="S2809" i="34"/>
  <c r="T2809" i="34"/>
  <c r="V2809" i="34"/>
  <c r="X2809" i="34"/>
  <c r="Y2809" i="34"/>
  <c r="N2810" i="34"/>
  <c r="R2810" i="34"/>
  <c r="S2810" i="34"/>
  <c r="T2810" i="34"/>
  <c r="V2810" i="34"/>
  <c r="X2810" i="34"/>
  <c r="Y2810" i="34"/>
  <c r="N2811" i="34"/>
  <c r="R2811" i="34"/>
  <c r="S2811" i="34"/>
  <c r="T2811" i="34"/>
  <c r="V2811" i="34"/>
  <c r="X2811" i="34"/>
  <c r="Y2811" i="34"/>
  <c r="N2812" i="34"/>
  <c r="R2812" i="34"/>
  <c r="S2812" i="34"/>
  <c r="T2812" i="34"/>
  <c r="V2812" i="34"/>
  <c r="X2812" i="34"/>
  <c r="Y2812" i="34"/>
  <c r="N2813" i="34"/>
  <c r="R2813" i="34"/>
  <c r="S2813" i="34"/>
  <c r="T2813" i="34"/>
  <c r="V2813" i="34"/>
  <c r="X2813" i="34"/>
  <c r="Y2813" i="34"/>
  <c r="N2814" i="34"/>
  <c r="R2814" i="34"/>
  <c r="S2814" i="34"/>
  <c r="T2814" i="34"/>
  <c r="V2814" i="34"/>
  <c r="X2814" i="34"/>
  <c r="Y2814" i="34"/>
  <c r="N2815" i="34"/>
  <c r="R2815" i="34"/>
  <c r="S2815" i="34"/>
  <c r="T2815" i="34"/>
  <c r="V2815" i="34"/>
  <c r="X2815" i="34"/>
  <c r="Y2815" i="34"/>
  <c r="N2816" i="34"/>
  <c r="R2816" i="34"/>
  <c r="S2816" i="34"/>
  <c r="T2816" i="34"/>
  <c r="V2816" i="34"/>
  <c r="X2816" i="34"/>
  <c r="Y2816" i="34"/>
  <c r="N2817" i="34"/>
  <c r="R2817" i="34"/>
  <c r="S2817" i="34"/>
  <c r="T2817" i="34"/>
  <c r="V2817" i="34"/>
  <c r="X2817" i="34"/>
  <c r="Y2817" i="34"/>
  <c r="N2818" i="34"/>
  <c r="R2818" i="34"/>
  <c r="S2818" i="34"/>
  <c r="T2818" i="34"/>
  <c r="V2818" i="34"/>
  <c r="X2818" i="34"/>
  <c r="Y2818" i="34"/>
  <c r="N2819" i="34"/>
  <c r="R2819" i="34"/>
  <c r="S2819" i="34"/>
  <c r="T2819" i="34"/>
  <c r="V2819" i="34"/>
  <c r="X2819" i="34"/>
  <c r="Y2819" i="34"/>
  <c r="N2820" i="34"/>
  <c r="R2820" i="34"/>
  <c r="S2820" i="34"/>
  <c r="T2820" i="34"/>
  <c r="V2820" i="34"/>
  <c r="X2820" i="34"/>
  <c r="Y2820" i="34"/>
  <c r="N2821" i="34"/>
  <c r="R2821" i="34"/>
  <c r="S2821" i="34"/>
  <c r="T2821" i="34"/>
  <c r="V2821" i="34"/>
  <c r="X2821" i="34"/>
  <c r="Y2821" i="34"/>
  <c r="N2822" i="34"/>
  <c r="R2822" i="34"/>
  <c r="S2822" i="34"/>
  <c r="T2822" i="34"/>
  <c r="V2822" i="34"/>
  <c r="X2822" i="34"/>
  <c r="Y2822" i="34"/>
  <c r="N2823" i="34"/>
  <c r="R2823" i="34"/>
  <c r="S2823" i="34"/>
  <c r="T2823" i="34"/>
  <c r="V2823" i="34"/>
  <c r="X2823" i="34"/>
  <c r="Y2823" i="34"/>
  <c r="N2824" i="34"/>
  <c r="R2824" i="34"/>
  <c r="S2824" i="34"/>
  <c r="T2824" i="34"/>
  <c r="V2824" i="34"/>
  <c r="X2824" i="34"/>
  <c r="Y2824" i="34"/>
  <c r="N2825" i="34"/>
  <c r="R2825" i="34"/>
  <c r="S2825" i="34"/>
  <c r="T2825" i="34"/>
  <c r="V2825" i="34"/>
  <c r="X2825" i="34"/>
  <c r="Y2825" i="34"/>
  <c r="N2826" i="34"/>
  <c r="R2826" i="34"/>
  <c r="S2826" i="34"/>
  <c r="T2826" i="34"/>
  <c r="V2826" i="34"/>
  <c r="X2826" i="34"/>
  <c r="Y2826" i="34"/>
  <c r="N2827" i="34"/>
  <c r="R2827" i="34"/>
  <c r="S2827" i="34"/>
  <c r="T2827" i="34"/>
  <c r="V2827" i="34"/>
  <c r="X2827" i="34"/>
  <c r="Y2827" i="34"/>
  <c r="N2828" i="34"/>
  <c r="R2828" i="34"/>
  <c r="S2828" i="34"/>
  <c r="T2828" i="34"/>
  <c r="V2828" i="34"/>
  <c r="X2828" i="34"/>
  <c r="Y2828" i="34"/>
  <c r="N2829" i="34"/>
  <c r="R2829" i="34"/>
  <c r="S2829" i="34"/>
  <c r="T2829" i="34"/>
  <c r="V2829" i="34"/>
  <c r="X2829" i="34"/>
  <c r="Y2829" i="34"/>
  <c r="N2830" i="34"/>
  <c r="R2830" i="34"/>
  <c r="S2830" i="34"/>
  <c r="T2830" i="34"/>
  <c r="V2830" i="34"/>
  <c r="X2830" i="34"/>
  <c r="Y2830" i="34"/>
  <c r="N2831" i="34"/>
  <c r="R2831" i="34"/>
  <c r="S2831" i="34"/>
  <c r="T2831" i="34"/>
  <c r="V2831" i="34"/>
  <c r="X2831" i="34"/>
  <c r="Y2831" i="34"/>
  <c r="N2832" i="34"/>
  <c r="R2832" i="34"/>
  <c r="S2832" i="34"/>
  <c r="T2832" i="34"/>
  <c r="V2832" i="34"/>
  <c r="X2832" i="34"/>
  <c r="Y2832" i="34"/>
  <c r="N2833" i="34"/>
  <c r="R2833" i="34"/>
  <c r="S2833" i="34"/>
  <c r="T2833" i="34"/>
  <c r="V2833" i="34"/>
  <c r="X2833" i="34"/>
  <c r="Y2833" i="34"/>
  <c r="N2834" i="34"/>
  <c r="R2834" i="34"/>
  <c r="S2834" i="34"/>
  <c r="T2834" i="34"/>
  <c r="V2834" i="34"/>
  <c r="X2834" i="34"/>
  <c r="Y2834" i="34"/>
  <c r="N2835" i="34"/>
  <c r="R2835" i="34"/>
  <c r="S2835" i="34"/>
  <c r="T2835" i="34"/>
  <c r="V2835" i="34"/>
  <c r="X2835" i="34"/>
  <c r="Y2835" i="34"/>
  <c r="N2836" i="34"/>
  <c r="R2836" i="34"/>
  <c r="S2836" i="34"/>
  <c r="T2836" i="34"/>
  <c r="V2836" i="34"/>
  <c r="X2836" i="34"/>
  <c r="Y2836" i="34"/>
  <c r="N2837" i="34"/>
  <c r="R2837" i="34"/>
  <c r="S2837" i="34"/>
  <c r="T2837" i="34"/>
  <c r="V2837" i="34"/>
  <c r="X2837" i="34"/>
  <c r="Y2837" i="34"/>
  <c r="N2838" i="34"/>
  <c r="R2838" i="34"/>
  <c r="S2838" i="34"/>
  <c r="T2838" i="34"/>
  <c r="V2838" i="34"/>
  <c r="X2838" i="34"/>
  <c r="Y2838" i="34"/>
  <c r="N2839" i="34"/>
  <c r="R2839" i="34"/>
  <c r="S2839" i="34"/>
  <c r="T2839" i="34"/>
  <c r="V2839" i="34"/>
  <c r="X2839" i="34"/>
  <c r="Y2839" i="34"/>
  <c r="N2840" i="34"/>
  <c r="R2840" i="34"/>
  <c r="S2840" i="34"/>
  <c r="T2840" i="34"/>
  <c r="V2840" i="34"/>
  <c r="X2840" i="34"/>
  <c r="Y2840" i="34"/>
  <c r="N2841" i="34"/>
  <c r="R2841" i="34"/>
  <c r="S2841" i="34"/>
  <c r="T2841" i="34"/>
  <c r="V2841" i="34"/>
  <c r="X2841" i="34"/>
  <c r="Y2841" i="34"/>
  <c r="N2842" i="34"/>
  <c r="R2842" i="34"/>
  <c r="S2842" i="34"/>
  <c r="T2842" i="34"/>
  <c r="V2842" i="34"/>
  <c r="X2842" i="34"/>
  <c r="Y2842" i="34"/>
  <c r="N2843" i="34"/>
  <c r="R2843" i="34"/>
  <c r="S2843" i="34"/>
  <c r="T2843" i="34"/>
  <c r="V2843" i="34"/>
  <c r="X2843" i="34"/>
  <c r="Y2843" i="34"/>
  <c r="N2844" i="34"/>
  <c r="R2844" i="34"/>
  <c r="S2844" i="34"/>
  <c r="T2844" i="34"/>
  <c r="V2844" i="34"/>
  <c r="X2844" i="34"/>
  <c r="Y2844" i="34"/>
  <c r="N2845" i="34"/>
  <c r="R2845" i="34"/>
  <c r="S2845" i="34"/>
  <c r="T2845" i="34"/>
  <c r="V2845" i="34"/>
  <c r="X2845" i="34"/>
  <c r="Y2845" i="34"/>
  <c r="N2846" i="34"/>
  <c r="R2846" i="34"/>
  <c r="S2846" i="34"/>
  <c r="T2846" i="34"/>
  <c r="V2846" i="34"/>
  <c r="X2846" i="34"/>
  <c r="Y2846" i="34"/>
  <c r="N2847" i="34"/>
  <c r="R2847" i="34"/>
  <c r="S2847" i="34"/>
  <c r="T2847" i="34"/>
  <c r="V2847" i="34"/>
  <c r="X2847" i="34"/>
  <c r="Y2847" i="34"/>
  <c r="N2848" i="34"/>
  <c r="R2848" i="34"/>
  <c r="S2848" i="34"/>
  <c r="T2848" i="34"/>
  <c r="V2848" i="34"/>
  <c r="X2848" i="34"/>
  <c r="Y2848" i="34"/>
  <c r="N2849" i="34"/>
  <c r="R2849" i="34"/>
  <c r="S2849" i="34"/>
  <c r="T2849" i="34"/>
  <c r="V2849" i="34"/>
  <c r="X2849" i="34"/>
  <c r="Y2849" i="34"/>
  <c r="N2850" i="34"/>
  <c r="R2850" i="34"/>
  <c r="S2850" i="34"/>
  <c r="T2850" i="34"/>
  <c r="V2850" i="34"/>
  <c r="X2850" i="34"/>
  <c r="Y2850" i="34"/>
  <c r="N2851" i="34"/>
  <c r="R2851" i="34"/>
  <c r="S2851" i="34"/>
  <c r="T2851" i="34"/>
  <c r="V2851" i="34"/>
  <c r="X2851" i="34"/>
  <c r="Y2851" i="34"/>
  <c r="N2852" i="34"/>
  <c r="R2852" i="34"/>
  <c r="S2852" i="34"/>
  <c r="T2852" i="34"/>
  <c r="V2852" i="34"/>
  <c r="X2852" i="34"/>
  <c r="Y2852" i="34"/>
  <c r="N2853" i="34"/>
  <c r="R2853" i="34"/>
  <c r="S2853" i="34"/>
  <c r="T2853" i="34"/>
  <c r="V2853" i="34"/>
  <c r="X2853" i="34"/>
  <c r="Y2853" i="34"/>
  <c r="N2854" i="34"/>
  <c r="R2854" i="34"/>
  <c r="S2854" i="34"/>
  <c r="T2854" i="34"/>
  <c r="V2854" i="34"/>
  <c r="X2854" i="34"/>
  <c r="Y2854" i="34"/>
  <c r="N2855" i="34"/>
  <c r="R2855" i="34"/>
  <c r="S2855" i="34"/>
  <c r="T2855" i="34"/>
  <c r="V2855" i="34"/>
  <c r="X2855" i="34"/>
  <c r="Y2855" i="34"/>
  <c r="N2856" i="34"/>
  <c r="R2856" i="34"/>
  <c r="S2856" i="34"/>
  <c r="T2856" i="34"/>
  <c r="V2856" i="34"/>
  <c r="X2856" i="34"/>
  <c r="Y2856" i="34"/>
  <c r="N2857" i="34"/>
  <c r="R2857" i="34"/>
  <c r="S2857" i="34"/>
  <c r="T2857" i="34"/>
  <c r="V2857" i="34"/>
  <c r="X2857" i="34"/>
  <c r="Y2857" i="34"/>
  <c r="N2858" i="34"/>
  <c r="R2858" i="34"/>
  <c r="S2858" i="34"/>
  <c r="T2858" i="34"/>
  <c r="V2858" i="34"/>
  <c r="X2858" i="34"/>
  <c r="Y2858" i="34"/>
  <c r="N2859" i="34"/>
  <c r="R2859" i="34"/>
  <c r="S2859" i="34"/>
  <c r="T2859" i="34"/>
  <c r="V2859" i="34"/>
  <c r="X2859" i="34"/>
  <c r="Y2859" i="34"/>
  <c r="N2860" i="34"/>
  <c r="R2860" i="34"/>
  <c r="S2860" i="34"/>
  <c r="T2860" i="34"/>
  <c r="V2860" i="34"/>
  <c r="X2860" i="34"/>
  <c r="Y2860" i="34"/>
  <c r="N2861" i="34"/>
  <c r="R2861" i="34"/>
  <c r="S2861" i="34"/>
  <c r="T2861" i="34"/>
  <c r="V2861" i="34"/>
  <c r="X2861" i="34"/>
  <c r="Y2861" i="34"/>
  <c r="N2862" i="34"/>
  <c r="R2862" i="34"/>
  <c r="S2862" i="34"/>
  <c r="T2862" i="34"/>
  <c r="V2862" i="34"/>
  <c r="X2862" i="34"/>
  <c r="Y2862" i="34"/>
  <c r="N2863" i="34"/>
  <c r="R2863" i="34"/>
  <c r="S2863" i="34"/>
  <c r="T2863" i="34"/>
  <c r="V2863" i="34"/>
  <c r="X2863" i="34"/>
  <c r="Y2863" i="34"/>
  <c r="N2864" i="34"/>
  <c r="R2864" i="34"/>
  <c r="S2864" i="34"/>
  <c r="T2864" i="34"/>
  <c r="V2864" i="34"/>
  <c r="X2864" i="34"/>
  <c r="Y2864" i="34"/>
  <c r="N2865" i="34"/>
  <c r="R2865" i="34"/>
  <c r="S2865" i="34"/>
  <c r="T2865" i="34"/>
  <c r="V2865" i="34"/>
  <c r="X2865" i="34"/>
  <c r="Y2865" i="34"/>
  <c r="N2866" i="34"/>
  <c r="R2866" i="34"/>
  <c r="S2866" i="34"/>
  <c r="T2866" i="34"/>
  <c r="V2866" i="34"/>
  <c r="X2866" i="34"/>
  <c r="Y2866" i="34"/>
  <c r="N2867" i="34"/>
  <c r="R2867" i="34"/>
  <c r="S2867" i="34"/>
  <c r="T2867" i="34"/>
  <c r="V2867" i="34"/>
  <c r="X2867" i="34"/>
  <c r="Y2867" i="34"/>
  <c r="N2868" i="34"/>
  <c r="R2868" i="34"/>
  <c r="S2868" i="34"/>
  <c r="T2868" i="34"/>
  <c r="V2868" i="34"/>
  <c r="X2868" i="34"/>
  <c r="Y2868" i="34"/>
  <c r="N2869" i="34"/>
  <c r="R2869" i="34"/>
  <c r="S2869" i="34"/>
  <c r="T2869" i="34"/>
  <c r="V2869" i="34"/>
  <c r="X2869" i="34"/>
  <c r="Y2869" i="34"/>
  <c r="N2870" i="34"/>
  <c r="R2870" i="34"/>
  <c r="S2870" i="34"/>
  <c r="T2870" i="34"/>
  <c r="V2870" i="34"/>
  <c r="X2870" i="34"/>
  <c r="Y2870" i="34"/>
  <c r="N2871" i="34"/>
  <c r="R2871" i="34"/>
  <c r="S2871" i="34"/>
  <c r="T2871" i="34"/>
  <c r="V2871" i="34"/>
  <c r="X2871" i="34"/>
  <c r="Y2871" i="34"/>
  <c r="N2872" i="34"/>
  <c r="R2872" i="34"/>
  <c r="S2872" i="34"/>
  <c r="T2872" i="34"/>
  <c r="V2872" i="34"/>
  <c r="X2872" i="34"/>
  <c r="Y2872" i="34"/>
  <c r="N2873" i="34"/>
  <c r="R2873" i="34"/>
  <c r="S2873" i="34"/>
  <c r="T2873" i="34"/>
  <c r="V2873" i="34"/>
  <c r="X2873" i="34"/>
  <c r="Y2873" i="34"/>
  <c r="N2874" i="34"/>
  <c r="R2874" i="34"/>
  <c r="S2874" i="34"/>
  <c r="T2874" i="34"/>
  <c r="V2874" i="34"/>
  <c r="X2874" i="34"/>
  <c r="Y2874" i="34"/>
  <c r="N2875" i="34"/>
  <c r="R2875" i="34"/>
  <c r="S2875" i="34"/>
  <c r="T2875" i="34"/>
  <c r="V2875" i="34"/>
  <c r="X2875" i="34"/>
  <c r="Y2875" i="34"/>
  <c r="N2876" i="34"/>
  <c r="R2876" i="34"/>
  <c r="S2876" i="34"/>
  <c r="T2876" i="34"/>
  <c r="V2876" i="34"/>
  <c r="X2876" i="34"/>
  <c r="Y2876" i="34"/>
  <c r="N2877" i="34"/>
  <c r="R2877" i="34"/>
  <c r="S2877" i="34"/>
  <c r="T2877" i="34"/>
  <c r="V2877" i="34"/>
  <c r="X2877" i="34"/>
  <c r="Y2877" i="34"/>
  <c r="N2878" i="34"/>
  <c r="R2878" i="34"/>
  <c r="S2878" i="34"/>
  <c r="T2878" i="34"/>
  <c r="V2878" i="34"/>
  <c r="X2878" i="34"/>
  <c r="Y2878" i="34"/>
  <c r="N2879" i="34"/>
  <c r="R2879" i="34"/>
  <c r="S2879" i="34"/>
  <c r="T2879" i="34"/>
  <c r="V2879" i="34"/>
  <c r="X2879" i="34"/>
  <c r="Y2879" i="34"/>
  <c r="N2880" i="34"/>
  <c r="R2880" i="34"/>
  <c r="S2880" i="34"/>
  <c r="T2880" i="34"/>
  <c r="V2880" i="34"/>
  <c r="X2880" i="34"/>
  <c r="Y2880" i="34"/>
  <c r="N2881" i="34"/>
  <c r="R2881" i="34"/>
  <c r="S2881" i="34"/>
  <c r="T2881" i="34"/>
  <c r="V2881" i="34"/>
  <c r="X2881" i="34"/>
  <c r="Y2881" i="34"/>
  <c r="N2882" i="34"/>
  <c r="R2882" i="34"/>
  <c r="S2882" i="34"/>
  <c r="T2882" i="34"/>
  <c r="V2882" i="34"/>
  <c r="X2882" i="34"/>
  <c r="Y2882" i="34"/>
  <c r="N2883" i="34"/>
  <c r="R2883" i="34"/>
  <c r="S2883" i="34"/>
  <c r="T2883" i="34"/>
  <c r="V2883" i="34"/>
  <c r="X2883" i="34"/>
  <c r="Y2883" i="34"/>
  <c r="N2884" i="34"/>
  <c r="R2884" i="34"/>
  <c r="S2884" i="34"/>
  <c r="T2884" i="34"/>
  <c r="V2884" i="34"/>
  <c r="X2884" i="34"/>
  <c r="Y2884" i="34"/>
  <c r="N2885" i="34"/>
  <c r="R2885" i="34"/>
  <c r="S2885" i="34"/>
  <c r="T2885" i="34"/>
  <c r="V2885" i="34"/>
  <c r="X2885" i="34"/>
  <c r="Y2885" i="34"/>
  <c r="N2886" i="34"/>
  <c r="R2886" i="34"/>
  <c r="S2886" i="34"/>
  <c r="T2886" i="34"/>
  <c r="V2886" i="34"/>
  <c r="X2886" i="34"/>
  <c r="Y2886" i="34"/>
  <c r="N2887" i="34"/>
  <c r="R2887" i="34"/>
  <c r="S2887" i="34"/>
  <c r="T2887" i="34"/>
  <c r="V2887" i="34"/>
  <c r="X2887" i="34"/>
  <c r="Y2887" i="34"/>
  <c r="N2888" i="34"/>
  <c r="R2888" i="34"/>
  <c r="S2888" i="34"/>
  <c r="T2888" i="34"/>
  <c r="V2888" i="34"/>
  <c r="X2888" i="34"/>
  <c r="Y2888" i="34"/>
  <c r="N2889" i="34"/>
  <c r="R2889" i="34"/>
  <c r="S2889" i="34"/>
  <c r="T2889" i="34"/>
  <c r="V2889" i="34"/>
  <c r="X2889" i="34"/>
  <c r="Y2889" i="34"/>
  <c r="N2890" i="34"/>
  <c r="R2890" i="34"/>
  <c r="S2890" i="34"/>
  <c r="T2890" i="34"/>
  <c r="V2890" i="34"/>
  <c r="X2890" i="34"/>
  <c r="Y2890" i="34"/>
  <c r="N2891" i="34"/>
  <c r="R2891" i="34"/>
  <c r="S2891" i="34"/>
  <c r="T2891" i="34"/>
  <c r="V2891" i="34"/>
  <c r="X2891" i="34"/>
  <c r="Y2891" i="34"/>
  <c r="N2892" i="34"/>
  <c r="R2892" i="34"/>
  <c r="S2892" i="34"/>
  <c r="T2892" i="34"/>
  <c r="V2892" i="34"/>
  <c r="X2892" i="34"/>
  <c r="Y2892" i="34"/>
  <c r="N2893" i="34"/>
  <c r="R2893" i="34"/>
  <c r="S2893" i="34"/>
  <c r="T2893" i="34"/>
  <c r="V2893" i="34"/>
  <c r="X2893" i="34"/>
  <c r="Y2893" i="34"/>
  <c r="N2894" i="34"/>
  <c r="R2894" i="34"/>
  <c r="S2894" i="34"/>
  <c r="T2894" i="34"/>
  <c r="V2894" i="34"/>
  <c r="X2894" i="34"/>
  <c r="Y2894" i="34"/>
  <c r="N2895" i="34"/>
  <c r="R2895" i="34"/>
  <c r="S2895" i="34"/>
  <c r="T2895" i="34"/>
  <c r="V2895" i="34"/>
  <c r="X2895" i="34"/>
  <c r="Y2895" i="34"/>
  <c r="N2896" i="34"/>
  <c r="R2896" i="34"/>
  <c r="S2896" i="34"/>
  <c r="T2896" i="34"/>
  <c r="V2896" i="34"/>
  <c r="X2896" i="34"/>
  <c r="Y2896" i="34"/>
  <c r="N2897" i="34"/>
  <c r="R2897" i="34"/>
  <c r="S2897" i="34"/>
  <c r="T2897" i="34"/>
  <c r="V2897" i="34"/>
  <c r="X2897" i="34"/>
  <c r="Y2897" i="34"/>
  <c r="N2898" i="34"/>
  <c r="R2898" i="34"/>
  <c r="S2898" i="34"/>
  <c r="T2898" i="34"/>
  <c r="V2898" i="34"/>
  <c r="X2898" i="34"/>
  <c r="Y2898" i="34"/>
  <c r="N2899" i="34"/>
  <c r="R2899" i="34"/>
  <c r="S2899" i="34"/>
  <c r="T2899" i="34"/>
  <c r="V2899" i="34"/>
  <c r="X2899" i="34"/>
  <c r="Y2899" i="34"/>
  <c r="N2900" i="34"/>
  <c r="R2900" i="34"/>
  <c r="S2900" i="34"/>
  <c r="T2900" i="34"/>
  <c r="V2900" i="34"/>
  <c r="X2900" i="34"/>
  <c r="Y2900" i="34"/>
  <c r="N2901" i="34"/>
  <c r="R2901" i="34"/>
  <c r="S2901" i="34"/>
  <c r="T2901" i="34"/>
  <c r="V2901" i="34"/>
  <c r="X2901" i="34"/>
  <c r="Y2901" i="34"/>
  <c r="N2902" i="34"/>
  <c r="R2902" i="34"/>
  <c r="S2902" i="34"/>
  <c r="T2902" i="34"/>
  <c r="V2902" i="34"/>
  <c r="X2902" i="34"/>
  <c r="Y2902" i="34"/>
  <c r="N2903" i="34"/>
  <c r="R2903" i="34"/>
  <c r="S2903" i="34"/>
  <c r="T2903" i="34"/>
  <c r="V2903" i="34"/>
  <c r="X2903" i="34"/>
  <c r="Y2903" i="34"/>
  <c r="N2904" i="34"/>
  <c r="R2904" i="34"/>
  <c r="S2904" i="34"/>
  <c r="T2904" i="34"/>
  <c r="V2904" i="34"/>
  <c r="X2904" i="34"/>
  <c r="Y2904" i="34"/>
  <c r="N2905" i="34"/>
  <c r="R2905" i="34"/>
  <c r="S2905" i="34"/>
  <c r="T2905" i="34"/>
  <c r="V2905" i="34"/>
  <c r="X2905" i="34"/>
  <c r="Y2905" i="34"/>
  <c r="N2906" i="34"/>
  <c r="R2906" i="34"/>
  <c r="S2906" i="34"/>
  <c r="T2906" i="34"/>
  <c r="V2906" i="34"/>
  <c r="X2906" i="34"/>
  <c r="Y2906" i="34"/>
  <c r="N2907" i="34"/>
  <c r="R2907" i="34"/>
  <c r="S2907" i="34"/>
  <c r="T2907" i="34"/>
  <c r="V2907" i="34"/>
  <c r="X2907" i="34"/>
  <c r="Y2907" i="34"/>
  <c r="N2908" i="34"/>
  <c r="R2908" i="34"/>
  <c r="S2908" i="34"/>
  <c r="T2908" i="34"/>
  <c r="V2908" i="34"/>
  <c r="X2908" i="34"/>
  <c r="Y2908" i="34"/>
  <c r="N2909" i="34"/>
  <c r="R2909" i="34"/>
  <c r="S2909" i="34"/>
  <c r="T2909" i="34"/>
  <c r="V2909" i="34"/>
  <c r="X2909" i="34"/>
  <c r="Y2909" i="34"/>
  <c r="N2910" i="34"/>
  <c r="R2910" i="34"/>
  <c r="S2910" i="34"/>
  <c r="T2910" i="34"/>
  <c r="V2910" i="34"/>
  <c r="X2910" i="34"/>
  <c r="Y2910" i="34"/>
  <c r="N2911" i="34"/>
  <c r="R2911" i="34"/>
  <c r="S2911" i="34"/>
  <c r="T2911" i="34"/>
  <c r="V2911" i="34"/>
  <c r="X2911" i="34"/>
  <c r="Y2911" i="34"/>
  <c r="N2912" i="34"/>
  <c r="R2912" i="34"/>
  <c r="S2912" i="34"/>
  <c r="T2912" i="34"/>
  <c r="V2912" i="34"/>
  <c r="X2912" i="34"/>
  <c r="Y2912" i="34"/>
  <c r="N2913" i="34"/>
  <c r="R2913" i="34"/>
  <c r="S2913" i="34"/>
  <c r="T2913" i="34"/>
  <c r="V2913" i="34"/>
  <c r="X2913" i="34"/>
  <c r="Y2913" i="34"/>
  <c r="N2914" i="34"/>
  <c r="R2914" i="34"/>
  <c r="S2914" i="34"/>
  <c r="T2914" i="34"/>
  <c r="V2914" i="34"/>
  <c r="X2914" i="34"/>
  <c r="Y2914" i="34"/>
  <c r="N2915" i="34"/>
  <c r="R2915" i="34"/>
  <c r="S2915" i="34"/>
  <c r="T2915" i="34"/>
  <c r="V2915" i="34"/>
  <c r="X2915" i="34"/>
  <c r="Y2915" i="34"/>
  <c r="N2916" i="34"/>
  <c r="R2916" i="34"/>
  <c r="S2916" i="34"/>
  <c r="T2916" i="34"/>
  <c r="V2916" i="34"/>
  <c r="X2916" i="34"/>
  <c r="Y2916" i="34"/>
  <c r="N2917" i="34"/>
  <c r="R2917" i="34"/>
  <c r="S2917" i="34"/>
  <c r="T2917" i="34"/>
  <c r="V2917" i="34"/>
  <c r="X2917" i="34"/>
  <c r="Y2917" i="34"/>
  <c r="N2918" i="34"/>
  <c r="R2918" i="34"/>
  <c r="S2918" i="34"/>
  <c r="T2918" i="34"/>
  <c r="V2918" i="34"/>
  <c r="X2918" i="34"/>
  <c r="Y2918" i="34"/>
  <c r="N2919" i="34"/>
  <c r="R2919" i="34"/>
  <c r="S2919" i="34"/>
  <c r="T2919" i="34"/>
  <c r="V2919" i="34"/>
  <c r="X2919" i="34"/>
  <c r="Y2919" i="34"/>
  <c r="N2920" i="34"/>
  <c r="R2920" i="34"/>
  <c r="S2920" i="34"/>
  <c r="T2920" i="34"/>
  <c r="V2920" i="34"/>
  <c r="X2920" i="34"/>
  <c r="Y2920" i="34"/>
  <c r="N2921" i="34"/>
  <c r="R2921" i="34"/>
  <c r="S2921" i="34"/>
  <c r="T2921" i="34"/>
  <c r="V2921" i="34"/>
  <c r="X2921" i="34"/>
  <c r="Y2921" i="34"/>
  <c r="N2922" i="34"/>
  <c r="R2922" i="34"/>
  <c r="S2922" i="34"/>
  <c r="T2922" i="34"/>
  <c r="V2922" i="34"/>
  <c r="X2922" i="34"/>
  <c r="Y2922" i="34"/>
  <c r="N2923" i="34"/>
  <c r="R2923" i="34"/>
  <c r="S2923" i="34"/>
  <c r="T2923" i="34"/>
  <c r="V2923" i="34"/>
  <c r="X2923" i="34"/>
  <c r="Y2923" i="34"/>
  <c r="N2924" i="34"/>
  <c r="R2924" i="34"/>
  <c r="S2924" i="34"/>
  <c r="T2924" i="34"/>
  <c r="V2924" i="34"/>
  <c r="X2924" i="34"/>
  <c r="Y2924" i="34"/>
  <c r="N2925" i="34"/>
  <c r="R2925" i="34"/>
  <c r="S2925" i="34"/>
  <c r="T2925" i="34"/>
  <c r="V2925" i="34"/>
  <c r="X2925" i="34"/>
  <c r="Y2925" i="34"/>
  <c r="N2926" i="34"/>
  <c r="R2926" i="34"/>
  <c r="S2926" i="34"/>
  <c r="T2926" i="34"/>
  <c r="V2926" i="34"/>
  <c r="X2926" i="34"/>
  <c r="Y2926" i="34"/>
  <c r="N2927" i="34"/>
  <c r="R2927" i="34"/>
  <c r="S2927" i="34"/>
  <c r="T2927" i="34"/>
  <c r="V2927" i="34"/>
  <c r="X2927" i="34"/>
  <c r="Y2927" i="34"/>
  <c r="N2928" i="34"/>
  <c r="R2928" i="34"/>
  <c r="S2928" i="34"/>
  <c r="T2928" i="34"/>
  <c r="V2928" i="34"/>
  <c r="X2928" i="34"/>
  <c r="Y2928" i="34"/>
  <c r="N2929" i="34"/>
  <c r="R2929" i="34"/>
  <c r="S2929" i="34"/>
  <c r="T2929" i="34"/>
  <c r="V2929" i="34"/>
  <c r="X2929" i="34"/>
  <c r="Y2929" i="34"/>
  <c r="N2930" i="34"/>
  <c r="R2930" i="34"/>
  <c r="S2930" i="34"/>
  <c r="T2930" i="34"/>
  <c r="V2930" i="34"/>
  <c r="X2930" i="34"/>
  <c r="Y2930" i="34"/>
  <c r="N2931" i="34"/>
  <c r="R2931" i="34"/>
  <c r="S2931" i="34"/>
  <c r="T2931" i="34"/>
  <c r="V2931" i="34"/>
  <c r="X2931" i="34"/>
  <c r="Y2931" i="34"/>
  <c r="N2932" i="34"/>
  <c r="R2932" i="34"/>
  <c r="S2932" i="34"/>
  <c r="T2932" i="34"/>
  <c r="V2932" i="34"/>
  <c r="X2932" i="34"/>
  <c r="Y2932" i="34"/>
  <c r="N2933" i="34"/>
  <c r="R2933" i="34"/>
  <c r="S2933" i="34"/>
  <c r="T2933" i="34"/>
  <c r="V2933" i="34"/>
  <c r="X2933" i="34"/>
  <c r="Y2933" i="34"/>
  <c r="N2934" i="34"/>
  <c r="R2934" i="34"/>
  <c r="S2934" i="34"/>
  <c r="T2934" i="34"/>
  <c r="V2934" i="34"/>
  <c r="X2934" i="34"/>
  <c r="Y2934" i="34"/>
  <c r="N2935" i="34"/>
  <c r="R2935" i="34"/>
  <c r="S2935" i="34"/>
  <c r="T2935" i="34"/>
  <c r="V2935" i="34"/>
  <c r="X2935" i="34"/>
  <c r="Y2935" i="34"/>
  <c r="N2936" i="34"/>
  <c r="R2936" i="34"/>
  <c r="S2936" i="34"/>
  <c r="T2936" i="34"/>
  <c r="V2936" i="34"/>
  <c r="X2936" i="34"/>
  <c r="Y2936" i="34"/>
  <c r="N2937" i="34"/>
  <c r="R2937" i="34"/>
  <c r="S2937" i="34"/>
  <c r="T2937" i="34"/>
  <c r="V2937" i="34"/>
  <c r="X2937" i="34"/>
  <c r="Y2937" i="34"/>
  <c r="N2938" i="34"/>
  <c r="R2938" i="34"/>
  <c r="S2938" i="34"/>
  <c r="T2938" i="34"/>
  <c r="V2938" i="34"/>
  <c r="X2938" i="34"/>
  <c r="Y2938" i="34"/>
  <c r="N2939" i="34"/>
  <c r="R2939" i="34"/>
  <c r="S2939" i="34"/>
  <c r="T2939" i="34"/>
  <c r="V2939" i="34"/>
  <c r="X2939" i="34"/>
  <c r="Y2939" i="34"/>
  <c r="N2940" i="34"/>
  <c r="R2940" i="34"/>
  <c r="S2940" i="34"/>
  <c r="T2940" i="34"/>
  <c r="V2940" i="34"/>
  <c r="X2940" i="34"/>
  <c r="Y2940" i="34"/>
  <c r="N2941" i="34"/>
  <c r="R2941" i="34"/>
  <c r="S2941" i="34"/>
  <c r="T2941" i="34"/>
  <c r="V2941" i="34"/>
  <c r="X2941" i="34"/>
  <c r="Y2941" i="34"/>
  <c r="N2942" i="34"/>
  <c r="R2942" i="34"/>
  <c r="S2942" i="34"/>
  <c r="T2942" i="34"/>
  <c r="V2942" i="34"/>
  <c r="X2942" i="34"/>
  <c r="Y2942" i="34"/>
  <c r="N2943" i="34"/>
  <c r="R2943" i="34"/>
  <c r="S2943" i="34"/>
  <c r="T2943" i="34"/>
  <c r="V2943" i="34"/>
  <c r="X2943" i="34"/>
  <c r="Y2943" i="34"/>
  <c r="N2944" i="34"/>
  <c r="R2944" i="34"/>
  <c r="S2944" i="34"/>
  <c r="T2944" i="34"/>
  <c r="V2944" i="34"/>
  <c r="X2944" i="34"/>
  <c r="Y2944" i="34"/>
  <c r="N2945" i="34"/>
  <c r="R2945" i="34"/>
  <c r="S2945" i="34"/>
  <c r="T2945" i="34"/>
  <c r="V2945" i="34"/>
  <c r="X2945" i="34"/>
  <c r="Y2945" i="34"/>
  <c r="N2946" i="34"/>
  <c r="R2946" i="34"/>
  <c r="S2946" i="34"/>
  <c r="T2946" i="34"/>
  <c r="V2946" i="34"/>
  <c r="X2946" i="34"/>
  <c r="Y2946" i="34"/>
  <c r="N2947" i="34"/>
  <c r="R2947" i="34"/>
  <c r="S2947" i="34"/>
  <c r="T2947" i="34"/>
  <c r="V2947" i="34"/>
  <c r="X2947" i="34"/>
  <c r="Y2947" i="34"/>
  <c r="N2948" i="34"/>
  <c r="R2948" i="34"/>
  <c r="S2948" i="34"/>
  <c r="T2948" i="34"/>
  <c r="V2948" i="34"/>
  <c r="X2948" i="34"/>
  <c r="Y2948" i="34"/>
  <c r="N2949" i="34"/>
  <c r="R2949" i="34"/>
  <c r="S2949" i="34"/>
  <c r="T2949" i="34"/>
  <c r="V2949" i="34"/>
  <c r="X2949" i="34"/>
  <c r="Y2949" i="34"/>
  <c r="N2950" i="34"/>
  <c r="R2950" i="34"/>
  <c r="S2950" i="34"/>
  <c r="T2950" i="34"/>
  <c r="V2950" i="34"/>
  <c r="X2950" i="34"/>
  <c r="Y2950" i="34"/>
  <c r="N2951" i="34"/>
  <c r="R2951" i="34"/>
  <c r="S2951" i="34"/>
  <c r="T2951" i="34"/>
  <c r="V2951" i="34"/>
  <c r="X2951" i="34"/>
  <c r="Y2951" i="34"/>
  <c r="N2952" i="34"/>
  <c r="R2952" i="34"/>
  <c r="S2952" i="34"/>
  <c r="T2952" i="34"/>
  <c r="V2952" i="34"/>
  <c r="X2952" i="34"/>
  <c r="Y2952" i="34"/>
  <c r="N2953" i="34"/>
  <c r="R2953" i="34"/>
  <c r="S2953" i="34"/>
  <c r="T2953" i="34"/>
  <c r="V2953" i="34"/>
  <c r="X2953" i="34"/>
  <c r="Y2953" i="34"/>
  <c r="N2954" i="34"/>
  <c r="R2954" i="34"/>
  <c r="S2954" i="34"/>
  <c r="T2954" i="34"/>
  <c r="V2954" i="34"/>
  <c r="X2954" i="34"/>
  <c r="Y2954" i="34"/>
  <c r="N2955" i="34"/>
  <c r="R2955" i="34"/>
  <c r="S2955" i="34"/>
  <c r="T2955" i="34"/>
  <c r="V2955" i="34"/>
  <c r="X2955" i="34"/>
  <c r="Y2955" i="34"/>
  <c r="N2956" i="34"/>
  <c r="R2956" i="34"/>
  <c r="S2956" i="34"/>
  <c r="T2956" i="34"/>
  <c r="V2956" i="34"/>
  <c r="X2956" i="34"/>
  <c r="Y2956" i="34"/>
  <c r="N2957" i="34"/>
  <c r="R2957" i="34"/>
  <c r="S2957" i="34"/>
  <c r="T2957" i="34"/>
  <c r="V2957" i="34"/>
  <c r="X2957" i="34"/>
  <c r="Y2957" i="34"/>
  <c r="N2958" i="34"/>
  <c r="R2958" i="34"/>
  <c r="S2958" i="34"/>
  <c r="T2958" i="34"/>
  <c r="V2958" i="34"/>
  <c r="X2958" i="34"/>
  <c r="Y2958" i="34"/>
  <c r="N2959" i="34"/>
  <c r="R2959" i="34"/>
  <c r="S2959" i="34"/>
  <c r="T2959" i="34"/>
  <c r="V2959" i="34"/>
  <c r="X2959" i="34"/>
  <c r="Y2959" i="34"/>
  <c r="N2960" i="34"/>
  <c r="R2960" i="34"/>
  <c r="S2960" i="34"/>
  <c r="T2960" i="34"/>
  <c r="V2960" i="34"/>
  <c r="X2960" i="34"/>
  <c r="Y2960" i="34"/>
  <c r="N2961" i="34"/>
  <c r="R2961" i="34"/>
  <c r="S2961" i="34"/>
  <c r="T2961" i="34"/>
  <c r="V2961" i="34"/>
  <c r="X2961" i="34"/>
  <c r="Y2961" i="34"/>
  <c r="N2962" i="34"/>
  <c r="R2962" i="34"/>
  <c r="S2962" i="34"/>
  <c r="T2962" i="34"/>
  <c r="V2962" i="34"/>
  <c r="X2962" i="34"/>
  <c r="Y2962" i="34"/>
  <c r="N2963" i="34"/>
  <c r="R2963" i="34"/>
  <c r="S2963" i="34"/>
  <c r="T2963" i="34"/>
  <c r="V2963" i="34"/>
  <c r="X2963" i="34"/>
  <c r="Y2963" i="34"/>
  <c r="N2964" i="34"/>
  <c r="R2964" i="34"/>
  <c r="S2964" i="34"/>
  <c r="T2964" i="34"/>
  <c r="V2964" i="34"/>
  <c r="X2964" i="34"/>
  <c r="Y2964" i="34"/>
  <c r="N2965" i="34"/>
  <c r="R2965" i="34"/>
  <c r="S2965" i="34"/>
  <c r="T2965" i="34"/>
  <c r="V2965" i="34"/>
  <c r="X2965" i="34"/>
  <c r="Y2965" i="34"/>
  <c r="N2966" i="34"/>
  <c r="R2966" i="34"/>
  <c r="S2966" i="34"/>
  <c r="T2966" i="34"/>
  <c r="V2966" i="34"/>
  <c r="X2966" i="34"/>
  <c r="Y2966" i="34"/>
  <c r="N2967" i="34"/>
  <c r="R2967" i="34"/>
  <c r="S2967" i="34"/>
  <c r="T2967" i="34"/>
  <c r="V2967" i="34"/>
  <c r="X2967" i="34"/>
  <c r="Y2967" i="34"/>
  <c r="N2968" i="34"/>
  <c r="R2968" i="34"/>
  <c r="S2968" i="34"/>
  <c r="T2968" i="34"/>
  <c r="V2968" i="34"/>
  <c r="X2968" i="34"/>
  <c r="Y2968" i="34"/>
  <c r="N2969" i="34"/>
  <c r="R2969" i="34"/>
  <c r="S2969" i="34"/>
  <c r="T2969" i="34"/>
  <c r="V2969" i="34"/>
  <c r="X2969" i="34"/>
  <c r="Y2969" i="34"/>
  <c r="N2970" i="34"/>
  <c r="R2970" i="34"/>
  <c r="S2970" i="34"/>
  <c r="T2970" i="34"/>
  <c r="V2970" i="34"/>
  <c r="X2970" i="34"/>
  <c r="Y2970" i="34"/>
  <c r="N2971" i="34"/>
  <c r="R2971" i="34"/>
  <c r="S2971" i="34"/>
  <c r="T2971" i="34"/>
  <c r="V2971" i="34"/>
  <c r="X2971" i="34"/>
  <c r="Y2971" i="34"/>
  <c r="N2972" i="34"/>
  <c r="R2972" i="34"/>
  <c r="S2972" i="34"/>
  <c r="T2972" i="34"/>
  <c r="V2972" i="34"/>
  <c r="X2972" i="34"/>
  <c r="Y2972" i="34"/>
  <c r="N2973" i="34"/>
  <c r="R2973" i="34"/>
  <c r="S2973" i="34"/>
  <c r="T2973" i="34"/>
  <c r="V2973" i="34"/>
  <c r="X2973" i="34"/>
  <c r="Y2973" i="34"/>
  <c r="N2974" i="34"/>
  <c r="R2974" i="34"/>
  <c r="S2974" i="34"/>
  <c r="T2974" i="34"/>
  <c r="V2974" i="34"/>
  <c r="X2974" i="34"/>
  <c r="Y2974" i="34"/>
  <c r="N2975" i="34"/>
  <c r="R2975" i="34"/>
  <c r="S2975" i="34"/>
  <c r="T2975" i="34"/>
  <c r="V2975" i="34"/>
  <c r="X2975" i="34"/>
  <c r="Y2975" i="34"/>
  <c r="N2976" i="34"/>
  <c r="R2976" i="34"/>
  <c r="S2976" i="34"/>
  <c r="T2976" i="34"/>
  <c r="V2976" i="34"/>
  <c r="X2976" i="34"/>
  <c r="Y2976" i="34"/>
  <c r="N2977" i="34"/>
  <c r="R2977" i="34"/>
  <c r="S2977" i="34"/>
  <c r="T2977" i="34"/>
  <c r="V2977" i="34"/>
  <c r="X2977" i="34"/>
  <c r="Y2977" i="34"/>
  <c r="N2978" i="34"/>
  <c r="R2978" i="34"/>
  <c r="S2978" i="34"/>
  <c r="T2978" i="34"/>
  <c r="V2978" i="34"/>
  <c r="X2978" i="34"/>
  <c r="Y2978" i="34"/>
  <c r="N2979" i="34"/>
  <c r="R2979" i="34"/>
  <c r="S2979" i="34"/>
  <c r="T2979" i="34"/>
  <c r="V2979" i="34"/>
  <c r="X2979" i="34"/>
  <c r="Y2979" i="34"/>
  <c r="N2980" i="34"/>
  <c r="R2980" i="34"/>
  <c r="S2980" i="34"/>
  <c r="T2980" i="34"/>
  <c r="V2980" i="34"/>
  <c r="X2980" i="34"/>
  <c r="Y2980" i="34"/>
  <c r="N2981" i="34"/>
  <c r="R2981" i="34"/>
  <c r="S2981" i="34"/>
  <c r="T2981" i="34"/>
  <c r="V2981" i="34"/>
  <c r="X2981" i="34"/>
  <c r="Y2981" i="34"/>
  <c r="N2982" i="34"/>
  <c r="R2982" i="34"/>
  <c r="S2982" i="34"/>
  <c r="T2982" i="34"/>
  <c r="V2982" i="34"/>
  <c r="X2982" i="34"/>
  <c r="Y2982" i="34"/>
  <c r="N2983" i="34"/>
  <c r="R2983" i="34"/>
  <c r="S2983" i="34"/>
  <c r="T2983" i="34"/>
  <c r="V2983" i="34"/>
  <c r="X2983" i="34"/>
  <c r="Y2983" i="34"/>
  <c r="N2984" i="34"/>
  <c r="R2984" i="34"/>
  <c r="S2984" i="34"/>
  <c r="T2984" i="34"/>
  <c r="V2984" i="34"/>
  <c r="X2984" i="34"/>
  <c r="Y2984" i="34"/>
  <c r="N2985" i="34"/>
  <c r="R2985" i="34"/>
  <c r="S2985" i="34"/>
  <c r="T2985" i="34"/>
  <c r="V2985" i="34"/>
  <c r="X2985" i="34"/>
  <c r="Y2985" i="34"/>
  <c r="N2986" i="34"/>
  <c r="R2986" i="34"/>
  <c r="S2986" i="34"/>
  <c r="T2986" i="34"/>
  <c r="V2986" i="34"/>
  <c r="X2986" i="34"/>
  <c r="Y2986" i="34"/>
  <c r="N2987" i="34"/>
  <c r="R2987" i="34"/>
  <c r="S2987" i="34"/>
  <c r="T2987" i="34"/>
  <c r="V2987" i="34"/>
  <c r="X2987" i="34"/>
  <c r="Y2987" i="34"/>
  <c r="N2988" i="34"/>
  <c r="R2988" i="34"/>
  <c r="S2988" i="34"/>
  <c r="T2988" i="34"/>
  <c r="V2988" i="34"/>
  <c r="X2988" i="34"/>
  <c r="Y2988" i="34"/>
  <c r="N2989" i="34"/>
  <c r="R2989" i="34"/>
  <c r="S2989" i="34"/>
  <c r="T2989" i="34"/>
  <c r="V2989" i="34"/>
  <c r="X2989" i="34"/>
  <c r="Y2989" i="34"/>
  <c r="N2990" i="34"/>
  <c r="R2990" i="34"/>
  <c r="S2990" i="34"/>
  <c r="T2990" i="34"/>
  <c r="V2990" i="34"/>
  <c r="X2990" i="34"/>
  <c r="Y2990" i="34"/>
  <c r="N2991" i="34"/>
  <c r="R2991" i="34"/>
  <c r="S2991" i="34"/>
  <c r="T2991" i="34"/>
  <c r="V2991" i="34"/>
  <c r="X2991" i="34"/>
  <c r="Y2991" i="34"/>
  <c r="N2992" i="34"/>
  <c r="R2992" i="34"/>
  <c r="S2992" i="34"/>
  <c r="T2992" i="34"/>
  <c r="V2992" i="34"/>
  <c r="X2992" i="34"/>
  <c r="Y2992" i="34"/>
  <c r="N2993" i="34"/>
  <c r="R2993" i="34"/>
  <c r="S2993" i="34"/>
  <c r="T2993" i="34"/>
  <c r="V2993" i="34"/>
  <c r="X2993" i="34"/>
  <c r="Y2993" i="34"/>
  <c r="N2994" i="34"/>
  <c r="R2994" i="34"/>
  <c r="S2994" i="34"/>
  <c r="T2994" i="34"/>
  <c r="V2994" i="34"/>
  <c r="X2994" i="34"/>
  <c r="Y2994" i="34"/>
  <c r="N2995" i="34"/>
  <c r="R2995" i="34"/>
  <c r="S2995" i="34"/>
  <c r="T2995" i="34"/>
  <c r="V2995" i="34"/>
  <c r="X2995" i="34"/>
  <c r="Y2995" i="34"/>
  <c r="N2996" i="34"/>
  <c r="R2996" i="34"/>
  <c r="S2996" i="34"/>
  <c r="T2996" i="34"/>
  <c r="V2996" i="34"/>
  <c r="X2996" i="34"/>
  <c r="Y2996" i="34"/>
  <c r="N2997" i="34"/>
  <c r="R2997" i="34"/>
  <c r="S2997" i="34"/>
  <c r="T2997" i="34"/>
  <c r="V2997" i="34"/>
  <c r="X2997" i="34"/>
  <c r="Y2997" i="34"/>
  <c r="N2998" i="34"/>
  <c r="R2998" i="34"/>
  <c r="S2998" i="34"/>
  <c r="T2998" i="34"/>
  <c r="V2998" i="34"/>
  <c r="X2998" i="34"/>
  <c r="Y2998" i="34"/>
  <c r="N2999" i="34"/>
  <c r="R2999" i="34"/>
  <c r="S2999" i="34"/>
  <c r="T2999" i="34"/>
  <c r="V2999" i="34"/>
  <c r="X2999" i="34"/>
  <c r="Y2999" i="34"/>
  <c r="N3000" i="34"/>
  <c r="R3000" i="34"/>
  <c r="S3000" i="34"/>
  <c r="T3000" i="34"/>
  <c r="V3000" i="34"/>
  <c r="X3000" i="34"/>
  <c r="Y3000" i="34"/>
  <c r="N3001" i="34"/>
  <c r="R3001" i="34"/>
  <c r="S3001" i="34"/>
  <c r="T3001" i="34"/>
  <c r="V3001" i="34"/>
  <c r="X3001" i="34"/>
  <c r="Y3001" i="34"/>
  <c r="N3002" i="34"/>
  <c r="R3002" i="34"/>
  <c r="S3002" i="34"/>
  <c r="T3002" i="34"/>
  <c r="V3002" i="34"/>
  <c r="X3002" i="34"/>
  <c r="Y3002" i="34"/>
  <c r="N3003" i="34"/>
  <c r="R3003" i="34"/>
  <c r="S3003" i="34"/>
  <c r="T3003" i="34"/>
  <c r="V3003" i="34"/>
  <c r="X3003" i="34"/>
  <c r="Y3003" i="34"/>
  <c r="N3004" i="34"/>
  <c r="R3004" i="34"/>
  <c r="S3004" i="34"/>
  <c r="T3004" i="34"/>
  <c r="V3004" i="34"/>
  <c r="X3004" i="34"/>
  <c r="Y3004" i="34"/>
  <c r="N3005" i="34"/>
  <c r="R3005" i="34"/>
  <c r="S3005" i="34"/>
  <c r="T3005" i="34"/>
  <c r="V3005" i="34"/>
  <c r="X3005" i="34"/>
  <c r="Y3005" i="34"/>
  <c r="N3006" i="34"/>
  <c r="R3006" i="34"/>
  <c r="S3006" i="34"/>
  <c r="T3006" i="34"/>
  <c r="V3006" i="34"/>
  <c r="X3006" i="34"/>
  <c r="Y3006" i="34"/>
  <c r="N3007" i="34"/>
  <c r="R3007" i="34"/>
  <c r="S3007" i="34"/>
  <c r="T3007" i="34"/>
  <c r="V3007" i="34"/>
  <c r="X3007" i="34"/>
  <c r="Y3007" i="34"/>
  <c r="N3008" i="34"/>
  <c r="R3008" i="34"/>
  <c r="S3008" i="34"/>
  <c r="T3008" i="34"/>
  <c r="V3008" i="34"/>
  <c r="X3008" i="34"/>
  <c r="Y3008" i="34"/>
  <c r="N3009" i="34"/>
  <c r="R3009" i="34"/>
  <c r="S3009" i="34"/>
  <c r="T3009" i="34"/>
  <c r="V3009" i="34"/>
  <c r="X3009" i="34"/>
  <c r="Y3009" i="34"/>
  <c r="N3010" i="34"/>
  <c r="R3010" i="34"/>
  <c r="S3010" i="34"/>
  <c r="T3010" i="34"/>
  <c r="V3010" i="34"/>
  <c r="X3010" i="34"/>
  <c r="Y3010" i="34"/>
  <c r="N3011" i="34"/>
  <c r="R3011" i="34"/>
  <c r="S3011" i="34"/>
  <c r="T3011" i="34"/>
  <c r="V3011" i="34"/>
  <c r="X3011" i="34"/>
  <c r="Y3011" i="34"/>
  <c r="N3012" i="34"/>
  <c r="R3012" i="34"/>
  <c r="S3012" i="34"/>
  <c r="T3012" i="34"/>
  <c r="V3012" i="34"/>
  <c r="X3012" i="34"/>
  <c r="Y3012" i="34"/>
  <c r="N3013" i="34"/>
  <c r="R3013" i="34"/>
  <c r="S3013" i="34"/>
  <c r="T3013" i="34"/>
  <c r="V3013" i="34"/>
  <c r="X3013" i="34"/>
  <c r="Y3013" i="34"/>
  <c r="N3014" i="34"/>
  <c r="R3014" i="34"/>
  <c r="S3014" i="34"/>
  <c r="T3014" i="34"/>
  <c r="V3014" i="34"/>
  <c r="X3014" i="34"/>
  <c r="Y3014" i="34"/>
  <c r="N3015" i="34"/>
  <c r="R3015" i="34"/>
  <c r="S3015" i="34"/>
  <c r="T3015" i="34"/>
  <c r="V3015" i="34"/>
  <c r="X3015" i="34"/>
  <c r="Y3015" i="34"/>
  <c r="N3016" i="34"/>
  <c r="R3016" i="34"/>
  <c r="S3016" i="34"/>
  <c r="T3016" i="34"/>
  <c r="V3016" i="34"/>
  <c r="X3016" i="34"/>
  <c r="Y3016" i="34"/>
  <c r="N3017" i="34"/>
  <c r="R3017" i="34"/>
  <c r="S3017" i="34"/>
  <c r="T3017" i="34"/>
  <c r="V3017" i="34"/>
  <c r="X3017" i="34"/>
  <c r="Y3017" i="34"/>
  <c r="N3018" i="34"/>
  <c r="R3018" i="34"/>
  <c r="S3018" i="34"/>
  <c r="T3018" i="34"/>
  <c r="V3018" i="34"/>
  <c r="X3018" i="34"/>
  <c r="Y3018" i="34"/>
  <c r="N3019" i="34"/>
  <c r="R3019" i="34"/>
  <c r="S3019" i="34"/>
  <c r="T3019" i="34"/>
  <c r="V3019" i="34"/>
  <c r="X3019" i="34"/>
  <c r="Y3019" i="34"/>
  <c r="N3020" i="34"/>
  <c r="R3020" i="34"/>
  <c r="S3020" i="34"/>
  <c r="T3020" i="34"/>
  <c r="V3020" i="34"/>
  <c r="X3020" i="34"/>
  <c r="Y3020" i="34"/>
  <c r="N3021" i="34"/>
  <c r="R3021" i="34"/>
  <c r="S3021" i="34"/>
  <c r="T3021" i="34"/>
  <c r="V3021" i="34"/>
  <c r="X3021" i="34"/>
  <c r="Y3021" i="34"/>
  <c r="N3022" i="34"/>
  <c r="R3022" i="34"/>
  <c r="S3022" i="34"/>
  <c r="T3022" i="34"/>
  <c r="V3022" i="34"/>
  <c r="X3022" i="34"/>
  <c r="Y3022" i="34"/>
  <c r="N3023" i="34"/>
  <c r="R3023" i="34"/>
  <c r="S3023" i="34"/>
  <c r="T3023" i="34"/>
  <c r="V3023" i="34"/>
  <c r="X3023" i="34"/>
  <c r="Y3023" i="34"/>
  <c r="N3024" i="34"/>
  <c r="R3024" i="34"/>
  <c r="S3024" i="34"/>
  <c r="T3024" i="34"/>
  <c r="V3024" i="34"/>
  <c r="X3024" i="34"/>
  <c r="Y3024" i="34"/>
  <c r="N3025" i="34"/>
  <c r="R3025" i="34"/>
  <c r="S3025" i="34"/>
  <c r="T3025" i="34"/>
  <c r="V3025" i="34"/>
  <c r="X3025" i="34"/>
  <c r="Y3025" i="34"/>
  <c r="N3026" i="34"/>
  <c r="R3026" i="34"/>
  <c r="S3026" i="34"/>
  <c r="T3026" i="34"/>
  <c r="V3026" i="34"/>
  <c r="X3026" i="34"/>
  <c r="Y3026" i="34"/>
  <c r="N3027" i="34"/>
  <c r="R3027" i="34"/>
  <c r="S3027" i="34"/>
  <c r="T3027" i="34"/>
  <c r="V3027" i="34"/>
  <c r="X3027" i="34"/>
  <c r="Y3027" i="34"/>
  <c r="N3028" i="34"/>
  <c r="R3028" i="34"/>
  <c r="S3028" i="34"/>
  <c r="T3028" i="34"/>
  <c r="V3028" i="34"/>
  <c r="X3028" i="34"/>
  <c r="Y3028" i="34"/>
  <c r="N3029" i="34"/>
  <c r="R3029" i="34"/>
  <c r="S3029" i="34"/>
  <c r="T3029" i="34"/>
  <c r="V3029" i="34"/>
  <c r="X3029" i="34"/>
  <c r="Y3029" i="34"/>
  <c r="N3030" i="34"/>
  <c r="R3030" i="34"/>
  <c r="S3030" i="34"/>
  <c r="T3030" i="34"/>
  <c r="V3030" i="34"/>
  <c r="X3030" i="34"/>
  <c r="Y3030" i="34"/>
  <c r="N3031" i="34"/>
  <c r="R3031" i="34"/>
  <c r="S3031" i="34"/>
  <c r="T3031" i="34"/>
  <c r="V3031" i="34"/>
  <c r="X3031" i="34"/>
  <c r="Y3031" i="34"/>
  <c r="N3032" i="34"/>
  <c r="R3032" i="34"/>
  <c r="S3032" i="34"/>
  <c r="T3032" i="34"/>
  <c r="V3032" i="34"/>
  <c r="X3032" i="34"/>
  <c r="Y3032" i="34"/>
  <c r="N3033" i="34"/>
  <c r="R3033" i="34"/>
  <c r="S3033" i="34"/>
  <c r="T3033" i="34"/>
  <c r="V3033" i="34"/>
  <c r="X3033" i="34"/>
  <c r="Y3033" i="34"/>
  <c r="N3034" i="34"/>
  <c r="R3034" i="34"/>
  <c r="S3034" i="34"/>
  <c r="T3034" i="34"/>
  <c r="V3034" i="34"/>
  <c r="X3034" i="34"/>
  <c r="Y3034" i="34"/>
  <c r="N3035" i="34"/>
  <c r="R3035" i="34"/>
  <c r="S3035" i="34"/>
  <c r="T3035" i="34"/>
  <c r="V3035" i="34"/>
  <c r="X3035" i="34"/>
  <c r="Y3035" i="34"/>
  <c r="N3036" i="34"/>
  <c r="R3036" i="34"/>
  <c r="S3036" i="34"/>
  <c r="T3036" i="34"/>
  <c r="V3036" i="34"/>
  <c r="X3036" i="34"/>
  <c r="Y3036" i="34"/>
  <c r="N3037" i="34"/>
  <c r="R3037" i="34"/>
  <c r="S3037" i="34"/>
  <c r="T3037" i="34"/>
  <c r="V3037" i="34"/>
  <c r="X3037" i="34"/>
  <c r="Y3037" i="34"/>
  <c r="N3038" i="34"/>
  <c r="R3038" i="34"/>
  <c r="S3038" i="34"/>
  <c r="T3038" i="34"/>
  <c r="V3038" i="34"/>
  <c r="X3038" i="34"/>
  <c r="Y3038" i="34"/>
  <c r="N3039" i="34"/>
  <c r="R3039" i="34"/>
  <c r="S3039" i="34"/>
  <c r="T3039" i="34"/>
  <c r="V3039" i="34"/>
  <c r="X3039" i="34"/>
  <c r="Y3039" i="34"/>
  <c r="N3040" i="34"/>
  <c r="R3040" i="34"/>
  <c r="S3040" i="34"/>
  <c r="T3040" i="34"/>
  <c r="V3040" i="34"/>
  <c r="X3040" i="34"/>
  <c r="Y3040" i="34"/>
  <c r="N3041" i="34"/>
  <c r="R3041" i="34"/>
  <c r="S3041" i="34"/>
  <c r="T3041" i="34"/>
  <c r="V3041" i="34"/>
  <c r="X3041" i="34"/>
  <c r="Y3041" i="34"/>
  <c r="N3042" i="34"/>
  <c r="R3042" i="34"/>
  <c r="S3042" i="34"/>
  <c r="T3042" i="34"/>
  <c r="V3042" i="34"/>
  <c r="X3042" i="34"/>
  <c r="Y3042" i="34"/>
  <c r="N3043" i="34"/>
  <c r="R3043" i="34"/>
  <c r="S3043" i="34"/>
  <c r="T3043" i="34"/>
  <c r="V3043" i="34"/>
  <c r="X3043" i="34"/>
  <c r="Y3043" i="34"/>
  <c r="N3044" i="34"/>
  <c r="R3044" i="34"/>
  <c r="S3044" i="34"/>
  <c r="T3044" i="34"/>
  <c r="V3044" i="34"/>
  <c r="X3044" i="34"/>
  <c r="Y3044" i="34"/>
  <c r="N3045" i="34"/>
  <c r="R3045" i="34"/>
  <c r="S3045" i="34"/>
  <c r="T3045" i="34"/>
  <c r="V3045" i="34"/>
  <c r="X3045" i="34"/>
  <c r="Y3045" i="34"/>
  <c r="N3046" i="34"/>
  <c r="R3046" i="34"/>
  <c r="S3046" i="34"/>
  <c r="T3046" i="34"/>
  <c r="V3046" i="34"/>
  <c r="X3046" i="34"/>
  <c r="Y3046" i="34"/>
  <c r="N3047" i="34"/>
  <c r="R3047" i="34"/>
  <c r="S3047" i="34"/>
  <c r="T3047" i="34"/>
  <c r="V3047" i="34"/>
  <c r="X3047" i="34"/>
  <c r="Y3047" i="34"/>
  <c r="N3048" i="34"/>
  <c r="R3048" i="34"/>
  <c r="S3048" i="34"/>
  <c r="T3048" i="34"/>
  <c r="V3048" i="34"/>
  <c r="X3048" i="34"/>
  <c r="Y3048" i="34"/>
  <c r="N3049" i="34"/>
  <c r="R3049" i="34"/>
  <c r="S3049" i="34"/>
  <c r="T3049" i="34"/>
  <c r="V3049" i="34"/>
  <c r="X3049" i="34"/>
  <c r="Y3049" i="34"/>
  <c r="N3050" i="34"/>
  <c r="R3050" i="34"/>
  <c r="S3050" i="34"/>
  <c r="T3050" i="34"/>
  <c r="V3050" i="34"/>
  <c r="X3050" i="34"/>
  <c r="Y3050" i="34"/>
  <c r="N3051" i="34"/>
  <c r="R3051" i="34"/>
  <c r="S3051" i="34"/>
  <c r="T3051" i="34"/>
  <c r="V3051" i="34"/>
  <c r="X3051" i="34"/>
  <c r="Y3051" i="34"/>
  <c r="N3052" i="34"/>
  <c r="R3052" i="34"/>
  <c r="S3052" i="34"/>
  <c r="T3052" i="34"/>
  <c r="V3052" i="34"/>
  <c r="X3052" i="34"/>
  <c r="Y3052" i="34"/>
  <c r="N3053" i="34"/>
  <c r="R3053" i="34"/>
  <c r="S3053" i="34"/>
  <c r="T3053" i="34"/>
  <c r="V3053" i="34"/>
  <c r="X3053" i="34"/>
  <c r="Y3053" i="34"/>
  <c r="N3054" i="34"/>
  <c r="R3054" i="34"/>
  <c r="S3054" i="34"/>
  <c r="T3054" i="34"/>
  <c r="V3054" i="34"/>
  <c r="X3054" i="34"/>
  <c r="Y3054" i="34"/>
  <c r="N3055" i="34"/>
  <c r="R3055" i="34"/>
  <c r="S3055" i="34"/>
  <c r="T3055" i="34"/>
  <c r="V3055" i="34"/>
  <c r="X3055" i="34"/>
  <c r="Y3055" i="34"/>
  <c r="N3056" i="34"/>
  <c r="R3056" i="34"/>
  <c r="S3056" i="34"/>
  <c r="T3056" i="34"/>
  <c r="V3056" i="34"/>
  <c r="X3056" i="34"/>
  <c r="Y3056" i="34"/>
  <c r="N3057" i="34"/>
  <c r="R3057" i="34"/>
  <c r="S3057" i="34"/>
  <c r="T3057" i="34"/>
  <c r="V3057" i="34"/>
  <c r="X3057" i="34"/>
  <c r="Y3057" i="34"/>
  <c r="N3058" i="34"/>
  <c r="R3058" i="34"/>
  <c r="S3058" i="34"/>
  <c r="T3058" i="34"/>
  <c r="V3058" i="34"/>
  <c r="X3058" i="34"/>
  <c r="Y3058" i="34"/>
  <c r="N3059" i="34"/>
  <c r="R3059" i="34"/>
  <c r="S3059" i="34"/>
  <c r="T3059" i="34"/>
  <c r="V3059" i="34"/>
  <c r="X3059" i="34"/>
  <c r="Y3059" i="34"/>
  <c r="N3060" i="34"/>
  <c r="R3060" i="34"/>
  <c r="S3060" i="34"/>
  <c r="T3060" i="34"/>
  <c r="V3060" i="34"/>
  <c r="X3060" i="34"/>
  <c r="Y3060" i="34"/>
  <c r="N3061" i="34"/>
  <c r="R3061" i="34"/>
  <c r="S3061" i="34"/>
  <c r="T3061" i="34"/>
  <c r="V3061" i="34"/>
  <c r="X3061" i="34"/>
  <c r="Y3061" i="34"/>
  <c r="N3062" i="34"/>
  <c r="R3062" i="34"/>
  <c r="S3062" i="34"/>
  <c r="T3062" i="34"/>
  <c r="V3062" i="34"/>
  <c r="X3062" i="34"/>
  <c r="Y3062" i="34"/>
  <c r="N3063" i="34"/>
  <c r="R3063" i="34"/>
  <c r="S3063" i="34"/>
  <c r="T3063" i="34"/>
  <c r="V3063" i="34"/>
  <c r="X3063" i="34"/>
  <c r="Y3063" i="34"/>
  <c r="N3064" i="34"/>
  <c r="R3064" i="34"/>
  <c r="S3064" i="34"/>
  <c r="T3064" i="34"/>
  <c r="V3064" i="34"/>
  <c r="X3064" i="34"/>
  <c r="Y3064" i="34"/>
  <c r="N3065" i="34"/>
  <c r="R3065" i="34"/>
  <c r="S3065" i="34"/>
  <c r="T3065" i="34"/>
  <c r="V3065" i="34"/>
  <c r="X3065" i="34"/>
  <c r="Y3065" i="34"/>
  <c r="N3066" i="34"/>
  <c r="R3066" i="34"/>
  <c r="S3066" i="34"/>
  <c r="T3066" i="34"/>
  <c r="V3066" i="34"/>
  <c r="X3066" i="34"/>
  <c r="Y3066" i="34"/>
  <c r="N3067" i="34"/>
  <c r="R3067" i="34"/>
  <c r="S3067" i="34"/>
  <c r="T3067" i="34"/>
  <c r="V3067" i="34"/>
  <c r="X3067" i="34"/>
  <c r="Y3067" i="34"/>
  <c r="N3068" i="34"/>
  <c r="R3068" i="34"/>
  <c r="S3068" i="34"/>
  <c r="T3068" i="34"/>
  <c r="V3068" i="34"/>
  <c r="X3068" i="34"/>
  <c r="Y3068" i="34"/>
  <c r="N3069" i="34"/>
  <c r="R3069" i="34"/>
  <c r="S3069" i="34"/>
  <c r="T3069" i="34"/>
  <c r="V3069" i="34"/>
  <c r="X3069" i="34"/>
  <c r="Y3069" i="34"/>
  <c r="N3070" i="34"/>
  <c r="R3070" i="34"/>
  <c r="S3070" i="34"/>
  <c r="T3070" i="34"/>
  <c r="V3070" i="34"/>
  <c r="X3070" i="34"/>
  <c r="Y3070" i="34"/>
  <c r="N3071" i="34"/>
  <c r="R3071" i="34"/>
  <c r="S3071" i="34"/>
  <c r="T3071" i="34"/>
  <c r="V3071" i="34"/>
  <c r="X3071" i="34"/>
  <c r="Y3071" i="34"/>
  <c r="N3072" i="34"/>
  <c r="R3072" i="34"/>
  <c r="S3072" i="34"/>
  <c r="T3072" i="34"/>
  <c r="V3072" i="34"/>
  <c r="X3072" i="34"/>
  <c r="Y3072" i="34"/>
  <c r="N3073" i="34"/>
  <c r="R3073" i="34"/>
  <c r="S3073" i="34"/>
  <c r="T3073" i="34"/>
  <c r="V3073" i="34"/>
  <c r="X3073" i="34"/>
  <c r="Y3073" i="34"/>
  <c r="N3074" i="34"/>
  <c r="R3074" i="34"/>
  <c r="S3074" i="34"/>
  <c r="T3074" i="34"/>
  <c r="V3074" i="34"/>
  <c r="X3074" i="34"/>
  <c r="Y3074" i="34"/>
  <c r="N3075" i="34"/>
  <c r="R3075" i="34"/>
  <c r="S3075" i="34"/>
  <c r="T3075" i="34"/>
  <c r="V3075" i="34"/>
  <c r="X3075" i="34"/>
  <c r="Y3075" i="34"/>
  <c r="N3076" i="34"/>
  <c r="R3076" i="34"/>
  <c r="S3076" i="34"/>
  <c r="T3076" i="34"/>
  <c r="V3076" i="34"/>
  <c r="X3076" i="34"/>
  <c r="Y3076" i="34"/>
  <c r="N3077" i="34"/>
  <c r="R3077" i="34"/>
  <c r="S3077" i="34"/>
  <c r="T3077" i="34"/>
  <c r="V3077" i="34"/>
  <c r="X3077" i="34"/>
  <c r="Y3077" i="34"/>
  <c r="N3078" i="34"/>
  <c r="R3078" i="34"/>
  <c r="S3078" i="34"/>
  <c r="T3078" i="34"/>
  <c r="V3078" i="34"/>
  <c r="X3078" i="34"/>
  <c r="Y3078" i="34"/>
  <c r="N3079" i="34"/>
  <c r="R3079" i="34"/>
  <c r="S3079" i="34"/>
  <c r="T3079" i="34"/>
  <c r="V3079" i="34"/>
  <c r="X3079" i="34"/>
  <c r="Y3079" i="34"/>
  <c r="N3080" i="34"/>
  <c r="R3080" i="34"/>
  <c r="S3080" i="34"/>
  <c r="T3080" i="34"/>
  <c r="V3080" i="34"/>
  <c r="X3080" i="34"/>
  <c r="Y3080" i="34"/>
  <c r="N3081" i="34"/>
  <c r="R3081" i="34"/>
  <c r="S3081" i="34"/>
  <c r="T3081" i="34"/>
  <c r="V3081" i="34"/>
  <c r="X3081" i="34"/>
  <c r="Y3081" i="34"/>
  <c r="N3082" i="34"/>
  <c r="R3082" i="34"/>
  <c r="S3082" i="34"/>
  <c r="T3082" i="34"/>
  <c r="V3082" i="34"/>
  <c r="X3082" i="34"/>
  <c r="Y3082" i="34"/>
  <c r="N3083" i="34"/>
  <c r="R3083" i="34"/>
  <c r="S3083" i="34"/>
  <c r="T3083" i="34"/>
  <c r="V3083" i="34"/>
  <c r="X3083" i="34"/>
  <c r="Y3083" i="34"/>
  <c r="N3084" i="34"/>
  <c r="R3084" i="34"/>
  <c r="S3084" i="34"/>
  <c r="T3084" i="34"/>
  <c r="V3084" i="34"/>
  <c r="X3084" i="34"/>
  <c r="Y3084" i="34"/>
  <c r="N3085" i="34"/>
  <c r="R3085" i="34"/>
  <c r="S3085" i="34"/>
  <c r="T3085" i="34"/>
  <c r="V3085" i="34"/>
  <c r="X3085" i="34"/>
  <c r="Y3085" i="34"/>
  <c r="N3086" i="34"/>
  <c r="R3086" i="34"/>
  <c r="S3086" i="34"/>
  <c r="T3086" i="34"/>
  <c r="V3086" i="34"/>
  <c r="X3086" i="34"/>
  <c r="Y3086" i="34"/>
  <c r="N3087" i="34"/>
  <c r="R3087" i="34"/>
  <c r="S3087" i="34"/>
  <c r="T3087" i="34"/>
  <c r="V3087" i="34"/>
  <c r="X3087" i="34"/>
  <c r="Y3087" i="34"/>
  <c r="N3088" i="34"/>
  <c r="R3088" i="34"/>
  <c r="S3088" i="34"/>
  <c r="T3088" i="34"/>
  <c r="V3088" i="34"/>
  <c r="X3088" i="34"/>
  <c r="Y3088" i="34"/>
  <c r="N3089" i="34"/>
  <c r="R3089" i="34"/>
  <c r="S3089" i="34"/>
  <c r="T3089" i="34"/>
  <c r="V3089" i="34"/>
  <c r="X3089" i="34"/>
  <c r="Y3089" i="34"/>
  <c r="N3090" i="34"/>
  <c r="R3090" i="34"/>
  <c r="S3090" i="34"/>
  <c r="T3090" i="34"/>
  <c r="V3090" i="34"/>
  <c r="X3090" i="34"/>
  <c r="Y3090" i="34"/>
  <c r="N3091" i="34"/>
  <c r="R3091" i="34"/>
  <c r="S3091" i="34"/>
  <c r="T3091" i="34"/>
  <c r="V3091" i="34"/>
  <c r="X3091" i="34"/>
  <c r="Y3091" i="34"/>
  <c r="N3092" i="34"/>
  <c r="R3092" i="34"/>
  <c r="S3092" i="34"/>
  <c r="T3092" i="34"/>
  <c r="V3092" i="34"/>
  <c r="X3092" i="34"/>
  <c r="Y3092" i="34"/>
  <c r="N3093" i="34"/>
  <c r="R3093" i="34"/>
  <c r="S3093" i="34"/>
  <c r="T3093" i="34"/>
  <c r="V3093" i="34"/>
  <c r="X3093" i="34"/>
  <c r="Y3093" i="34"/>
  <c r="N3094" i="34"/>
  <c r="R3094" i="34"/>
  <c r="S3094" i="34"/>
  <c r="T3094" i="34"/>
  <c r="V3094" i="34"/>
  <c r="X3094" i="34"/>
  <c r="Y3094" i="34"/>
  <c r="N3095" i="34"/>
  <c r="R3095" i="34"/>
  <c r="S3095" i="34"/>
  <c r="T3095" i="34"/>
  <c r="V3095" i="34"/>
  <c r="X3095" i="34"/>
  <c r="Y3095" i="34"/>
  <c r="N3096" i="34"/>
  <c r="R3096" i="34"/>
  <c r="S3096" i="34"/>
  <c r="T3096" i="34"/>
  <c r="V3096" i="34"/>
  <c r="X3096" i="34"/>
  <c r="Y3096" i="34"/>
  <c r="N3097" i="34"/>
  <c r="R3097" i="34"/>
  <c r="S3097" i="34"/>
  <c r="T3097" i="34"/>
  <c r="V3097" i="34"/>
  <c r="X3097" i="34"/>
  <c r="Y3097" i="34"/>
  <c r="N3098" i="34"/>
  <c r="R3098" i="34"/>
  <c r="S3098" i="34"/>
  <c r="T3098" i="34"/>
  <c r="V3098" i="34"/>
  <c r="X3098" i="34"/>
  <c r="Y3098" i="34"/>
  <c r="N3099" i="34"/>
  <c r="R3099" i="34"/>
  <c r="S3099" i="34"/>
  <c r="T3099" i="34"/>
  <c r="V3099" i="34"/>
  <c r="X3099" i="34"/>
  <c r="Y3099" i="34"/>
  <c r="N3100" i="34"/>
  <c r="R3100" i="34"/>
  <c r="S3100" i="34"/>
  <c r="T3100" i="34"/>
  <c r="V3100" i="34"/>
  <c r="X3100" i="34"/>
  <c r="Y3100" i="34"/>
  <c r="N3101" i="34"/>
  <c r="R3101" i="34"/>
  <c r="S3101" i="34"/>
  <c r="T3101" i="34"/>
  <c r="V3101" i="34"/>
  <c r="X3101" i="34"/>
  <c r="Y3101" i="34"/>
  <c r="N3102" i="34"/>
  <c r="R3102" i="34"/>
  <c r="S3102" i="34"/>
  <c r="T3102" i="34"/>
  <c r="V3102" i="34"/>
  <c r="X3102" i="34"/>
  <c r="Y3102" i="34"/>
  <c r="N3103" i="34"/>
  <c r="R3103" i="34"/>
  <c r="S3103" i="34"/>
  <c r="T3103" i="34"/>
  <c r="V3103" i="34"/>
  <c r="X3103" i="34"/>
  <c r="Y3103" i="34"/>
  <c r="N3104" i="34"/>
  <c r="R3104" i="34"/>
  <c r="S3104" i="34"/>
  <c r="T3104" i="34"/>
  <c r="V3104" i="34"/>
  <c r="X3104" i="34"/>
  <c r="Y3104" i="34"/>
  <c r="N3105" i="34"/>
  <c r="R3105" i="34"/>
  <c r="S3105" i="34"/>
  <c r="T3105" i="34"/>
  <c r="V3105" i="34"/>
  <c r="X3105" i="34"/>
  <c r="Y3105" i="34"/>
  <c r="N3106" i="34"/>
  <c r="R3106" i="34"/>
  <c r="S3106" i="34"/>
  <c r="T3106" i="34"/>
  <c r="V3106" i="34"/>
  <c r="X3106" i="34"/>
  <c r="Y3106" i="34"/>
  <c r="N3107" i="34"/>
  <c r="R3107" i="34"/>
  <c r="S3107" i="34"/>
  <c r="T3107" i="34"/>
  <c r="V3107" i="34"/>
  <c r="X3107" i="34"/>
  <c r="Y3107" i="34"/>
  <c r="N3108" i="34"/>
  <c r="R3108" i="34"/>
  <c r="S3108" i="34"/>
  <c r="T3108" i="34"/>
  <c r="V3108" i="34"/>
  <c r="X3108" i="34"/>
  <c r="Y3108" i="34"/>
  <c r="N3109" i="34"/>
  <c r="R3109" i="34"/>
  <c r="S3109" i="34"/>
  <c r="T3109" i="34"/>
  <c r="V3109" i="34"/>
  <c r="X3109" i="34"/>
  <c r="Y3109" i="34"/>
  <c r="N3110" i="34"/>
  <c r="R3110" i="34"/>
  <c r="S3110" i="34"/>
  <c r="T3110" i="34"/>
  <c r="V3110" i="34"/>
  <c r="X3110" i="34"/>
  <c r="Y3110" i="34"/>
  <c r="N3111" i="34"/>
  <c r="R3111" i="34"/>
  <c r="S3111" i="34"/>
  <c r="T3111" i="34"/>
  <c r="V3111" i="34"/>
  <c r="X3111" i="34"/>
  <c r="Y3111" i="34"/>
  <c r="N3112" i="34"/>
  <c r="R3112" i="34"/>
  <c r="S3112" i="34"/>
  <c r="T3112" i="34"/>
  <c r="V3112" i="34"/>
  <c r="X3112" i="34"/>
  <c r="Y3112" i="34"/>
  <c r="N3113" i="34"/>
  <c r="R3113" i="34"/>
  <c r="S3113" i="34"/>
  <c r="T3113" i="34"/>
  <c r="V3113" i="34"/>
  <c r="X3113" i="34"/>
  <c r="Y3113" i="34"/>
  <c r="N3114" i="34"/>
  <c r="R3114" i="34"/>
  <c r="S3114" i="34"/>
  <c r="T3114" i="34"/>
  <c r="V3114" i="34"/>
  <c r="X3114" i="34"/>
  <c r="Y3114" i="34"/>
  <c r="N3115" i="34"/>
  <c r="R3115" i="34"/>
  <c r="S3115" i="34"/>
  <c r="T3115" i="34"/>
  <c r="V3115" i="34"/>
  <c r="X3115" i="34"/>
  <c r="Y3115" i="34"/>
  <c r="N3116" i="34"/>
  <c r="R3116" i="34"/>
  <c r="S3116" i="34"/>
  <c r="T3116" i="34"/>
  <c r="V3116" i="34"/>
  <c r="X3116" i="34"/>
  <c r="Y3116" i="34"/>
  <c r="N3117" i="34"/>
  <c r="R3117" i="34"/>
  <c r="S3117" i="34"/>
  <c r="T3117" i="34"/>
  <c r="V3117" i="34"/>
  <c r="X3117" i="34"/>
  <c r="Y3117" i="34"/>
  <c r="N3118" i="34"/>
  <c r="R3118" i="34"/>
  <c r="S3118" i="34"/>
  <c r="T3118" i="34"/>
  <c r="V3118" i="34"/>
  <c r="X3118" i="34"/>
  <c r="Y3118" i="34"/>
  <c r="N3119" i="34"/>
  <c r="R3119" i="34"/>
  <c r="S3119" i="34"/>
  <c r="T3119" i="34"/>
  <c r="V3119" i="34"/>
  <c r="X3119" i="34"/>
  <c r="Y3119" i="34"/>
  <c r="N3120" i="34"/>
  <c r="R3120" i="34"/>
  <c r="S3120" i="34"/>
  <c r="T3120" i="34"/>
  <c r="V3120" i="34"/>
  <c r="X3120" i="34"/>
  <c r="Y3120" i="34"/>
  <c r="N3121" i="34"/>
  <c r="R3121" i="34"/>
  <c r="S3121" i="34"/>
  <c r="T3121" i="34"/>
  <c r="V3121" i="34"/>
  <c r="X3121" i="34"/>
  <c r="Y3121" i="34"/>
  <c r="N3122" i="34"/>
  <c r="R3122" i="34"/>
  <c r="S3122" i="34"/>
  <c r="T3122" i="34"/>
  <c r="V3122" i="34"/>
  <c r="X3122" i="34"/>
  <c r="Y3122" i="34"/>
  <c r="N3123" i="34"/>
  <c r="R3123" i="34"/>
  <c r="S3123" i="34"/>
  <c r="T3123" i="34"/>
  <c r="V3123" i="34"/>
  <c r="X3123" i="34"/>
  <c r="Y3123" i="34"/>
  <c r="N3124" i="34"/>
  <c r="R3124" i="34"/>
  <c r="S3124" i="34"/>
  <c r="T3124" i="34"/>
  <c r="V3124" i="34"/>
  <c r="X3124" i="34"/>
  <c r="Y3124" i="34"/>
  <c r="N3125" i="34"/>
  <c r="R3125" i="34"/>
  <c r="S3125" i="34"/>
  <c r="T3125" i="34"/>
  <c r="V3125" i="34"/>
  <c r="X3125" i="34"/>
  <c r="Y3125" i="34"/>
  <c r="N3126" i="34"/>
  <c r="R3126" i="34"/>
  <c r="S3126" i="34"/>
  <c r="T3126" i="34"/>
  <c r="V3126" i="34"/>
  <c r="X3126" i="34"/>
  <c r="Y3126" i="34"/>
  <c r="N3127" i="34"/>
  <c r="R3127" i="34"/>
  <c r="S3127" i="34"/>
  <c r="T3127" i="34"/>
  <c r="V3127" i="34"/>
  <c r="X3127" i="34"/>
  <c r="Y3127" i="34"/>
  <c r="N3128" i="34"/>
  <c r="R3128" i="34"/>
  <c r="S3128" i="34"/>
  <c r="T3128" i="34"/>
  <c r="V3128" i="34"/>
  <c r="X3128" i="34"/>
  <c r="Y3128" i="34"/>
  <c r="N3129" i="34"/>
  <c r="R3129" i="34"/>
  <c r="S3129" i="34"/>
  <c r="T3129" i="34"/>
  <c r="V3129" i="34"/>
  <c r="X3129" i="34"/>
  <c r="Y3129" i="34"/>
  <c r="N3130" i="34"/>
  <c r="R3130" i="34"/>
  <c r="S3130" i="34"/>
  <c r="T3130" i="34"/>
  <c r="V3130" i="34"/>
  <c r="X3130" i="34"/>
  <c r="Y3130" i="34"/>
  <c r="N3131" i="34"/>
  <c r="R3131" i="34"/>
  <c r="S3131" i="34"/>
  <c r="T3131" i="34"/>
  <c r="V3131" i="34"/>
  <c r="X3131" i="34"/>
  <c r="Y3131" i="34"/>
  <c r="N3132" i="34"/>
  <c r="R3132" i="34"/>
  <c r="S3132" i="34"/>
  <c r="T3132" i="34"/>
  <c r="V3132" i="34"/>
  <c r="X3132" i="34"/>
  <c r="Y3132" i="34"/>
  <c r="N3133" i="34"/>
  <c r="R3133" i="34"/>
  <c r="S3133" i="34"/>
  <c r="T3133" i="34"/>
  <c r="V3133" i="34"/>
  <c r="X3133" i="34"/>
  <c r="Y3133" i="34"/>
  <c r="N3134" i="34"/>
  <c r="R3134" i="34"/>
  <c r="S3134" i="34"/>
  <c r="T3134" i="34"/>
  <c r="V3134" i="34"/>
  <c r="X3134" i="34"/>
  <c r="Y3134" i="34"/>
  <c r="N3135" i="34"/>
  <c r="R3135" i="34"/>
  <c r="S3135" i="34"/>
  <c r="T3135" i="34"/>
  <c r="V3135" i="34"/>
  <c r="X3135" i="34"/>
  <c r="Y3135" i="34"/>
  <c r="N3136" i="34"/>
  <c r="R3136" i="34"/>
  <c r="S3136" i="34"/>
  <c r="T3136" i="34"/>
  <c r="V3136" i="34"/>
  <c r="X3136" i="34"/>
  <c r="Y3136" i="34"/>
  <c r="N3137" i="34"/>
  <c r="R3137" i="34"/>
  <c r="S3137" i="34"/>
  <c r="T3137" i="34"/>
  <c r="V3137" i="34"/>
  <c r="X3137" i="34"/>
  <c r="Y3137" i="34"/>
  <c r="N3138" i="34"/>
  <c r="R3138" i="34"/>
  <c r="S3138" i="34"/>
  <c r="T3138" i="34"/>
  <c r="V3138" i="34"/>
  <c r="X3138" i="34"/>
  <c r="Y3138" i="34"/>
  <c r="N3139" i="34"/>
  <c r="R3139" i="34"/>
  <c r="S3139" i="34"/>
  <c r="T3139" i="34"/>
  <c r="V3139" i="34"/>
  <c r="X3139" i="34"/>
  <c r="Y3139" i="34"/>
  <c r="N3140" i="34"/>
  <c r="R3140" i="34"/>
  <c r="S3140" i="34"/>
  <c r="T3140" i="34"/>
  <c r="V3140" i="34"/>
  <c r="X3140" i="34"/>
  <c r="Y3140" i="34"/>
  <c r="N3141" i="34"/>
  <c r="R3141" i="34"/>
  <c r="S3141" i="34"/>
  <c r="T3141" i="34"/>
  <c r="V3141" i="34"/>
  <c r="X3141" i="34"/>
  <c r="Y3141" i="34"/>
  <c r="N3142" i="34"/>
  <c r="R3142" i="34"/>
  <c r="S3142" i="34"/>
  <c r="T3142" i="34"/>
  <c r="V3142" i="34"/>
  <c r="X3142" i="34"/>
  <c r="Y3142" i="34"/>
  <c r="N3143" i="34"/>
  <c r="R3143" i="34"/>
  <c r="S3143" i="34"/>
  <c r="T3143" i="34"/>
  <c r="V3143" i="34"/>
  <c r="X3143" i="34"/>
  <c r="Y3143" i="34"/>
  <c r="N3144" i="34"/>
  <c r="R3144" i="34"/>
  <c r="S3144" i="34"/>
  <c r="T3144" i="34"/>
  <c r="V3144" i="34"/>
  <c r="X3144" i="34"/>
  <c r="Y3144" i="34"/>
  <c r="N3145" i="34"/>
  <c r="R3145" i="34"/>
  <c r="S3145" i="34"/>
  <c r="T3145" i="34"/>
  <c r="V3145" i="34"/>
  <c r="X3145" i="34"/>
  <c r="Y3145" i="34"/>
  <c r="N3146" i="34"/>
  <c r="R3146" i="34"/>
  <c r="S3146" i="34"/>
  <c r="T3146" i="34"/>
  <c r="V3146" i="34"/>
  <c r="X3146" i="34"/>
  <c r="Y3146" i="34"/>
  <c r="N3147" i="34"/>
  <c r="R3147" i="34"/>
  <c r="S3147" i="34"/>
  <c r="T3147" i="34"/>
  <c r="V3147" i="34"/>
  <c r="X3147" i="34"/>
  <c r="Y3147" i="34"/>
  <c r="N3148" i="34"/>
  <c r="R3148" i="34"/>
  <c r="S3148" i="34"/>
  <c r="T3148" i="34"/>
  <c r="V3148" i="34"/>
  <c r="X3148" i="34"/>
  <c r="Y3148" i="34"/>
  <c r="N3149" i="34"/>
  <c r="R3149" i="34"/>
  <c r="S3149" i="34"/>
  <c r="T3149" i="34"/>
  <c r="V3149" i="34"/>
  <c r="X3149" i="34"/>
  <c r="Y3149" i="34"/>
  <c r="N3150" i="34"/>
  <c r="R3150" i="34"/>
  <c r="S3150" i="34"/>
  <c r="T3150" i="34"/>
  <c r="V3150" i="34"/>
  <c r="X3150" i="34"/>
  <c r="Y3150" i="34"/>
  <c r="N3151" i="34"/>
  <c r="R3151" i="34"/>
  <c r="S3151" i="34"/>
  <c r="T3151" i="34"/>
  <c r="V3151" i="34"/>
  <c r="X3151" i="34"/>
  <c r="Y3151" i="34"/>
  <c r="N3152" i="34"/>
  <c r="R3152" i="34"/>
  <c r="S3152" i="34"/>
  <c r="T3152" i="34"/>
  <c r="V3152" i="34"/>
  <c r="X3152" i="34"/>
  <c r="Y3152" i="34"/>
  <c r="N3153" i="34"/>
  <c r="R3153" i="34"/>
  <c r="S3153" i="34"/>
  <c r="T3153" i="34"/>
  <c r="V3153" i="34"/>
  <c r="X3153" i="34"/>
  <c r="Y3153" i="34"/>
  <c r="N3154" i="34"/>
  <c r="R3154" i="34"/>
  <c r="S3154" i="34"/>
  <c r="T3154" i="34"/>
  <c r="V3154" i="34"/>
  <c r="X3154" i="34"/>
  <c r="Y3154" i="34"/>
  <c r="N3155" i="34"/>
  <c r="R3155" i="34"/>
  <c r="S3155" i="34"/>
  <c r="T3155" i="34"/>
  <c r="V3155" i="34"/>
  <c r="X3155" i="34"/>
  <c r="Y3155" i="34"/>
  <c r="N3156" i="34"/>
  <c r="R3156" i="34"/>
  <c r="S3156" i="34"/>
  <c r="T3156" i="34"/>
  <c r="V3156" i="34"/>
  <c r="X3156" i="34"/>
  <c r="Y3156" i="34"/>
  <c r="N3157" i="34"/>
  <c r="R3157" i="34"/>
  <c r="S3157" i="34"/>
  <c r="T3157" i="34"/>
  <c r="V3157" i="34"/>
  <c r="X3157" i="34"/>
  <c r="Y3157" i="34"/>
  <c r="N3158" i="34"/>
  <c r="R3158" i="34"/>
  <c r="S3158" i="34"/>
  <c r="T3158" i="34"/>
  <c r="V3158" i="34"/>
  <c r="X3158" i="34"/>
  <c r="Y3158" i="34"/>
  <c r="N3159" i="34"/>
  <c r="R3159" i="34"/>
  <c r="S3159" i="34"/>
  <c r="T3159" i="34"/>
  <c r="V3159" i="34"/>
  <c r="X3159" i="34"/>
  <c r="Y3159" i="34"/>
  <c r="N3160" i="34"/>
  <c r="R3160" i="34"/>
  <c r="S3160" i="34"/>
  <c r="T3160" i="34"/>
  <c r="V3160" i="34"/>
  <c r="X3160" i="34"/>
  <c r="Y3160" i="34"/>
  <c r="N3161" i="34"/>
  <c r="R3161" i="34"/>
  <c r="S3161" i="34"/>
  <c r="T3161" i="34"/>
  <c r="V3161" i="34"/>
  <c r="X3161" i="34"/>
  <c r="Y3161" i="34"/>
  <c r="N3162" i="34"/>
  <c r="R3162" i="34"/>
  <c r="S3162" i="34"/>
  <c r="T3162" i="34"/>
  <c r="V3162" i="34"/>
  <c r="X3162" i="34"/>
  <c r="Y3162" i="34"/>
  <c r="N3163" i="34"/>
  <c r="R3163" i="34"/>
  <c r="S3163" i="34"/>
  <c r="T3163" i="34"/>
  <c r="V3163" i="34"/>
  <c r="X3163" i="34"/>
  <c r="Y3163" i="34"/>
  <c r="N3164" i="34"/>
  <c r="R3164" i="34"/>
  <c r="S3164" i="34"/>
  <c r="T3164" i="34"/>
  <c r="V3164" i="34"/>
  <c r="X3164" i="34"/>
  <c r="Y3164" i="34"/>
  <c r="N3165" i="34"/>
  <c r="R3165" i="34"/>
  <c r="S3165" i="34"/>
  <c r="T3165" i="34"/>
  <c r="V3165" i="34"/>
  <c r="X3165" i="34"/>
  <c r="Y3165" i="34"/>
  <c r="N3166" i="34"/>
  <c r="R3166" i="34"/>
  <c r="S3166" i="34"/>
  <c r="T3166" i="34"/>
  <c r="V3166" i="34"/>
  <c r="X3166" i="34"/>
  <c r="Y3166" i="34"/>
  <c r="N3167" i="34"/>
  <c r="R3167" i="34"/>
  <c r="S3167" i="34"/>
  <c r="T3167" i="34"/>
  <c r="V3167" i="34"/>
  <c r="X3167" i="34"/>
  <c r="Y3167" i="34"/>
  <c r="N3168" i="34"/>
  <c r="R3168" i="34"/>
  <c r="S3168" i="34"/>
  <c r="T3168" i="34"/>
  <c r="V3168" i="34"/>
  <c r="X3168" i="34"/>
  <c r="Y3168" i="34"/>
  <c r="N3169" i="34"/>
  <c r="R3169" i="34"/>
  <c r="S3169" i="34"/>
  <c r="T3169" i="34"/>
  <c r="V3169" i="34"/>
  <c r="X3169" i="34"/>
  <c r="Y3169" i="34"/>
  <c r="N3170" i="34"/>
  <c r="R3170" i="34"/>
  <c r="S3170" i="34"/>
  <c r="T3170" i="34"/>
  <c r="V3170" i="34"/>
  <c r="X3170" i="34"/>
  <c r="Y3170" i="34"/>
  <c r="N3171" i="34"/>
  <c r="R3171" i="34"/>
  <c r="S3171" i="34"/>
  <c r="T3171" i="34"/>
  <c r="V3171" i="34"/>
  <c r="X3171" i="34"/>
  <c r="Y3171" i="34"/>
  <c r="N3172" i="34"/>
  <c r="R3172" i="34"/>
  <c r="S3172" i="34"/>
  <c r="T3172" i="34"/>
  <c r="V3172" i="34"/>
  <c r="X3172" i="34"/>
  <c r="Y3172" i="34"/>
  <c r="N3173" i="34"/>
  <c r="R3173" i="34"/>
  <c r="S3173" i="34"/>
  <c r="T3173" i="34"/>
  <c r="V3173" i="34"/>
  <c r="X3173" i="34"/>
  <c r="Y3173" i="34"/>
  <c r="N3174" i="34"/>
  <c r="R3174" i="34"/>
  <c r="S3174" i="34"/>
  <c r="T3174" i="34"/>
  <c r="V3174" i="34"/>
  <c r="X3174" i="34"/>
  <c r="Y3174" i="34"/>
  <c r="N3175" i="34"/>
  <c r="R3175" i="34"/>
  <c r="S3175" i="34"/>
  <c r="T3175" i="34"/>
  <c r="V3175" i="34"/>
  <c r="X3175" i="34"/>
  <c r="Y3175" i="34"/>
  <c r="N3176" i="34"/>
  <c r="R3176" i="34"/>
  <c r="S3176" i="34"/>
  <c r="T3176" i="34"/>
  <c r="V3176" i="34"/>
  <c r="X3176" i="34"/>
  <c r="Y3176" i="34"/>
  <c r="N3177" i="34"/>
  <c r="R3177" i="34"/>
  <c r="S3177" i="34"/>
  <c r="T3177" i="34"/>
  <c r="V3177" i="34"/>
  <c r="X3177" i="34"/>
  <c r="Y3177" i="34"/>
  <c r="N3178" i="34"/>
  <c r="R3178" i="34"/>
  <c r="S3178" i="34"/>
  <c r="T3178" i="34"/>
  <c r="V3178" i="34"/>
  <c r="X3178" i="34"/>
  <c r="Y3178" i="34"/>
  <c r="N3179" i="34"/>
  <c r="R3179" i="34"/>
  <c r="S3179" i="34"/>
  <c r="T3179" i="34"/>
  <c r="V3179" i="34"/>
  <c r="X3179" i="34"/>
  <c r="Y3179" i="34"/>
  <c r="N3180" i="34"/>
  <c r="R3180" i="34"/>
  <c r="S3180" i="34"/>
  <c r="T3180" i="34"/>
  <c r="V3180" i="34"/>
  <c r="X3180" i="34"/>
  <c r="Y3180" i="34"/>
  <c r="N3181" i="34"/>
  <c r="R3181" i="34"/>
  <c r="S3181" i="34"/>
  <c r="T3181" i="34"/>
  <c r="V3181" i="34"/>
  <c r="X3181" i="34"/>
  <c r="Y3181" i="34"/>
  <c r="N3182" i="34"/>
  <c r="R3182" i="34"/>
  <c r="S3182" i="34"/>
  <c r="T3182" i="34"/>
  <c r="V3182" i="34"/>
  <c r="X3182" i="34"/>
  <c r="Y3182" i="34"/>
  <c r="N3183" i="34"/>
  <c r="R3183" i="34"/>
  <c r="S3183" i="34"/>
  <c r="T3183" i="34"/>
  <c r="V3183" i="34"/>
  <c r="X3183" i="34"/>
  <c r="Y3183" i="34"/>
  <c r="N3184" i="34"/>
  <c r="R3184" i="34"/>
  <c r="S3184" i="34"/>
  <c r="T3184" i="34"/>
  <c r="V3184" i="34"/>
  <c r="X3184" i="34"/>
  <c r="Y3184" i="34"/>
  <c r="N3185" i="34"/>
  <c r="R3185" i="34"/>
  <c r="S3185" i="34"/>
  <c r="T3185" i="34"/>
  <c r="V3185" i="34"/>
  <c r="X3185" i="34"/>
  <c r="Y3185" i="34"/>
  <c r="N3186" i="34"/>
  <c r="R3186" i="34"/>
  <c r="S3186" i="34"/>
  <c r="T3186" i="34"/>
  <c r="V3186" i="34"/>
  <c r="X3186" i="34"/>
  <c r="Y3186" i="34"/>
  <c r="N3187" i="34"/>
  <c r="R3187" i="34"/>
  <c r="S3187" i="34"/>
  <c r="T3187" i="34"/>
  <c r="V3187" i="34"/>
  <c r="X3187" i="34"/>
  <c r="Y3187" i="34"/>
  <c r="N3188" i="34"/>
  <c r="R3188" i="34"/>
  <c r="S3188" i="34"/>
  <c r="T3188" i="34"/>
  <c r="V3188" i="34"/>
  <c r="X3188" i="34"/>
  <c r="Y3188" i="34"/>
  <c r="N3189" i="34"/>
  <c r="R3189" i="34"/>
  <c r="S3189" i="34"/>
  <c r="T3189" i="34"/>
  <c r="V3189" i="34"/>
  <c r="X3189" i="34"/>
  <c r="Y3189" i="34"/>
  <c r="N3190" i="34"/>
  <c r="R3190" i="34"/>
  <c r="S3190" i="34"/>
  <c r="T3190" i="34"/>
  <c r="V3190" i="34"/>
  <c r="X3190" i="34"/>
  <c r="Y3190" i="34"/>
  <c r="N3191" i="34"/>
  <c r="R3191" i="34"/>
  <c r="S3191" i="34"/>
  <c r="T3191" i="34"/>
  <c r="V3191" i="34"/>
  <c r="X3191" i="34"/>
  <c r="Y3191" i="34"/>
  <c r="N3192" i="34"/>
  <c r="R3192" i="34"/>
  <c r="S3192" i="34"/>
  <c r="T3192" i="34"/>
  <c r="V3192" i="34"/>
  <c r="X3192" i="34"/>
  <c r="Y3192" i="34"/>
  <c r="N3193" i="34"/>
  <c r="R3193" i="34"/>
  <c r="S3193" i="34"/>
  <c r="T3193" i="34"/>
  <c r="V3193" i="34"/>
  <c r="X3193" i="34"/>
  <c r="Y3193" i="34"/>
  <c r="N3194" i="34"/>
  <c r="R3194" i="34"/>
  <c r="S3194" i="34"/>
  <c r="T3194" i="34"/>
  <c r="V3194" i="34"/>
  <c r="X3194" i="34"/>
  <c r="Y3194" i="34"/>
  <c r="N3195" i="34"/>
  <c r="R3195" i="34"/>
  <c r="S3195" i="34"/>
  <c r="T3195" i="34"/>
  <c r="V3195" i="34"/>
  <c r="X3195" i="34"/>
  <c r="Y3195" i="34"/>
  <c r="N3196" i="34"/>
  <c r="R3196" i="34"/>
  <c r="S3196" i="34"/>
  <c r="T3196" i="34"/>
  <c r="V3196" i="34"/>
  <c r="X3196" i="34"/>
  <c r="Y3196" i="34"/>
  <c r="N3197" i="34"/>
  <c r="R3197" i="34"/>
  <c r="S3197" i="34"/>
  <c r="T3197" i="34"/>
  <c r="V3197" i="34"/>
  <c r="X3197" i="34"/>
  <c r="Y3197" i="34"/>
  <c r="N3198" i="34"/>
  <c r="R3198" i="34"/>
  <c r="S3198" i="34"/>
  <c r="T3198" i="34"/>
  <c r="V3198" i="34"/>
  <c r="X3198" i="34"/>
  <c r="Y3198" i="34"/>
  <c r="N3199" i="34"/>
  <c r="R3199" i="34"/>
  <c r="S3199" i="34"/>
  <c r="T3199" i="34"/>
  <c r="V3199" i="34"/>
  <c r="X3199" i="34"/>
  <c r="Y3199" i="34"/>
  <c r="N3200" i="34"/>
  <c r="R3200" i="34"/>
  <c r="S3200" i="34"/>
  <c r="T3200" i="34"/>
  <c r="V3200" i="34"/>
  <c r="X3200" i="34"/>
  <c r="Y3200" i="34"/>
  <c r="N3201" i="34"/>
  <c r="R3201" i="34"/>
  <c r="S3201" i="34"/>
  <c r="T3201" i="34"/>
  <c r="V3201" i="34"/>
  <c r="X3201" i="34"/>
  <c r="Y3201" i="34"/>
  <c r="N3202" i="34"/>
  <c r="R3202" i="34"/>
  <c r="S3202" i="34"/>
  <c r="T3202" i="34"/>
  <c r="V3202" i="34"/>
  <c r="X3202" i="34"/>
  <c r="Y3202" i="34"/>
  <c r="N3203" i="34"/>
  <c r="R3203" i="34"/>
  <c r="S3203" i="34"/>
  <c r="T3203" i="34"/>
  <c r="V3203" i="34"/>
  <c r="X3203" i="34"/>
  <c r="Y3203" i="34"/>
  <c r="N3204" i="34"/>
  <c r="R3204" i="34"/>
  <c r="S3204" i="34"/>
  <c r="T3204" i="34"/>
  <c r="V3204" i="34"/>
  <c r="X3204" i="34"/>
  <c r="Y3204" i="34"/>
  <c r="N3205" i="34"/>
  <c r="R3205" i="34"/>
  <c r="S3205" i="34"/>
  <c r="T3205" i="34"/>
  <c r="V3205" i="34"/>
  <c r="X3205" i="34"/>
  <c r="Y3205" i="34"/>
  <c r="N3206" i="34"/>
  <c r="R3206" i="34"/>
  <c r="S3206" i="34"/>
  <c r="T3206" i="34"/>
  <c r="V3206" i="34"/>
  <c r="X3206" i="34"/>
  <c r="Y3206" i="34"/>
  <c r="N3207" i="34"/>
  <c r="R3207" i="34"/>
  <c r="S3207" i="34"/>
  <c r="T3207" i="34"/>
  <c r="V3207" i="34"/>
  <c r="X3207" i="34"/>
  <c r="Y3207" i="34"/>
  <c r="N3208" i="34"/>
  <c r="R3208" i="34"/>
  <c r="S3208" i="34"/>
  <c r="T3208" i="34"/>
  <c r="V3208" i="34"/>
  <c r="X3208" i="34"/>
  <c r="Y3208" i="34"/>
  <c r="N3209" i="34"/>
  <c r="R3209" i="34"/>
  <c r="S3209" i="34"/>
  <c r="T3209" i="34"/>
  <c r="V3209" i="34"/>
  <c r="X3209" i="34"/>
  <c r="Y3209" i="34"/>
  <c r="N3210" i="34"/>
  <c r="R3210" i="34"/>
  <c r="S3210" i="34"/>
  <c r="T3210" i="34"/>
  <c r="V3210" i="34"/>
  <c r="X3210" i="34"/>
  <c r="Y3210" i="34"/>
  <c r="N3211" i="34"/>
  <c r="R3211" i="34"/>
  <c r="S3211" i="34"/>
  <c r="T3211" i="34"/>
  <c r="V3211" i="34"/>
  <c r="X3211" i="34"/>
  <c r="Y3211" i="34"/>
  <c r="N3212" i="34"/>
  <c r="R3212" i="34"/>
  <c r="S3212" i="34"/>
  <c r="T3212" i="34"/>
  <c r="V3212" i="34"/>
  <c r="X3212" i="34"/>
  <c r="Y3212" i="34"/>
  <c r="N3213" i="34"/>
  <c r="R3213" i="34"/>
  <c r="S3213" i="34"/>
  <c r="T3213" i="34"/>
  <c r="V3213" i="34"/>
  <c r="X3213" i="34"/>
  <c r="Y3213" i="34"/>
  <c r="N3214" i="34"/>
  <c r="R3214" i="34"/>
  <c r="S3214" i="34"/>
  <c r="T3214" i="34"/>
  <c r="V3214" i="34"/>
  <c r="X3214" i="34"/>
  <c r="Y3214" i="34"/>
  <c r="N3215" i="34"/>
  <c r="R3215" i="34"/>
  <c r="S3215" i="34"/>
  <c r="T3215" i="34"/>
  <c r="V3215" i="34"/>
  <c r="X3215" i="34"/>
  <c r="Y3215" i="34"/>
  <c r="N3216" i="34"/>
  <c r="R3216" i="34"/>
  <c r="S3216" i="34"/>
  <c r="T3216" i="34"/>
  <c r="V3216" i="34"/>
  <c r="X3216" i="34"/>
  <c r="Y3216" i="34"/>
  <c r="N3217" i="34"/>
  <c r="R3217" i="34"/>
  <c r="S3217" i="34"/>
  <c r="T3217" i="34"/>
  <c r="V3217" i="34"/>
  <c r="X3217" i="34"/>
  <c r="Y3217" i="34"/>
  <c r="N3218" i="34"/>
  <c r="R3218" i="34"/>
  <c r="S3218" i="34"/>
  <c r="T3218" i="34"/>
  <c r="V3218" i="34"/>
  <c r="X3218" i="34"/>
  <c r="Y3218" i="34"/>
  <c r="N3219" i="34"/>
  <c r="R3219" i="34"/>
  <c r="S3219" i="34"/>
  <c r="T3219" i="34"/>
  <c r="V3219" i="34"/>
  <c r="X3219" i="34"/>
  <c r="Y3219" i="34"/>
  <c r="N3220" i="34"/>
  <c r="R3220" i="34"/>
  <c r="S3220" i="34"/>
  <c r="T3220" i="34"/>
  <c r="V3220" i="34"/>
  <c r="X3220" i="34"/>
  <c r="Y3220" i="34"/>
  <c r="N3221" i="34"/>
  <c r="R3221" i="34"/>
  <c r="S3221" i="34"/>
  <c r="T3221" i="34"/>
  <c r="V3221" i="34"/>
  <c r="X3221" i="34"/>
  <c r="Y3221" i="34"/>
  <c r="N3222" i="34"/>
  <c r="R3222" i="34"/>
  <c r="S3222" i="34"/>
  <c r="T3222" i="34"/>
  <c r="V3222" i="34"/>
  <c r="X3222" i="34"/>
  <c r="Y3222" i="34"/>
  <c r="N3223" i="34"/>
  <c r="R3223" i="34"/>
  <c r="S3223" i="34"/>
  <c r="T3223" i="34"/>
  <c r="V3223" i="34"/>
  <c r="X3223" i="34"/>
  <c r="Y3223" i="34"/>
  <c r="N3224" i="34"/>
  <c r="R3224" i="34"/>
  <c r="S3224" i="34"/>
  <c r="T3224" i="34"/>
  <c r="V3224" i="34"/>
  <c r="X3224" i="34"/>
  <c r="Y3224" i="34"/>
  <c r="N3225" i="34"/>
  <c r="R3225" i="34"/>
  <c r="S3225" i="34"/>
  <c r="T3225" i="34"/>
  <c r="V3225" i="34"/>
  <c r="X3225" i="34"/>
  <c r="Y3225" i="34"/>
  <c r="N3226" i="34"/>
  <c r="R3226" i="34"/>
  <c r="S3226" i="34"/>
  <c r="T3226" i="34"/>
  <c r="V3226" i="34"/>
  <c r="X3226" i="34"/>
  <c r="Y3226" i="34"/>
  <c r="N3227" i="34"/>
  <c r="R3227" i="34"/>
  <c r="S3227" i="34"/>
  <c r="T3227" i="34"/>
  <c r="V3227" i="34"/>
  <c r="X3227" i="34"/>
  <c r="Y3227" i="34"/>
  <c r="N3228" i="34"/>
  <c r="R3228" i="34"/>
  <c r="S3228" i="34"/>
  <c r="T3228" i="34"/>
  <c r="V3228" i="34"/>
  <c r="X3228" i="34"/>
  <c r="Y3228" i="34"/>
  <c r="N3229" i="34"/>
  <c r="R3229" i="34"/>
  <c r="S3229" i="34"/>
  <c r="T3229" i="34"/>
  <c r="V3229" i="34"/>
  <c r="X3229" i="34"/>
  <c r="Y3229" i="34"/>
  <c r="N3230" i="34"/>
  <c r="R3230" i="34"/>
  <c r="S3230" i="34"/>
  <c r="T3230" i="34"/>
  <c r="V3230" i="34"/>
  <c r="X3230" i="34"/>
  <c r="Y3230" i="34"/>
  <c r="N3231" i="34"/>
  <c r="R3231" i="34"/>
  <c r="S3231" i="34"/>
  <c r="T3231" i="34"/>
  <c r="V3231" i="34"/>
  <c r="X3231" i="34"/>
  <c r="Y3231" i="34"/>
  <c r="N3232" i="34"/>
  <c r="R3232" i="34"/>
  <c r="S3232" i="34"/>
  <c r="T3232" i="34"/>
  <c r="V3232" i="34"/>
  <c r="X3232" i="34"/>
  <c r="Y3232" i="34"/>
  <c r="N3233" i="34"/>
  <c r="R3233" i="34"/>
  <c r="S3233" i="34"/>
  <c r="T3233" i="34"/>
  <c r="V3233" i="34"/>
  <c r="X3233" i="34"/>
  <c r="Y3233" i="34"/>
  <c r="N3234" i="34"/>
  <c r="R3234" i="34"/>
  <c r="S3234" i="34"/>
  <c r="T3234" i="34"/>
  <c r="V3234" i="34"/>
  <c r="X3234" i="34"/>
  <c r="Y3234" i="34"/>
  <c r="N3235" i="34"/>
  <c r="R3235" i="34"/>
  <c r="S3235" i="34"/>
  <c r="T3235" i="34"/>
  <c r="V3235" i="34"/>
  <c r="X3235" i="34"/>
  <c r="Y3235" i="34"/>
  <c r="N3236" i="34"/>
  <c r="R3236" i="34"/>
  <c r="S3236" i="34"/>
  <c r="T3236" i="34"/>
  <c r="V3236" i="34"/>
  <c r="X3236" i="34"/>
  <c r="Y3236" i="34"/>
  <c r="N3237" i="34"/>
  <c r="R3237" i="34"/>
  <c r="S3237" i="34"/>
  <c r="T3237" i="34"/>
  <c r="V3237" i="34"/>
  <c r="X3237" i="34"/>
  <c r="Y3237" i="34"/>
  <c r="N3238" i="34"/>
  <c r="R3238" i="34"/>
  <c r="S3238" i="34"/>
  <c r="T3238" i="34"/>
  <c r="V3238" i="34"/>
  <c r="X3238" i="34"/>
  <c r="Y3238" i="34"/>
  <c r="N3239" i="34"/>
  <c r="R3239" i="34"/>
  <c r="S3239" i="34"/>
  <c r="T3239" i="34"/>
  <c r="V3239" i="34"/>
  <c r="X3239" i="34"/>
  <c r="Y3239" i="34"/>
  <c r="N3240" i="34"/>
  <c r="R3240" i="34"/>
  <c r="S3240" i="34"/>
  <c r="T3240" i="34"/>
  <c r="V3240" i="34"/>
  <c r="X3240" i="34"/>
  <c r="Y3240" i="34"/>
  <c r="N3241" i="34"/>
  <c r="R3241" i="34"/>
  <c r="S3241" i="34"/>
  <c r="T3241" i="34"/>
  <c r="V3241" i="34"/>
  <c r="X3241" i="34"/>
  <c r="Y3241" i="34"/>
  <c r="N3242" i="34"/>
  <c r="R3242" i="34"/>
  <c r="S3242" i="34"/>
  <c r="T3242" i="34"/>
  <c r="V3242" i="34"/>
  <c r="X3242" i="34"/>
  <c r="Y3242" i="34"/>
  <c r="N3243" i="34"/>
  <c r="R3243" i="34"/>
  <c r="S3243" i="34"/>
  <c r="T3243" i="34"/>
  <c r="V3243" i="34"/>
  <c r="X3243" i="34"/>
  <c r="Y3243" i="34"/>
  <c r="N3244" i="34"/>
  <c r="R3244" i="34"/>
  <c r="S3244" i="34"/>
  <c r="T3244" i="34"/>
  <c r="V3244" i="34"/>
  <c r="X3244" i="34"/>
  <c r="Y3244" i="34"/>
  <c r="N3245" i="34"/>
  <c r="R3245" i="34"/>
  <c r="S3245" i="34"/>
  <c r="T3245" i="34"/>
  <c r="V3245" i="34"/>
  <c r="X3245" i="34"/>
  <c r="Y3245" i="34"/>
  <c r="N3246" i="34"/>
  <c r="R3246" i="34"/>
  <c r="S3246" i="34"/>
  <c r="T3246" i="34"/>
  <c r="V3246" i="34"/>
  <c r="X3246" i="34"/>
  <c r="Y3246" i="34"/>
  <c r="N3247" i="34"/>
  <c r="R3247" i="34"/>
  <c r="S3247" i="34"/>
  <c r="T3247" i="34"/>
  <c r="V3247" i="34"/>
  <c r="X3247" i="34"/>
  <c r="Y3247" i="34"/>
  <c r="N3248" i="34"/>
  <c r="R3248" i="34"/>
  <c r="S3248" i="34"/>
  <c r="T3248" i="34"/>
  <c r="V3248" i="34"/>
  <c r="X3248" i="34"/>
  <c r="Y3248" i="34"/>
  <c r="N3249" i="34"/>
  <c r="R3249" i="34"/>
  <c r="S3249" i="34"/>
  <c r="T3249" i="34"/>
  <c r="V3249" i="34"/>
  <c r="X3249" i="34"/>
  <c r="Y3249" i="34"/>
  <c r="N3250" i="34"/>
  <c r="R3250" i="34"/>
  <c r="S3250" i="34"/>
  <c r="T3250" i="34"/>
  <c r="V3250" i="34"/>
  <c r="X3250" i="34"/>
  <c r="Y3250" i="34"/>
  <c r="N3251" i="34"/>
  <c r="R3251" i="34"/>
  <c r="S3251" i="34"/>
  <c r="T3251" i="34"/>
  <c r="V3251" i="34"/>
  <c r="X3251" i="34"/>
  <c r="Y3251" i="34"/>
  <c r="N3252" i="34"/>
  <c r="R3252" i="34"/>
  <c r="S3252" i="34"/>
  <c r="T3252" i="34"/>
  <c r="V3252" i="34"/>
  <c r="X3252" i="34"/>
  <c r="Y3252" i="34"/>
  <c r="N3253" i="34"/>
  <c r="R3253" i="34"/>
  <c r="S3253" i="34"/>
  <c r="T3253" i="34"/>
  <c r="V3253" i="34"/>
  <c r="X3253" i="34"/>
  <c r="Y3253" i="34"/>
  <c r="N3254" i="34"/>
  <c r="R3254" i="34"/>
  <c r="S3254" i="34"/>
  <c r="T3254" i="34"/>
  <c r="V3254" i="34"/>
  <c r="X3254" i="34"/>
  <c r="Y3254" i="34"/>
  <c r="N3255" i="34"/>
  <c r="R3255" i="34"/>
  <c r="S3255" i="34"/>
  <c r="T3255" i="34"/>
  <c r="V3255" i="34"/>
  <c r="X3255" i="34"/>
  <c r="Y3255" i="34"/>
  <c r="N3256" i="34"/>
  <c r="R3256" i="34"/>
  <c r="S3256" i="34"/>
  <c r="T3256" i="34"/>
  <c r="V3256" i="34"/>
  <c r="X3256" i="34"/>
  <c r="Y3256" i="34"/>
  <c r="N3257" i="34"/>
  <c r="R3257" i="34"/>
  <c r="S3257" i="34"/>
  <c r="T3257" i="34"/>
  <c r="V3257" i="34"/>
  <c r="X3257" i="34"/>
  <c r="Y3257" i="34"/>
  <c r="N3258" i="34"/>
  <c r="R3258" i="34"/>
  <c r="S3258" i="34"/>
  <c r="T3258" i="34"/>
  <c r="V3258" i="34"/>
  <c r="X3258" i="34"/>
  <c r="Y3258" i="34"/>
  <c r="N3259" i="34"/>
  <c r="R3259" i="34"/>
  <c r="S3259" i="34"/>
  <c r="T3259" i="34"/>
  <c r="V3259" i="34"/>
  <c r="X3259" i="34"/>
  <c r="Y3259" i="34"/>
  <c r="N3260" i="34"/>
  <c r="R3260" i="34"/>
  <c r="S3260" i="34"/>
  <c r="T3260" i="34"/>
  <c r="V3260" i="34"/>
  <c r="X3260" i="34"/>
  <c r="Y3260" i="34"/>
  <c r="N3261" i="34"/>
  <c r="R3261" i="34"/>
  <c r="S3261" i="34"/>
  <c r="T3261" i="34"/>
  <c r="V3261" i="34"/>
  <c r="X3261" i="34"/>
  <c r="Y3261" i="34"/>
  <c r="N3262" i="34"/>
  <c r="R3262" i="34"/>
  <c r="S3262" i="34"/>
  <c r="T3262" i="34"/>
  <c r="V3262" i="34"/>
  <c r="X3262" i="34"/>
  <c r="Y3262" i="34"/>
  <c r="N3263" i="34"/>
  <c r="R3263" i="34"/>
  <c r="S3263" i="34"/>
  <c r="T3263" i="34"/>
  <c r="V3263" i="34"/>
  <c r="X3263" i="34"/>
  <c r="Y3263" i="34"/>
  <c r="N3264" i="34"/>
  <c r="R3264" i="34"/>
  <c r="S3264" i="34"/>
  <c r="T3264" i="34"/>
  <c r="V3264" i="34"/>
  <c r="X3264" i="34"/>
  <c r="Y3264" i="34"/>
  <c r="N3265" i="34"/>
  <c r="R3265" i="34"/>
  <c r="S3265" i="34"/>
  <c r="T3265" i="34"/>
  <c r="V3265" i="34"/>
  <c r="X3265" i="34"/>
  <c r="Y3265" i="34"/>
  <c r="N3266" i="34"/>
  <c r="R3266" i="34"/>
  <c r="S3266" i="34"/>
  <c r="T3266" i="34"/>
  <c r="V3266" i="34"/>
  <c r="X3266" i="34"/>
  <c r="Y3266" i="34"/>
  <c r="N3267" i="34"/>
  <c r="R3267" i="34"/>
  <c r="S3267" i="34"/>
  <c r="T3267" i="34"/>
  <c r="V3267" i="34"/>
  <c r="X3267" i="34"/>
  <c r="Y3267" i="34"/>
  <c r="N3268" i="34"/>
  <c r="R3268" i="34"/>
  <c r="S3268" i="34"/>
  <c r="T3268" i="34"/>
  <c r="V3268" i="34"/>
  <c r="X3268" i="34"/>
  <c r="Y3268" i="34"/>
  <c r="N3269" i="34"/>
  <c r="R3269" i="34"/>
  <c r="S3269" i="34"/>
  <c r="T3269" i="34"/>
  <c r="V3269" i="34"/>
  <c r="X3269" i="34"/>
  <c r="Y3269" i="34"/>
  <c r="N3270" i="34"/>
  <c r="R3270" i="34"/>
  <c r="S3270" i="34"/>
  <c r="T3270" i="34"/>
  <c r="V3270" i="34"/>
  <c r="X3270" i="34"/>
  <c r="Y3270" i="34"/>
  <c r="N3271" i="34"/>
  <c r="R3271" i="34"/>
  <c r="S3271" i="34"/>
  <c r="T3271" i="34"/>
  <c r="V3271" i="34"/>
  <c r="X3271" i="34"/>
  <c r="Y3271" i="34"/>
  <c r="N3272" i="34"/>
  <c r="R3272" i="34"/>
  <c r="S3272" i="34"/>
  <c r="T3272" i="34"/>
  <c r="V3272" i="34"/>
  <c r="X3272" i="34"/>
  <c r="Y3272" i="34"/>
  <c r="N3273" i="34"/>
  <c r="R3273" i="34"/>
  <c r="S3273" i="34"/>
  <c r="T3273" i="34"/>
  <c r="V3273" i="34"/>
  <c r="X3273" i="34"/>
  <c r="Y3273" i="34"/>
  <c r="N3274" i="34"/>
  <c r="R3274" i="34"/>
  <c r="S3274" i="34"/>
  <c r="T3274" i="34"/>
  <c r="V3274" i="34"/>
  <c r="X3274" i="34"/>
  <c r="Y3274" i="34"/>
  <c r="N3275" i="34"/>
  <c r="R3275" i="34"/>
  <c r="S3275" i="34"/>
  <c r="T3275" i="34"/>
  <c r="V3275" i="34"/>
  <c r="X3275" i="34"/>
  <c r="Y3275" i="34"/>
  <c r="N3276" i="34"/>
  <c r="R3276" i="34"/>
  <c r="S3276" i="34"/>
  <c r="T3276" i="34"/>
  <c r="V3276" i="34"/>
  <c r="X3276" i="34"/>
  <c r="Y3276" i="34"/>
  <c r="N3277" i="34"/>
  <c r="R3277" i="34"/>
  <c r="S3277" i="34"/>
  <c r="T3277" i="34"/>
  <c r="V3277" i="34"/>
  <c r="X3277" i="34"/>
  <c r="Y3277" i="34"/>
  <c r="N3278" i="34"/>
  <c r="R3278" i="34"/>
  <c r="S3278" i="34"/>
  <c r="T3278" i="34"/>
  <c r="V3278" i="34"/>
  <c r="X3278" i="34"/>
  <c r="Y3278" i="34"/>
  <c r="N3279" i="34"/>
  <c r="R3279" i="34"/>
  <c r="S3279" i="34"/>
  <c r="T3279" i="34"/>
  <c r="V3279" i="34"/>
  <c r="X3279" i="34"/>
  <c r="Y3279" i="34"/>
  <c r="N3280" i="34"/>
  <c r="R3280" i="34"/>
  <c r="S3280" i="34"/>
  <c r="T3280" i="34"/>
  <c r="V3280" i="34"/>
  <c r="X3280" i="34"/>
  <c r="Y3280" i="34"/>
  <c r="N3281" i="34"/>
  <c r="R3281" i="34"/>
  <c r="S3281" i="34"/>
  <c r="T3281" i="34"/>
  <c r="V3281" i="34"/>
  <c r="X3281" i="34"/>
  <c r="Y3281" i="34"/>
  <c r="N3282" i="34"/>
  <c r="R3282" i="34"/>
  <c r="S3282" i="34"/>
  <c r="T3282" i="34"/>
  <c r="V3282" i="34"/>
  <c r="X3282" i="34"/>
  <c r="Y3282" i="34"/>
  <c r="N3283" i="34"/>
  <c r="R3283" i="34"/>
  <c r="S3283" i="34"/>
  <c r="T3283" i="34"/>
  <c r="V3283" i="34"/>
  <c r="X3283" i="34"/>
  <c r="Y3283" i="34"/>
  <c r="N3284" i="34"/>
  <c r="R3284" i="34"/>
  <c r="S3284" i="34"/>
  <c r="T3284" i="34"/>
  <c r="V3284" i="34"/>
  <c r="X3284" i="34"/>
  <c r="Y3284" i="34"/>
  <c r="N3285" i="34"/>
  <c r="R3285" i="34"/>
  <c r="S3285" i="34"/>
  <c r="T3285" i="34"/>
  <c r="V3285" i="34"/>
  <c r="X3285" i="34"/>
  <c r="Y3285" i="34"/>
  <c r="N3286" i="34"/>
  <c r="R3286" i="34"/>
  <c r="S3286" i="34"/>
  <c r="T3286" i="34"/>
  <c r="V3286" i="34"/>
  <c r="X3286" i="34"/>
  <c r="Y3286" i="34"/>
  <c r="N3287" i="34"/>
  <c r="R3287" i="34"/>
  <c r="S3287" i="34"/>
  <c r="T3287" i="34"/>
  <c r="V3287" i="34"/>
  <c r="X3287" i="34"/>
  <c r="Y3287" i="34"/>
  <c r="N3288" i="34"/>
  <c r="R3288" i="34"/>
  <c r="S3288" i="34"/>
  <c r="T3288" i="34"/>
  <c r="V3288" i="34"/>
  <c r="X3288" i="34"/>
  <c r="Y3288" i="34"/>
  <c r="N3289" i="34"/>
  <c r="R3289" i="34"/>
  <c r="S3289" i="34"/>
  <c r="T3289" i="34"/>
  <c r="V3289" i="34"/>
  <c r="X3289" i="34"/>
  <c r="Y3289" i="34"/>
  <c r="N3290" i="34"/>
  <c r="R3290" i="34"/>
  <c r="S3290" i="34"/>
  <c r="T3290" i="34"/>
  <c r="V3290" i="34"/>
  <c r="X3290" i="34"/>
  <c r="Y3290" i="34"/>
  <c r="N3291" i="34"/>
  <c r="R3291" i="34"/>
  <c r="S3291" i="34"/>
  <c r="T3291" i="34"/>
  <c r="V3291" i="34"/>
  <c r="X3291" i="34"/>
  <c r="Y3291" i="34"/>
  <c r="N3292" i="34"/>
  <c r="R3292" i="34"/>
  <c r="S3292" i="34"/>
  <c r="T3292" i="34"/>
  <c r="V3292" i="34"/>
  <c r="X3292" i="34"/>
  <c r="Y3292" i="34"/>
  <c r="N3293" i="34"/>
  <c r="R3293" i="34"/>
  <c r="S3293" i="34"/>
  <c r="T3293" i="34"/>
  <c r="V3293" i="34"/>
  <c r="X3293" i="34"/>
  <c r="Y3293" i="34"/>
  <c r="N3294" i="34"/>
  <c r="R3294" i="34"/>
  <c r="S3294" i="34"/>
  <c r="T3294" i="34"/>
  <c r="V3294" i="34"/>
  <c r="X3294" i="34"/>
  <c r="Y3294" i="34"/>
  <c r="N3295" i="34"/>
  <c r="R3295" i="34"/>
  <c r="S3295" i="34"/>
  <c r="T3295" i="34"/>
  <c r="V3295" i="34"/>
  <c r="X3295" i="34"/>
  <c r="Y3295" i="34"/>
  <c r="N3296" i="34"/>
  <c r="R3296" i="34"/>
  <c r="S3296" i="34"/>
  <c r="T3296" i="34"/>
  <c r="V3296" i="34"/>
  <c r="X3296" i="34"/>
  <c r="Y3296" i="34"/>
  <c r="N3297" i="34"/>
  <c r="R3297" i="34"/>
  <c r="S3297" i="34"/>
  <c r="T3297" i="34"/>
  <c r="V3297" i="34"/>
  <c r="X3297" i="34"/>
  <c r="Y3297" i="34"/>
  <c r="N3298" i="34"/>
  <c r="R3298" i="34"/>
  <c r="S3298" i="34"/>
  <c r="T3298" i="34"/>
  <c r="V3298" i="34"/>
  <c r="X3298" i="34"/>
  <c r="Y3298" i="34"/>
  <c r="N3299" i="34"/>
  <c r="R3299" i="34"/>
  <c r="S3299" i="34"/>
  <c r="T3299" i="34"/>
  <c r="V3299" i="34"/>
  <c r="X3299" i="34"/>
  <c r="Y3299" i="34"/>
  <c r="N3300" i="34"/>
  <c r="R3300" i="34"/>
  <c r="S3300" i="34"/>
  <c r="T3300" i="34"/>
  <c r="V3300" i="34"/>
  <c r="X3300" i="34"/>
  <c r="Y3300" i="34"/>
  <c r="N3301" i="34"/>
  <c r="R3301" i="34"/>
  <c r="S3301" i="34"/>
  <c r="T3301" i="34"/>
  <c r="V3301" i="34"/>
  <c r="X3301" i="34"/>
  <c r="Y3301" i="34"/>
  <c r="N3302" i="34"/>
  <c r="R3302" i="34"/>
  <c r="S3302" i="34"/>
  <c r="T3302" i="34"/>
  <c r="V3302" i="34"/>
  <c r="X3302" i="34"/>
  <c r="Y3302" i="34"/>
  <c r="N3303" i="34"/>
  <c r="R3303" i="34"/>
  <c r="S3303" i="34"/>
  <c r="T3303" i="34"/>
  <c r="V3303" i="34"/>
  <c r="X3303" i="34"/>
  <c r="Y3303" i="34"/>
  <c r="N3304" i="34"/>
  <c r="R3304" i="34"/>
  <c r="S3304" i="34"/>
  <c r="T3304" i="34"/>
  <c r="V3304" i="34"/>
  <c r="X3304" i="34"/>
  <c r="Y3304" i="34"/>
  <c r="N3305" i="34"/>
  <c r="R3305" i="34"/>
  <c r="S3305" i="34"/>
  <c r="T3305" i="34"/>
  <c r="V3305" i="34"/>
  <c r="X3305" i="34"/>
  <c r="Y3305" i="34"/>
  <c r="N3306" i="34"/>
  <c r="R3306" i="34"/>
  <c r="S3306" i="34"/>
  <c r="T3306" i="34"/>
  <c r="V3306" i="34"/>
  <c r="X3306" i="34"/>
  <c r="Y3306" i="34"/>
  <c r="N3307" i="34"/>
  <c r="R3307" i="34"/>
  <c r="S3307" i="34"/>
  <c r="T3307" i="34"/>
  <c r="V3307" i="34"/>
  <c r="X3307" i="34"/>
  <c r="Y3307" i="34"/>
  <c r="N3308" i="34"/>
  <c r="R3308" i="34"/>
  <c r="S3308" i="34"/>
  <c r="T3308" i="34"/>
  <c r="V3308" i="34"/>
  <c r="X3308" i="34"/>
  <c r="Y3308" i="34"/>
  <c r="N3309" i="34"/>
  <c r="R3309" i="34"/>
  <c r="S3309" i="34"/>
  <c r="T3309" i="34"/>
  <c r="V3309" i="34"/>
  <c r="X3309" i="34"/>
  <c r="Y3309" i="34"/>
  <c r="N3310" i="34"/>
  <c r="R3310" i="34"/>
  <c r="S3310" i="34"/>
  <c r="T3310" i="34"/>
  <c r="V3310" i="34"/>
  <c r="X3310" i="34"/>
  <c r="Y3310" i="34"/>
  <c r="N3311" i="34"/>
  <c r="R3311" i="34"/>
  <c r="S3311" i="34"/>
  <c r="T3311" i="34"/>
  <c r="V3311" i="34"/>
  <c r="X3311" i="34"/>
  <c r="Y3311" i="34"/>
  <c r="N3312" i="34"/>
  <c r="R3312" i="34"/>
  <c r="S3312" i="34"/>
  <c r="T3312" i="34"/>
  <c r="V3312" i="34"/>
  <c r="X3312" i="34"/>
  <c r="Y3312" i="34"/>
  <c r="N3313" i="34"/>
  <c r="R3313" i="34"/>
  <c r="S3313" i="34"/>
  <c r="T3313" i="34"/>
  <c r="V3313" i="34"/>
  <c r="X3313" i="34"/>
  <c r="Y3313" i="34"/>
  <c r="N3314" i="34"/>
  <c r="R3314" i="34"/>
  <c r="S3314" i="34"/>
  <c r="T3314" i="34"/>
  <c r="V3314" i="34"/>
  <c r="X3314" i="34"/>
  <c r="Y3314" i="34"/>
  <c r="N3315" i="34"/>
  <c r="R3315" i="34"/>
  <c r="S3315" i="34"/>
  <c r="T3315" i="34"/>
  <c r="V3315" i="34"/>
  <c r="X3315" i="34"/>
  <c r="Y3315" i="34"/>
  <c r="N3316" i="34"/>
  <c r="R3316" i="34"/>
  <c r="S3316" i="34"/>
  <c r="T3316" i="34"/>
  <c r="V3316" i="34"/>
  <c r="X3316" i="34"/>
  <c r="Y3316" i="34"/>
  <c r="N3317" i="34"/>
  <c r="R3317" i="34"/>
  <c r="S3317" i="34"/>
  <c r="T3317" i="34"/>
  <c r="V3317" i="34"/>
  <c r="X3317" i="34"/>
  <c r="Y3317" i="34"/>
  <c r="N3318" i="34"/>
  <c r="R3318" i="34"/>
  <c r="S3318" i="34"/>
  <c r="T3318" i="34"/>
  <c r="V3318" i="34"/>
  <c r="X3318" i="34"/>
  <c r="Y3318" i="34"/>
  <c r="N3319" i="34"/>
  <c r="R3319" i="34"/>
  <c r="S3319" i="34"/>
  <c r="T3319" i="34"/>
  <c r="V3319" i="34"/>
  <c r="X3319" i="34"/>
  <c r="Y3319" i="34"/>
  <c r="N3320" i="34"/>
  <c r="R3320" i="34"/>
  <c r="S3320" i="34"/>
  <c r="T3320" i="34"/>
  <c r="V3320" i="34"/>
  <c r="X3320" i="34"/>
  <c r="Y3320" i="34"/>
  <c r="N3321" i="34"/>
  <c r="R3321" i="34"/>
  <c r="S3321" i="34"/>
  <c r="T3321" i="34"/>
  <c r="V3321" i="34"/>
  <c r="X3321" i="34"/>
  <c r="Y3321" i="34"/>
  <c r="N3322" i="34"/>
  <c r="R3322" i="34"/>
  <c r="S3322" i="34"/>
  <c r="T3322" i="34"/>
  <c r="V3322" i="34"/>
  <c r="X3322" i="34"/>
  <c r="Y3322" i="34"/>
  <c r="N3323" i="34"/>
  <c r="R3323" i="34"/>
  <c r="S3323" i="34"/>
  <c r="T3323" i="34"/>
  <c r="V3323" i="34"/>
  <c r="X3323" i="34"/>
  <c r="Y3323" i="34"/>
  <c r="N3324" i="34"/>
  <c r="R3324" i="34"/>
  <c r="S3324" i="34"/>
  <c r="T3324" i="34"/>
  <c r="V3324" i="34"/>
  <c r="X3324" i="34"/>
  <c r="Y3324" i="34"/>
  <c r="N3325" i="34"/>
  <c r="R3325" i="34"/>
  <c r="S3325" i="34"/>
  <c r="T3325" i="34"/>
  <c r="V3325" i="34"/>
  <c r="X3325" i="34"/>
  <c r="Y3325" i="34"/>
  <c r="N3326" i="34"/>
  <c r="R3326" i="34"/>
  <c r="S3326" i="34"/>
  <c r="T3326" i="34"/>
  <c r="V3326" i="34"/>
  <c r="X3326" i="34"/>
  <c r="Y3326" i="34"/>
  <c r="N3327" i="34"/>
  <c r="R3327" i="34"/>
  <c r="S3327" i="34"/>
  <c r="T3327" i="34"/>
  <c r="V3327" i="34"/>
  <c r="X3327" i="34"/>
  <c r="Y3327" i="34"/>
  <c r="N3328" i="34"/>
  <c r="R3328" i="34"/>
  <c r="S3328" i="34"/>
  <c r="T3328" i="34"/>
  <c r="V3328" i="34"/>
  <c r="X3328" i="34"/>
  <c r="Y3328" i="34"/>
  <c r="N3329" i="34"/>
  <c r="R3329" i="34"/>
  <c r="S3329" i="34"/>
  <c r="T3329" i="34"/>
  <c r="V3329" i="34"/>
  <c r="X3329" i="34"/>
  <c r="Y3329" i="34"/>
  <c r="N3330" i="34"/>
  <c r="R3330" i="34"/>
  <c r="S3330" i="34"/>
  <c r="T3330" i="34"/>
  <c r="V3330" i="34"/>
  <c r="X3330" i="34"/>
  <c r="Y3330" i="34"/>
  <c r="N3331" i="34"/>
  <c r="R3331" i="34"/>
  <c r="S3331" i="34"/>
  <c r="T3331" i="34"/>
  <c r="V3331" i="34"/>
  <c r="X3331" i="34"/>
  <c r="Y3331" i="34"/>
  <c r="N3332" i="34"/>
  <c r="R3332" i="34"/>
  <c r="S3332" i="34"/>
  <c r="T3332" i="34"/>
  <c r="V3332" i="34"/>
  <c r="X3332" i="34"/>
  <c r="Y3332" i="34"/>
  <c r="N3333" i="34"/>
  <c r="R3333" i="34"/>
  <c r="S3333" i="34"/>
  <c r="T3333" i="34"/>
  <c r="V3333" i="34"/>
  <c r="X3333" i="34"/>
  <c r="Y3333" i="34"/>
  <c r="N3334" i="34"/>
  <c r="R3334" i="34"/>
  <c r="S3334" i="34"/>
  <c r="T3334" i="34"/>
  <c r="V3334" i="34"/>
  <c r="X3334" i="34"/>
  <c r="Y3334" i="34"/>
  <c r="N3335" i="34"/>
  <c r="R3335" i="34"/>
  <c r="S3335" i="34"/>
  <c r="T3335" i="34"/>
  <c r="V3335" i="34"/>
  <c r="X3335" i="34"/>
  <c r="Y3335" i="34"/>
  <c r="N3336" i="34"/>
  <c r="R3336" i="34"/>
  <c r="S3336" i="34"/>
  <c r="T3336" i="34"/>
  <c r="V3336" i="34"/>
  <c r="X3336" i="34"/>
  <c r="Y3336" i="34"/>
  <c r="N3337" i="34"/>
  <c r="R3337" i="34"/>
  <c r="S3337" i="34"/>
  <c r="T3337" i="34"/>
  <c r="V3337" i="34"/>
  <c r="X3337" i="34"/>
  <c r="Y3337" i="34"/>
  <c r="N3338" i="34"/>
  <c r="R3338" i="34"/>
  <c r="S3338" i="34"/>
  <c r="T3338" i="34"/>
  <c r="V3338" i="34"/>
  <c r="X3338" i="34"/>
  <c r="Y3338" i="34"/>
  <c r="N3339" i="34"/>
  <c r="R3339" i="34"/>
  <c r="S3339" i="34"/>
  <c r="T3339" i="34"/>
  <c r="V3339" i="34"/>
  <c r="X3339" i="34"/>
  <c r="Y3339" i="34"/>
  <c r="N3340" i="34"/>
  <c r="R3340" i="34"/>
  <c r="S3340" i="34"/>
  <c r="T3340" i="34"/>
  <c r="V3340" i="34"/>
  <c r="X3340" i="34"/>
  <c r="Y3340" i="34"/>
  <c r="N3341" i="34"/>
  <c r="R3341" i="34"/>
  <c r="S3341" i="34"/>
  <c r="T3341" i="34"/>
  <c r="V3341" i="34"/>
  <c r="X3341" i="34"/>
  <c r="Y3341" i="34"/>
  <c r="N3342" i="34"/>
  <c r="R3342" i="34"/>
  <c r="S3342" i="34"/>
  <c r="T3342" i="34"/>
  <c r="V3342" i="34"/>
  <c r="X3342" i="34"/>
  <c r="Y3342" i="34"/>
  <c r="N3343" i="34"/>
  <c r="R3343" i="34"/>
  <c r="S3343" i="34"/>
  <c r="T3343" i="34"/>
  <c r="V3343" i="34"/>
  <c r="X3343" i="34"/>
  <c r="Y3343" i="34"/>
  <c r="N3344" i="34"/>
  <c r="R3344" i="34"/>
  <c r="S3344" i="34"/>
  <c r="T3344" i="34"/>
  <c r="V3344" i="34"/>
  <c r="X3344" i="34"/>
  <c r="Y3344" i="34"/>
  <c r="N3345" i="34"/>
  <c r="R3345" i="34"/>
  <c r="S3345" i="34"/>
  <c r="T3345" i="34"/>
  <c r="V3345" i="34"/>
  <c r="X3345" i="34"/>
  <c r="Y3345" i="34"/>
  <c r="N3346" i="34"/>
  <c r="R3346" i="34"/>
  <c r="S3346" i="34"/>
  <c r="T3346" i="34"/>
  <c r="V3346" i="34"/>
  <c r="X3346" i="34"/>
  <c r="Y3346" i="34"/>
  <c r="N3347" i="34"/>
  <c r="R3347" i="34"/>
  <c r="S3347" i="34"/>
  <c r="T3347" i="34"/>
  <c r="V3347" i="34"/>
  <c r="X3347" i="34"/>
  <c r="Y3347" i="34"/>
  <c r="N3348" i="34"/>
  <c r="R3348" i="34"/>
  <c r="S3348" i="34"/>
  <c r="T3348" i="34"/>
  <c r="V3348" i="34"/>
  <c r="X3348" i="34"/>
  <c r="Y3348" i="34"/>
  <c r="N3349" i="34"/>
  <c r="R3349" i="34"/>
  <c r="S3349" i="34"/>
  <c r="T3349" i="34"/>
  <c r="V3349" i="34"/>
  <c r="X3349" i="34"/>
  <c r="Y3349" i="34"/>
  <c r="N3350" i="34"/>
  <c r="R3350" i="34"/>
  <c r="S3350" i="34"/>
  <c r="T3350" i="34"/>
  <c r="V3350" i="34"/>
  <c r="X3350" i="34"/>
  <c r="Y3350" i="34"/>
  <c r="N3351" i="34"/>
  <c r="R3351" i="34"/>
  <c r="S3351" i="34"/>
  <c r="T3351" i="34"/>
  <c r="V3351" i="34"/>
  <c r="X3351" i="34"/>
  <c r="Y3351" i="34"/>
  <c r="N3352" i="34"/>
  <c r="R3352" i="34"/>
  <c r="S3352" i="34"/>
  <c r="T3352" i="34"/>
  <c r="V3352" i="34"/>
  <c r="X3352" i="34"/>
  <c r="Y3352" i="34"/>
  <c r="N3353" i="34"/>
  <c r="R3353" i="34"/>
  <c r="S3353" i="34"/>
  <c r="T3353" i="34"/>
  <c r="V3353" i="34"/>
  <c r="X3353" i="34"/>
  <c r="Y3353" i="34"/>
  <c r="N3354" i="34"/>
  <c r="R3354" i="34"/>
  <c r="S3354" i="34"/>
  <c r="T3354" i="34"/>
  <c r="V3354" i="34"/>
  <c r="X3354" i="34"/>
  <c r="Y3354" i="34"/>
  <c r="N3355" i="34"/>
  <c r="R3355" i="34"/>
  <c r="S3355" i="34"/>
  <c r="T3355" i="34"/>
  <c r="V3355" i="34"/>
  <c r="X3355" i="34"/>
  <c r="Y3355" i="34"/>
  <c r="N3356" i="34"/>
  <c r="R3356" i="34"/>
  <c r="S3356" i="34"/>
  <c r="T3356" i="34"/>
  <c r="V3356" i="34"/>
  <c r="X3356" i="34"/>
  <c r="Y3356" i="34"/>
  <c r="N3357" i="34"/>
  <c r="R3357" i="34"/>
  <c r="S3357" i="34"/>
  <c r="T3357" i="34"/>
  <c r="V3357" i="34"/>
  <c r="X3357" i="34"/>
  <c r="Y3357" i="34"/>
  <c r="N3358" i="34"/>
  <c r="R3358" i="34"/>
  <c r="S3358" i="34"/>
  <c r="T3358" i="34"/>
  <c r="V3358" i="34"/>
  <c r="X3358" i="34"/>
  <c r="Y3358" i="34"/>
  <c r="N3359" i="34"/>
  <c r="R3359" i="34"/>
  <c r="S3359" i="34"/>
  <c r="T3359" i="34"/>
  <c r="V3359" i="34"/>
  <c r="X3359" i="34"/>
  <c r="Y3359" i="34"/>
  <c r="N3360" i="34"/>
  <c r="R3360" i="34"/>
  <c r="S3360" i="34"/>
  <c r="T3360" i="34"/>
  <c r="V3360" i="34"/>
  <c r="X3360" i="34"/>
  <c r="Y3360" i="34"/>
  <c r="N3361" i="34"/>
  <c r="R3361" i="34"/>
  <c r="S3361" i="34"/>
  <c r="T3361" i="34"/>
  <c r="V3361" i="34"/>
  <c r="X3361" i="34"/>
  <c r="Y3361" i="34"/>
  <c r="N3362" i="34"/>
  <c r="R3362" i="34"/>
  <c r="S3362" i="34"/>
  <c r="T3362" i="34"/>
  <c r="V3362" i="34"/>
  <c r="X3362" i="34"/>
  <c r="Y3362" i="34"/>
  <c r="N3363" i="34"/>
  <c r="R3363" i="34"/>
  <c r="S3363" i="34"/>
  <c r="T3363" i="34"/>
  <c r="V3363" i="34"/>
  <c r="X3363" i="34"/>
  <c r="Y3363" i="34"/>
  <c r="N3364" i="34"/>
  <c r="R3364" i="34"/>
  <c r="S3364" i="34"/>
  <c r="T3364" i="34"/>
  <c r="V3364" i="34"/>
  <c r="X3364" i="34"/>
  <c r="Y3364" i="34"/>
  <c r="N3365" i="34"/>
  <c r="R3365" i="34"/>
  <c r="S3365" i="34"/>
  <c r="T3365" i="34"/>
  <c r="V3365" i="34"/>
  <c r="X3365" i="34"/>
  <c r="Y3365" i="34"/>
  <c r="N3366" i="34"/>
  <c r="R3366" i="34"/>
  <c r="S3366" i="34"/>
  <c r="T3366" i="34"/>
  <c r="V3366" i="34"/>
  <c r="X3366" i="34"/>
  <c r="Y3366" i="34"/>
  <c r="N3367" i="34"/>
  <c r="R3367" i="34"/>
  <c r="S3367" i="34"/>
  <c r="T3367" i="34"/>
  <c r="V3367" i="34"/>
  <c r="X3367" i="34"/>
  <c r="Y3367" i="34"/>
  <c r="N3368" i="34"/>
  <c r="R3368" i="34"/>
  <c r="S3368" i="34"/>
  <c r="T3368" i="34"/>
  <c r="V3368" i="34"/>
  <c r="X3368" i="34"/>
  <c r="Y3368" i="34"/>
  <c r="N3369" i="34"/>
  <c r="R3369" i="34"/>
  <c r="S3369" i="34"/>
  <c r="T3369" i="34"/>
  <c r="V3369" i="34"/>
  <c r="X3369" i="34"/>
  <c r="Y3369" i="34"/>
  <c r="N3370" i="34"/>
  <c r="R3370" i="34"/>
  <c r="S3370" i="34"/>
  <c r="T3370" i="34"/>
  <c r="V3370" i="34"/>
  <c r="X3370" i="34"/>
  <c r="Y3370" i="34"/>
  <c r="N3371" i="34"/>
  <c r="R3371" i="34"/>
  <c r="S3371" i="34"/>
  <c r="T3371" i="34"/>
  <c r="V3371" i="34"/>
  <c r="X3371" i="34"/>
  <c r="Y3371" i="34"/>
  <c r="N3372" i="34"/>
  <c r="R3372" i="34"/>
  <c r="S3372" i="34"/>
  <c r="T3372" i="34"/>
  <c r="V3372" i="34"/>
  <c r="X3372" i="34"/>
  <c r="Y3372" i="34"/>
  <c r="N3373" i="34"/>
  <c r="R3373" i="34"/>
  <c r="S3373" i="34"/>
  <c r="T3373" i="34"/>
  <c r="V3373" i="34"/>
  <c r="X3373" i="34"/>
  <c r="Y3373" i="34"/>
  <c r="N3374" i="34"/>
  <c r="R3374" i="34"/>
  <c r="S3374" i="34"/>
  <c r="T3374" i="34"/>
  <c r="V3374" i="34"/>
  <c r="X3374" i="34"/>
  <c r="Y3374" i="34"/>
  <c r="N3375" i="34"/>
  <c r="R3375" i="34"/>
  <c r="S3375" i="34"/>
  <c r="T3375" i="34"/>
  <c r="V3375" i="34"/>
  <c r="X3375" i="34"/>
  <c r="Y3375" i="34"/>
  <c r="N3376" i="34"/>
  <c r="R3376" i="34"/>
  <c r="S3376" i="34"/>
  <c r="T3376" i="34"/>
  <c r="V3376" i="34"/>
  <c r="X3376" i="34"/>
  <c r="Y3376" i="34"/>
  <c r="N3377" i="34"/>
  <c r="R3377" i="34"/>
  <c r="S3377" i="34"/>
  <c r="T3377" i="34"/>
  <c r="V3377" i="34"/>
  <c r="X3377" i="34"/>
  <c r="Y3377" i="34"/>
  <c r="N3378" i="34"/>
  <c r="R3378" i="34"/>
  <c r="S3378" i="34"/>
  <c r="T3378" i="34"/>
  <c r="V3378" i="34"/>
  <c r="X3378" i="34"/>
  <c r="Y3378" i="34"/>
  <c r="N3379" i="34"/>
  <c r="R3379" i="34"/>
  <c r="S3379" i="34"/>
  <c r="T3379" i="34"/>
  <c r="V3379" i="34"/>
  <c r="X3379" i="34"/>
  <c r="Y3379" i="34"/>
  <c r="N3380" i="34"/>
  <c r="R3380" i="34"/>
  <c r="S3380" i="34"/>
  <c r="T3380" i="34"/>
  <c r="V3380" i="34"/>
  <c r="X3380" i="34"/>
  <c r="Y3380" i="34"/>
  <c r="N3381" i="34"/>
  <c r="R3381" i="34"/>
  <c r="S3381" i="34"/>
  <c r="T3381" i="34"/>
  <c r="V3381" i="34"/>
  <c r="X3381" i="34"/>
  <c r="Y3381" i="34"/>
  <c r="N3382" i="34"/>
  <c r="R3382" i="34"/>
  <c r="S3382" i="34"/>
  <c r="T3382" i="34"/>
  <c r="V3382" i="34"/>
  <c r="X3382" i="34"/>
  <c r="Y3382" i="34"/>
  <c r="N3383" i="34"/>
  <c r="R3383" i="34"/>
  <c r="S3383" i="34"/>
  <c r="T3383" i="34"/>
  <c r="V3383" i="34"/>
  <c r="X3383" i="34"/>
  <c r="Y3383" i="34"/>
  <c r="N3384" i="34"/>
  <c r="R3384" i="34"/>
  <c r="S3384" i="34"/>
  <c r="T3384" i="34"/>
  <c r="V3384" i="34"/>
  <c r="X3384" i="34"/>
  <c r="Y3384" i="34"/>
  <c r="N3385" i="34"/>
  <c r="R3385" i="34"/>
  <c r="S3385" i="34"/>
  <c r="T3385" i="34"/>
  <c r="V3385" i="34"/>
  <c r="X3385" i="34"/>
  <c r="Y3385" i="34"/>
  <c r="N3386" i="34"/>
  <c r="R3386" i="34"/>
  <c r="S3386" i="34"/>
  <c r="T3386" i="34"/>
  <c r="V3386" i="34"/>
  <c r="X3386" i="34"/>
  <c r="Y3386" i="34"/>
  <c r="N3387" i="34"/>
  <c r="R3387" i="34"/>
  <c r="S3387" i="34"/>
  <c r="T3387" i="34"/>
  <c r="V3387" i="34"/>
  <c r="X3387" i="34"/>
  <c r="Y3387" i="34"/>
  <c r="N3388" i="34"/>
  <c r="R3388" i="34"/>
  <c r="S3388" i="34"/>
  <c r="T3388" i="34"/>
  <c r="V3388" i="34"/>
  <c r="X3388" i="34"/>
  <c r="Y3388" i="34"/>
  <c r="N3389" i="34"/>
  <c r="R3389" i="34"/>
  <c r="S3389" i="34"/>
  <c r="T3389" i="34"/>
  <c r="V3389" i="34"/>
  <c r="X3389" i="34"/>
  <c r="Y3389" i="34"/>
  <c r="N3390" i="34"/>
  <c r="R3390" i="34"/>
  <c r="S3390" i="34"/>
  <c r="T3390" i="34"/>
  <c r="V3390" i="34"/>
  <c r="X3390" i="34"/>
  <c r="Y3390" i="34"/>
  <c r="N3391" i="34"/>
  <c r="R3391" i="34"/>
  <c r="S3391" i="34"/>
  <c r="T3391" i="34"/>
  <c r="V3391" i="34"/>
  <c r="X3391" i="34"/>
  <c r="Y3391" i="34"/>
  <c r="N3392" i="34"/>
  <c r="R3392" i="34"/>
  <c r="S3392" i="34"/>
  <c r="T3392" i="34"/>
  <c r="V3392" i="34"/>
  <c r="X3392" i="34"/>
  <c r="Y3392" i="34"/>
  <c r="N3393" i="34"/>
  <c r="R3393" i="34"/>
  <c r="S3393" i="34"/>
  <c r="T3393" i="34"/>
  <c r="V3393" i="34"/>
  <c r="X3393" i="34"/>
  <c r="Y3393" i="34"/>
  <c r="N3394" i="34"/>
  <c r="R3394" i="34"/>
  <c r="S3394" i="34"/>
  <c r="T3394" i="34"/>
  <c r="V3394" i="34"/>
  <c r="X3394" i="34"/>
  <c r="Y3394" i="34"/>
  <c r="N3395" i="34"/>
  <c r="R3395" i="34"/>
  <c r="S3395" i="34"/>
  <c r="T3395" i="34"/>
  <c r="V3395" i="34"/>
  <c r="X3395" i="34"/>
  <c r="Y3395" i="34"/>
  <c r="N3396" i="34"/>
  <c r="R3396" i="34"/>
  <c r="S3396" i="34"/>
  <c r="T3396" i="34"/>
  <c r="V3396" i="34"/>
  <c r="X3396" i="34"/>
  <c r="Y3396" i="34"/>
  <c r="N3397" i="34"/>
  <c r="R3397" i="34"/>
  <c r="S3397" i="34"/>
  <c r="T3397" i="34"/>
  <c r="V3397" i="34"/>
  <c r="X3397" i="34"/>
  <c r="Y3397" i="34"/>
  <c r="N3398" i="34"/>
  <c r="R3398" i="34"/>
  <c r="S3398" i="34"/>
  <c r="T3398" i="34"/>
  <c r="V3398" i="34"/>
  <c r="X3398" i="34"/>
  <c r="Y3398" i="34"/>
  <c r="N3399" i="34"/>
  <c r="R3399" i="34"/>
  <c r="S3399" i="34"/>
  <c r="T3399" i="34"/>
  <c r="V3399" i="34"/>
  <c r="X3399" i="34"/>
  <c r="Y3399" i="34"/>
  <c r="N3400" i="34"/>
  <c r="R3400" i="34"/>
  <c r="S3400" i="34"/>
  <c r="T3400" i="34"/>
  <c r="V3400" i="34"/>
  <c r="X3400" i="34"/>
  <c r="Y3400" i="34"/>
  <c r="N3401" i="34"/>
  <c r="R3401" i="34"/>
  <c r="S3401" i="34"/>
  <c r="T3401" i="34"/>
  <c r="V3401" i="34"/>
  <c r="X3401" i="34"/>
  <c r="Y3401" i="34"/>
  <c r="N3402" i="34"/>
  <c r="R3402" i="34"/>
  <c r="S3402" i="34"/>
  <c r="T3402" i="34"/>
  <c r="V3402" i="34"/>
  <c r="X3402" i="34"/>
  <c r="Y3402" i="34"/>
  <c r="N3403" i="34"/>
  <c r="R3403" i="34"/>
  <c r="S3403" i="34"/>
  <c r="T3403" i="34"/>
  <c r="V3403" i="34"/>
  <c r="X3403" i="34"/>
  <c r="Y3403" i="34"/>
  <c r="N3404" i="34"/>
  <c r="R3404" i="34"/>
  <c r="S3404" i="34"/>
  <c r="T3404" i="34"/>
  <c r="V3404" i="34"/>
  <c r="X3404" i="34"/>
  <c r="Y3404" i="34"/>
  <c r="N3405" i="34"/>
  <c r="R3405" i="34"/>
  <c r="S3405" i="34"/>
  <c r="T3405" i="34"/>
  <c r="V3405" i="34"/>
  <c r="X3405" i="34"/>
  <c r="Y3405" i="34"/>
  <c r="N3406" i="34"/>
  <c r="R3406" i="34"/>
  <c r="S3406" i="34"/>
  <c r="T3406" i="34"/>
  <c r="V3406" i="34"/>
  <c r="X3406" i="34"/>
  <c r="Y3406" i="34"/>
  <c r="N3407" i="34"/>
  <c r="R3407" i="34"/>
  <c r="S3407" i="34"/>
  <c r="T3407" i="34"/>
  <c r="V3407" i="34"/>
  <c r="X3407" i="34"/>
  <c r="Y3407" i="34"/>
  <c r="N3408" i="34"/>
  <c r="R3408" i="34"/>
  <c r="S3408" i="34"/>
  <c r="T3408" i="34"/>
  <c r="V3408" i="34"/>
  <c r="X3408" i="34"/>
  <c r="Y3408" i="34"/>
  <c r="N3409" i="34"/>
  <c r="R3409" i="34"/>
  <c r="S3409" i="34"/>
  <c r="T3409" i="34"/>
  <c r="V3409" i="34"/>
  <c r="X3409" i="34"/>
  <c r="Y3409" i="34"/>
  <c r="N3410" i="34"/>
  <c r="R3410" i="34"/>
  <c r="S3410" i="34"/>
  <c r="T3410" i="34"/>
  <c r="V3410" i="34"/>
  <c r="X3410" i="34"/>
  <c r="Y3410" i="34"/>
  <c r="N3411" i="34"/>
  <c r="R3411" i="34"/>
  <c r="S3411" i="34"/>
  <c r="T3411" i="34"/>
  <c r="V3411" i="34"/>
  <c r="X3411" i="34"/>
  <c r="Y3411" i="34"/>
  <c r="N3412" i="34"/>
  <c r="R3412" i="34"/>
  <c r="S3412" i="34"/>
  <c r="T3412" i="34"/>
  <c r="V3412" i="34"/>
  <c r="X3412" i="34"/>
  <c r="Y3412" i="34"/>
  <c r="N3413" i="34"/>
  <c r="R3413" i="34"/>
  <c r="S3413" i="34"/>
  <c r="T3413" i="34"/>
  <c r="V3413" i="34"/>
  <c r="X3413" i="34"/>
  <c r="Y3413" i="34"/>
  <c r="N3414" i="34"/>
  <c r="R3414" i="34"/>
  <c r="S3414" i="34"/>
  <c r="T3414" i="34"/>
  <c r="V3414" i="34"/>
  <c r="X3414" i="34"/>
  <c r="Y3414" i="34"/>
  <c r="N3415" i="34"/>
  <c r="R3415" i="34"/>
  <c r="S3415" i="34"/>
  <c r="T3415" i="34"/>
  <c r="V3415" i="34"/>
  <c r="X3415" i="34"/>
  <c r="Y3415" i="34"/>
  <c r="N3416" i="34"/>
  <c r="R3416" i="34"/>
  <c r="S3416" i="34"/>
  <c r="T3416" i="34"/>
  <c r="V3416" i="34"/>
  <c r="X3416" i="34"/>
  <c r="Y3416" i="34"/>
  <c r="N3417" i="34"/>
  <c r="R3417" i="34"/>
  <c r="S3417" i="34"/>
  <c r="T3417" i="34"/>
  <c r="V3417" i="34"/>
  <c r="X3417" i="34"/>
  <c r="Y3417" i="34"/>
  <c r="N3418" i="34"/>
  <c r="R3418" i="34"/>
  <c r="S3418" i="34"/>
  <c r="T3418" i="34"/>
  <c r="V3418" i="34"/>
  <c r="X3418" i="34"/>
  <c r="Y3418" i="34"/>
  <c r="N3419" i="34"/>
  <c r="R3419" i="34"/>
  <c r="S3419" i="34"/>
  <c r="T3419" i="34"/>
  <c r="V3419" i="34"/>
  <c r="X3419" i="34"/>
  <c r="Y3419" i="34"/>
  <c r="N3420" i="34"/>
  <c r="R3420" i="34"/>
  <c r="S3420" i="34"/>
  <c r="T3420" i="34"/>
  <c r="V3420" i="34"/>
  <c r="X3420" i="34"/>
  <c r="Y3420" i="34"/>
  <c r="N3421" i="34"/>
  <c r="R3421" i="34"/>
  <c r="S3421" i="34"/>
  <c r="T3421" i="34"/>
  <c r="V3421" i="34"/>
  <c r="X3421" i="34"/>
  <c r="Y3421" i="34"/>
  <c r="N3422" i="34"/>
  <c r="R3422" i="34"/>
  <c r="S3422" i="34"/>
  <c r="T3422" i="34"/>
  <c r="V3422" i="34"/>
  <c r="X3422" i="34"/>
  <c r="Y3422" i="34"/>
  <c r="N3423" i="34"/>
  <c r="R3423" i="34"/>
  <c r="S3423" i="34"/>
  <c r="T3423" i="34"/>
  <c r="V3423" i="34"/>
  <c r="X3423" i="34"/>
  <c r="Y3423" i="34"/>
  <c r="N3424" i="34"/>
  <c r="R3424" i="34"/>
  <c r="S3424" i="34"/>
  <c r="T3424" i="34"/>
  <c r="V3424" i="34"/>
  <c r="X3424" i="34"/>
  <c r="Y3424" i="34"/>
  <c r="N3425" i="34"/>
  <c r="R3425" i="34"/>
  <c r="S3425" i="34"/>
  <c r="T3425" i="34"/>
  <c r="V3425" i="34"/>
  <c r="X3425" i="34"/>
  <c r="Y3425" i="34"/>
  <c r="N3426" i="34"/>
  <c r="R3426" i="34"/>
  <c r="S3426" i="34"/>
  <c r="T3426" i="34"/>
  <c r="V3426" i="34"/>
  <c r="X3426" i="34"/>
  <c r="Y3426" i="34"/>
  <c r="N3427" i="34"/>
  <c r="R3427" i="34"/>
  <c r="S3427" i="34"/>
  <c r="T3427" i="34"/>
  <c r="V3427" i="34"/>
  <c r="X3427" i="34"/>
  <c r="Y3427" i="34"/>
  <c r="N3428" i="34"/>
  <c r="R3428" i="34"/>
  <c r="S3428" i="34"/>
  <c r="T3428" i="34"/>
  <c r="V3428" i="34"/>
  <c r="X3428" i="34"/>
  <c r="Y3428" i="34"/>
  <c r="N3429" i="34"/>
  <c r="R3429" i="34"/>
  <c r="S3429" i="34"/>
  <c r="T3429" i="34"/>
  <c r="V3429" i="34"/>
  <c r="X3429" i="34"/>
  <c r="Y3429" i="34"/>
  <c r="N3430" i="34"/>
  <c r="R3430" i="34"/>
  <c r="S3430" i="34"/>
  <c r="T3430" i="34"/>
  <c r="V3430" i="34"/>
  <c r="X3430" i="34"/>
  <c r="Y3430" i="34"/>
  <c r="N3431" i="34"/>
  <c r="R3431" i="34"/>
  <c r="S3431" i="34"/>
  <c r="T3431" i="34"/>
  <c r="V3431" i="34"/>
  <c r="X3431" i="34"/>
  <c r="Y3431" i="34"/>
  <c r="N3432" i="34"/>
  <c r="R3432" i="34"/>
  <c r="S3432" i="34"/>
  <c r="T3432" i="34"/>
  <c r="V3432" i="34"/>
  <c r="X3432" i="34"/>
  <c r="Y3432" i="34"/>
  <c r="N3433" i="34"/>
  <c r="R3433" i="34"/>
  <c r="S3433" i="34"/>
  <c r="T3433" i="34"/>
  <c r="V3433" i="34"/>
  <c r="X3433" i="34"/>
  <c r="Y3433" i="34"/>
  <c r="N3434" i="34"/>
  <c r="R3434" i="34"/>
  <c r="S3434" i="34"/>
  <c r="T3434" i="34"/>
  <c r="V3434" i="34"/>
  <c r="X3434" i="34"/>
  <c r="Y3434" i="34"/>
  <c r="N3435" i="34"/>
  <c r="R3435" i="34"/>
  <c r="S3435" i="34"/>
  <c r="T3435" i="34"/>
  <c r="V3435" i="34"/>
  <c r="X3435" i="34"/>
  <c r="Y3435" i="34"/>
  <c r="N3436" i="34"/>
  <c r="R3436" i="34"/>
  <c r="S3436" i="34"/>
  <c r="T3436" i="34"/>
  <c r="V3436" i="34"/>
  <c r="X3436" i="34"/>
  <c r="Y3436" i="34"/>
  <c r="N3437" i="34"/>
  <c r="R3437" i="34"/>
  <c r="S3437" i="34"/>
  <c r="T3437" i="34"/>
  <c r="V3437" i="34"/>
  <c r="X3437" i="34"/>
  <c r="Y3437" i="34"/>
  <c r="N3438" i="34"/>
  <c r="R3438" i="34"/>
  <c r="S3438" i="34"/>
  <c r="T3438" i="34"/>
  <c r="V3438" i="34"/>
  <c r="X3438" i="34"/>
  <c r="Y3438" i="34"/>
  <c r="N3439" i="34"/>
  <c r="R3439" i="34"/>
  <c r="S3439" i="34"/>
  <c r="T3439" i="34"/>
  <c r="V3439" i="34"/>
  <c r="X3439" i="34"/>
  <c r="Y3439" i="34"/>
  <c r="N3440" i="34"/>
  <c r="R3440" i="34"/>
  <c r="S3440" i="34"/>
  <c r="T3440" i="34"/>
  <c r="V3440" i="34"/>
  <c r="X3440" i="34"/>
  <c r="Y3440" i="34"/>
  <c r="N3441" i="34"/>
  <c r="R3441" i="34"/>
  <c r="S3441" i="34"/>
  <c r="T3441" i="34"/>
  <c r="V3441" i="34"/>
  <c r="X3441" i="34"/>
  <c r="Y3441" i="34"/>
  <c r="N3442" i="34"/>
  <c r="R3442" i="34"/>
  <c r="S3442" i="34"/>
  <c r="T3442" i="34"/>
  <c r="V3442" i="34"/>
  <c r="X3442" i="34"/>
  <c r="Y3442" i="34"/>
  <c r="N3443" i="34"/>
  <c r="R3443" i="34"/>
  <c r="S3443" i="34"/>
  <c r="T3443" i="34"/>
  <c r="V3443" i="34"/>
  <c r="X3443" i="34"/>
  <c r="Y3443" i="34"/>
  <c r="N3444" i="34"/>
  <c r="R3444" i="34"/>
  <c r="S3444" i="34"/>
  <c r="T3444" i="34"/>
  <c r="V3444" i="34"/>
  <c r="X3444" i="34"/>
  <c r="Y3444" i="34"/>
  <c r="N3445" i="34"/>
  <c r="R3445" i="34"/>
  <c r="S3445" i="34"/>
  <c r="T3445" i="34"/>
  <c r="V3445" i="34"/>
  <c r="X3445" i="34"/>
  <c r="Y3445" i="34"/>
  <c r="N3446" i="34"/>
  <c r="R3446" i="34"/>
  <c r="S3446" i="34"/>
  <c r="T3446" i="34"/>
  <c r="V3446" i="34"/>
  <c r="X3446" i="34"/>
  <c r="Y3446" i="34"/>
  <c r="N3447" i="34"/>
  <c r="R3447" i="34"/>
  <c r="S3447" i="34"/>
  <c r="T3447" i="34"/>
  <c r="V3447" i="34"/>
  <c r="X3447" i="34"/>
  <c r="Y3447" i="34"/>
  <c r="N3448" i="34"/>
  <c r="R3448" i="34"/>
  <c r="S3448" i="34"/>
  <c r="T3448" i="34"/>
  <c r="V3448" i="34"/>
  <c r="X3448" i="34"/>
  <c r="Y3448" i="34"/>
  <c r="N3449" i="34"/>
  <c r="R3449" i="34"/>
  <c r="S3449" i="34"/>
  <c r="T3449" i="34"/>
  <c r="V3449" i="34"/>
  <c r="X3449" i="34"/>
  <c r="Y3449" i="34"/>
  <c r="N3450" i="34"/>
  <c r="R3450" i="34"/>
  <c r="S3450" i="34"/>
  <c r="T3450" i="34"/>
  <c r="V3450" i="34"/>
  <c r="X3450" i="34"/>
  <c r="Y3450" i="34"/>
  <c r="N3451" i="34"/>
  <c r="R3451" i="34"/>
  <c r="S3451" i="34"/>
  <c r="T3451" i="34"/>
  <c r="V3451" i="34"/>
  <c r="X3451" i="34"/>
  <c r="Y3451" i="34"/>
  <c r="N3452" i="34"/>
  <c r="R3452" i="34"/>
  <c r="S3452" i="34"/>
  <c r="T3452" i="34"/>
  <c r="V3452" i="34"/>
  <c r="X3452" i="34"/>
  <c r="Y3452" i="34"/>
  <c r="N3453" i="34"/>
  <c r="R3453" i="34"/>
  <c r="S3453" i="34"/>
  <c r="T3453" i="34"/>
  <c r="V3453" i="34"/>
  <c r="X3453" i="34"/>
  <c r="Y3453" i="34"/>
  <c r="N3454" i="34"/>
  <c r="R3454" i="34"/>
  <c r="S3454" i="34"/>
  <c r="T3454" i="34"/>
  <c r="V3454" i="34"/>
  <c r="X3454" i="34"/>
  <c r="Y3454" i="34"/>
  <c r="N3455" i="34"/>
  <c r="R3455" i="34"/>
  <c r="S3455" i="34"/>
  <c r="T3455" i="34"/>
  <c r="V3455" i="34"/>
  <c r="X3455" i="34"/>
  <c r="Y3455" i="34"/>
  <c r="N3456" i="34"/>
  <c r="R3456" i="34"/>
  <c r="S3456" i="34"/>
  <c r="T3456" i="34"/>
  <c r="V3456" i="34"/>
  <c r="X3456" i="34"/>
  <c r="Y3456" i="34"/>
  <c r="N3457" i="34"/>
  <c r="R3457" i="34"/>
  <c r="S3457" i="34"/>
  <c r="T3457" i="34"/>
  <c r="V3457" i="34"/>
  <c r="X3457" i="34"/>
  <c r="Y3457" i="34"/>
  <c r="N3458" i="34"/>
  <c r="R3458" i="34"/>
  <c r="S3458" i="34"/>
  <c r="T3458" i="34"/>
  <c r="V3458" i="34"/>
  <c r="X3458" i="34"/>
  <c r="Y3458" i="34"/>
  <c r="N3459" i="34"/>
  <c r="R3459" i="34"/>
  <c r="S3459" i="34"/>
  <c r="T3459" i="34"/>
  <c r="V3459" i="34"/>
  <c r="X3459" i="34"/>
  <c r="Y3459" i="34"/>
  <c r="N3460" i="34"/>
  <c r="R3460" i="34"/>
  <c r="S3460" i="34"/>
  <c r="T3460" i="34"/>
  <c r="V3460" i="34"/>
  <c r="X3460" i="34"/>
  <c r="Y3460" i="34"/>
  <c r="N3461" i="34"/>
  <c r="R3461" i="34"/>
  <c r="S3461" i="34"/>
  <c r="T3461" i="34"/>
  <c r="V3461" i="34"/>
  <c r="X3461" i="34"/>
  <c r="Y3461" i="34"/>
  <c r="N3462" i="34"/>
  <c r="R3462" i="34"/>
  <c r="S3462" i="34"/>
  <c r="T3462" i="34"/>
  <c r="V3462" i="34"/>
  <c r="X3462" i="34"/>
  <c r="Y3462" i="34"/>
  <c r="N3463" i="34"/>
  <c r="R3463" i="34"/>
  <c r="S3463" i="34"/>
  <c r="T3463" i="34"/>
  <c r="V3463" i="34"/>
  <c r="X3463" i="34"/>
  <c r="Y3463" i="34"/>
  <c r="N3464" i="34"/>
  <c r="R3464" i="34"/>
  <c r="S3464" i="34"/>
  <c r="T3464" i="34"/>
  <c r="V3464" i="34"/>
  <c r="X3464" i="34"/>
  <c r="Y3464" i="34"/>
  <c r="N3465" i="34"/>
  <c r="R3465" i="34"/>
  <c r="S3465" i="34"/>
  <c r="T3465" i="34"/>
  <c r="V3465" i="34"/>
  <c r="X3465" i="34"/>
  <c r="Y3465" i="34"/>
  <c r="N3466" i="34"/>
  <c r="R3466" i="34"/>
  <c r="S3466" i="34"/>
  <c r="T3466" i="34"/>
  <c r="V3466" i="34"/>
  <c r="X3466" i="34"/>
  <c r="Y3466" i="34"/>
  <c r="N3467" i="34"/>
  <c r="R3467" i="34"/>
  <c r="S3467" i="34"/>
  <c r="T3467" i="34"/>
  <c r="V3467" i="34"/>
  <c r="X3467" i="34"/>
  <c r="Y3467" i="34"/>
  <c r="N3468" i="34"/>
  <c r="R3468" i="34"/>
  <c r="S3468" i="34"/>
  <c r="T3468" i="34"/>
  <c r="V3468" i="34"/>
  <c r="X3468" i="34"/>
  <c r="Y3468" i="34"/>
  <c r="N3469" i="34"/>
  <c r="R3469" i="34"/>
  <c r="S3469" i="34"/>
  <c r="T3469" i="34"/>
  <c r="V3469" i="34"/>
  <c r="X3469" i="34"/>
  <c r="Y3469" i="34"/>
  <c r="N3470" i="34"/>
  <c r="R3470" i="34"/>
  <c r="S3470" i="34"/>
  <c r="T3470" i="34"/>
  <c r="V3470" i="34"/>
  <c r="X3470" i="34"/>
  <c r="Y3470" i="34"/>
  <c r="N3471" i="34"/>
  <c r="R3471" i="34"/>
  <c r="S3471" i="34"/>
  <c r="T3471" i="34"/>
  <c r="V3471" i="34"/>
  <c r="X3471" i="34"/>
  <c r="Y3471" i="34"/>
  <c r="N3472" i="34"/>
  <c r="R3472" i="34"/>
  <c r="S3472" i="34"/>
  <c r="T3472" i="34"/>
  <c r="V3472" i="34"/>
  <c r="X3472" i="34"/>
  <c r="Y3472" i="34"/>
  <c r="N3473" i="34"/>
  <c r="R3473" i="34"/>
  <c r="S3473" i="34"/>
  <c r="T3473" i="34"/>
  <c r="V3473" i="34"/>
  <c r="X3473" i="34"/>
  <c r="Y3473" i="34"/>
  <c r="N3474" i="34"/>
  <c r="R3474" i="34"/>
  <c r="S3474" i="34"/>
  <c r="T3474" i="34"/>
  <c r="V3474" i="34"/>
  <c r="X3474" i="34"/>
  <c r="Y3474" i="34"/>
  <c r="N3475" i="34"/>
  <c r="R3475" i="34"/>
  <c r="S3475" i="34"/>
  <c r="T3475" i="34"/>
  <c r="V3475" i="34"/>
  <c r="X3475" i="34"/>
  <c r="Y3475" i="34"/>
  <c r="N3476" i="34"/>
  <c r="R3476" i="34"/>
  <c r="S3476" i="34"/>
  <c r="T3476" i="34"/>
  <c r="V3476" i="34"/>
  <c r="X3476" i="34"/>
  <c r="Y3476" i="34"/>
  <c r="N3477" i="34"/>
  <c r="R3477" i="34"/>
  <c r="S3477" i="34"/>
  <c r="T3477" i="34"/>
  <c r="V3477" i="34"/>
  <c r="X3477" i="34"/>
  <c r="Y3477" i="34"/>
  <c r="N3478" i="34"/>
  <c r="R3478" i="34"/>
  <c r="S3478" i="34"/>
  <c r="T3478" i="34"/>
  <c r="V3478" i="34"/>
  <c r="X3478" i="34"/>
  <c r="Y3478" i="34"/>
  <c r="N3479" i="34"/>
  <c r="R3479" i="34"/>
  <c r="S3479" i="34"/>
  <c r="T3479" i="34"/>
  <c r="V3479" i="34"/>
  <c r="X3479" i="34"/>
  <c r="Y3479" i="34"/>
  <c r="N3480" i="34"/>
  <c r="R3480" i="34"/>
  <c r="S3480" i="34"/>
  <c r="T3480" i="34"/>
  <c r="V3480" i="34"/>
  <c r="X3480" i="34"/>
  <c r="Y3480" i="34"/>
  <c r="N3481" i="34"/>
  <c r="R3481" i="34"/>
  <c r="S3481" i="34"/>
  <c r="T3481" i="34"/>
  <c r="V3481" i="34"/>
  <c r="X3481" i="34"/>
  <c r="Y3481" i="34"/>
  <c r="N3482" i="34"/>
  <c r="R3482" i="34"/>
  <c r="S3482" i="34"/>
  <c r="T3482" i="34"/>
  <c r="V3482" i="34"/>
  <c r="X3482" i="34"/>
  <c r="Y3482" i="34"/>
  <c r="N3483" i="34"/>
  <c r="R3483" i="34"/>
  <c r="S3483" i="34"/>
  <c r="T3483" i="34"/>
  <c r="V3483" i="34"/>
  <c r="X3483" i="34"/>
  <c r="Y3483" i="34"/>
  <c r="N3484" i="34"/>
  <c r="R3484" i="34"/>
  <c r="S3484" i="34"/>
  <c r="T3484" i="34"/>
  <c r="V3484" i="34"/>
  <c r="X3484" i="34"/>
  <c r="Y3484" i="34"/>
  <c r="N3485" i="34"/>
  <c r="R3485" i="34"/>
  <c r="S3485" i="34"/>
  <c r="T3485" i="34"/>
  <c r="V3485" i="34"/>
  <c r="X3485" i="34"/>
  <c r="Y3485" i="34"/>
  <c r="N3486" i="34"/>
  <c r="R3486" i="34"/>
  <c r="S3486" i="34"/>
  <c r="T3486" i="34"/>
  <c r="V3486" i="34"/>
  <c r="X3486" i="34"/>
  <c r="Y3486" i="34"/>
  <c r="N3487" i="34"/>
  <c r="R3487" i="34"/>
  <c r="S3487" i="34"/>
  <c r="T3487" i="34"/>
  <c r="V3487" i="34"/>
  <c r="X3487" i="34"/>
  <c r="Y3487" i="34"/>
  <c r="N3488" i="34"/>
  <c r="R3488" i="34"/>
  <c r="S3488" i="34"/>
  <c r="T3488" i="34"/>
  <c r="V3488" i="34"/>
  <c r="X3488" i="34"/>
  <c r="Y3488" i="34"/>
  <c r="N3489" i="34"/>
  <c r="R3489" i="34"/>
  <c r="S3489" i="34"/>
  <c r="T3489" i="34"/>
  <c r="V3489" i="34"/>
  <c r="X3489" i="34"/>
  <c r="Y3489" i="34"/>
  <c r="N3490" i="34"/>
  <c r="R3490" i="34"/>
  <c r="S3490" i="34"/>
  <c r="T3490" i="34"/>
  <c r="V3490" i="34"/>
  <c r="X3490" i="34"/>
  <c r="Y3490" i="34"/>
  <c r="N3491" i="34"/>
  <c r="R3491" i="34"/>
  <c r="S3491" i="34"/>
  <c r="T3491" i="34"/>
  <c r="V3491" i="34"/>
  <c r="X3491" i="34"/>
  <c r="Y3491" i="34"/>
  <c r="N3492" i="34"/>
  <c r="R3492" i="34"/>
  <c r="S3492" i="34"/>
  <c r="T3492" i="34"/>
  <c r="V3492" i="34"/>
  <c r="X3492" i="34"/>
  <c r="Y3492" i="34"/>
  <c r="N3493" i="34"/>
  <c r="R3493" i="34"/>
  <c r="S3493" i="34"/>
  <c r="T3493" i="34"/>
  <c r="V3493" i="34"/>
  <c r="X3493" i="34"/>
  <c r="Y3493" i="34"/>
  <c r="N3494" i="34"/>
  <c r="R3494" i="34"/>
  <c r="S3494" i="34"/>
  <c r="T3494" i="34"/>
  <c r="V3494" i="34"/>
  <c r="X3494" i="34"/>
  <c r="Y3494" i="34"/>
  <c r="N3495" i="34"/>
  <c r="R3495" i="34"/>
  <c r="S3495" i="34"/>
  <c r="T3495" i="34"/>
  <c r="V3495" i="34"/>
  <c r="X3495" i="34"/>
  <c r="Y3495" i="34"/>
  <c r="N3496" i="34"/>
  <c r="R3496" i="34"/>
  <c r="S3496" i="34"/>
  <c r="T3496" i="34"/>
  <c r="V3496" i="34"/>
  <c r="X3496" i="34"/>
  <c r="Y3496" i="34"/>
  <c r="N3497" i="34"/>
  <c r="R3497" i="34"/>
  <c r="S3497" i="34"/>
  <c r="T3497" i="34"/>
  <c r="V3497" i="34"/>
  <c r="X3497" i="34"/>
  <c r="Y3497" i="34"/>
  <c r="N3498" i="34"/>
  <c r="R3498" i="34"/>
  <c r="S3498" i="34"/>
  <c r="T3498" i="34"/>
  <c r="V3498" i="34"/>
  <c r="X3498" i="34"/>
  <c r="Y3498" i="34"/>
  <c r="N3499" i="34"/>
  <c r="R3499" i="34"/>
  <c r="S3499" i="34"/>
  <c r="T3499" i="34"/>
  <c r="V3499" i="34"/>
  <c r="X3499" i="34"/>
  <c r="Y3499" i="34"/>
  <c r="N3500" i="34"/>
  <c r="R3500" i="34"/>
  <c r="S3500" i="34"/>
  <c r="T3500" i="34"/>
  <c r="V3500" i="34"/>
  <c r="X3500" i="34"/>
  <c r="Y3500" i="34"/>
  <c r="N3501" i="34"/>
  <c r="R3501" i="34"/>
  <c r="S3501" i="34"/>
  <c r="T3501" i="34"/>
  <c r="V3501" i="34"/>
  <c r="X3501" i="34"/>
  <c r="Y3501" i="34"/>
  <c r="N3502" i="34"/>
  <c r="R3502" i="34"/>
  <c r="S3502" i="34"/>
  <c r="T3502" i="34"/>
  <c r="V3502" i="34"/>
  <c r="X3502" i="34"/>
  <c r="Y3502" i="34"/>
  <c r="N3503" i="34"/>
  <c r="R3503" i="34"/>
  <c r="S3503" i="34"/>
  <c r="T3503" i="34"/>
  <c r="V3503" i="34"/>
  <c r="X3503" i="34"/>
  <c r="Y3503" i="34"/>
  <c r="N3504" i="34"/>
  <c r="R3504" i="34"/>
  <c r="S3504" i="34"/>
  <c r="T3504" i="34"/>
  <c r="V3504" i="34"/>
  <c r="X3504" i="34"/>
  <c r="Y3504" i="34"/>
  <c r="N3505" i="34"/>
  <c r="R3505" i="34"/>
  <c r="S3505" i="34"/>
  <c r="T3505" i="34"/>
  <c r="V3505" i="34"/>
  <c r="X3505" i="34"/>
  <c r="Y3505" i="34"/>
  <c r="N3506" i="34"/>
  <c r="R3506" i="34"/>
  <c r="S3506" i="34"/>
  <c r="T3506" i="34"/>
  <c r="V3506" i="34"/>
  <c r="X3506" i="34"/>
  <c r="Y3506" i="34"/>
  <c r="N3507" i="34"/>
  <c r="R3507" i="34"/>
  <c r="S3507" i="34"/>
  <c r="T3507" i="34"/>
  <c r="V3507" i="34"/>
  <c r="X3507" i="34"/>
  <c r="Y3507" i="34"/>
  <c r="N3508" i="34"/>
  <c r="R3508" i="34"/>
  <c r="S3508" i="34"/>
  <c r="T3508" i="34"/>
  <c r="V3508" i="34"/>
  <c r="X3508" i="34"/>
  <c r="Y3508" i="34"/>
  <c r="N3509" i="34"/>
  <c r="R3509" i="34"/>
  <c r="S3509" i="34"/>
  <c r="T3509" i="34"/>
  <c r="V3509" i="34"/>
  <c r="X3509" i="34"/>
  <c r="Y3509" i="34"/>
  <c r="N3510" i="34"/>
  <c r="R3510" i="34"/>
  <c r="S3510" i="34"/>
  <c r="T3510" i="34"/>
  <c r="V3510" i="34"/>
  <c r="X3510" i="34"/>
  <c r="Y3510" i="34"/>
  <c r="N3511" i="34"/>
  <c r="R3511" i="34"/>
  <c r="S3511" i="34"/>
  <c r="T3511" i="34"/>
  <c r="V3511" i="34"/>
  <c r="X3511" i="34"/>
  <c r="Y3511" i="34"/>
  <c r="N3512" i="34"/>
  <c r="R3512" i="34"/>
  <c r="S3512" i="34"/>
  <c r="T3512" i="34"/>
  <c r="V3512" i="34"/>
  <c r="X3512" i="34"/>
  <c r="Y3512" i="34"/>
  <c r="N3513" i="34"/>
  <c r="R3513" i="34"/>
  <c r="S3513" i="34"/>
  <c r="T3513" i="34"/>
  <c r="V3513" i="34"/>
  <c r="X3513" i="34"/>
  <c r="Y3513" i="34"/>
  <c r="N3514" i="34"/>
  <c r="R3514" i="34"/>
  <c r="S3514" i="34"/>
  <c r="T3514" i="34"/>
  <c r="V3514" i="34"/>
  <c r="X3514" i="34"/>
  <c r="Y3514" i="34"/>
  <c r="N3515" i="34"/>
  <c r="R3515" i="34"/>
  <c r="S3515" i="34"/>
  <c r="T3515" i="34"/>
  <c r="V3515" i="34"/>
  <c r="X3515" i="34"/>
  <c r="Y3515" i="34"/>
  <c r="N3516" i="34"/>
  <c r="R3516" i="34"/>
  <c r="S3516" i="34"/>
  <c r="T3516" i="34"/>
  <c r="V3516" i="34"/>
  <c r="X3516" i="34"/>
  <c r="Y3516" i="34"/>
  <c r="N3517" i="34"/>
  <c r="R3517" i="34"/>
  <c r="S3517" i="34"/>
  <c r="T3517" i="34"/>
  <c r="V3517" i="34"/>
  <c r="X3517" i="34"/>
  <c r="Y3517" i="34"/>
  <c r="N3518" i="34"/>
  <c r="R3518" i="34"/>
  <c r="S3518" i="34"/>
  <c r="T3518" i="34"/>
  <c r="V3518" i="34"/>
  <c r="X3518" i="34"/>
  <c r="Y3518" i="34"/>
  <c r="N3519" i="34"/>
  <c r="R3519" i="34"/>
  <c r="S3519" i="34"/>
  <c r="T3519" i="34"/>
  <c r="V3519" i="34"/>
  <c r="X3519" i="34"/>
  <c r="Y3519" i="34"/>
  <c r="N3520" i="34"/>
  <c r="R3520" i="34"/>
  <c r="S3520" i="34"/>
  <c r="T3520" i="34"/>
  <c r="V3520" i="34"/>
  <c r="X3520" i="34"/>
  <c r="Y3520" i="34"/>
  <c r="N3521" i="34"/>
  <c r="R3521" i="34"/>
  <c r="S3521" i="34"/>
  <c r="T3521" i="34"/>
  <c r="V3521" i="34"/>
  <c r="X3521" i="34"/>
  <c r="Y3521" i="34"/>
  <c r="N3522" i="34"/>
  <c r="R3522" i="34"/>
  <c r="S3522" i="34"/>
  <c r="T3522" i="34"/>
  <c r="V3522" i="34"/>
  <c r="X3522" i="34"/>
  <c r="Y3522" i="34"/>
  <c r="N3523" i="34"/>
  <c r="R3523" i="34"/>
  <c r="S3523" i="34"/>
  <c r="T3523" i="34"/>
  <c r="V3523" i="34"/>
  <c r="X3523" i="34"/>
  <c r="Y3523" i="34"/>
  <c r="N3524" i="34"/>
  <c r="R3524" i="34"/>
  <c r="S3524" i="34"/>
  <c r="T3524" i="34"/>
  <c r="V3524" i="34"/>
  <c r="X3524" i="34"/>
  <c r="Y3524" i="34"/>
  <c r="N3525" i="34"/>
  <c r="R3525" i="34"/>
  <c r="S3525" i="34"/>
  <c r="T3525" i="34"/>
  <c r="V3525" i="34"/>
  <c r="X3525" i="34"/>
  <c r="Y3525" i="34"/>
  <c r="N3526" i="34"/>
  <c r="R3526" i="34"/>
  <c r="S3526" i="34"/>
  <c r="T3526" i="34"/>
  <c r="V3526" i="34"/>
  <c r="X3526" i="34"/>
  <c r="Y3526" i="34"/>
  <c r="N3527" i="34"/>
  <c r="R3527" i="34"/>
  <c r="S3527" i="34"/>
  <c r="T3527" i="34"/>
  <c r="V3527" i="34"/>
  <c r="X3527" i="34"/>
  <c r="Y3527" i="34"/>
  <c r="N3528" i="34"/>
  <c r="R3528" i="34"/>
  <c r="S3528" i="34"/>
  <c r="T3528" i="34"/>
  <c r="V3528" i="34"/>
  <c r="X3528" i="34"/>
  <c r="Y3528" i="34"/>
  <c r="N3529" i="34"/>
  <c r="R3529" i="34"/>
  <c r="S3529" i="34"/>
  <c r="T3529" i="34"/>
  <c r="V3529" i="34"/>
  <c r="X3529" i="34"/>
  <c r="Y3529" i="34"/>
  <c r="N3530" i="34"/>
  <c r="R3530" i="34"/>
  <c r="S3530" i="34"/>
  <c r="T3530" i="34"/>
  <c r="V3530" i="34"/>
  <c r="X3530" i="34"/>
  <c r="Y3530" i="34"/>
  <c r="N3531" i="34"/>
  <c r="R3531" i="34"/>
  <c r="S3531" i="34"/>
  <c r="T3531" i="34"/>
  <c r="V3531" i="34"/>
  <c r="X3531" i="34"/>
  <c r="Y3531" i="34"/>
  <c r="N3532" i="34"/>
  <c r="R3532" i="34"/>
  <c r="S3532" i="34"/>
  <c r="T3532" i="34"/>
  <c r="V3532" i="34"/>
  <c r="X3532" i="34"/>
  <c r="Y3532" i="34"/>
  <c r="N3533" i="34"/>
  <c r="R3533" i="34"/>
  <c r="S3533" i="34"/>
  <c r="T3533" i="34"/>
  <c r="V3533" i="34"/>
  <c r="X3533" i="34"/>
  <c r="Y3533" i="34"/>
  <c r="N3534" i="34"/>
  <c r="R3534" i="34"/>
  <c r="S3534" i="34"/>
  <c r="T3534" i="34"/>
  <c r="V3534" i="34"/>
  <c r="X3534" i="34"/>
  <c r="Y3534" i="34"/>
  <c r="N3535" i="34"/>
  <c r="R3535" i="34"/>
  <c r="S3535" i="34"/>
  <c r="T3535" i="34"/>
  <c r="V3535" i="34"/>
  <c r="X3535" i="34"/>
  <c r="Y3535" i="34"/>
  <c r="N3536" i="34"/>
  <c r="R3536" i="34"/>
  <c r="S3536" i="34"/>
  <c r="T3536" i="34"/>
  <c r="V3536" i="34"/>
  <c r="X3536" i="34"/>
  <c r="Y3536" i="34"/>
  <c r="N3537" i="34"/>
  <c r="R3537" i="34"/>
  <c r="S3537" i="34"/>
  <c r="T3537" i="34"/>
  <c r="V3537" i="34"/>
  <c r="X3537" i="34"/>
  <c r="Y3537" i="34"/>
  <c r="N3538" i="34"/>
  <c r="R3538" i="34"/>
  <c r="S3538" i="34"/>
  <c r="T3538" i="34"/>
  <c r="V3538" i="34"/>
  <c r="X3538" i="34"/>
  <c r="Y3538" i="34"/>
  <c r="N3539" i="34"/>
  <c r="R3539" i="34"/>
  <c r="S3539" i="34"/>
  <c r="T3539" i="34"/>
  <c r="V3539" i="34"/>
  <c r="X3539" i="34"/>
  <c r="Y3539" i="34"/>
  <c r="N3540" i="34"/>
  <c r="R3540" i="34"/>
  <c r="S3540" i="34"/>
  <c r="T3540" i="34"/>
  <c r="V3540" i="34"/>
  <c r="X3540" i="34"/>
  <c r="Y3540" i="34"/>
  <c r="N3541" i="34"/>
  <c r="R3541" i="34"/>
  <c r="S3541" i="34"/>
  <c r="T3541" i="34"/>
  <c r="V3541" i="34"/>
  <c r="X3541" i="34"/>
  <c r="Y3541" i="34"/>
  <c r="N3542" i="34"/>
  <c r="R3542" i="34"/>
  <c r="S3542" i="34"/>
  <c r="T3542" i="34"/>
  <c r="V3542" i="34"/>
  <c r="X3542" i="34"/>
  <c r="Y3542" i="34"/>
  <c r="N3543" i="34"/>
  <c r="R3543" i="34"/>
  <c r="S3543" i="34"/>
  <c r="T3543" i="34"/>
  <c r="V3543" i="34"/>
  <c r="X3543" i="34"/>
  <c r="Y3543" i="34"/>
  <c r="N3544" i="34"/>
  <c r="R3544" i="34"/>
  <c r="S3544" i="34"/>
  <c r="T3544" i="34"/>
  <c r="V3544" i="34"/>
  <c r="X3544" i="34"/>
  <c r="Y3544" i="34"/>
  <c r="N3545" i="34"/>
  <c r="R3545" i="34"/>
  <c r="S3545" i="34"/>
  <c r="T3545" i="34"/>
  <c r="V3545" i="34"/>
  <c r="X3545" i="34"/>
  <c r="Y3545" i="34"/>
  <c r="N3546" i="34"/>
  <c r="R3546" i="34"/>
  <c r="S3546" i="34"/>
  <c r="T3546" i="34"/>
  <c r="V3546" i="34"/>
  <c r="X3546" i="34"/>
  <c r="Y3546" i="34"/>
  <c r="N3547" i="34"/>
  <c r="R3547" i="34"/>
  <c r="S3547" i="34"/>
  <c r="T3547" i="34"/>
  <c r="V3547" i="34"/>
  <c r="X3547" i="34"/>
  <c r="Y3547" i="34"/>
  <c r="N3548" i="34"/>
  <c r="R3548" i="34"/>
  <c r="S3548" i="34"/>
  <c r="T3548" i="34"/>
  <c r="V3548" i="34"/>
  <c r="X3548" i="34"/>
  <c r="Y3548" i="34"/>
  <c r="N3549" i="34"/>
  <c r="R3549" i="34"/>
  <c r="S3549" i="34"/>
  <c r="T3549" i="34"/>
  <c r="V3549" i="34"/>
  <c r="X3549" i="34"/>
  <c r="Y3549" i="34"/>
  <c r="N3550" i="34"/>
  <c r="R3550" i="34"/>
  <c r="S3550" i="34"/>
  <c r="T3550" i="34"/>
  <c r="V3550" i="34"/>
  <c r="X3550" i="34"/>
  <c r="Y3550" i="34"/>
  <c r="N3551" i="34"/>
  <c r="R3551" i="34"/>
  <c r="S3551" i="34"/>
  <c r="T3551" i="34"/>
  <c r="V3551" i="34"/>
  <c r="X3551" i="34"/>
  <c r="Y3551" i="34"/>
  <c r="N3552" i="34"/>
  <c r="R3552" i="34"/>
  <c r="S3552" i="34"/>
  <c r="T3552" i="34"/>
  <c r="V3552" i="34"/>
  <c r="X3552" i="34"/>
  <c r="Y3552" i="34"/>
  <c r="N3553" i="34"/>
  <c r="R3553" i="34"/>
  <c r="S3553" i="34"/>
  <c r="T3553" i="34"/>
  <c r="V3553" i="34"/>
  <c r="X3553" i="34"/>
  <c r="Y3553" i="34"/>
  <c r="N3554" i="34"/>
  <c r="R3554" i="34"/>
  <c r="S3554" i="34"/>
  <c r="T3554" i="34"/>
  <c r="V3554" i="34"/>
  <c r="X3554" i="34"/>
  <c r="Y3554" i="34"/>
  <c r="N3555" i="34"/>
  <c r="R3555" i="34"/>
  <c r="S3555" i="34"/>
  <c r="T3555" i="34"/>
  <c r="V3555" i="34"/>
  <c r="X3555" i="34"/>
  <c r="Y3555" i="34"/>
  <c r="N3556" i="34"/>
  <c r="R3556" i="34"/>
  <c r="S3556" i="34"/>
  <c r="T3556" i="34"/>
  <c r="V3556" i="34"/>
  <c r="X3556" i="34"/>
  <c r="Y3556" i="34"/>
  <c r="N3557" i="34"/>
  <c r="R3557" i="34"/>
  <c r="S3557" i="34"/>
  <c r="T3557" i="34"/>
  <c r="V3557" i="34"/>
  <c r="X3557" i="34"/>
  <c r="Y3557" i="34"/>
  <c r="N3558" i="34"/>
  <c r="R3558" i="34"/>
  <c r="S3558" i="34"/>
  <c r="T3558" i="34"/>
  <c r="V3558" i="34"/>
  <c r="X3558" i="34"/>
  <c r="Y3558" i="34"/>
  <c r="N3559" i="34"/>
  <c r="R3559" i="34"/>
  <c r="S3559" i="34"/>
  <c r="T3559" i="34"/>
  <c r="V3559" i="34"/>
  <c r="X3559" i="34"/>
  <c r="Y3559" i="34"/>
  <c r="N3560" i="34"/>
  <c r="R3560" i="34"/>
  <c r="S3560" i="34"/>
  <c r="T3560" i="34"/>
  <c r="V3560" i="34"/>
  <c r="X3560" i="34"/>
  <c r="Y3560" i="34"/>
  <c r="N3561" i="34"/>
  <c r="R3561" i="34"/>
  <c r="S3561" i="34"/>
  <c r="T3561" i="34"/>
  <c r="V3561" i="34"/>
  <c r="X3561" i="34"/>
  <c r="Y3561" i="34"/>
  <c r="N3562" i="34"/>
  <c r="R3562" i="34"/>
  <c r="S3562" i="34"/>
  <c r="T3562" i="34"/>
  <c r="V3562" i="34"/>
  <c r="X3562" i="34"/>
  <c r="Y3562" i="34"/>
  <c r="N3563" i="34"/>
  <c r="R3563" i="34"/>
  <c r="S3563" i="34"/>
  <c r="T3563" i="34"/>
  <c r="V3563" i="34"/>
  <c r="X3563" i="34"/>
  <c r="Y3563" i="34"/>
  <c r="N3564" i="34"/>
  <c r="R3564" i="34"/>
  <c r="S3564" i="34"/>
  <c r="T3564" i="34"/>
  <c r="V3564" i="34"/>
  <c r="X3564" i="34"/>
  <c r="Y3564" i="34"/>
  <c r="N3565" i="34"/>
  <c r="R3565" i="34"/>
  <c r="S3565" i="34"/>
  <c r="T3565" i="34"/>
  <c r="V3565" i="34"/>
  <c r="X3565" i="34"/>
  <c r="Y3565" i="34"/>
  <c r="N3566" i="34"/>
  <c r="R3566" i="34"/>
  <c r="S3566" i="34"/>
  <c r="T3566" i="34"/>
  <c r="V3566" i="34"/>
  <c r="X3566" i="34"/>
  <c r="Y3566" i="34"/>
  <c r="N3567" i="34"/>
  <c r="R3567" i="34"/>
  <c r="S3567" i="34"/>
  <c r="T3567" i="34"/>
  <c r="V3567" i="34"/>
  <c r="X3567" i="34"/>
  <c r="Y3567" i="34"/>
  <c r="N3568" i="34"/>
  <c r="R3568" i="34"/>
  <c r="S3568" i="34"/>
  <c r="T3568" i="34"/>
  <c r="V3568" i="34"/>
  <c r="X3568" i="34"/>
  <c r="Y3568" i="34"/>
  <c r="N3569" i="34"/>
  <c r="R3569" i="34"/>
  <c r="S3569" i="34"/>
  <c r="T3569" i="34"/>
  <c r="V3569" i="34"/>
  <c r="X3569" i="34"/>
  <c r="Y3569" i="34"/>
  <c r="N3570" i="34"/>
  <c r="R3570" i="34"/>
  <c r="S3570" i="34"/>
  <c r="T3570" i="34"/>
  <c r="V3570" i="34"/>
  <c r="X3570" i="34"/>
  <c r="Y3570" i="34"/>
  <c r="N3571" i="34"/>
  <c r="R3571" i="34"/>
  <c r="S3571" i="34"/>
  <c r="T3571" i="34"/>
  <c r="V3571" i="34"/>
  <c r="X3571" i="34"/>
  <c r="Y3571" i="34"/>
  <c r="N3572" i="34"/>
  <c r="R3572" i="34"/>
  <c r="S3572" i="34"/>
  <c r="T3572" i="34"/>
  <c r="V3572" i="34"/>
  <c r="X3572" i="34"/>
  <c r="Y3572" i="34"/>
  <c r="N3573" i="34"/>
  <c r="R3573" i="34"/>
  <c r="S3573" i="34"/>
  <c r="T3573" i="34"/>
  <c r="V3573" i="34"/>
  <c r="X3573" i="34"/>
  <c r="Y3573" i="34"/>
  <c r="N3574" i="34"/>
  <c r="R3574" i="34"/>
  <c r="S3574" i="34"/>
  <c r="T3574" i="34"/>
  <c r="V3574" i="34"/>
  <c r="X3574" i="34"/>
  <c r="Y3574" i="34"/>
  <c r="N3575" i="34"/>
  <c r="R3575" i="34"/>
  <c r="S3575" i="34"/>
  <c r="T3575" i="34"/>
  <c r="V3575" i="34"/>
  <c r="X3575" i="34"/>
  <c r="Y3575" i="34"/>
  <c r="N3576" i="34"/>
  <c r="R3576" i="34"/>
  <c r="S3576" i="34"/>
  <c r="T3576" i="34"/>
  <c r="V3576" i="34"/>
  <c r="X3576" i="34"/>
  <c r="Y3576" i="34"/>
  <c r="N3577" i="34"/>
  <c r="R3577" i="34"/>
  <c r="S3577" i="34"/>
  <c r="T3577" i="34"/>
  <c r="V3577" i="34"/>
  <c r="X3577" i="34"/>
  <c r="Y3577" i="34"/>
  <c r="N3578" i="34"/>
  <c r="R3578" i="34"/>
  <c r="S3578" i="34"/>
  <c r="T3578" i="34"/>
  <c r="V3578" i="34"/>
  <c r="X3578" i="34"/>
  <c r="Y3578" i="34"/>
  <c r="N3579" i="34"/>
  <c r="R3579" i="34"/>
  <c r="S3579" i="34"/>
  <c r="T3579" i="34"/>
  <c r="V3579" i="34"/>
  <c r="X3579" i="34"/>
  <c r="Y3579" i="34"/>
  <c r="N3580" i="34"/>
  <c r="R3580" i="34"/>
  <c r="S3580" i="34"/>
  <c r="T3580" i="34"/>
  <c r="V3580" i="34"/>
  <c r="X3580" i="34"/>
  <c r="Y3580" i="34"/>
  <c r="N3581" i="34"/>
  <c r="R3581" i="34"/>
  <c r="S3581" i="34"/>
  <c r="T3581" i="34"/>
  <c r="V3581" i="34"/>
  <c r="X3581" i="34"/>
  <c r="Y3581" i="34"/>
  <c r="N3582" i="34"/>
  <c r="R3582" i="34"/>
  <c r="S3582" i="34"/>
  <c r="T3582" i="34"/>
  <c r="V3582" i="34"/>
  <c r="X3582" i="34"/>
  <c r="Y3582" i="34"/>
  <c r="N3583" i="34"/>
  <c r="R3583" i="34"/>
  <c r="S3583" i="34"/>
  <c r="T3583" i="34"/>
  <c r="V3583" i="34"/>
  <c r="X3583" i="34"/>
  <c r="Y3583" i="34"/>
  <c r="N3584" i="34"/>
  <c r="R3584" i="34"/>
  <c r="S3584" i="34"/>
  <c r="T3584" i="34"/>
  <c r="V3584" i="34"/>
  <c r="X3584" i="34"/>
  <c r="Y3584" i="34"/>
  <c r="N3585" i="34"/>
  <c r="R3585" i="34"/>
  <c r="S3585" i="34"/>
  <c r="T3585" i="34"/>
  <c r="V3585" i="34"/>
  <c r="X3585" i="34"/>
  <c r="Y3585" i="34"/>
  <c r="N3586" i="34"/>
  <c r="R3586" i="34"/>
  <c r="S3586" i="34"/>
  <c r="T3586" i="34"/>
  <c r="V3586" i="34"/>
  <c r="X3586" i="34"/>
  <c r="Y3586" i="34"/>
  <c r="N3587" i="34"/>
  <c r="R3587" i="34"/>
  <c r="S3587" i="34"/>
  <c r="T3587" i="34"/>
  <c r="V3587" i="34"/>
  <c r="X3587" i="34"/>
  <c r="Y3587" i="34"/>
  <c r="N3588" i="34"/>
  <c r="R3588" i="34"/>
  <c r="S3588" i="34"/>
  <c r="T3588" i="34"/>
  <c r="V3588" i="34"/>
  <c r="X3588" i="34"/>
  <c r="Y3588" i="34"/>
  <c r="N3589" i="34"/>
  <c r="R3589" i="34"/>
  <c r="S3589" i="34"/>
  <c r="T3589" i="34"/>
  <c r="V3589" i="34"/>
  <c r="X3589" i="34"/>
  <c r="Y3589" i="34"/>
  <c r="N3590" i="34"/>
  <c r="R3590" i="34"/>
  <c r="S3590" i="34"/>
  <c r="T3590" i="34"/>
  <c r="V3590" i="34"/>
  <c r="X3590" i="34"/>
  <c r="Y3590" i="34"/>
  <c r="N3591" i="34"/>
  <c r="R3591" i="34"/>
  <c r="S3591" i="34"/>
  <c r="T3591" i="34"/>
  <c r="V3591" i="34"/>
  <c r="X3591" i="34"/>
  <c r="Y3591" i="34"/>
  <c r="N3592" i="34"/>
  <c r="R3592" i="34"/>
  <c r="S3592" i="34"/>
  <c r="T3592" i="34"/>
  <c r="V3592" i="34"/>
  <c r="X3592" i="34"/>
  <c r="Y3592" i="34"/>
  <c r="N3593" i="34"/>
  <c r="R3593" i="34"/>
  <c r="S3593" i="34"/>
  <c r="T3593" i="34"/>
  <c r="V3593" i="34"/>
  <c r="X3593" i="34"/>
  <c r="Y3593" i="34"/>
  <c r="N3594" i="34"/>
  <c r="R3594" i="34"/>
  <c r="S3594" i="34"/>
  <c r="T3594" i="34"/>
  <c r="V3594" i="34"/>
  <c r="X3594" i="34"/>
  <c r="Y3594" i="34"/>
  <c r="N3595" i="34"/>
  <c r="R3595" i="34"/>
  <c r="S3595" i="34"/>
  <c r="T3595" i="34"/>
  <c r="V3595" i="34"/>
  <c r="X3595" i="34"/>
  <c r="Y3595" i="34"/>
  <c r="N3596" i="34"/>
  <c r="R3596" i="34"/>
  <c r="S3596" i="34"/>
  <c r="T3596" i="34"/>
  <c r="V3596" i="34"/>
  <c r="X3596" i="34"/>
  <c r="Y3596" i="34"/>
  <c r="N3597" i="34"/>
  <c r="R3597" i="34"/>
  <c r="S3597" i="34"/>
  <c r="T3597" i="34"/>
  <c r="V3597" i="34"/>
  <c r="X3597" i="34"/>
  <c r="Y3597" i="34"/>
  <c r="N3598" i="34"/>
  <c r="R3598" i="34"/>
  <c r="S3598" i="34"/>
  <c r="T3598" i="34"/>
  <c r="V3598" i="34"/>
  <c r="X3598" i="34"/>
  <c r="Y3598" i="34"/>
  <c r="N3599" i="34"/>
  <c r="R3599" i="34"/>
  <c r="S3599" i="34"/>
  <c r="T3599" i="34"/>
  <c r="V3599" i="34"/>
  <c r="X3599" i="34"/>
  <c r="Y3599" i="34"/>
  <c r="N3600" i="34"/>
  <c r="R3600" i="34"/>
  <c r="S3600" i="34"/>
  <c r="T3600" i="34"/>
  <c r="V3600" i="34"/>
  <c r="X3600" i="34"/>
  <c r="Y3600" i="34"/>
  <c r="N3601" i="34"/>
  <c r="R3601" i="34"/>
  <c r="S3601" i="34"/>
  <c r="T3601" i="34"/>
  <c r="V3601" i="34"/>
  <c r="X3601" i="34"/>
  <c r="Y3601" i="34"/>
  <c r="N3602" i="34"/>
  <c r="R3602" i="34"/>
  <c r="S3602" i="34"/>
  <c r="T3602" i="34"/>
  <c r="V3602" i="34"/>
  <c r="X3602" i="34"/>
  <c r="Y3602" i="34"/>
  <c r="N3603" i="34"/>
  <c r="R3603" i="34"/>
  <c r="S3603" i="34"/>
  <c r="T3603" i="34"/>
  <c r="V3603" i="34"/>
  <c r="X3603" i="34"/>
  <c r="Y3603" i="34"/>
  <c r="N3604" i="34"/>
  <c r="R3604" i="34"/>
  <c r="S3604" i="34"/>
  <c r="T3604" i="34"/>
  <c r="V3604" i="34"/>
  <c r="X3604" i="34"/>
  <c r="Y3604" i="34"/>
  <c r="N3605" i="34"/>
  <c r="R3605" i="34"/>
  <c r="S3605" i="34"/>
  <c r="T3605" i="34"/>
  <c r="V3605" i="34"/>
  <c r="X3605" i="34"/>
  <c r="Y3605" i="34"/>
  <c r="N3606" i="34"/>
  <c r="R3606" i="34"/>
  <c r="S3606" i="34"/>
  <c r="T3606" i="34"/>
  <c r="V3606" i="34"/>
  <c r="X3606" i="34"/>
  <c r="Y3606" i="34"/>
  <c r="N3607" i="34"/>
  <c r="R3607" i="34"/>
  <c r="S3607" i="34"/>
  <c r="T3607" i="34"/>
  <c r="V3607" i="34"/>
  <c r="X3607" i="34"/>
  <c r="Y3607" i="34"/>
  <c r="N3608" i="34"/>
  <c r="R3608" i="34"/>
  <c r="S3608" i="34"/>
  <c r="T3608" i="34"/>
  <c r="V3608" i="34"/>
  <c r="X3608" i="34"/>
  <c r="Y3608" i="34"/>
  <c r="N3609" i="34"/>
  <c r="R3609" i="34"/>
  <c r="S3609" i="34"/>
  <c r="T3609" i="34"/>
  <c r="V3609" i="34"/>
  <c r="X3609" i="34"/>
  <c r="Y3609" i="34"/>
  <c r="N3610" i="34"/>
  <c r="R3610" i="34"/>
  <c r="S3610" i="34"/>
  <c r="T3610" i="34"/>
  <c r="V3610" i="34"/>
  <c r="X3610" i="34"/>
  <c r="Y3610" i="34"/>
  <c r="N3611" i="34"/>
  <c r="R3611" i="34"/>
  <c r="S3611" i="34"/>
  <c r="T3611" i="34"/>
  <c r="V3611" i="34"/>
  <c r="X3611" i="34"/>
  <c r="Y3611" i="34"/>
  <c r="N3612" i="34"/>
  <c r="R3612" i="34"/>
  <c r="S3612" i="34"/>
  <c r="T3612" i="34"/>
  <c r="V3612" i="34"/>
  <c r="X3612" i="34"/>
  <c r="Y3612" i="34"/>
  <c r="N3613" i="34"/>
  <c r="R3613" i="34"/>
  <c r="S3613" i="34"/>
  <c r="T3613" i="34"/>
  <c r="V3613" i="34"/>
  <c r="X3613" i="34"/>
  <c r="Y3613" i="34"/>
  <c r="N3614" i="34"/>
  <c r="R3614" i="34"/>
  <c r="S3614" i="34"/>
  <c r="T3614" i="34"/>
  <c r="V3614" i="34"/>
  <c r="X3614" i="34"/>
  <c r="Y3614" i="34"/>
  <c r="N3615" i="34"/>
  <c r="R3615" i="34"/>
  <c r="S3615" i="34"/>
  <c r="T3615" i="34"/>
  <c r="V3615" i="34"/>
  <c r="X3615" i="34"/>
  <c r="Y3615" i="34"/>
  <c r="N3616" i="34"/>
  <c r="R3616" i="34"/>
  <c r="S3616" i="34"/>
  <c r="T3616" i="34"/>
  <c r="V3616" i="34"/>
  <c r="X3616" i="34"/>
  <c r="Y3616" i="34"/>
  <c r="N3617" i="34"/>
  <c r="R3617" i="34"/>
  <c r="S3617" i="34"/>
  <c r="T3617" i="34"/>
  <c r="V3617" i="34"/>
  <c r="X3617" i="34"/>
  <c r="Y3617" i="34"/>
  <c r="N3618" i="34"/>
  <c r="R3618" i="34"/>
  <c r="S3618" i="34"/>
  <c r="T3618" i="34"/>
  <c r="V3618" i="34"/>
  <c r="X3618" i="34"/>
  <c r="Y3618" i="34"/>
  <c r="N3619" i="34"/>
  <c r="R3619" i="34"/>
  <c r="S3619" i="34"/>
  <c r="T3619" i="34"/>
  <c r="V3619" i="34"/>
  <c r="X3619" i="34"/>
  <c r="Y3619" i="34"/>
  <c r="N3620" i="34"/>
  <c r="R3620" i="34"/>
  <c r="S3620" i="34"/>
  <c r="T3620" i="34"/>
  <c r="V3620" i="34"/>
  <c r="X3620" i="34"/>
  <c r="Y3620" i="34"/>
  <c r="N3621" i="34"/>
  <c r="R3621" i="34"/>
  <c r="S3621" i="34"/>
  <c r="T3621" i="34"/>
  <c r="V3621" i="34"/>
  <c r="X3621" i="34"/>
  <c r="Y3621" i="34"/>
  <c r="N3622" i="34"/>
  <c r="R3622" i="34"/>
  <c r="S3622" i="34"/>
  <c r="T3622" i="34"/>
  <c r="V3622" i="34"/>
  <c r="X3622" i="34"/>
  <c r="Y3622" i="34"/>
  <c r="N3623" i="34"/>
  <c r="R3623" i="34"/>
  <c r="S3623" i="34"/>
  <c r="T3623" i="34"/>
  <c r="V3623" i="34"/>
  <c r="X3623" i="34"/>
  <c r="Y3623" i="34"/>
  <c r="N3624" i="34"/>
  <c r="R3624" i="34"/>
  <c r="S3624" i="34"/>
  <c r="T3624" i="34"/>
  <c r="V3624" i="34"/>
  <c r="X3624" i="34"/>
  <c r="Y3624" i="34"/>
  <c r="N3625" i="34"/>
  <c r="R3625" i="34"/>
  <c r="S3625" i="34"/>
  <c r="T3625" i="34"/>
  <c r="V3625" i="34"/>
  <c r="X3625" i="34"/>
  <c r="Y3625" i="34"/>
  <c r="N3626" i="34"/>
  <c r="R3626" i="34"/>
  <c r="S3626" i="34"/>
  <c r="T3626" i="34"/>
  <c r="V3626" i="34"/>
  <c r="X3626" i="34"/>
  <c r="Y3626" i="34"/>
  <c r="N3627" i="34"/>
  <c r="R3627" i="34"/>
  <c r="S3627" i="34"/>
  <c r="T3627" i="34"/>
  <c r="V3627" i="34"/>
  <c r="X3627" i="34"/>
  <c r="Y3627" i="34"/>
  <c r="N3628" i="34"/>
  <c r="R3628" i="34"/>
  <c r="S3628" i="34"/>
  <c r="T3628" i="34"/>
  <c r="V3628" i="34"/>
  <c r="X3628" i="34"/>
  <c r="Y3628" i="34"/>
  <c r="N3629" i="34"/>
  <c r="R3629" i="34"/>
  <c r="S3629" i="34"/>
  <c r="T3629" i="34"/>
  <c r="V3629" i="34"/>
  <c r="X3629" i="34"/>
  <c r="Y3629" i="34"/>
  <c r="N3630" i="34"/>
  <c r="R3630" i="34"/>
  <c r="S3630" i="34"/>
  <c r="T3630" i="34"/>
  <c r="V3630" i="34"/>
  <c r="X3630" i="34"/>
  <c r="Y3630" i="34"/>
  <c r="N3631" i="34"/>
  <c r="R3631" i="34"/>
  <c r="S3631" i="34"/>
  <c r="T3631" i="34"/>
  <c r="V3631" i="34"/>
  <c r="X3631" i="34"/>
  <c r="Y3631" i="34"/>
  <c r="N3632" i="34"/>
  <c r="R3632" i="34"/>
  <c r="S3632" i="34"/>
  <c r="T3632" i="34"/>
  <c r="V3632" i="34"/>
  <c r="X3632" i="34"/>
  <c r="Y3632" i="34"/>
  <c r="N3633" i="34"/>
  <c r="R3633" i="34"/>
  <c r="S3633" i="34"/>
  <c r="T3633" i="34"/>
  <c r="V3633" i="34"/>
  <c r="X3633" i="34"/>
  <c r="Y3633" i="34"/>
  <c r="N3634" i="34"/>
  <c r="R3634" i="34"/>
  <c r="S3634" i="34"/>
  <c r="T3634" i="34"/>
  <c r="V3634" i="34"/>
  <c r="X3634" i="34"/>
  <c r="Y3634" i="34"/>
  <c r="N3635" i="34"/>
  <c r="R3635" i="34"/>
  <c r="S3635" i="34"/>
  <c r="T3635" i="34"/>
  <c r="V3635" i="34"/>
  <c r="X3635" i="34"/>
  <c r="Y3635" i="34"/>
  <c r="N3636" i="34"/>
  <c r="R3636" i="34"/>
  <c r="S3636" i="34"/>
  <c r="T3636" i="34"/>
  <c r="V3636" i="34"/>
  <c r="X3636" i="34"/>
  <c r="Y3636" i="34"/>
  <c r="N3637" i="34"/>
  <c r="R3637" i="34"/>
  <c r="S3637" i="34"/>
  <c r="T3637" i="34"/>
  <c r="V3637" i="34"/>
  <c r="X3637" i="34"/>
  <c r="Y3637" i="34"/>
  <c r="N3638" i="34"/>
  <c r="R3638" i="34"/>
  <c r="S3638" i="34"/>
  <c r="T3638" i="34"/>
  <c r="V3638" i="34"/>
  <c r="X3638" i="34"/>
  <c r="Y3638" i="34"/>
  <c r="N3639" i="34"/>
  <c r="R3639" i="34"/>
  <c r="S3639" i="34"/>
  <c r="T3639" i="34"/>
  <c r="V3639" i="34"/>
  <c r="X3639" i="34"/>
  <c r="Y3639" i="34"/>
  <c r="N3640" i="34"/>
  <c r="R3640" i="34"/>
  <c r="S3640" i="34"/>
  <c r="T3640" i="34"/>
  <c r="V3640" i="34"/>
  <c r="X3640" i="34"/>
  <c r="Y3640" i="34"/>
  <c r="N3641" i="34"/>
  <c r="R3641" i="34"/>
  <c r="S3641" i="34"/>
  <c r="T3641" i="34"/>
  <c r="V3641" i="34"/>
  <c r="X3641" i="34"/>
  <c r="Y3641" i="34"/>
  <c r="N3642" i="34"/>
  <c r="R3642" i="34"/>
  <c r="S3642" i="34"/>
  <c r="T3642" i="34"/>
  <c r="V3642" i="34"/>
  <c r="X3642" i="34"/>
  <c r="Y3642" i="34"/>
  <c r="N3643" i="34"/>
  <c r="R3643" i="34"/>
  <c r="S3643" i="34"/>
  <c r="T3643" i="34"/>
  <c r="V3643" i="34"/>
  <c r="X3643" i="34"/>
  <c r="Y3643" i="34"/>
  <c r="N3644" i="34"/>
  <c r="R3644" i="34"/>
  <c r="S3644" i="34"/>
  <c r="T3644" i="34"/>
  <c r="V3644" i="34"/>
  <c r="X3644" i="34"/>
  <c r="Y3644" i="34"/>
  <c r="N3645" i="34"/>
  <c r="R3645" i="34"/>
  <c r="S3645" i="34"/>
  <c r="T3645" i="34"/>
  <c r="V3645" i="34"/>
  <c r="X3645" i="34"/>
  <c r="Y3645" i="34"/>
  <c r="N3646" i="34"/>
  <c r="R3646" i="34"/>
  <c r="S3646" i="34"/>
  <c r="T3646" i="34"/>
  <c r="V3646" i="34"/>
  <c r="X3646" i="34"/>
  <c r="Y3646" i="34"/>
  <c r="N3647" i="34"/>
  <c r="R3647" i="34"/>
  <c r="S3647" i="34"/>
  <c r="T3647" i="34"/>
  <c r="V3647" i="34"/>
  <c r="X3647" i="34"/>
  <c r="Y3647" i="34"/>
  <c r="N3648" i="34"/>
  <c r="R3648" i="34"/>
  <c r="S3648" i="34"/>
  <c r="T3648" i="34"/>
  <c r="V3648" i="34"/>
  <c r="X3648" i="34"/>
  <c r="Y3648" i="34"/>
  <c r="N3649" i="34"/>
  <c r="R3649" i="34"/>
  <c r="S3649" i="34"/>
  <c r="T3649" i="34"/>
  <c r="V3649" i="34"/>
  <c r="X3649" i="34"/>
  <c r="Y3649" i="34"/>
  <c r="N3650" i="34"/>
  <c r="R3650" i="34"/>
  <c r="S3650" i="34"/>
  <c r="T3650" i="34"/>
  <c r="V3650" i="34"/>
  <c r="X3650" i="34"/>
  <c r="Y3650" i="34"/>
  <c r="N3651" i="34"/>
  <c r="R3651" i="34"/>
  <c r="S3651" i="34"/>
  <c r="T3651" i="34"/>
  <c r="V3651" i="34"/>
  <c r="X3651" i="34"/>
  <c r="Y3651" i="34"/>
  <c r="N3652" i="34"/>
  <c r="R3652" i="34"/>
  <c r="S3652" i="34"/>
  <c r="T3652" i="34"/>
  <c r="V3652" i="34"/>
  <c r="X3652" i="34"/>
  <c r="Y3652" i="34"/>
  <c r="N3653" i="34"/>
  <c r="R3653" i="34"/>
  <c r="S3653" i="34"/>
  <c r="T3653" i="34"/>
  <c r="V3653" i="34"/>
  <c r="X3653" i="34"/>
  <c r="Y3653" i="34"/>
  <c r="N3654" i="34"/>
  <c r="R3654" i="34"/>
  <c r="S3654" i="34"/>
  <c r="T3654" i="34"/>
  <c r="V3654" i="34"/>
  <c r="X3654" i="34"/>
  <c r="Y3654" i="34"/>
  <c r="N3655" i="34"/>
  <c r="R3655" i="34"/>
  <c r="S3655" i="34"/>
  <c r="T3655" i="34"/>
  <c r="V3655" i="34"/>
  <c r="X3655" i="34"/>
  <c r="Y3655" i="34"/>
  <c r="N3656" i="34"/>
  <c r="R3656" i="34"/>
  <c r="S3656" i="34"/>
  <c r="T3656" i="34"/>
  <c r="V3656" i="34"/>
  <c r="X3656" i="34"/>
  <c r="Y3656" i="34"/>
  <c r="N3657" i="34"/>
  <c r="R3657" i="34"/>
  <c r="S3657" i="34"/>
  <c r="T3657" i="34"/>
  <c r="V3657" i="34"/>
  <c r="X3657" i="34"/>
  <c r="Y3657" i="34"/>
  <c r="N3658" i="34"/>
  <c r="R3658" i="34"/>
  <c r="S3658" i="34"/>
  <c r="T3658" i="34"/>
  <c r="V3658" i="34"/>
  <c r="X3658" i="34"/>
  <c r="Y3658" i="34"/>
  <c r="N3659" i="34"/>
  <c r="R3659" i="34"/>
  <c r="S3659" i="34"/>
  <c r="T3659" i="34"/>
  <c r="V3659" i="34"/>
  <c r="X3659" i="34"/>
  <c r="Y3659" i="34"/>
  <c r="N3660" i="34"/>
  <c r="R3660" i="34"/>
  <c r="S3660" i="34"/>
  <c r="T3660" i="34"/>
  <c r="V3660" i="34"/>
  <c r="X3660" i="34"/>
  <c r="Y3660" i="34"/>
  <c r="N3661" i="34"/>
  <c r="R3661" i="34"/>
  <c r="S3661" i="34"/>
  <c r="T3661" i="34"/>
  <c r="V3661" i="34"/>
  <c r="X3661" i="34"/>
  <c r="Y3661" i="34"/>
  <c r="N3662" i="34"/>
  <c r="R3662" i="34"/>
  <c r="S3662" i="34"/>
  <c r="T3662" i="34"/>
  <c r="V3662" i="34"/>
  <c r="X3662" i="34"/>
  <c r="Y3662" i="34"/>
  <c r="N3663" i="34"/>
  <c r="R3663" i="34"/>
  <c r="S3663" i="34"/>
  <c r="T3663" i="34"/>
  <c r="V3663" i="34"/>
  <c r="X3663" i="34"/>
  <c r="Y3663" i="34"/>
  <c r="N3664" i="34"/>
  <c r="R3664" i="34"/>
  <c r="S3664" i="34"/>
  <c r="T3664" i="34"/>
  <c r="V3664" i="34"/>
  <c r="X3664" i="34"/>
  <c r="Y3664" i="34"/>
  <c r="N3665" i="34"/>
  <c r="R3665" i="34"/>
  <c r="S3665" i="34"/>
  <c r="T3665" i="34"/>
  <c r="V3665" i="34"/>
  <c r="X3665" i="34"/>
  <c r="Y3665" i="34"/>
  <c r="N3666" i="34"/>
  <c r="R3666" i="34"/>
  <c r="S3666" i="34"/>
  <c r="T3666" i="34"/>
  <c r="V3666" i="34"/>
  <c r="X3666" i="34"/>
  <c r="Y3666" i="34"/>
  <c r="N3667" i="34"/>
  <c r="R3667" i="34"/>
  <c r="S3667" i="34"/>
  <c r="T3667" i="34"/>
  <c r="V3667" i="34"/>
  <c r="X3667" i="34"/>
  <c r="Y3667" i="34"/>
  <c r="N3668" i="34"/>
  <c r="R3668" i="34"/>
  <c r="S3668" i="34"/>
  <c r="T3668" i="34"/>
  <c r="V3668" i="34"/>
  <c r="X3668" i="34"/>
  <c r="Y3668" i="34"/>
  <c r="N3669" i="34"/>
  <c r="R3669" i="34"/>
  <c r="S3669" i="34"/>
  <c r="T3669" i="34"/>
  <c r="V3669" i="34"/>
  <c r="X3669" i="34"/>
  <c r="Y3669" i="34"/>
  <c r="N3670" i="34"/>
  <c r="R3670" i="34"/>
  <c r="S3670" i="34"/>
  <c r="T3670" i="34"/>
  <c r="V3670" i="34"/>
  <c r="X3670" i="34"/>
  <c r="Y3670" i="34"/>
  <c r="N3671" i="34"/>
  <c r="R3671" i="34"/>
  <c r="S3671" i="34"/>
  <c r="T3671" i="34"/>
  <c r="V3671" i="34"/>
  <c r="X3671" i="34"/>
  <c r="Y3671" i="34"/>
  <c r="N3672" i="34"/>
  <c r="R3672" i="34"/>
  <c r="S3672" i="34"/>
  <c r="T3672" i="34"/>
  <c r="V3672" i="34"/>
  <c r="X3672" i="34"/>
  <c r="Y3672" i="34"/>
  <c r="N3673" i="34"/>
  <c r="R3673" i="34"/>
  <c r="S3673" i="34"/>
  <c r="T3673" i="34"/>
  <c r="V3673" i="34"/>
  <c r="X3673" i="34"/>
  <c r="Y3673" i="34"/>
  <c r="N3674" i="34"/>
  <c r="R3674" i="34"/>
  <c r="S3674" i="34"/>
  <c r="T3674" i="34"/>
  <c r="V3674" i="34"/>
  <c r="X3674" i="34"/>
  <c r="Y3674" i="34"/>
  <c r="N3675" i="34"/>
  <c r="R3675" i="34"/>
  <c r="S3675" i="34"/>
  <c r="T3675" i="34"/>
  <c r="V3675" i="34"/>
  <c r="X3675" i="34"/>
  <c r="Y3675" i="34"/>
  <c r="N3676" i="34"/>
  <c r="R3676" i="34"/>
  <c r="S3676" i="34"/>
  <c r="T3676" i="34"/>
  <c r="V3676" i="34"/>
  <c r="X3676" i="34"/>
  <c r="Y3676" i="34"/>
  <c r="N3677" i="34"/>
  <c r="R3677" i="34"/>
  <c r="S3677" i="34"/>
  <c r="T3677" i="34"/>
  <c r="V3677" i="34"/>
  <c r="X3677" i="34"/>
  <c r="Y3677" i="34"/>
  <c r="N3678" i="34"/>
  <c r="R3678" i="34"/>
  <c r="S3678" i="34"/>
  <c r="T3678" i="34"/>
  <c r="V3678" i="34"/>
  <c r="X3678" i="34"/>
  <c r="Y3678" i="34"/>
  <c r="N3679" i="34"/>
  <c r="R3679" i="34"/>
  <c r="S3679" i="34"/>
  <c r="T3679" i="34"/>
  <c r="V3679" i="34"/>
  <c r="X3679" i="34"/>
  <c r="Y3679" i="34"/>
  <c r="N3680" i="34"/>
  <c r="R3680" i="34"/>
  <c r="S3680" i="34"/>
  <c r="T3680" i="34"/>
  <c r="V3680" i="34"/>
  <c r="X3680" i="34"/>
  <c r="Y3680" i="34"/>
  <c r="N3681" i="34"/>
  <c r="R3681" i="34"/>
  <c r="S3681" i="34"/>
  <c r="T3681" i="34"/>
  <c r="V3681" i="34"/>
  <c r="X3681" i="34"/>
  <c r="Y3681" i="34"/>
  <c r="N3682" i="34"/>
  <c r="R3682" i="34"/>
  <c r="S3682" i="34"/>
  <c r="T3682" i="34"/>
  <c r="V3682" i="34"/>
  <c r="X3682" i="34"/>
  <c r="Y3682" i="34"/>
  <c r="N3683" i="34"/>
  <c r="R3683" i="34"/>
  <c r="S3683" i="34"/>
  <c r="T3683" i="34"/>
  <c r="V3683" i="34"/>
  <c r="X3683" i="34"/>
  <c r="Y3683" i="34"/>
  <c r="N3684" i="34"/>
  <c r="R3684" i="34"/>
  <c r="S3684" i="34"/>
  <c r="T3684" i="34"/>
  <c r="V3684" i="34"/>
  <c r="X3684" i="34"/>
  <c r="Y3684" i="34"/>
  <c r="N3685" i="34"/>
  <c r="R3685" i="34"/>
  <c r="S3685" i="34"/>
  <c r="T3685" i="34"/>
  <c r="V3685" i="34"/>
  <c r="X3685" i="34"/>
  <c r="Y3685" i="34"/>
  <c r="N3686" i="34"/>
  <c r="R3686" i="34"/>
  <c r="S3686" i="34"/>
  <c r="T3686" i="34"/>
  <c r="V3686" i="34"/>
  <c r="X3686" i="34"/>
  <c r="Y3686" i="34"/>
  <c r="N3687" i="34"/>
  <c r="R3687" i="34"/>
  <c r="S3687" i="34"/>
  <c r="T3687" i="34"/>
  <c r="V3687" i="34"/>
  <c r="X3687" i="34"/>
  <c r="Y3687" i="34"/>
  <c r="N3688" i="34"/>
  <c r="R3688" i="34"/>
  <c r="S3688" i="34"/>
  <c r="T3688" i="34"/>
  <c r="V3688" i="34"/>
  <c r="X3688" i="34"/>
  <c r="Y3688" i="34"/>
  <c r="N3689" i="34"/>
  <c r="R3689" i="34"/>
  <c r="S3689" i="34"/>
  <c r="T3689" i="34"/>
  <c r="V3689" i="34"/>
  <c r="X3689" i="34"/>
  <c r="Y3689" i="34"/>
  <c r="N3690" i="34"/>
  <c r="R3690" i="34"/>
  <c r="S3690" i="34"/>
  <c r="T3690" i="34"/>
  <c r="V3690" i="34"/>
  <c r="X3690" i="34"/>
  <c r="Y3690" i="34"/>
  <c r="N3691" i="34"/>
  <c r="R3691" i="34"/>
  <c r="S3691" i="34"/>
  <c r="T3691" i="34"/>
  <c r="V3691" i="34"/>
  <c r="X3691" i="34"/>
  <c r="Y3691" i="34"/>
  <c r="N3692" i="34"/>
  <c r="R3692" i="34"/>
  <c r="S3692" i="34"/>
  <c r="T3692" i="34"/>
  <c r="V3692" i="34"/>
  <c r="X3692" i="34"/>
  <c r="Y3692" i="34"/>
  <c r="N3693" i="34"/>
  <c r="R3693" i="34"/>
  <c r="S3693" i="34"/>
  <c r="T3693" i="34"/>
  <c r="V3693" i="34"/>
  <c r="X3693" i="34"/>
  <c r="Y3693" i="34"/>
  <c r="N3694" i="34"/>
  <c r="R3694" i="34"/>
  <c r="S3694" i="34"/>
  <c r="T3694" i="34"/>
  <c r="V3694" i="34"/>
  <c r="X3694" i="34"/>
  <c r="Y3694" i="34"/>
  <c r="N3695" i="34"/>
  <c r="R3695" i="34"/>
  <c r="S3695" i="34"/>
  <c r="T3695" i="34"/>
  <c r="V3695" i="34"/>
  <c r="X3695" i="34"/>
  <c r="Y3695" i="34"/>
  <c r="N3696" i="34"/>
  <c r="R3696" i="34"/>
  <c r="S3696" i="34"/>
  <c r="T3696" i="34"/>
  <c r="V3696" i="34"/>
  <c r="X3696" i="34"/>
  <c r="Y3696" i="34"/>
  <c r="N3697" i="34"/>
  <c r="R3697" i="34"/>
  <c r="S3697" i="34"/>
  <c r="T3697" i="34"/>
  <c r="V3697" i="34"/>
  <c r="X3697" i="34"/>
  <c r="Y3697" i="34"/>
  <c r="N3698" i="34"/>
  <c r="R3698" i="34"/>
  <c r="S3698" i="34"/>
  <c r="T3698" i="34"/>
  <c r="V3698" i="34"/>
  <c r="X3698" i="34"/>
  <c r="Y3698" i="34"/>
  <c r="N3699" i="34"/>
  <c r="R3699" i="34"/>
  <c r="S3699" i="34"/>
  <c r="T3699" i="34"/>
  <c r="V3699" i="34"/>
  <c r="X3699" i="34"/>
  <c r="Y3699" i="34"/>
  <c r="N3700" i="34"/>
  <c r="R3700" i="34"/>
  <c r="S3700" i="34"/>
  <c r="T3700" i="34"/>
  <c r="V3700" i="34"/>
  <c r="X3700" i="34"/>
  <c r="Y3700" i="34"/>
  <c r="N3701" i="34"/>
  <c r="R3701" i="34"/>
  <c r="S3701" i="34"/>
  <c r="T3701" i="34"/>
  <c r="V3701" i="34"/>
  <c r="X3701" i="34"/>
  <c r="Y3701" i="34"/>
  <c r="N3702" i="34"/>
  <c r="R3702" i="34"/>
  <c r="S3702" i="34"/>
  <c r="T3702" i="34"/>
  <c r="V3702" i="34"/>
  <c r="X3702" i="34"/>
  <c r="Y3702" i="34"/>
  <c r="N3703" i="34"/>
  <c r="R3703" i="34"/>
  <c r="S3703" i="34"/>
  <c r="T3703" i="34"/>
  <c r="V3703" i="34"/>
  <c r="X3703" i="34"/>
  <c r="Y3703" i="34"/>
  <c r="N3704" i="34"/>
  <c r="R3704" i="34"/>
  <c r="S3704" i="34"/>
  <c r="T3704" i="34"/>
  <c r="V3704" i="34"/>
  <c r="X3704" i="34"/>
  <c r="Y3704" i="34"/>
  <c r="N3705" i="34"/>
  <c r="R3705" i="34"/>
  <c r="S3705" i="34"/>
  <c r="T3705" i="34"/>
  <c r="V3705" i="34"/>
  <c r="X3705" i="34"/>
  <c r="Y3705" i="34"/>
  <c r="N3706" i="34"/>
  <c r="R3706" i="34"/>
  <c r="S3706" i="34"/>
  <c r="T3706" i="34"/>
  <c r="V3706" i="34"/>
  <c r="X3706" i="34"/>
  <c r="Y3706" i="34"/>
  <c r="N3707" i="34"/>
  <c r="R3707" i="34"/>
  <c r="S3707" i="34"/>
  <c r="T3707" i="34"/>
  <c r="V3707" i="34"/>
  <c r="X3707" i="34"/>
  <c r="Y3707" i="34"/>
  <c r="N3708" i="34"/>
  <c r="R3708" i="34"/>
  <c r="S3708" i="34"/>
  <c r="T3708" i="34"/>
  <c r="V3708" i="34"/>
  <c r="X3708" i="34"/>
  <c r="Y3708" i="34"/>
  <c r="N3709" i="34"/>
  <c r="R3709" i="34"/>
  <c r="S3709" i="34"/>
  <c r="T3709" i="34"/>
  <c r="V3709" i="34"/>
  <c r="X3709" i="34"/>
  <c r="Y3709" i="34"/>
  <c r="N3710" i="34"/>
  <c r="R3710" i="34"/>
  <c r="S3710" i="34"/>
  <c r="T3710" i="34"/>
  <c r="V3710" i="34"/>
  <c r="X3710" i="34"/>
  <c r="Y3710" i="34"/>
  <c r="N3711" i="34"/>
  <c r="R3711" i="34"/>
  <c r="S3711" i="34"/>
  <c r="T3711" i="34"/>
  <c r="V3711" i="34"/>
  <c r="X3711" i="34"/>
  <c r="Y3711" i="34"/>
  <c r="N3712" i="34"/>
  <c r="R3712" i="34"/>
  <c r="S3712" i="34"/>
  <c r="T3712" i="34"/>
  <c r="V3712" i="34"/>
  <c r="X3712" i="34"/>
  <c r="Y3712" i="34"/>
  <c r="N3713" i="34"/>
  <c r="R3713" i="34"/>
  <c r="S3713" i="34"/>
  <c r="T3713" i="34"/>
  <c r="V3713" i="34"/>
  <c r="X3713" i="34"/>
  <c r="Y3713" i="34"/>
  <c r="N3714" i="34"/>
  <c r="R3714" i="34"/>
  <c r="S3714" i="34"/>
  <c r="T3714" i="34"/>
  <c r="V3714" i="34"/>
  <c r="X3714" i="34"/>
  <c r="Y3714" i="34"/>
  <c r="N3715" i="34"/>
  <c r="R3715" i="34"/>
  <c r="S3715" i="34"/>
  <c r="T3715" i="34"/>
  <c r="V3715" i="34"/>
  <c r="X3715" i="34"/>
  <c r="Y3715" i="34"/>
  <c r="N3716" i="34"/>
  <c r="R3716" i="34"/>
  <c r="S3716" i="34"/>
  <c r="T3716" i="34"/>
  <c r="V3716" i="34"/>
  <c r="X3716" i="34"/>
  <c r="Y3716" i="34"/>
  <c r="N3717" i="34"/>
  <c r="R3717" i="34"/>
  <c r="S3717" i="34"/>
  <c r="T3717" i="34"/>
  <c r="V3717" i="34"/>
  <c r="X3717" i="34"/>
  <c r="Y3717" i="34"/>
  <c r="N3718" i="34"/>
  <c r="R3718" i="34"/>
  <c r="S3718" i="34"/>
  <c r="T3718" i="34"/>
  <c r="V3718" i="34"/>
  <c r="X3718" i="34"/>
  <c r="Y3718" i="34"/>
  <c r="N3719" i="34"/>
  <c r="R3719" i="34"/>
  <c r="S3719" i="34"/>
  <c r="T3719" i="34"/>
  <c r="V3719" i="34"/>
  <c r="X3719" i="34"/>
  <c r="Y3719" i="34"/>
  <c r="N3720" i="34"/>
  <c r="R3720" i="34"/>
  <c r="S3720" i="34"/>
  <c r="T3720" i="34"/>
  <c r="V3720" i="34"/>
  <c r="X3720" i="34"/>
  <c r="Y3720" i="34"/>
  <c r="N3721" i="34"/>
  <c r="R3721" i="34"/>
  <c r="S3721" i="34"/>
  <c r="T3721" i="34"/>
  <c r="V3721" i="34"/>
  <c r="X3721" i="34"/>
  <c r="Y3721" i="34"/>
  <c r="N3722" i="34"/>
  <c r="R3722" i="34"/>
  <c r="S3722" i="34"/>
  <c r="T3722" i="34"/>
  <c r="V3722" i="34"/>
  <c r="X3722" i="34"/>
  <c r="Y3722" i="34"/>
  <c r="N3723" i="34"/>
  <c r="R3723" i="34"/>
  <c r="S3723" i="34"/>
  <c r="T3723" i="34"/>
  <c r="V3723" i="34"/>
  <c r="X3723" i="34"/>
  <c r="Y3723" i="34"/>
  <c r="N3724" i="34"/>
  <c r="R3724" i="34"/>
  <c r="S3724" i="34"/>
  <c r="T3724" i="34"/>
  <c r="V3724" i="34"/>
  <c r="X3724" i="34"/>
  <c r="Y3724" i="34"/>
  <c r="N3725" i="34"/>
  <c r="R3725" i="34"/>
  <c r="S3725" i="34"/>
  <c r="T3725" i="34"/>
  <c r="V3725" i="34"/>
  <c r="X3725" i="34"/>
  <c r="Y3725" i="34"/>
  <c r="N3726" i="34"/>
  <c r="R3726" i="34"/>
  <c r="S3726" i="34"/>
  <c r="T3726" i="34"/>
  <c r="V3726" i="34"/>
  <c r="X3726" i="34"/>
  <c r="Y3726" i="34"/>
  <c r="N3727" i="34"/>
  <c r="R3727" i="34"/>
  <c r="S3727" i="34"/>
  <c r="T3727" i="34"/>
  <c r="V3727" i="34"/>
  <c r="X3727" i="34"/>
  <c r="Y3727" i="34"/>
  <c r="N3728" i="34"/>
  <c r="R3728" i="34"/>
  <c r="S3728" i="34"/>
  <c r="T3728" i="34"/>
  <c r="V3728" i="34"/>
  <c r="X3728" i="34"/>
  <c r="Y3728" i="34"/>
  <c r="N3729" i="34"/>
  <c r="R3729" i="34"/>
  <c r="S3729" i="34"/>
  <c r="T3729" i="34"/>
  <c r="V3729" i="34"/>
  <c r="X3729" i="34"/>
  <c r="Y3729" i="34"/>
  <c r="N3730" i="34"/>
  <c r="R3730" i="34"/>
  <c r="S3730" i="34"/>
  <c r="T3730" i="34"/>
  <c r="V3730" i="34"/>
  <c r="X3730" i="34"/>
  <c r="Y3730" i="34"/>
  <c r="N3731" i="34"/>
  <c r="R3731" i="34"/>
  <c r="S3731" i="34"/>
  <c r="T3731" i="34"/>
  <c r="V3731" i="34"/>
  <c r="X3731" i="34"/>
  <c r="Y3731" i="34"/>
  <c r="N3732" i="34"/>
  <c r="R3732" i="34"/>
  <c r="S3732" i="34"/>
  <c r="T3732" i="34"/>
  <c r="V3732" i="34"/>
  <c r="X3732" i="34"/>
  <c r="Y3732" i="34"/>
  <c r="N3733" i="34"/>
  <c r="R3733" i="34"/>
  <c r="S3733" i="34"/>
  <c r="T3733" i="34"/>
  <c r="V3733" i="34"/>
  <c r="X3733" i="34"/>
  <c r="Y3733" i="34"/>
  <c r="N3734" i="34"/>
  <c r="R3734" i="34"/>
  <c r="S3734" i="34"/>
  <c r="T3734" i="34"/>
  <c r="V3734" i="34"/>
  <c r="X3734" i="34"/>
  <c r="Y3734" i="34"/>
  <c r="N3735" i="34"/>
  <c r="R3735" i="34"/>
  <c r="S3735" i="34"/>
  <c r="T3735" i="34"/>
  <c r="V3735" i="34"/>
  <c r="X3735" i="34"/>
  <c r="Y3735" i="34"/>
  <c r="N3736" i="34"/>
  <c r="R3736" i="34"/>
  <c r="S3736" i="34"/>
  <c r="T3736" i="34"/>
  <c r="V3736" i="34"/>
  <c r="X3736" i="34"/>
  <c r="Y3736" i="34"/>
  <c r="N3737" i="34"/>
  <c r="R3737" i="34"/>
  <c r="S3737" i="34"/>
  <c r="T3737" i="34"/>
  <c r="V3737" i="34"/>
  <c r="X3737" i="34"/>
  <c r="Y3737" i="34"/>
  <c r="N3738" i="34"/>
  <c r="R3738" i="34"/>
  <c r="S3738" i="34"/>
  <c r="T3738" i="34"/>
  <c r="V3738" i="34"/>
  <c r="X3738" i="34"/>
  <c r="Y3738" i="34"/>
  <c r="N3739" i="34"/>
  <c r="R3739" i="34"/>
  <c r="S3739" i="34"/>
  <c r="T3739" i="34"/>
  <c r="V3739" i="34"/>
  <c r="X3739" i="34"/>
  <c r="Y3739" i="34"/>
  <c r="N3740" i="34"/>
  <c r="R3740" i="34"/>
  <c r="S3740" i="34"/>
  <c r="T3740" i="34"/>
  <c r="V3740" i="34"/>
  <c r="X3740" i="34"/>
  <c r="Y3740" i="34"/>
  <c r="N3741" i="34"/>
  <c r="R3741" i="34"/>
  <c r="S3741" i="34"/>
  <c r="T3741" i="34"/>
  <c r="V3741" i="34"/>
  <c r="X3741" i="34"/>
  <c r="Y3741" i="34"/>
  <c r="N3742" i="34"/>
  <c r="R3742" i="34"/>
  <c r="S3742" i="34"/>
  <c r="T3742" i="34"/>
  <c r="V3742" i="34"/>
  <c r="X3742" i="34"/>
  <c r="Y3742" i="34"/>
  <c r="N3743" i="34"/>
  <c r="R3743" i="34"/>
  <c r="S3743" i="34"/>
  <c r="T3743" i="34"/>
  <c r="V3743" i="34"/>
  <c r="X3743" i="34"/>
  <c r="Y3743" i="34"/>
  <c r="N3744" i="34"/>
  <c r="R3744" i="34"/>
  <c r="S3744" i="34"/>
  <c r="T3744" i="34"/>
  <c r="V3744" i="34"/>
  <c r="X3744" i="34"/>
  <c r="Y3744" i="34"/>
  <c r="N3745" i="34"/>
  <c r="R3745" i="34"/>
  <c r="S3745" i="34"/>
  <c r="T3745" i="34"/>
  <c r="V3745" i="34"/>
  <c r="X3745" i="34"/>
  <c r="Y3745" i="34"/>
  <c r="N3746" i="34"/>
  <c r="R3746" i="34"/>
  <c r="S3746" i="34"/>
  <c r="T3746" i="34"/>
  <c r="V3746" i="34"/>
  <c r="X3746" i="34"/>
  <c r="Y3746" i="34"/>
  <c r="N3747" i="34"/>
  <c r="R3747" i="34"/>
  <c r="S3747" i="34"/>
  <c r="T3747" i="34"/>
  <c r="V3747" i="34"/>
  <c r="X3747" i="34"/>
  <c r="Y3747" i="34"/>
  <c r="N3748" i="34"/>
  <c r="R3748" i="34"/>
  <c r="S3748" i="34"/>
  <c r="T3748" i="34"/>
  <c r="V3748" i="34"/>
  <c r="X3748" i="34"/>
  <c r="Y3748" i="34"/>
  <c r="N3749" i="34"/>
  <c r="R3749" i="34"/>
  <c r="S3749" i="34"/>
  <c r="T3749" i="34"/>
  <c r="V3749" i="34"/>
  <c r="X3749" i="34"/>
  <c r="Y3749" i="34"/>
  <c r="N3750" i="34"/>
  <c r="R3750" i="34"/>
  <c r="S3750" i="34"/>
  <c r="T3750" i="34"/>
  <c r="V3750" i="34"/>
  <c r="X3750" i="34"/>
  <c r="Y3750" i="34"/>
  <c r="N3751" i="34"/>
  <c r="R3751" i="34"/>
  <c r="S3751" i="34"/>
  <c r="T3751" i="34"/>
  <c r="V3751" i="34"/>
  <c r="X3751" i="34"/>
  <c r="Y3751" i="34"/>
  <c r="N3752" i="34"/>
  <c r="R3752" i="34"/>
  <c r="S3752" i="34"/>
  <c r="T3752" i="34"/>
  <c r="V3752" i="34"/>
  <c r="X3752" i="34"/>
  <c r="Y3752" i="34"/>
  <c r="N3753" i="34"/>
  <c r="R3753" i="34"/>
  <c r="S3753" i="34"/>
  <c r="T3753" i="34"/>
  <c r="V3753" i="34"/>
  <c r="X3753" i="34"/>
  <c r="Y3753" i="34"/>
  <c r="N3754" i="34"/>
  <c r="R3754" i="34"/>
  <c r="S3754" i="34"/>
  <c r="T3754" i="34"/>
  <c r="V3754" i="34"/>
  <c r="X3754" i="34"/>
  <c r="Y3754" i="34"/>
  <c r="N3755" i="34"/>
  <c r="R3755" i="34"/>
  <c r="S3755" i="34"/>
  <c r="T3755" i="34"/>
  <c r="V3755" i="34"/>
  <c r="X3755" i="34"/>
  <c r="Y3755" i="34"/>
  <c r="N3756" i="34"/>
  <c r="R3756" i="34"/>
  <c r="S3756" i="34"/>
  <c r="T3756" i="34"/>
  <c r="V3756" i="34"/>
  <c r="X3756" i="34"/>
  <c r="Y3756" i="34"/>
  <c r="N3757" i="34"/>
  <c r="R3757" i="34"/>
  <c r="S3757" i="34"/>
  <c r="T3757" i="34"/>
  <c r="V3757" i="34"/>
  <c r="X3757" i="34"/>
  <c r="Y3757" i="34"/>
  <c r="N3758" i="34"/>
  <c r="R3758" i="34"/>
  <c r="S3758" i="34"/>
  <c r="T3758" i="34"/>
  <c r="V3758" i="34"/>
  <c r="X3758" i="34"/>
  <c r="Y3758" i="34"/>
  <c r="N3759" i="34"/>
  <c r="R3759" i="34"/>
  <c r="S3759" i="34"/>
  <c r="T3759" i="34"/>
  <c r="V3759" i="34"/>
  <c r="X3759" i="34"/>
  <c r="Y3759" i="34"/>
  <c r="N3760" i="34"/>
  <c r="R3760" i="34"/>
  <c r="S3760" i="34"/>
  <c r="T3760" i="34"/>
  <c r="V3760" i="34"/>
  <c r="X3760" i="34"/>
  <c r="Y3760" i="34"/>
  <c r="N3761" i="34"/>
  <c r="R3761" i="34"/>
  <c r="S3761" i="34"/>
  <c r="T3761" i="34"/>
  <c r="V3761" i="34"/>
  <c r="X3761" i="34"/>
  <c r="Y3761" i="34"/>
  <c r="N3762" i="34"/>
  <c r="R3762" i="34"/>
  <c r="S3762" i="34"/>
  <c r="T3762" i="34"/>
  <c r="V3762" i="34"/>
  <c r="X3762" i="34"/>
  <c r="Y3762" i="34"/>
  <c r="N3763" i="34"/>
  <c r="R3763" i="34"/>
  <c r="S3763" i="34"/>
  <c r="T3763" i="34"/>
  <c r="V3763" i="34"/>
  <c r="X3763" i="34"/>
  <c r="Y3763" i="34"/>
  <c r="N3764" i="34"/>
  <c r="R3764" i="34"/>
  <c r="S3764" i="34"/>
  <c r="T3764" i="34"/>
  <c r="V3764" i="34"/>
  <c r="X3764" i="34"/>
  <c r="Y3764" i="34"/>
  <c r="N3765" i="34"/>
  <c r="R3765" i="34"/>
  <c r="S3765" i="34"/>
  <c r="T3765" i="34"/>
  <c r="V3765" i="34"/>
  <c r="X3765" i="34"/>
  <c r="Y3765" i="34"/>
  <c r="N3766" i="34"/>
  <c r="R3766" i="34"/>
  <c r="S3766" i="34"/>
  <c r="T3766" i="34"/>
  <c r="V3766" i="34"/>
  <c r="X3766" i="34"/>
  <c r="Y3766" i="34"/>
  <c r="N3767" i="34"/>
  <c r="R3767" i="34"/>
  <c r="S3767" i="34"/>
  <c r="T3767" i="34"/>
  <c r="V3767" i="34"/>
  <c r="X3767" i="34"/>
  <c r="Y3767" i="34"/>
  <c r="N3768" i="34"/>
  <c r="R3768" i="34"/>
  <c r="S3768" i="34"/>
  <c r="T3768" i="34"/>
  <c r="V3768" i="34"/>
  <c r="X3768" i="34"/>
  <c r="Y3768" i="34"/>
  <c r="N3769" i="34"/>
  <c r="R3769" i="34"/>
  <c r="S3769" i="34"/>
  <c r="T3769" i="34"/>
  <c r="V3769" i="34"/>
  <c r="X3769" i="34"/>
  <c r="Y3769" i="34"/>
  <c r="N3770" i="34"/>
  <c r="R3770" i="34"/>
  <c r="S3770" i="34"/>
  <c r="T3770" i="34"/>
  <c r="V3770" i="34"/>
  <c r="X3770" i="34"/>
  <c r="Y3770" i="34"/>
  <c r="N3771" i="34"/>
  <c r="R3771" i="34"/>
  <c r="S3771" i="34"/>
  <c r="T3771" i="34"/>
  <c r="V3771" i="34"/>
  <c r="X3771" i="34"/>
  <c r="Y3771" i="34"/>
  <c r="N3772" i="34"/>
  <c r="R3772" i="34"/>
  <c r="S3772" i="34"/>
  <c r="T3772" i="34"/>
  <c r="V3772" i="34"/>
  <c r="X3772" i="34"/>
  <c r="Y3772" i="34"/>
  <c r="N3773" i="34"/>
  <c r="R3773" i="34"/>
  <c r="S3773" i="34"/>
  <c r="T3773" i="34"/>
  <c r="V3773" i="34"/>
  <c r="X3773" i="34"/>
  <c r="Y3773" i="34"/>
  <c r="N3774" i="34"/>
  <c r="R3774" i="34"/>
  <c r="S3774" i="34"/>
  <c r="T3774" i="34"/>
  <c r="V3774" i="34"/>
  <c r="X3774" i="34"/>
  <c r="Y3774" i="34"/>
  <c r="N3775" i="34"/>
  <c r="R3775" i="34"/>
  <c r="S3775" i="34"/>
  <c r="T3775" i="34"/>
  <c r="V3775" i="34"/>
  <c r="X3775" i="34"/>
  <c r="Y3775" i="34"/>
  <c r="N3776" i="34"/>
  <c r="R3776" i="34"/>
  <c r="S3776" i="34"/>
  <c r="T3776" i="34"/>
  <c r="V3776" i="34"/>
  <c r="X3776" i="34"/>
  <c r="Y3776" i="34"/>
  <c r="N3777" i="34"/>
  <c r="R3777" i="34"/>
  <c r="S3777" i="34"/>
  <c r="T3777" i="34"/>
  <c r="V3777" i="34"/>
  <c r="X3777" i="34"/>
  <c r="Y3777" i="34"/>
  <c r="N3778" i="34"/>
  <c r="R3778" i="34"/>
  <c r="S3778" i="34"/>
  <c r="T3778" i="34"/>
  <c r="V3778" i="34"/>
  <c r="X3778" i="34"/>
  <c r="Y3778" i="34"/>
  <c r="N3779" i="34"/>
  <c r="R3779" i="34"/>
  <c r="S3779" i="34"/>
  <c r="T3779" i="34"/>
  <c r="V3779" i="34"/>
  <c r="X3779" i="34"/>
  <c r="Y3779" i="34"/>
  <c r="N3780" i="34"/>
  <c r="R3780" i="34"/>
  <c r="S3780" i="34"/>
  <c r="T3780" i="34"/>
  <c r="V3780" i="34"/>
  <c r="X3780" i="34"/>
  <c r="Y3780" i="34"/>
  <c r="N3781" i="34"/>
  <c r="R3781" i="34"/>
  <c r="S3781" i="34"/>
  <c r="T3781" i="34"/>
  <c r="V3781" i="34"/>
  <c r="X3781" i="34"/>
  <c r="Y3781" i="34"/>
  <c r="N3782" i="34"/>
  <c r="R3782" i="34"/>
  <c r="S3782" i="34"/>
  <c r="T3782" i="34"/>
  <c r="V3782" i="34"/>
  <c r="X3782" i="34"/>
  <c r="Y3782" i="34"/>
  <c r="N3783" i="34"/>
  <c r="R3783" i="34"/>
  <c r="S3783" i="34"/>
  <c r="T3783" i="34"/>
  <c r="V3783" i="34"/>
  <c r="X3783" i="34"/>
  <c r="Y3783" i="34"/>
  <c r="N3784" i="34"/>
  <c r="R3784" i="34"/>
  <c r="S3784" i="34"/>
  <c r="T3784" i="34"/>
  <c r="V3784" i="34"/>
  <c r="X3784" i="34"/>
  <c r="Y3784" i="34"/>
  <c r="N3785" i="34"/>
  <c r="R3785" i="34"/>
  <c r="S3785" i="34"/>
  <c r="T3785" i="34"/>
  <c r="V3785" i="34"/>
  <c r="X3785" i="34"/>
  <c r="Y3785" i="34"/>
  <c r="N3786" i="34"/>
  <c r="R3786" i="34"/>
  <c r="S3786" i="34"/>
  <c r="T3786" i="34"/>
  <c r="V3786" i="34"/>
  <c r="X3786" i="34"/>
  <c r="Y3786" i="34"/>
  <c r="N3787" i="34"/>
  <c r="R3787" i="34"/>
  <c r="S3787" i="34"/>
  <c r="T3787" i="34"/>
  <c r="V3787" i="34"/>
  <c r="X3787" i="34"/>
  <c r="Y3787" i="34"/>
  <c r="N3788" i="34"/>
  <c r="R3788" i="34"/>
  <c r="S3788" i="34"/>
  <c r="T3788" i="34"/>
  <c r="V3788" i="34"/>
  <c r="X3788" i="34"/>
  <c r="Y3788" i="34"/>
  <c r="N3789" i="34"/>
  <c r="R3789" i="34"/>
  <c r="S3789" i="34"/>
  <c r="T3789" i="34"/>
  <c r="V3789" i="34"/>
  <c r="X3789" i="34"/>
  <c r="Y3789" i="34"/>
  <c r="N3790" i="34"/>
  <c r="R3790" i="34"/>
  <c r="S3790" i="34"/>
  <c r="T3790" i="34"/>
  <c r="V3790" i="34"/>
  <c r="X3790" i="34"/>
  <c r="Y3790" i="34"/>
  <c r="N3791" i="34"/>
  <c r="R3791" i="34"/>
  <c r="S3791" i="34"/>
  <c r="T3791" i="34"/>
  <c r="V3791" i="34"/>
  <c r="X3791" i="34"/>
  <c r="Y3791" i="34"/>
  <c r="N3792" i="34"/>
  <c r="R3792" i="34"/>
  <c r="S3792" i="34"/>
  <c r="T3792" i="34"/>
  <c r="V3792" i="34"/>
  <c r="X3792" i="34"/>
  <c r="Y3792" i="34"/>
  <c r="N3793" i="34"/>
  <c r="R3793" i="34"/>
  <c r="S3793" i="34"/>
  <c r="T3793" i="34"/>
  <c r="V3793" i="34"/>
  <c r="X3793" i="34"/>
  <c r="Y3793" i="34"/>
  <c r="N3794" i="34"/>
  <c r="R3794" i="34"/>
  <c r="S3794" i="34"/>
  <c r="T3794" i="34"/>
  <c r="V3794" i="34"/>
  <c r="X3794" i="34"/>
  <c r="Y3794" i="34"/>
  <c r="N3795" i="34"/>
  <c r="R3795" i="34"/>
  <c r="S3795" i="34"/>
  <c r="T3795" i="34"/>
  <c r="V3795" i="34"/>
  <c r="X3795" i="34"/>
  <c r="Y3795" i="34"/>
  <c r="N3796" i="34"/>
  <c r="R3796" i="34"/>
  <c r="S3796" i="34"/>
  <c r="T3796" i="34"/>
  <c r="V3796" i="34"/>
  <c r="X3796" i="34"/>
  <c r="Y3796" i="34"/>
  <c r="N3797" i="34"/>
  <c r="R3797" i="34"/>
  <c r="S3797" i="34"/>
  <c r="T3797" i="34"/>
  <c r="V3797" i="34"/>
  <c r="X3797" i="34"/>
  <c r="Y3797" i="34"/>
  <c r="N3798" i="34"/>
  <c r="R3798" i="34"/>
  <c r="S3798" i="34"/>
  <c r="T3798" i="34"/>
  <c r="V3798" i="34"/>
  <c r="X3798" i="34"/>
  <c r="Y3798" i="34"/>
  <c r="N3799" i="34"/>
  <c r="R3799" i="34"/>
  <c r="S3799" i="34"/>
  <c r="T3799" i="34"/>
  <c r="V3799" i="34"/>
  <c r="X3799" i="34"/>
  <c r="Y3799" i="34"/>
  <c r="N3800" i="34"/>
  <c r="R3800" i="34"/>
  <c r="S3800" i="34"/>
  <c r="T3800" i="34"/>
  <c r="V3800" i="34"/>
  <c r="X3800" i="34"/>
  <c r="Y3800" i="34"/>
  <c r="N3801" i="34"/>
  <c r="R3801" i="34"/>
  <c r="S3801" i="34"/>
  <c r="T3801" i="34"/>
  <c r="V3801" i="34"/>
  <c r="X3801" i="34"/>
  <c r="Y3801" i="34"/>
  <c r="N3802" i="34"/>
  <c r="R3802" i="34"/>
  <c r="S3802" i="34"/>
  <c r="T3802" i="34"/>
  <c r="V3802" i="34"/>
  <c r="X3802" i="34"/>
  <c r="Y3802" i="34"/>
  <c r="N3803" i="34"/>
  <c r="R3803" i="34"/>
  <c r="S3803" i="34"/>
  <c r="T3803" i="34"/>
  <c r="V3803" i="34"/>
  <c r="X3803" i="34"/>
  <c r="Y3803" i="34"/>
  <c r="N3804" i="34"/>
  <c r="R3804" i="34"/>
  <c r="S3804" i="34"/>
  <c r="T3804" i="34"/>
  <c r="V3804" i="34"/>
  <c r="X3804" i="34"/>
  <c r="Y3804" i="34"/>
  <c r="N3805" i="34"/>
  <c r="R3805" i="34"/>
  <c r="S3805" i="34"/>
  <c r="T3805" i="34"/>
  <c r="V3805" i="34"/>
  <c r="X3805" i="34"/>
  <c r="Y3805" i="34"/>
  <c r="N3806" i="34"/>
  <c r="R3806" i="34"/>
  <c r="S3806" i="34"/>
  <c r="T3806" i="34"/>
  <c r="V3806" i="34"/>
  <c r="X3806" i="34"/>
  <c r="Y3806" i="34"/>
  <c r="N3807" i="34"/>
  <c r="R3807" i="34"/>
  <c r="S3807" i="34"/>
  <c r="T3807" i="34"/>
  <c r="V3807" i="34"/>
  <c r="X3807" i="34"/>
  <c r="Y3807" i="34"/>
  <c r="N3808" i="34"/>
  <c r="R3808" i="34"/>
  <c r="S3808" i="34"/>
  <c r="T3808" i="34"/>
  <c r="V3808" i="34"/>
  <c r="X3808" i="34"/>
  <c r="Y3808" i="34"/>
  <c r="N3809" i="34"/>
  <c r="R3809" i="34"/>
  <c r="S3809" i="34"/>
  <c r="T3809" i="34"/>
  <c r="V3809" i="34"/>
  <c r="X3809" i="34"/>
  <c r="Y3809" i="34"/>
  <c r="N3810" i="34"/>
  <c r="R3810" i="34"/>
  <c r="S3810" i="34"/>
  <c r="T3810" i="34"/>
  <c r="V3810" i="34"/>
  <c r="X3810" i="34"/>
  <c r="Y3810" i="34"/>
  <c r="N3811" i="34"/>
  <c r="R3811" i="34"/>
  <c r="S3811" i="34"/>
  <c r="T3811" i="34"/>
  <c r="V3811" i="34"/>
  <c r="X3811" i="34"/>
  <c r="Y3811" i="34"/>
  <c r="N3812" i="34"/>
  <c r="R3812" i="34"/>
  <c r="S3812" i="34"/>
  <c r="T3812" i="34"/>
  <c r="V3812" i="34"/>
  <c r="X3812" i="34"/>
  <c r="Y3812" i="34"/>
  <c r="N3813" i="34"/>
  <c r="R3813" i="34"/>
  <c r="S3813" i="34"/>
  <c r="T3813" i="34"/>
  <c r="V3813" i="34"/>
  <c r="X3813" i="34"/>
  <c r="Y3813" i="34"/>
  <c r="N3814" i="34"/>
  <c r="R3814" i="34"/>
  <c r="S3814" i="34"/>
  <c r="T3814" i="34"/>
  <c r="V3814" i="34"/>
  <c r="X3814" i="34"/>
  <c r="Y3814" i="34"/>
  <c r="N3815" i="34"/>
  <c r="R3815" i="34"/>
  <c r="S3815" i="34"/>
  <c r="T3815" i="34"/>
  <c r="V3815" i="34"/>
  <c r="X3815" i="34"/>
  <c r="Y3815" i="34"/>
  <c r="N3816" i="34"/>
  <c r="R3816" i="34"/>
  <c r="S3816" i="34"/>
  <c r="T3816" i="34"/>
  <c r="V3816" i="34"/>
  <c r="X3816" i="34"/>
  <c r="Y3816" i="34"/>
  <c r="N3817" i="34"/>
  <c r="R3817" i="34"/>
  <c r="S3817" i="34"/>
  <c r="T3817" i="34"/>
  <c r="V3817" i="34"/>
  <c r="X3817" i="34"/>
  <c r="Y3817" i="34"/>
  <c r="N3818" i="34"/>
  <c r="R3818" i="34"/>
  <c r="S3818" i="34"/>
  <c r="T3818" i="34"/>
  <c r="V3818" i="34"/>
  <c r="X3818" i="34"/>
  <c r="Y3818" i="34"/>
  <c r="N3819" i="34"/>
  <c r="R3819" i="34"/>
  <c r="S3819" i="34"/>
  <c r="T3819" i="34"/>
  <c r="V3819" i="34"/>
  <c r="X3819" i="34"/>
  <c r="Y3819" i="34"/>
  <c r="N3820" i="34"/>
  <c r="R3820" i="34"/>
  <c r="S3820" i="34"/>
  <c r="T3820" i="34"/>
  <c r="V3820" i="34"/>
  <c r="X3820" i="34"/>
  <c r="Y3820" i="34"/>
  <c r="N3821" i="34"/>
  <c r="R3821" i="34"/>
  <c r="S3821" i="34"/>
  <c r="T3821" i="34"/>
  <c r="V3821" i="34"/>
  <c r="X3821" i="34"/>
  <c r="Y3821" i="34"/>
  <c r="N3822" i="34"/>
  <c r="R3822" i="34"/>
  <c r="S3822" i="34"/>
  <c r="T3822" i="34"/>
  <c r="V3822" i="34"/>
  <c r="X3822" i="34"/>
  <c r="Y3822" i="34"/>
  <c r="N3823" i="34"/>
  <c r="R3823" i="34"/>
  <c r="S3823" i="34"/>
  <c r="T3823" i="34"/>
  <c r="V3823" i="34"/>
  <c r="X3823" i="34"/>
  <c r="Y3823" i="34"/>
  <c r="N3824" i="34"/>
  <c r="R3824" i="34"/>
  <c r="S3824" i="34"/>
  <c r="T3824" i="34"/>
  <c r="V3824" i="34"/>
  <c r="X3824" i="34"/>
  <c r="Y3824" i="34"/>
  <c r="N3825" i="34"/>
  <c r="R3825" i="34"/>
  <c r="S3825" i="34"/>
  <c r="T3825" i="34"/>
  <c r="V3825" i="34"/>
  <c r="X3825" i="34"/>
  <c r="Y3825" i="34"/>
  <c r="N3826" i="34"/>
  <c r="R3826" i="34"/>
  <c r="S3826" i="34"/>
  <c r="T3826" i="34"/>
  <c r="V3826" i="34"/>
  <c r="X3826" i="34"/>
  <c r="Y3826" i="34"/>
  <c r="N3827" i="34"/>
  <c r="R3827" i="34"/>
  <c r="S3827" i="34"/>
  <c r="T3827" i="34"/>
  <c r="V3827" i="34"/>
  <c r="X3827" i="34"/>
  <c r="Y3827" i="34"/>
  <c r="N3828" i="34"/>
  <c r="R3828" i="34"/>
  <c r="S3828" i="34"/>
  <c r="T3828" i="34"/>
  <c r="V3828" i="34"/>
  <c r="X3828" i="34"/>
  <c r="Y3828" i="34"/>
  <c r="N3829" i="34"/>
  <c r="R3829" i="34"/>
  <c r="S3829" i="34"/>
  <c r="T3829" i="34"/>
  <c r="V3829" i="34"/>
  <c r="X3829" i="34"/>
  <c r="Y3829" i="34"/>
  <c r="N3830" i="34"/>
  <c r="R3830" i="34"/>
  <c r="S3830" i="34"/>
  <c r="T3830" i="34"/>
  <c r="V3830" i="34"/>
  <c r="X3830" i="34"/>
  <c r="Y3830" i="34"/>
  <c r="N3831" i="34"/>
  <c r="R3831" i="34"/>
  <c r="S3831" i="34"/>
  <c r="T3831" i="34"/>
  <c r="V3831" i="34"/>
  <c r="X3831" i="34"/>
  <c r="Y3831" i="34"/>
  <c r="N3832" i="34"/>
  <c r="R3832" i="34"/>
  <c r="S3832" i="34"/>
  <c r="T3832" i="34"/>
  <c r="V3832" i="34"/>
  <c r="X3832" i="34"/>
  <c r="Y3832" i="34"/>
  <c r="N3833" i="34"/>
  <c r="R3833" i="34"/>
  <c r="S3833" i="34"/>
  <c r="T3833" i="34"/>
  <c r="V3833" i="34"/>
  <c r="X3833" i="34"/>
  <c r="Y3833" i="34"/>
  <c r="N3834" i="34"/>
  <c r="R3834" i="34"/>
  <c r="S3834" i="34"/>
  <c r="T3834" i="34"/>
  <c r="V3834" i="34"/>
  <c r="X3834" i="34"/>
  <c r="Y3834" i="34"/>
  <c r="N3835" i="34"/>
  <c r="R3835" i="34"/>
  <c r="S3835" i="34"/>
  <c r="T3835" i="34"/>
  <c r="V3835" i="34"/>
  <c r="X3835" i="34"/>
  <c r="Y3835" i="34"/>
  <c r="N3836" i="34"/>
  <c r="R3836" i="34"/>
  <c r="S3836" i="34"/>
  <c r="T3836" i="34"/>
  <c r="V3836" i="34"/>
  <c r="X3836" i="34"/>
  <c r="Y3836" i="34"/>
  <c r="N3837" i="34"/>
  <c r="R3837" i="34"/>
  <c r="S3837" i="34"/>
  <c r="T3837" i="34"/>
  <c r="V3837" i="34"/>
  <c r="X3837" i="34"/>
  <c r="Y3837" i="34"/>
  <c r="N3838" i="34"/>
  <c r="R3838" i="34"/>
  <c r="S3838" i="34"/>
  <c r="T3838" i="34"/>
  <c r="V3838" i="34"/>
  <c r="X3838" i="34"/>
  <c r="Y3838" i="34"/>
  <c r="N3839" i="34"/>
  <c r="R3839" i="34"/>
  <c r="S3839" i="34"/>
  <c r="T3839" i="34"/>
  <c r="V3839" i="34"/>
  <c r="X3839" i="34"/>
  <c r="Y3839" i="34"/>
  <c r="N3840" i="34"/>
  <c r="R3840" i="34"/>
  <c r="S3840" i="34"/>
  <c r="T3840" i="34"/>
  <c r="V3840" i="34"/>
  <c r="X3840" i="34"/>
  <c r="Y3840" i="34"/>
  <c r="N3841" i="34"/>
  <c r="R3841" i="34"/>
  <c r="S3841" i="34"/>
  <c r="T3841" i="34"/>
  <c r="V3841" i="34"/>
  <c r="X3841" i="34"/>
  <c r="Y3841" i="34"/>
  <c r="N3842" i="34"/>
  <c r="R3842" i="34"/>
  <c r="S3842" i="34"/>
  <c r="T3842" i="34"/>
  <c r="V3842" i="34"/>
  <c r="X3842" i="34"/>
  <c r="Y3842" i="34"/>
  <c r="N3843" i="34"/>
  <c r="R3843" i="34"/>
  <c r="S3843" i="34"/>
  <c r="T3843" i="34"/>
  <c r="V3843" i="34"/>
  <c r="X3843" i="34"/>
  <c r="Y3843" i="34"/>
  <c r="N3844" i="34"/>
  <c r="R3844" i="34"/>
  <c r="S3844" i="34"/>
  <c r="T3844" i="34"/>
  <c r="V3844" i="34"/>
  <c r="X3844" i="34"/>
  <c r="Y3844" i="34"/>
  <c r="N3845" i="34"/>
  <c r="R3845" i="34"/>
  <c r="S3845" i="34"/>
  <c r="T3845" i="34"/>
  <c r="V3845" i="34"/>
  <c r="X3845" i="34"/>
  <c r="Y3845" i="34"/>
  <c r="N3846" i="34"/>
  <c r="R3846" i="34"/>
  <c r="S3846" i="34"/>
  <c r="T3846" i="34"/>
  <c r="V3846" i="34"/>
  <c r="X3846" i="34"/>
  <c r="Y3846" i="34"/>
  <c r="N3847" i="34"/>
  <c r="R3847" i="34"/>
  <c r="S3847" i="34"/>
  <c r="T3847" i="34"/>
  <c r="V3847" i="34"/>
  <c r="X3847" i="34"/>
  <c r="Y3847" i="34"/>
  <c r="N3848" i="34"/>
  <c r="R3848" i="34"/>
  <c r="S3848" i="34"/>
  <c r="T3848" i="34"/>
  <c r="V3848" i="34"/>
  <c r="X3848" i="34"/>
  <c r="Y3848" i="34"/>
  <c r="N3849" i="34"/>
  <c r="R3849" i="34"/>
  <c r="S3849" i="34"/>
  <c r="T3849" i="34"/>
  <c r="V3849" i="34"/>
  <c r="X3849" i="34"/>
  <c r="Y3849" i="34"/>
  <c r="N3850" i="34"/>
  <c r="R3850" i="34"/>
  <c r="S3850" i="34"/>
  <c r="T3850" i="34"/>
  <c r="V3850" i="34"/>
  <c r="X3850" i="34"/>
  <c r="Y3850" i="34"/>
  <c r="N3851" i="34"/>
  <c r="R3851" i="34"/>
  <c r="S3851" i="34"/>
  <c r="T3851" i="34"/>
  <c r="V3851" i="34"/>
  <c r="X3851" i="34"/>
  <c r="Y3851" i="34"/>
  <c r="N3852" i="34"/>
  <c r="R3852" i="34"/>
  <c r="S3852" i="34"/>
  <c r="T3852" i="34"/>
  <c r="V3852" i="34"/>
  <c r="X3852" i="34"/>
  <c r="Y3852" i="34"/>
  <c r="N3853" i="34"/>
  <c r="R3853" i="34"/>
  <c r="S3853" i="34"/>
  <c r="T3853" i="34"/>
  <c r="V3853" i="34"/>
  <c r="X3853" i="34"/>
  <c r="Y3853" i="34"/>
  <c r="N3854" i="34"/>
  <c r="R3854" i="34"/>
  <c r="S3854" i="34"/>
  <c r="T3854" i="34"/>
  <c r="V3854" i="34"/>
  <c r="X3854" i="34"/>
  <c r="Y3854" i="34"/>
  <c r="N3855" i="34"/>
  <c r="R3855" i="34"/>
  <c r="S3855" i="34"/>
  <c r="T3855" i="34"/>
  <c r="V3855" i="34"/>
  <c r="X3855" i="34"/>
  <c r="Y3855" i="34"/>
  <c r="N3856" i="34"/>
  <c r="R3856" i="34"/>
  <c r="S3856" i="34"/>
  <c r="T3856" i="34"/>
  <c r="V3856" i="34"/>
  <c r="X3856" i="34"/>
  <c r="Y3856" i="34"/>
  <c r="N3857" i="34"/>
  <c r="R3857" i="34"/>
  <c r="S3857" i="34"/>
  <c r="T3857" i="34"/>
  <c r="V3857" i="34"/>
  <c r="X3857" i="34"/>
  <c r="Y3857" i="34"/>
  <c r="N3858" i="34"/>
  <c r="R3858" i="34"/>
  <c r="S3858" i="34"/>
  <c r="T3858" i="34"/>
  <c r="V3858" i="34"/>
  <c r="X3858" i="34"/>
  <c r="Y3858" i="34"/>
  <c r="N3859" i="34"/>
  <c r="R3859" i="34"/>
  <c r="S3859" i="34"/>
  <c r="T3859" i="34"/>
  <c r="V3859" i="34"/>
  <c r="X3859" i="34"/>
  <c r="Y3859" i="34"/>
  <c r="N3860" i="34"/>
  <c r="R3860" i="34"/>
  <c r="S3860" i="34"/>
  <c r="T3860" i="34"/>
  <c r="V3860" i="34"/>
  <c r="X3860" i="34"/>
  <c r="Y3860" i="34"/>
  <c r="N3861" i="34"/>
  <c r="R3861" i="34"/>
  <c r="S3861" i="34"/>
  <c r="T3861" i="34"/>
  <c r="V3861" i="34"/>
  <c r="X3861" i="34"/>
  <c r="Y3861" i="34"/>
  <c r="N3862" i="34"/>
  <c r="R3862" i="34"/>
  <c r="S3862" i="34"/>
  <c r="T3862" i="34"/>
  <c r="V3862" i="34"/>
  <c r="X3862" i="34"/>
  <c r="Y3862" i="34"/>
  <c r="N3863" i="34"/>
  <c r="R3863" i="34"/>
  <c r="S3863" i="34"/>
  <c r="T3863" i="34"/>
  <c r="V3863" i="34"/>
  <c r="X3863" i="34"/>
  <c r="Y3863" i="34"/>
  <c r="N3864" i="34"/>
  <c r="R3864" i="34"/>
  <c r="S3864" i="34"/>
  <c r="T3864" i="34"/>
  <c r="V3864" i="34"/>
  <c r="X3864" i="34"/>
  <c r="Y3864" i="34"/>
  <c r="N3865" i="34"/>
  <c r="R3865" i="34"/>
  <c r="S3865" i="34"/>
  <c r="T3865" i="34"/>
  <c r="V3865" i="34"/>
  <c r="X3865" i="34"/>
  <c r="Y3865" i="34"/>
  <c r="N3866" i="34"/>
  <c r="R3866" i="34"/>
  <c r="S3866" i="34"/>
  <c r="T3866" i="34"/>
  <c r="V3866" i="34"/>
  <c r="X3866" i="34"/>
  <c r="Y3866" i="34"/>
  <c r="N3867" i="34"/>
  <c r="R3867" i="34"/>
  <c r="S3867" i="34"/>
  <c r="T3867" i="34"/>
  <c r="V3867" i="34"/>
  <c r="X3867" i="34"/>
  <c r="Y3867" i="34"/>
  <c r="N3868" i="34"/>
  <c r="R3868" i="34"/>
  <c r="S3868" i="34"/>
  <c r="T3868" i="34"/>
  <c r="V3868" i="34"/>
  <c r="X3868" i="34"/>
  <c r="Y3868" i="34"/>
  <c r="N3869" i="34"/>
  <c r="R3869" i="34"/>
  <c r="S3869" i="34"/>
  <c r="T3869" i="34"/>
  <c r="V3869" i="34"/>
  <c r="X3869" i="34"/>
  <c r="Y3869" i="34"/>
  <c r="N3870" i="34"/>
  <c r="R3870" i="34"/>
  <c r="S3870" i="34"/>
  <c r="T3870" i="34"/>
  <c r="V3870" i="34"/>
  <c r="X3870" i="34"/>
  <c r="Y3870" i="34"/>
  <c r="N3871" i="34"/>
  <c r="R3871" i="34"/>
  <c r="S3871" i="34"/>
  <c r="T3871" i="34"/>
  <c r="V3871" i="34"/>
  <c r="X3871" i="34"/>
  <c r="Y3871" i="34"/>
  <c r="N3872" i="34"/>
  <c r="R3872" i="34"/>
  <c r="S3872" i="34"/>
  <c r="T3872" i="34"/>
  <c r="V3872" i="34"/>
  <c r="X3872" i="34"/>
  <c r="Y3872" i="34"/>
  <c r="N3873" i="34"/>
  <c r="R3873" i="34"/>
  <c r="S3873" i="34"/>
  <c r="T3873" i="34"/>
  <c r="V3873" i="34"/>
  <c r="X3873" i="34"/>
  <c r="Y3873" i="34"/>
  <c r="N3874" i="34"/>
  <c r="R3874" i="34"/>
  <c r="S3874" i="34"/>
  <c r="T3874" i="34"/>
  <c r="V3874" i="34"/>
  <c r="X3874" i="34"/>
  <c r="Y3874" i="34"/>
  <c r="N3875" i="34"/>
  <c r="R3875" i="34"/>
  <c r="S3875" i="34"/>
  <c r="T3875" i="34"/>
  <c r="V3875" i="34"/>
  <c r="X3875" i="34"/>
  <c r="Y3875" i="34"/>
  <c r="N3876" i="34"/>
  <c r="R3876" i="34"/>
  <c r="S3876" i="34"/>
  <c r="T3876" i="34"/>
  <c r="V3876" i="34"/>
  <c r="X3876" i="34"/>
  <c r="Y3876" i="34"/>
  <c r="N3877" i="34"/>
  <c r="R3877" i="34"/>
  <c r="S3877" i="34"/>
  <c r="T3877" i="34"/>
  <c r="V3877" i="34"/>
  <c r="X3877" i="34"/>
  <c r="Y3877" i="34"/>
  <c r="N3878" i="34"/>
  <c r="R3878" i="34"/>
  <c r="S3878" i="34"/>
  <c r="T3878" i="34"/>
  <c r="V3878" i="34"/>
  <c r="X3878" i="34"/>
  <c r="Y3878" i="34"/>
  <c r="N3879" i="34"/>
  <c r="R3879" i="34"/>
  <c r="S3879" i="34"/>
  <c r="T3879" i="34"/>
  <c r="V3879" i="34"/>
  <c r="X3879" i="34"/>
  <c r="Y3879" i="34"/>
  <c r="N3880" i="34"/>
  <c r="R3880" i="34"/>
  <c r="S3880" i="34"/>
  <c r="T3880" i="34"/>
  <c r="V3880" i="34"/>
  <c r="X3880" i="34"/>
  <c r="Y3880" i="34"/>
  <c r="N3881" i="34"/>
  <c r="R3881" i="34"/>
  <c r="S3881" i="34"/>
  <c r="T3881" i="34"/>
  <c r="V3881" i="34"/>
  <c r="X3881" i="34"/>
  <c r="Y3881" i="34"/>
  <c r="N3882" i="34"/>
  <c r="R3882" i="34"/>
  <c r="S3882" i="34"/>
  <c r="T3882" i="34"/>
  <c r="V3882" i="34"/>
  <c r="X3882" i="34"/>
  <c r="Y3882" i="34"/>
  <c r="N3883" i="34"/>
  <c r="R3883" i="34"/>
  <c r="S3883" i="34"/>
  <c r="T3883" i="34"/>
  <c r="V3883" i="34"/>
  <c r="X3883" i="34"/>
  <c r="Y3883" i="34"/>
  <c r="N3884" i="34"/>
  <c r="R3884" i="34"/>
  <c r="S3884" i="34"/>
  <c r="T3884" i="34"/>
  <c r="V3884" i="34"/>
  <c r="X3884" i="34"/>
  <c r="Y3884" i="34"/>
  <c r="N3885" i="34"/>
  <c r="R3885" i="34"/>
  <c r="S3885" i="34"/>
  <c r="T3885" i="34"/>
  <c r="V3885" i="34"/>
  <c r="X3885" i="34"/>
  <c r="Y3885" i="34"/>
  <c r="N3886" i="34"/>
  <c r="R3886" i="34"/>
  <c r="S3886" i="34"/>
  <c r="T3886" i="34"/>
  <c r="V3886" i="34"/>
  <c r="X3886" i="34"/>
  <c r="Y3886" i="34"/>
  <c r="N3887" i="34"/>
  <c r="R3887" i="34"/>
  <c r="S3887" i="34"/>
  <c r="T3887" i="34"/>
  <c r="V3887" i="34"/>
  <c r="X3887" i="34"/>
  <c r="Y3887" i="34"/>
  <c r="N3888" i="34"/>
  <c r="R3888" i="34"/>
  <c r="S3888" i="34"/>
  <c r="T3888" i="34"/>
  <c r="V3888" i="34"/>
  <c r="X3888" i="34"/>
  <c r="Y3888" i="34"/>
  <c r="N3889" i="34"/>
  <c r="R3889" i="34"/>
  <c r="S3889" i="34"/>
  <c r="T3889" i="34"/>
  <c r="V3889" i="34"/>
  <c r="X3889" i="34"/>
  <c r="Y3889" i="34"/>
  <c r="N3890" i="34"/>
  <c r="R3890" i="34"/>
  <c r="S3890" i="34"/>
  <c r="T3890" i="34"/>
  <c r="V3890" i="34"/>
  <c r="X3890" i="34"/>
  <c r="Y3890" i="34"/>
  <c r="N3891" i="34"/>
  <c r="R3891" i="34"/>
  <c r="S3891" i="34"/>
  <c r="T3891" i="34"/>
  <c r="V3891" i="34"/>
  <c r="X3891" i="34"/>
  <c r="Y3891" i="34"/>
  <c r="N3892" i="34"/>
  <c r="R3892" i="34"/>
  <c r="S3892" i="34"/>
  <c r="T3892" i="34"/>
  <c r="V3892" i="34"/>
  <c r="X3892" i="34"/>
  <c r="Y3892" i="34"/>
  <c r="N3893" i="34"/>
  <c r="R3893" i="34"/>
  <c r="S3893" i="34"/>
  <c r="T3893" i="34"/>
  <c r="V3893" i="34"/>
  <c r="X3893" i="34"/>
  <c r="Y3893" i="34"/>
  <c r="N3894" i="34"/>
  <c r="R3894" i="34"/>
  <c r="S3894" i="34"/>
  <c r="T3894" i="34"/>
  <c r="V3894" i="34"/>
  <c r="X3894" i="34"/>
  <c r="Y3894" i="34"/>
  <c r="N3895" i="34"/>
  <c r="R3895" i="34"/>
  <c r="S3895" i="34"/>
  <c r="T3895" i="34"/>
  <c r="V3895" i="34"/>
  <c r="X3895" i="34"/>
  <c r="Y3895" i="34"/>
  <c r="N3896" i="34"/>
  <c r="R3896" i="34"/>
  <c r="S3896" i="34"/>
  <c r="T3896" i="34"/>
  <c r="V3896" i="34"/>
  <c r="X3896" i="34"/>
  <c r="Y3896" i="34"/>
  <c r="N3897" i="34"/>
  <c r="R3897" i="34"/>
  <c r="S3897" i="34"/>
  <c r="T3897" i="34"/>
  <c r="V3897" i="34"/>
  <c r="X3897" i="34"/>
  <c r="Y3897" i="34"/>
  <c r="N3898" i="34"/>
  <c r="R3898" i="34"/>
  <c r="S3898" i="34"/>
  <c r="T3898" i="34"/>
  <c r="V3898" i="34"/>
  <c r="X3898" i="34"/>
  <c r="Y3898" i="34"/>
  <c r="N3899" i="34"/>
  <c r="R3899" i="34"/>
  <c r="S3899" i="34"/>
  <c r="T3899" i="34"/>
  <c r="V3899" i="34"/>
  <c r="X3899" i="34"/>
  <c r="Y3899" i="34"/>
  <c r="N3900" i="34"/>
  <c r="R3900" i="34"/>
  <c r="S3900" i="34"/>
  <c r="T3900" i="34"/>
  <c r="V3900" i="34"/>
  <c r="X3900" i="34"/>
  <c r="Y3900" i="34"/>
  <c r="N3901" i="34"/>
  <c r="R3901" i="34"/>
  <c r="S3901" i="34"/>
  <c r="T3901" i="34"/>
  <c r="V3901" i="34"/>
  <c r="X3901" i="34"/>
  <c r="Y3901" i="34"/>
  <c r="N3902" i="34"/>
  <c r="R3902" i="34"/>
  <c r="S3902" i="34"/>
  <c r="T3902" i="34"/>
  <c r="V3902" i="34"/>
  <c r="X3902" i="34"/>
  <c r="Y3902" i="34"/>
  <c r="N3903" i="34"/>
  <c r="R3903" i="34"/>
  <c r="S3903" i="34"/>
  <c r="T3903" i="34"/>
  <c r="V3903" i="34"/>
  <c r="X3903" i="34"/>
  <c r="Y3903" i="34"/>
  <c r="N3904" i="34"/>
  <c r="R3904" i="34"/>
  <c r="S3904" i="34"/>
  <c r="T3904" i="34"/>
  <c r="V3904" i="34"/>
  <c r="X3904" i="34"/>
  <c r="Y3904" i="34"/>
  <c r="N3905" i="34"/>
  <c r="R3905" i="34"/>
  <c r="S3905" i="34"/>
  <c r="T3905" i="34"/>
  <c r="V3905" i="34"/>
  <c r="X3905" i="34"/>
  <c r="Y3905" i="34"/>
  <c r="N3906" i="34"/>
  <c r="R3906" i="34"/>
  <c r="S3906" i="34"/>
  <c r="T3906" i="34"/>
  <c r="V3906" i="34"/>
  <c r="X3906" i="34"/>
  <c r="Y3906" i="34"/>
  <c r="N3907" i="34"/>
  <c r="R3907" i="34"/>
  <c r="S3907" i="34"/>
  <c r="T3907" i="34"/>
  <c r="V3907" i="34"/>
  <c r="X3907" i="34"/>
  <c r="Y3907" i="34"/>
  <c r="N3908" i="34"/>
  <c r="R3908" i="34"/>
  <c r="S3908" i="34"/>
  <c r="T3908" i="34"/>
  <c r="V3908" i="34"/>
  <c r="X3908" i="34"/>
  <c r="Y3908" i="34"/>
  <c r="N3909" i="34"/>
  <c r="R3909" i="34"/>
  <c r="S3909" i="34"/>
  <c r="T3909" i="34"/>
  <c r="V3909" i="34"/>
  <c r="X3909" i="34"/>
  <c r="Y3909" i="34"/>
  <c r="N3910" i="34"/>
  <c r="R3910" i="34"/>
  <c r="S3910" i="34"/>
  <c r="T3910" i="34"/>
  <c r="V3910" i="34"/>
  <c r="X3910" i="34"/>
  <c r="Y3910" i="34"/>
  <c r="N3911" i="34"/>
  <c r="R3911" i="34"/>
  <c r="S3911" i="34"/>
  <c r="T3911" i="34"/>
  <c r="V3911" i="34"/>
  <c r="X3911" i="34"/>
  <c r="Y3911" i="34"/>
  <c r="N3912" i="34"/>
  <c r="R3912" i="34"/>
  <c r="S3912" i="34"/>
  <c r="T3912" i="34"/>
  <c r="V3912" i="34"/>
  <c r="X3912" i="34"/>
  <c r="Y3912" i="34"/>
  <c r="N3913" i="34"/>
  <c r="R3913" i="34"/>
  <c r="S3913" i="34"/>
  <c r="T3913" i="34"/>
  <c r="V3913" i="34"/>
  <c r="X3913" i="34"/>
  <c r="Y3913" i="34"/>
  <c r="N3914" i="34"/>
  <c r="R3914" i="34"/>
  <c r="S3914" i="34"/>
  <c r="T3914" i="34"/>
  <c r="V3914" i="34"/>
  <c r="X3914" i="34"/>
  <c r="Y3914" i="34"/>
  <c r="N3915" i="34"/>
  <c r="R3915" i="34"/>
  <c r="S3915" i="34"/>
  <c r="T3915" i="34"/>
  <c r="V3915" i="34"/>
  <c r="X3915" i="34"/>
  <c r="Y3915" i="34"/>
  <c r="N3916" i="34"/>
  <c r="R3916" i="34"/>
  <c r="S3916" i="34"/>
  <c r="T3916" i="34"/>
  <c r="V3916" i="34"/>
  <c r="X3916" i="34"/>
  <c r="Y3916" i="34"/>
  <c r="N3917" i="34"/>
  <c r="R3917" i="34"/>
  <c r="S3917" i="34"/>
  <c r="T3917" i="34"/>
  <c r="V3917" i="34"/>
  <c r="X3917" i="34"/>
  <c r="Y3917" i="34"/>
  <c r="N3918" i="34"/>
  <c r="R3918" i="34"/>
  <c r="S3918" i="34"/>
  <c r="T3918" i="34"/>
  <c r="V3918" i="34"/>
  <c r="X3918" i="34"/>
  <c r="Y3918" i="34"/>
  <c r="N3919" i="34"/>
  <c r="R3919" i="34"/>
  <c r="S3919" i="34"/>
  <c r="T3919" i="34"/>
  <c r="V3919" i="34"/>
  <c r="X3919" i="34"/>
  <c r="Y3919" i="34"/>
  <c r="N3920" i="34"/>
  <c r="R3920" i="34"/>
  <c r="S3920" i="34"/>
  <c r="T3920" i="34"/>
  <c r="V3920" i="34"/>
  <c r="X3920" i="34"/>
  <c r="Y3920" i="34"/>
  <c r="N3921" i="34"/>
  <c r="R3921" i="34"/>
  <c r="S3921" i="34"/>
  <c r="T3921" i="34"/>
  <c r="V3921" i="34"/>
  <c r="X3921" i="34"/>
  <c r="Y3921" i="34"/>
  <c r="N3922" i="34"/>
  <c r="R3922" i="34"/>
  <c r="S3922" i="34"/>
  <c r="T3922" i="34"/>
  <c r="V3922" i="34"/>
  <c r="X3922" i="34"/>
  <c r="Y3922" i="34"/>
  <c r="N3923" i="34"/>
  <c r="R3923" i="34"/>
  <c r="S3923" i="34"/>
  <c r="T3923" i="34"/>
  <c r="V3923" i="34"/>
  <c r="X3923" i="34"/>
  <c r="Y3923" i="34"/>
  <c r="N3924" i="34"/>
  <c r="R3924" i="34"/>
  <c r="S3924" i="34"/>
  <c r="T3924" i="34"/>
  <c r="V3924" i="34"/>
  <c r="X3924" i="34"/>
  <c r="Y3924" i="34"/>
  <c r="N3925" i="34"/>
  <c r="R3925" i="34"/>
  <c r="S3925" i="34"/>
  <c r="T3925" i="34"/>
  <c r="V3925" i="34"/>
  <c r="X3925" i="34"/>
  <c r="Y3925" i="34"/>
  <c r="N3926" i="34"/>
  <c r="R3926" i="34"/>
  <c r="S3926" i="34"/>
  <c r="T3926" i="34"/>
  <c r="V3926" i="34"/>
  <c r="X3926" i="34"/>
  <c r="Y3926" i="34"/>
  <c r="N3927" i="34"/>
  <c r="R3927" i="34"/>
  <c r="S3927" i="34"/>
  <c r="T3927" i="34"/>
  <c r="V3927" i="34"/>
  <c r="X3927" i="34"/>
  <c r="Y3927" i="34"/>
  <c r="N3928" i="34"/>
  <c r="R3928" i="34"/>
  <c r="S3928" i="34"/>
  <c r="T3928" i="34"/>
  <c r="V3928" i="34"/>
  <c r="X3928" i="34"/>
  <c r="Y3928" i="34"/>
  <c r="N3929" i="34"/>
  <c r="R3929" i="34"/>
  <c r="S3929" i="34"/>
  <c r="T3929" i="34"/>
  <c r="V3929" i="34"/>
  <c r="X3929" i="34"/>
  <c r="Y3929" i="34"/>
  <c r="N3930" i="34"/>
  <c r="R3930" i="34"/>
  <c r="S3930" i="34"/>
  <c r="T3930" i="34"/>
  <c r="V3930" i="34"/>
  <c r="X3930" i="34"/>
  <c r="Y3930" i="34"/>
  <c r="N3931" i="34"/>
  <c r="R3931" i="34"/>
  <c r="S3931" i="34"/>
  <c r="T3931" i="34"/>
  <c r="V3931" i="34"/>
  <c r="X3931" i="34"/>
  <c r="Y3931" i="34"/>
  <c r="N3932" i="34"/>
  <c r="R3932" i="34"/>
  <c r="S3932" i="34"/>
  <c r="T3932" i="34"/>
  <c r="V3932" i="34"/>
  <c r="X3932" i="34"/>
  <c r="Y3932" i="34"/>
  <c r="N3933" i="34"/>
  <c r="R3933" i="34"/>
  <c r="S3933" i="34"/>
  <c r="T3933" i="34"/>
  <c r="V3933" i="34"/>
  <c r="X3933" i="34"/>
  <c r="Y3933" i="34"/>
  <c r="N3934" i="34"/>
  <c r="R3934" i="34"/>
  <c r="S3934" i="34"/>
  <c r="T3934" i="34"/>
  <c r="V3934" i="34"/>
  <c r="X3934" i="34"/>
  <c r="Y3934" i="34"/>
  <c r="N3935" i="34"/>
  <c r="R3935" i="34"/>
  <c r="S3935" i="34"/>
  <c r="T3935" i="34"/>
  <c r="V3935" i="34"/>
  <c r="X3935" i="34"/>
  <c r="Y3935" i="34"/>
  <c r="N3936" i="34"/>
  <c r="R3936" i="34"/>
  <c r="S3936" i="34"/>
  <c r="T3936" i="34"/>
  <c r="V3936" i="34"/>
  <c r="X3936" i="34"/>
  <c r="Y3936" i="34"/>
  <c r="N3937" i="34"/>
  <c r="R3937" i="34"/>
  <c r="S3937" i="34"/>
  <c r="T3937" i="34"/>
  <c r="V3937" i="34"/>
  <c r="X3937" i="34"/>
  <c r="Y3937" i="34"/>
  <c r="N3938" i="34"/>
  <c r="R3938" i="34"/>
  <c r="S3938" i="34"/>
  <c r="T3938" i="34"/>
  <c r="V3938" i="34"/>
  <c r="X3938" i="34"/>
  <c r="Y3938" i="34"/>
  <c r="N3939" i="34"/>
  <c r="R3939" i="34"/>
  <c r="S3939" i="34"/>
  <c r="T3939" i="34"/>
  <c r="V3939" i="34"/>
  <c r="X3939" i="34"/>
  <c r="Y3939" i="34"/>
  <c r="N3940" i="34"/>
  <c r="R3940" i="34"/>
  <c r="S3940" i="34"/>
  <c r="T3940" i="34"/>
  <c r="V3940" i="34"/>
  <c r="X3940" i="34"/>
  <c r="Y3940" i="34"/>
  <c r="N3941" i="34"/>
  <c r="R3941" i="34"/>
  <c r="S3941" i="34"/>
  <c r="T3941" i="34"/>
  <c r="V3941" i="34"/>
  <c r="X3941" i="34"/>
  <c r="Y3941" i="34"/>
  <c r="N3942" i="34"/>
  <c r="R3942" i="34"/>
  <c r="S3942" i="34"/>
  <c r="T3942" i="34"/>
  <c r="V3942" i="34"/>
  <c r="X3942" i="34"/>
  <c r="Y3942" i="34"/>
  <c r="N3943" i="34"/>
  <c r="R3943" i="34"/>
  <c r="S3943" i="34"/>
  <c r="T3943" i="34"/>
  <c r="V3943" i="34"/>
  <c r="X3943" i="34"/>
  <c r="Y3943" i="34"/>
  <c r="N3944" i="34"/>
  <c r="R3944" i="34"/>
  <c r="S3944" i="34"/>
  <c r="T3944" i="34"/>
  <c r="V3944" i="34"/>
  <c r="X3944" i="34"/>
  <c r="Y3944" i="34"/>
  <c r="N3945" i="34"/>
  <c r="R3945" i="34"/>
  <c r="S3945" i="34"/>
  <c r="T3945" i="34"/>
  <c r="V3945" i="34"/>
  <c r="X3945" i="34"/>
  <c r="Y3945" i="34"/>
  <c r="N3946" i="34"/>
  <c r="R3946" i="34"/>
  <c r="S3946" i="34"/>
  <c r="T3946" i="34"/>
  <c r="V3946" i="34"/>
  <c r="X3946" i="34"/>
  <c r="Y3946" i="34"/>
  <c r="N3947" i="34"/>
  <c r="R3947" i="34"/>
  <c r="S3947" i="34"/>
  <c r="T3947" i="34"/>
  <c r="V3947" i="34"/>
  <c r="X3947" i="34"/>
  <c r="Y3947" i="34"/>
  <c r="N3948" i="34"/>
  <c r="R3948" i="34"/>
  <c r="S3948" i="34"/>
  <c r="T3948" i="34"/>
  <c r="V3948" i="34"/>
  <c r="X3948" i="34"/>
  <c r="Y3948" i="34"/>
  <c r="N3949" i="34"/>
  <c r="R3949" i="34"/>
  <c r="S3949" i="34"/>
  <c r="T3949" i="34"/>
  <c r="V3949" i="34"/>
  <c r="X3949" i="34"/>
  <c r="Y3949" i="34"/>
  <c r="N3950" i="34"/>
  <c r="R3950" i="34"/>
  <c r="S3950" i="34"/>
  <c r="T3950" i="34"/>
  <c r="V3950" i="34"/>
  <c r="X3950" i="34"/>
  <c r="Y3950" i="34"/>
  <c r="N3951" i="34"/>
  <c r="R3951" i="34"/>
  <c r="S3951" i="34"/>
  <c r="T3951" i="34"/>
  <c r="V3951" i="34"/>
  <c r="X3951" i="34"/>
  <c r="Y3951" i="34"/>
  <c r="N3952" i="34"/>
  <c r="R3952" i="34"/>
  <c r="S3952" i="34"/>
  <c r="T3952" i="34"/>
  <c r="V3952" i="34"/>
  <c r="X3952" i="34"/>
  <c r="Y3952" i="34"/>
  <c r="N3953" i="34"/>
  <c r="R3953" i="34"/>
  <c r="S3953" i="34"/>
  <c r="T3953" i="34"/>
  <c r="V3953" i="34"/>
  <c r="X3953" i="34"/>
  <c r="Y3953" i="34"/>
  <c r="N3954" i="34"/>
  <c r="R3954" i="34"/>
  <c r="S3954" i="34"/>
  <c r="T3954" i="34"/>
  <c r="V3954" i="34"/>
  <c r="X3954" i="34"/>
  <c r="Y3954" i="34"/>
  <c r="N3955" i="34"/>
  <c r="R3955" i="34"/>
  <c r="S3955" i="34"/>
  <c r="T3955" i="34"/>
  <c r="V3955" i="34"/>
  <c r="X3955" i="34"/>
  <c r="Y3955" i="34"/>
  <c r="N3956" i="34"/>
  <c r="R3956" i="34"/>
  <c r="S3956" i="34"/>
  <c r="T3956" i="34"/>
  <c r="V3956" i="34"/>
  <c r="X3956" i="34"/>
  <c r="Y3956" i="34"/>
  <c r="N3957" i="34"/>
  <c r="R3957" i="34"/>
  <c r="S3957" i="34"/>
  <c r="T3957" i="34"/>
  <c r="V3957" i="34"/>
  <c r="X3957" i="34"/>
  <c r="Y3957" i="34"/>
  <c r="N3958" i="34"/>
  <c r="R3958" i="34"/>
  <c r="S3958" i="34"/>
  <c r="T3958" i="34"/>
  <c r="V3958" i="34"/>
  <c r="X3958" i="34"/>
  <c r="Y3958" i="34"/>
  <c r="N3959" i="34"/>
  <c r="R3959" i="34"/>
  <c r="S3959" i="34"/>
  <c r="T3959" i="34"/>
  <c r="V3959" i="34"/>
  <c r="X3959" i="34"/>
  <c r="Y3959" i="34"/>
  <c r="N3960" i="34"/>
  <c r="R3960" i="34"/>
  <c r="S3960" i="34"/>
  <c r="T3960" i="34"/>
  <c r="V3960" i="34"/>
  <c r="X3960" i="34"/>
  <c r="Y3960" i="34"/>
  <c r="N3961" i="34"/>
  <c r="R3961" i="34"/>
  <c r="S3961" i="34"/>
  <c r="T3961" i="34"/>
  <c r="V3961" i="34"/>
  <c r="X3961" i="34"/>
  <c r="Y3961" i="34"/>
  <c r="N3962" i="34"/>
  <c r="R3962" i="34"/>
  <c r="S3962" i="34"/>
  <c r="T3962" i="34"/>
  <c r="V3962" i="34"/>
  <c r="X3962" i="34"/>
  <c r="Y3962" i="34"/>
  <c r="N3963" i="34"/>
  <c r="R3963" i="34"/>
  <c r="S3963" i="34"/>
  <c r="T3963" i="34"/>
  <c r="V3963" i="34"/>
  <c r="X3963" i="34"/>
  <c r="Y3963" i="34"/>
  <c r="N3964" i="34"/>
  <c r="R3964" i="34"/>
  <c r="S3964" i="34"/>
  <c r="T3964" i="34"/>
  <c r="V3964" i="34"/>
  <c r="X3964" i="34"/>
  <c r="Y3964" i="34"/>
  <c r="N3965" i="34"/>
  <c r="R3965" i="34"/>
  <c r="S3965" i="34"/>
  <c r="T3965" i="34"/>
  <c r="V3965" i="34"/>
  <c r="X3965" i="34"/>
  <c r="Y3965" i="34"/>
  <c r="N3966" i="34"/>
  <c r="R3966" i="34"/>
  <c r="S3966" i="34"/>
  <c r="T3966" i="34"/>
  <c r="V3966" i="34"/>
  <c r="X3966" i="34"/>
  <c r="Y3966" i="34"/>
  <c r="N3967" i="34"/>
  <c r="R3967" i="34"/>
  <c r="S3967" i="34"/>
  <c r="T3967" i="34"/>
  <c r="V3967" i="34"/>
  <c r="X3967" i="34"/>
  <c r="Y3967" i="34"/>
  <c r="N3968" i="34"/>
  <c r="R3968" i="34"/>
  <c r="S3968" i="34"/>
  <c r="T3968" i="34"/>
  <c r="V3968" i="34"/>
  <c r="X3968" i="34"/>
  <c r="Y3968" i="34"/>
  <c r="N3969" i="34"/>
  <c r="R3969" i="34"/>
  <c r="S3969" i="34"/>
  <c r="T3969" i="34"/>
  <c r="V3969" i="34"/>
  <c r="X3969" i="34"/>
  <c r="Y3969" i="34"/>
  <c r="N3970" i="34"/>
  <c r="R3970" i="34"/>
  <c r="S3970" i="34"/>
  <c r="T3970" i="34"/>
  <c r="V3970" i="34"/>
  <c r="X3970" i="34"/>
  <c r="Y3970" i="34"/>
  <c r="N3971" i="34"/>
  <c r="R3971" i="34"/>
  <c r="S3971" i="34"/>
  <c r="T3971" i="34"/>
  <c r="V3971" i="34"/>
  <c r="X3971" i="34"/>
  <c r="Y3971" i="34"/>
  <c r="N3972" i="34"/>
  <c r="R3972" i="34"/>
  <c r="S3972" i="34"/>
  <c r="T3972" i="34"/>
  <c r="V3972" i="34"/>
  <c r="X3972" i="34"/>
  <c r="Y3972" i="34"/>
  <c r="N3973" i="34"/>
  <c r="R3973" i="34"/>
  <c r="S3973" i="34"/>
  <c r="T3973" i="34"/>
  <c r="V3973" i="34"/>
  <c r="X3973" i="34"/>
  <c r="Y3973" i="34"/>
  <c r="N3974" i="34"/>
  <c r="R3974" i="34"/>
  <c r="S3974" i="34"/>
  <c r="T3974" i="34"/>
  <c r="V3974" i="34"/>
  <c r="X3974" i="34"/>
  <c r="Y3974" i="34"/>
  <c r="N3975" i="34"/>
  <c r="R3975" i="34"/>
  <c r="S3975" i="34"/>
  <c r="T3975" i="34"/>
  <c r="V3975" i="34"/>
  <c r="X3975" i="34"/>
  <c r="Y3975" i="34"/>
  <c r="N3976" i="34"/>
  <c r="R3976" i="34"/>
  <c r="S3976" i="34"/>
  <c r="T3976" i="34"/>
  <c r="V3976" i="34"/>
  <c r="X3976" i="34"/>
  <c r="Y3976" i="34"/>
  <c r="N3977" i="34"/>
  <c r="R3977" i="34"/>
  <c r="S3977" i="34"/>
  <c r="T3977" i="34"/>
  <c r="V3977" i="34"/>
  <c r="X3977" i="34"/>
  <c r="Y3977" i="34"/>
  <c r="N3978" i="34"/>
  <c r="R3978" i="34"/>
  <c r="S3978" i="34"/>
  <c r="T3978" i="34"/>
  <c r="V3978" i="34"/>
  <c r="X3978" i="34"/>
  <c r="Y3978" i="34"/>
  <c r="N3979" i="34"/>
  <c r="R3979" i="34"/>
  <c r="S3979" i="34"/>
  <c r="T3979" i="34"/>
  <c r="V3979" i="34"/>
  <c r="X3979" i="34"/>
  <c r="Y3979" i="34"/>
  <c r="N3980" i="34"/>
  <c r="R3980" i="34"/>
  <c r="S3980" i="34"/>
  <c r="T3980" i="34"/>
  <c r="V3980" i="34"/>
  <c r="X3980" i="34"/>
  <c r="Y3980" i="34"/>
  <c r="N3981" i="34"/>
  <c r="R3981" i="34"/>
  <c r="S3981" i="34"/>
  <c r="T3981" i="34"/>
  <c r="V3981" i="34"/>
  <c r="X3981" i="34"/>
  <c r="Y3981" i="34"/>
  <c r="N3982" i="34"/>
  <c r="R3982" i="34"/>
  <c r="S3982" i="34"/>
  <c r="T3982" i="34"/>
  <c r="V3982" i="34"/>
  <c r="X3982" i="34"/>
  <c r="Y3982" i="34"/>
  <c r="N3983" i="34"/>
  <c r="R3983" i="34"/>
  <c r="S3983" i="34"/>
  <c r="T3983" i="34"/>
  <c r="V3983" i="34"/>
  <c r="X3983" i="34"/>
  <c r="Y3983" i="34"/>
  <c r="N3984" i="34"/>
  <c r="R3984" i="34"/>
  <c r="S3984" i="34"/>
  <c r="T3984" i="34"/>
  <c r="V3984" i="34"/>
  <c r="X3984" i="34"/>
  <c r="Y3984" i="34"/>
  <c r="N3985" i="34"/>
  <c r="R3985" i="34"/>
  <c r="S3985" i="34"/>
  <c r="T3985" i="34"/>
  <c r="V3985" i="34"/>
  <c r="X3985" i="34"/>
  <c r="Y3985" i="34"/>
  <c r="N3986" i="34"/>
  <c r="R3986" i="34"/>
  <c r="S3986" i="34"/>
  <c r="T3986" i="34"/>
  <c r="V3986" i="34"/>
  <c r="X3986" i="34"/>
  <c r="Y3986" i="34"/>
  <c r="N3987" i="34"/>
  <c r="R3987" i="34"/>
  <c r="S3987" i="34"/>
  <c r="T3987" i="34"/>
  <c r="V3987" i="34"/>
  <c r="X3987" i="34"/>
  <c r="Y3987" i="34"/>
  <c r="N3988" i="34"/>
  <c r="R3988" i="34"/>
  <c r="S3988" i="34"/>
  <c r="T3988" i="34"/>
  <c r="V3988" i="34"/>
  <c r="X3988" i="34"/>
  <c r="Y3988" i="34"/>
  <c r="N3989" i="34"/>
  <c r="R3989" i="34"/>
  <c r="S3989" i="34"/>
  <c r="T3989" i="34"/>
  <c r="V3989" i="34"/>
  <c r="X3989" i="34"/>
  <c r="Y3989" i="34"/>
  <c r="N3990" i="34"/>
  <c r="R3990" i="34"/>
  <c r="S3990" i="34"/>
  <c r="T3990" i="34"/>
  <c r="V3990" i="34"/>
  <c r="X3990" i="34"/>
  <c r="Y3990" i="34"/>
  <c r="N3991" i="34"/>
  <c r="R3991" i="34"/>
  <c r="S3991" i="34"/>
  <c r="T3991" i="34"/>
  <c r="V3991" i="34"/>
  <c r="X3991" i="34"/>
  <c r="Y3991" i="34"/>
  <c r="N3992" i="34"/>
  <c r="R3992" i="34"/>
  <c r="S3992" i="34"/>
  <c r="T3992" i="34"/>
  <c r="V3992" i="34"/>
  <c r="X3992" i="34"/>
  <c r="Y3992" i="34"/>
  <c r="N3993" i="34"/>
  <c r="R3993" i="34"/>
  <c r="S3993" i="34"/>
  <c r="T3993" i="34"/>
  <c r="V3993" i="34"/>
  <c r="X3993" i="34"/>
  <c r="Y3993" i="34"/>
  <c r="N3994" i="34"/>
  <c r="R3994" i="34"/>
  <c r="S3994" i="34"/>
  <c r="T3994" i="34"/>
  <c r="V3994" i="34"/>
  <c r="X3994" i="34"/>
  <c r="Y3994" i="34"/>
  <c r="N3995" i="34"/>
  <c r="R3995" i="34"/>
  <c r="S3995" i="34"/>
  <c r="T3995" i="34"/>
  <c r="V3995" i="34"/>
  <c r="X3995" i="34"/>
  <c r="Y3995" i="34"/>
  <c r="N3996" i="34"/>
  <c r="R3996" i="34"/>
  <c r="S3996" i="34"/>
  <c r="T3996" i="34"/>
  <c r="V3996" i="34"/>
  <c r="X3996" i="34"/>
  <c r="Y3996" i="34"/>
  <c r="N3997" i="34"/>
  <c r="R3997" i="34"/>
  <c r="S3997" i="34"/>
  <c r="T3997" i="34"/>
  <c r="V3997" i="34"/>
  <c r="X3997" i="34"/>
  <c r="Y3997" i="34"/>
  <c r="N3998" i="34"/>
  <c r="R3998" i="34"/>
  <c r="S3998" i="34"/>
  <c r="T3998" i="34"/>
  <c r="V3998" i="34"/>
  <c r="X3998" i="34"/>
  <c r="Y3998" i="34"/>
  <c r="N3999" i="34"/>
  <c r="R3999" i="34"/>
  <c r="S3999" i="34"/>
  <c r="T3999" i="34"/>
  <c r="V3999" i="34"/>
  <c r="X3999" i="34"/>
  <c r="Y3999" i="34"/>
  <c r="N4000" i="34"/>
  <c r="R4000" i="34"/>
  <c r="S4000" i="34"/>
  <c r="T4000" i="34"/>
  <c r="V4000" i="34"/>
  <c r="X4000" i="34"/>
  <c r="Y4000" i="34"/>
  <c r="N4001" i="34"/>
  <c r="R4001" i="34"/>
  <c r="S4001" i="34"/>
  <c r="T4001" i="34"/>
  <c r="V4001" i="34"/>
  <c r="X4001" i="34"/>
  <c r="Y4001" i="34"/>
  <c r="N4002" i="34"/>
  <c r="R4002" i="34"/>
  <c r="S4002" i="34"/>
  <c r="T4002" i="34"/>
  <c r="V4002" i="34"/>
  <c r="X4002" i="34"/>
  <c r="Y4002" i="34"/>
  <c r="N4003" i="34"/>
  <c r="R4003" i="34"/>
  <c r="S4003" i="34"/>
  <c r="T4003" i="34"/>
  <c r="V4003" i="34"/>
  <c r="X4003" i="34"/>
  <c r="Y4003" i="34"/>
  <c r="N4004" i="34"/>
  <c r="R4004" i="34"/>
  <c r="S4004" i="34"/>
  <c r="T4004" i="34"/>
  <c r="V4004" i="34"/>
  <c r="X4004" i="34"/>
  <c r="Y4004" i="34"/>
  <c r="N4005" i="34"/>
  <c r="R4005" i="34"/>
  <c r="S4005" i="34"/>
  <c r="T4005" i="34"/>
  <c r="V4005" i="34"/>
  <c r="X4005" i="34"/>
  <c r="Y4005" i="34"/>
  <c r="N4006" i="34"/>
  <c r="R4006" i="34"/>
  <c r="S4006" i="34"/>
  <c r="T4006" i="34"/>
  <c r="V4006" i="34"/>
  <c r="X4006" i="34"/>
  <c r="Y4006" i="34"/>
  <c r="N4007" i="34"/>
  <c r="R4007" i="34"/>
  <c r="S4007" i="34"/>
  <c r="T4007" i="34"/>
  <c r="V4007" i="34"/>
  <c r="X4007" i="34"/>
  <c r="Y4007" i="34"/>
  <c r="N4008" i="34"/>
  <c r="R4008" i="34"/>
  <c r="S4008" i="34"/>
  <c r="T4008" i="34"/>
  <c r="V4008" i="34"/>
  <c r="X4008" i="34"/>
  <c r="Y4008" i="34"/>
  <c r="N4009" i="34"/>
  <c r="R4009" i="34"/>
  <c r="S4009" i="34"/>
  <c r="T4009" i="34"/>
  <c r="V4009" i="34"/>
  <c r="X4009" i="34"/>
  <c r="Y4009" i="34"/>
  <c r="N4010" i="34"/>
  <c r="R4010" i="34"/>
  <c r="S4010" i="34"/>
  <c r="T4010" i="34"/>
  <c r="V4010" i="34"/>
  <c r="X4010" i="34"/>
  <c r="Y4010" i="34"/>
  <c r="N4011" i="34"/>
  <c r="R4011" i="34"/>
  <c r="S4011" i="34"/>
  <c r="T4011" i="34"/>
  <c r="V4011" i="34"/>
  <c r="X4011" i="34"/>
  <c r="Y4011" i="34"/>
  <c r="N4012" i="34"/>
  <c r="R4012" i="34"/>
  <c r="S4012" i="34"/>
  <c r="T4012" i="34"/>
  <c r="V4012" i="34"/>
  <c r="X4012" i="34"/>
  <c r="Y4012" i="34"/>
  <c r="N4013" i="34"/>
  <c r="R4013" i="34"/>
  <c r="S4013" i="34"/>
  <c r="T4013" i="34"/>
  <c r="V4013" i="34"/>
  <c r="X4013" i="34"/>
  <c r="Y4013" i="34"/>
  <c r="N4014" i="34"/>
  <c r="R4014" i="34"/>
  <c r="S4014" i="34"/>
  <c r="T4014" i="34"/>
  <c r="V4014" i="34"/>
  <c r="X4014" i="34"/>
  <c r="Y4014" i="34"/>
  <c r="N4015" i="34"/>
  <c r="R4015" i="34"/>
  <c r="S4015" i="34"/>
  <c r="T4015" i="34"/>
  <c r="V4015" i="34"/>
  <c r="X4015" i="34"/>
  <c r="Y4015" i="34"/>
  <c r="N4016" i="34"/>
  <c r="R4016" i="34"/>
  <c r="S4016" i="34"/>
  <c r="T4016" i="34"/>
  <c r="V4016" i="34"/>
  <c r="X4016" i="34"/>
  <c r="Y4016" i="34"/>
  <c r="N4017" i="34"/>
  <c r="R4017" i="34"/>
  <c r="S4017" i="34"/>
  <c r="T4017" i="34"/>
  <c r="V4017" i="34"/>
  <c r="X4017" i="34"/>
  <c r="Y4017" i="34"/>
  <c r="N4018" i="34"/>
  <c r="R4018" i="34"/>
  <c r="S4018" i="34"/>
  <c r="T4018" i="34"/>
  <c r="V4018" i="34"/>
  <c r="X4018" i="34"/>
  <c r="Y4018" i="34"/>
  <c r="N4019" i="34"/>
  <c r="R4019" i="34"/>
  <c r="S4019" i="34"/>
  <c r="T4019" i="34"/>
  <c r="V4019" i="34"/>
  <c r="X4019" i="34"/>
  <c r="Y4019" i="34"/>
  <c r="N4020" i="34"/>
  <c r="R4020" i="34"/>
  <c r="S4020" i="34"/>
  <c r="T4020" i="34"/>
  <c r="V4020" i="34"/>
  <c r="X4020" i="34"/>
  <c r="Y4020" i="34"/>
  <c r="N4021" i="34"/>
  <c r="R4021" i="34"/>
  <c r="S4021" i="34"/>
  <c r="T4021" i="34"/>
  <c r="V4021" i="34"/>
  <c r="X4021" i="34"/>
  <c r="Y4021" i="34"/>
  <c r="N4022" i="34"/>
  <c r="R4022" i="34"/>
  <c r="S4022" i="34"/>
  <c r="T4022" i="34"/>
  <c r="V4022" i="34"/>
  <c r="X4022" i="34"/>
  <c r="Y4022" i="34"/>
  <c r="N4023" i="34"/>
  <c r="R4023" i="34"/>
  <c r="S4023" i="34"/>
  <c r="T4023" i="34"/>
  <c r="V4023" i="34"/>
  <c r="X4023" i="34"/>
  <c r="Y4023" i="34"/>
  <c r="N4024" i="34"/>
  <c r="R4024" i="34"/>
  <c r="S4024" i="34"/>
  <c r="T4024" i="34"/>
  <c r="V4024" i="34"/>
  <c r="X4024" i="34"/>
  <c r="Y4024" i="34"/>
  <c r="N4025" i="34"/>
  <c r="R4025" i="34"/>
  <c r="S4025" i="34"/>
  <c r="T4025" i="34"/>
  <c r="V4025" i="34"/>
  <c r="X4025" i="34"/>
  <c r="Y4025" i="34"/>
  <c r="N4026" i="34"/>
  <c r="R4026" i="34"/>
  <c r="S4026" i="34"/>
  <c r="T4026" i="34"/>
  <c r="V4026" i="34"/>
  <c r="X4026" i="34"/>
  <c r="Y4026" i="34"/>
  <c r="N4027" i="34"/>
  <c r="R4027" i="34"/>
  <c r="S4027" i="34"/>
  <c r="T4027" i="34"/>
  <c r="V4027" i="34"/>
  <c r="X4027" i="34"/>
  <c r="Y4027" i="34"/>
  <c r="N4028" i="34"/>
  <c r="R4028" i="34"/>
  <c r="S4028" i="34"/>
  <c r="T4028" i="34"/>
  <c r="V4028" i="34"/>
  <c r="X4028" i="34"/>
  <c r="Y4028" i="34"/>
  <c r="N4029" i="34"/>
  <c r="R4029" i="34"/>
  <c r="S4029" i="34"/>
  <c r="T4029" i="34"/>
  <c r="V4029" i="34"/>
  <c r="X4029" i="34"/>
  <c r="Y4029" i="34"/>
  <c r="N4030" i="34"/>
  <c r="R4030" i="34"/>
  <c r="S4030" i="34"/>
  <c r="T4030" i="34"/>
  <c r="V4030" i="34"/>
  <c r="X4030" i="34"/>
  <c r="Y4030" i="34"/>
  <c r="N4031" i="34"/>
  <c r="R4031" i="34"/>
  <c r="S4031" i="34"/>
  <c r="T4031" i="34"/>
  <c r="V4031" i="34"/>
  <c r="X4031" i="34"/>
  <c r="Y4031" i="34"/>
  <c r="N4032" i="34"/>
  <c r="R4032" i="34"/>
  <c r="S4032" i="34"/>
  <c r="T4032" i="34"/>
  <c r="V4032" i="34"/>
  <c r="X4032" i="34"/>
  <c r="Y4032" i="34"/>
  <c r="N4033" i="34"/>
  <c r="R4033" i="34"/>
  <c r="S4033" i="34"/>
  <c r="T4033" i="34"/>
  <c r="V4033" i="34"/>
  <c r="X4033" i="34"/>
  <c r="Y4033" i="34"/>
  <c r="N4034" i="34"/>
  <c r="R4034" i="34"/>
  <c r="S4034" i="34"/>
  <c r="T4034" i="34"/>
  <c r="V4034" i="34"/>
  <c r="X4034" i="34"/>
  <c r="Y4034" i="34"/>
  <c r="N4035" i="34"/>
  <c r="R4035" i="34"/>
  <c r="S4035" i="34"/>
  <c r="T4035" i="34"/>
  <c r="V4035" i="34"/>
  <c r="X4035" i="34"/>
  <c r="Y4035" i="34"/>
  <c r="N4036" i="34"/>
  <c r="R4036" i="34"/>
  <c r="S4036" i="34"/>
  <c r="T4036" i="34"/>
  <c r="V4036" i="34"/>
  <c r="X4036" i="34"/>
  <c r="Y4036" i="34"/>
  <c r="N4037" i="34"/>
  <c r="R4037" i="34"/>
  <c r="S4037" i="34"/>
  <c r="T4037" i="34"/>
  <c r="V4037" i="34"/>
  <c r="X4037" i="34"/>
  <c r="Y4037" i="34"/>
  <c r="N4038" i="34"/>
  <c r="R4038" i="34"/>
  <c r="S4038" i="34"/>
  <c r="T4038" i="34"/>
  <c r="V4038" i="34"/>
  <c r="X4038" i="34"/>
  <c r="Y4038" i="34"/>
  <c r="N4039" i="34"/>
  <c r="R4039" i="34"/>
  <c r="S4039" i="34"/>
  <c r="T4039" i="34"/>
  <c r="V4039" i="34"/>
  <c r="X4039" i="34"/>
  <c r="Y4039" i="34"/>
  <c r="N4040" i="34"/>
  <c r="R4040" i="34"/>
  <c r="S4040" i="34"/>
  <c r="T4040" i="34"/>
  <c r="V4040" i="34"/>
  <c r="X4040" i="34"/>
  <c r="Y4040" i="34"/>
  <c r="N4041" i="34"/>
  <c r="R4041" i="34"/>
  <c r="S4041" i="34"/>
  <c r="T4041" i="34"/>
  <c r="V4041" i="34"/>
  <c r="X4041" i="34"/>
  <c r="Y4041" i="34"/>
  <c r="N4042" i="34"/>
  <c r="R4042" i="34"/>
  <c r="S4042" i="34"/>
  <c r="T4042" i="34"/>
  <c r="V4042" i="34"/>
  <c r="X4042" i="34"/>
  <c r="Y4042" i="34"/>
  <c r="N4043" i="34"/>
  <c r="R4043" i="34"/>
  <c r="S4043" i="34"/>
  <c r="T4043" i="34"/>
  <c r="V4043" i="34"/>
  <c r="X4043" i="34"/>
  <c r="Y4043" i="34"/>
  <c r="N4044" i="34"/>
  <c r="R4044" i="34"/>
  <c r="S4044" i="34"/>
  <c r="T4044" i="34"/>
  <c r="V4044" i="34"/>
  <c r="X4044" i="34"/>
  <c r="Y4044" i="34"/>
  <c r="N4045" i="34"/>
  <c r="R4045" i="34"/>
  <c r="S4045" i="34"/>
  <c r="T4045" i="34"/>
  <c r="V4045" i="34"/>
  <c r="X4045" i="34"/>
  <c r="Y4045" i="34"/>
  <c r="N4046" i="34"/>
  <c r="R4046" i="34"/>
  <c r="S4046" i="34"/>
  <c r="T4046" i="34"/>
  <c r="V4046" i="34"/>
  <c r="X4046" i="34"/>
  <c r="Y4046" i="34"/>
  <c r="N4047" i="34"/>
  <c r="R4047" i="34"/>
  <c r="S4047" i="34"/>
  <c r="T4047" i="34"/>
  <c r="V4047" i="34"/>
  <c r="X4047" i="34"/>
  <c r="Y4047" i="34"/>
  <c r="N4048" i="34"/>
  <c r="R4048" i="34"/>
  <c r="S4048" i="34"/>
  <c r="T4048" i="34"/>
  <c r="V4048" i="34"/>
  <c r="X4048" i="34"/>
  <c r="Y4048" i="34"/>
  <c r="N4049" i="34"/>
  <c r="R4049" i="34"/>
  <c r="S4049" i="34"/>
  <c r="T4049" i="34"/>
  <c r="V4049" i="34"/>
  <c r="X4049" i="34"/>
  <c r="Y4049" i="34"/>
  <c r="N4050" i="34"/>
  <c r="R4050" i="34"/>
  <c r="S4050" i="34"/>
  <c r="T4050" i="34"/>
  <c r="V4050" i="34"/>
  <c r="X4050" i="34"/>
  <c r="Y4050" i="34"/>
  <c r="N4051" i="34"/>
  <c r="R4051" i="34"/>
  <c r="S4051" i="34"/>
  <c r="T4051" i="34"/>
  <c r="V4051" i="34"/>
  <c r="X4051" i="34"/>
  <c r="Y4051" i="34"/>
  <c r="N4052" i="34"/>
  <c r="R4052" i="34"/>
  <c r="S4052" i="34"/>
  <c r="T4052" i="34"/>
  <c r="V4052" i="34"/>
  <c r="X4052" i="34"/>
  <c r="Y4052" i="34"/>
  <c r="N4053" i="34"/>
  <c r="R4053" i="34"/>
  <c r="S4053" i="34"/>
  <c r="T4053" i="34"/>
  <c r="V4053" i="34"/>
  <c r="X4053" i="34"/>
  <c r="Y4053" i="34"/>
  <c r="N4054" i="34"/>
  <c r="R4054" i="34"/>
  <c r="S4054" i="34"/>
  <c r="T4054" i="34"/>
  <c r="V4054" i="34"/>
  <c r="X4054" i="34"/>
  <c r="Y4054" i="34"/>
  <c r="N4055" i="34"/>
  <c r="R4055" i="34"/>
  <c r="S4055" i="34"/>
  <c r="T4055" i="34"/>
  <c r="V4055" i="34"/>
  <c r="X4055" i="34"/>
  <c r="Y4055" i="34"/>
  <c r="N4056" i="34"/>
  <c r="R4056" i="34"/>
  <c r="S4056" i="34"/>
  <c r="T4056" i="34"/>
  <c r="V4056" i="34"/>
  <c r="X4056" i="34"/>
  <c r="Y4056" i="34"/>
  <c r="N4057" i="34"/>
  <c r="R4057" i="34"/>
  <c r="S4057" i="34"/>
  <c r="T4057" i="34"/>
  <c r="V4057" i="34"/>
  <c r="X4057" i="34"/>
  <c r="Y4057" i="34"/>
  <c r="N4058" i="34"/>
  <c r="R4058" i="34"/>
  <c r="S4058" i="34"/>
  <c r="T4058" i="34"/>
  <c r="V4058" i="34"/>
  <c r="X4058" i="34"/>
  <c r="Y4058" i="34"/>
  <c r="N4059" i="34"/>
  <c r="R4059" i="34"/>
  <c r="S4059" i="34"/>
  <c r="T4059" i="34"/>
  <c r="V4059" i="34"/>
  <c r="X4059" i="34"/>
  <c r="Y4059" i="34"/>
  <c r="N4060" i="34"/>
  <c r="R4060" i="34"/>
  <c r="S4060" i="34"/>
  <c r="T4060" i="34"/>
  <c r="V4060" i="34"/>
  <c r="X4060" i="34"/>
  <c r="Y4060" i="34"/>
  <c r="N4061" i="34"/>
  <c r="R4061" i="34"/>
  <c r="S4061" i="34"/>
  <c r="T4061" i="34"/>
  <c r="V4061" i="34"/>
  <c r="X4061" i="34"/>
  <c r="Y4061" i="34"/>
  <c r="N4062" i="34"/>
  <c r="R4062" i="34"/>
  <c r="S4062" i="34"/>
  <c r="T4062" i="34"/>
  <c r="V4062" i="34"/>
  <c r="X4062" i="34"/>
  <c r="Y4062" i="34"/>
  <c r="N4063" i="34"/>
  <c r="R4063" i="34"/>
  <c r="S4063" i="34"/>
  <c r="T4063" i="34"/>
  <c r="V4063" i="34"/>
  <c r="X4063" i="34"/>
  <c r="Y4063" i="34"/>
  <c r="N4064" i="34"/>
  <c r="R4064" i="34"/>
  <c r="S4064" i="34"/>
  <c r="T4064" i="34"/>
  <c r="V4064" i="34"/>
  <c r="X4064" i="34"/>
  <c r="Y4064" i="34"/>
  <c r="N4065" i="34"/>
  <c r="R4065" i="34"/>
  <c r="S4065" i="34"/>
  <c r="T4065" i="34"/>
  <c r="V4065" i="34"/>
  <c r="X4065" i="34"/>
  <c r="Y4065" i="34"/>
  <c r="N4066" i="34"/>
  <c r="R4066" i="34"/>
  <c r="S4066" i="34"/>
  <c r="T4066" i="34"/>
  <c r="V4066" i="34"/>
  <c r="X4066" i="34"/>
  <c r="Y4066" i="34"/>
  <c r="N4067" i="34"/>
  <c r="R4067" i="34"/>
  <c r="S4067" i="34"/>
  <c r="T4067" i="34"/>
  <c r="V4067" i="34"/>
  <c r="X4067" i="34"/>
  <c r="Y4067" i="34"/>
  <c r="N4068" i="34"/>
  <c r="R4068" i="34"/>
  <c r="S4068" i="34"/>
  <c r="T4068" i="34"/>
  <c r="V4068" i="34"/>
  <c r="X4068" i="34"/>
  <c r="Y4068" i="34"/>
  <c r="N4069" i="34"/>
  <c r="R4069" i="34"/>
  <c r="S4069" i="34"/>
  <c r="T4069" i="34"/>
  <c r="V4069" i="34"/>
  <c r="X4069" i="34"/>
  <c r="Y4069" i="34"/>
  <c r="N4070" i="34"/>
  <c r="R4070" i="34"/>
  <c r="S4070" i="34"/>
  <c r="T4070" i="34"/>
  <c r="V4070" i="34"/>
  <c r="X4070" i="34"/>
  <c r="Y4070" i="34"/>
  <c r="N4071" i="34"/>
  <c r="R4071" i="34"/>
  <c r="S4071" i="34"/>
  <c r="T4071" i="34"/>
  <c r="V4071" i="34"/>
  <c r="X4071" i="34"/>
  <c r="Y4071" i="34"/>
  <c r="N4072" i="34"/>
  <c r="R4072" i="34"/>
  <c r="S4072" i="34"/>
  <c r="T4072" i="34"/>
  <c r="V4072" i="34"/>
  <c r="X4072" i="34"/>
  <c r="Y4072" i="34"/>
  <c r="N4073" i="34"/>
  <c r="R4073" i="34"/>
  <c r="S4073" i="34"/>
  <c r="T4073" i="34"/>
  <c r="V4073" i="34"/>
  <c r="X4073" i="34"/>
  <c r="Y4073" i="34"/>
  <c r="N4074" i="34"/>
  <c r="R4074" i="34"/>
  <c r="S4074" i="34"/>
  <c r="T4074" i="34"/>
  <c r="V4074" i="34"/>
  <c r="X4074" i="34"/>
  <c r="Y4074" i="34"/>
  <c r="N4075" i="34"/>
  <c r="R4075" i="34"/>
  <c r="S4075" i="34"/>
  <c r="T4075" i="34"/>
  <c r="V4075" i="34"/>
  <c r="X4075" i="34"/>
  <c r="Y4075" i="34"/>
  <c r="N4076" i="34"/>
  <c r="R4076" i="34"/>
  <c r="S4076" i="34"/>
  <c r="T4076" i="34"/>
  <c r="V4076" i="34"/>
  <c r="X4076" i="34"/>
  <c r="Y4076" i="34"/>
  <c r="N4077" i="34"/>
  <c r="R4077" i="34"/>
  <c r="S4077" i="34"/>
  <c r="T4077" i="34"/>
  <c r="V4077" i="34"/>
  <c r="X4077" i="34"/>
  <c r="Y4077" i="34"/>
  <c r="N4078" i="34"/>
  <c r="R4078" i="34"/>
  <c r="S4078" i="34"/>
  <c r="T4078" i="34"/>
  <c r="V4078" i="34"/>
  <c r="X4078" i="34"/>
  <c r="Y4078" i="34"/>
  <c r="N4079" i="34"/>
  <c r="R4079" i="34"/>
  <c r="S4079" i="34"/>
  <c r="T4079" i="34"/>
  <c r="V4079" i="34"/>
  <c r="X4079" i="34"/>
  <c r="Y4079" i="34"/>
  <c r="N4080" i="34"/>
  <c r="R4080" i="34"/>
  <c r="S4080" i="34"/>
  <c r="T4080" i="34"/>
  <c r="V4080" i="34"/>
  <c r="X4080" i="34"/>
  <c r="Y4080" i="34"/>
  <c r="N4081" i="34"/>
  <c r="R4081" i="34"/>
  <c r="S4081" i="34"/>
  <c r="T4081" i="34"/>
  <c r="V4081" i="34"/>
  <c r="X4081" i="34"/>
  <c r="Y4081" i="34"/>
  <c r="N4082" i="34"/>
  <c r="R4082" i="34"/>
  <c r="S4082" i="34"/>
  <c r="T4082" i="34"/>
  <c r="V4082" i="34"/>
  <c r="X4082" i="34"/>
  <c r="Y4082" i="34"/>
  <c r="N4083" i="34"/>
  <c r="R4083" i="34"/>
  <c r="S4083" i="34"/>
  <c r="T4083" i="34"/>
  <c r="V4083" i="34"/>
  <c r="X4083" i="34"/>
  <c r="Y4083" i="34"/>
  <c r="N4084" i="34"/>
  <c r="R4084" i="34"/>
  <c r="S4084" i="34"/>
  <c r="T4084" i="34"/>
  <c r="V4084" i="34"/>
  <c r="X4084" i="34"/>
  <c r="Y4084" i="34"/>
  <c r="N4085" i="34"/>
  <c r="R4085" i="34"/>
  <c r="S4085" i="34"/>
  <c r="T4085" i="34"/>
  <c r="V4085" i="34"/>
  <c r="X4085" i="34"/>
  <c r="Y4085" i="34"/>
  <c r="N4086" i="34"/>
  <c r="R4086" i="34"/>
  <c r="S4086" i="34"/>
  <c r="T4086" i="34"/>
  <c r="V4086" i="34"/>
  <c r="X4086" i="34"/>
  <c r="Y4086" i="34"/>
  <c r="N4087" i="34"/>
  <c r="R4087" i="34"/>
  <c r="S4087" i="34"/>
  <c r="T4087" i="34"/>
  <c r="V4087" i="34"/>
  <c r="X4087" i="34"/>
  <c r="Y4087" i="34"/>
  <c r="N4088" i="34"/>
  <c r="R4088" i="34"/>
  <c r="S4088" i="34"/>
  <c r="T4088" i="34"/>
  <c r="V4088" i="34"/>
  <c r="X4088" i="34"/>
  <c r="Y4088" i="34"/>
  <c r="N4089" i="34"/>
  <c r="R4089" i="34"/>
  <c r="S4089" i="34"/>
  <c r="T4089" i="34"/>
  <c r="V4089" i="34"/>
  <c r="X4089" i="34"/>
  <c r="Y4089" i="34"/>
  <c r="N4090" i="34"/>
  <c r="R4090" i="34"/>
  <c r="S4090" i="34"/>
  <c r="T4090" i="34"/>
  <c r="V4090" i="34"/>
  <c r="X4090" i="34"/>
  <c r="Y4090" i="34"/>
  <c r="N4091" i="34"/>
  <c r="R4091" i="34"/>
  <c r="S4091" i="34"/>
  <c r="T4091" i="34"/>
  <c r="V4091" i="34"/>
  <c r="X4091" i="34"/>
  <c r="Y4091" i="34"/>
  <c r="N4092" i="34"/>
  <c r="R4092" i="34"/>
  <c r="S4092" i="34"/>
  <c r="T4092" i="34"/>
  <c r="V4092" i="34"/>
  <c r="X4092" i="34"/>
  <c r="Y4092" i="34"/>
  <c r="N4093" i="34"/>
  <c r="R4093" i="34"/>
  <c r="S4093" i="34"/>
  <c r="T4093" i="34"/>
  <c r="V4093" i="34"/>
  <c r="X4093" i="34"/>
  <c r="Y4093" i="34"/>
  <c r="N4094" i="34"/>
  <c r="R4094" i="34"/>
  <c r="S4094" i="34"/>
  <c r="T4094" i="34"/>
  <c r="V4094" i="34"/>
  <c r="X4094" i="34"/>
  <c r="Y4094" i="34"/>
  <c r="N4095" i="34"/>
  <c r="R4095" i="34"/>
  <c r="S4095" i="34"/>
  <c r="T4095" i="34"/>
  <c r="V4095" i="34"/>
  <c r="X4095" i="34"/>
  <c r="Y4095" i="34"/>
  <c r="N4096" i="34"/>
  <c r="R4096" i="34"/>
  <c r="S4096" i="34"/>
  <c r="T4096" i="34"/>
  <c r="V4096" i="34"/>
  <c r="X4096" i="34"/>
  <c r="Y4096" i="34"/>
  <c r="N4097" i="34"/>
  <c r="R4097" i="34"/>
  <c r="S4097" i="34"/>
  <c r="T4097" i="34"/>
  <c r="V4097" i="34"/>
  <c r="X4097" i="34"/>
  <c r="Y4097" i="34"/>
  <c r="N4098" i="34"/>
  <c r="R4098" i="34"/>
  <c r="S4098" i="34"/>
  <c r="T4098" i="34"/>
  <c r="V4098" i="34"/>
  <c r="X4098" i="34"/>
  <c r="Y4098" i="34"/>
  <c r="N4099" i="34"/>
  <c r="R4099" i="34"/>
  <c r="S4099" i="34"/>
  <c r="T4099" i="34"/>
  <c r="V4099" i="34"/>
  <c r="X4099" i="34"/>
  <c r="Y4099" i="34"/>
  <c r="N4100" i="34"/>
  <c r="R4100" i="34"/>
  <c r="S4100" i="34"/>
  <c r="T4100" i="34"/>
  <c r="V4100" i="34"/>
  <c r="X4100" i="34"/>
  <c r="Y4100" i="34"/>
  <c r="N4101" i="34"/>
  <c r="R4101" i="34"/>
  <c r="S4101" i="34"/>
  <c r="T4101" i="34"/>
  <c r="V4101" i="34"/>
  <c r="X4101" i="34"/>
  <c r="Y4101" i="34"/>
  <c r="N4102" i="34"/>
  <c r="R4102" i="34"/>
  <c r="S4102" i="34"/>
  <c r="T4102" i="34"/>
  <c r="V4102" i="34"/>
  <c r="X4102" i="34"/>
  <c r="Y4102" i="34"/>
  <c r="N4103" i="34"/>
  <c r="R4103" i="34"/>
  <c r="S4103" i="34"/>
  <c r="T4103" i="34"/>
  <c r="V4103" i="34"/>
  <c r="X4103" i="34"/>
  <c r="Y4103" i="34"/>
  <c r="N4104" i="34"/>
  <c r="R4104" i="34"/>
  <c r="S4104" i="34"/>
  <c r="T4104" i="34"/>
  <c r="V4104" i="34"/>
  <c r="X4104" i="34"/>
  <c r="Y4104" i="34"/>
  <c r="N4105" i="34"/>
  <c r="R4105" i="34"/>
  <c r="S4105" i="34"/>
  <c r="T4105" i="34"/>
  <c r="V4105" i="34"/>
  <c r="X4105" i="34"/>
  <c r="Y4105" i="34"/>
  <c r="N4106" i="34"/>
  <c r="R4106" i="34"/>
  <c r="S4106" i="34"/>
  <c r="T4106" i="34"/>
  <c r="V4106" i="34"/>
  <c r="X4106" i="34"/>
  <c r="Y4106" i="34"/>
  <c r="N4107" i="34"/>
  <c r="R4107" i="34"/>
  <c r="S4107" i="34"/>
  <c r="T4107" i="34"/>
  <c r="V4107" i="34"/>
  <c r="X4107" i="34"/>
  <c r="Y4107" i="34"/>
  <c r="N4108" i="34"/>
  <c r="R4108" i="34"/>
  <c r="S4108" i="34"/>
  <c r="T4108" i="34"/>
  <c r="V4108" i="34"/>
  <c r="X4108" i="34"/>
  <c r="Y4108" i="34"/>
  <c r="N4109" i="34"/>
  <c r="R4109" i="34"/>
  <c r="S4109" i="34"/>
  <c r="T4109" i="34"/>
  <c r="V4109" i="34"/>
  <c r="X4109" i="34"/>
  <c r="Y4109" i="34"/>
  <c r="N4110" i="34"/>
  <c r="R4110" i="34"/>
  <c r="S4110" i="34"/>
  <c r="T4110" i="34"/>
  <c r="V4110" i="34"/>
  <c r="X4110" i="34"/>
  <c r="Y4110" i="34"/>
  <c r="N4111" i="34"/>
  <c r="R4111" i="34"/>
  <c r="S4111" i="34"/>
  <c r="T4111" i="34"/>
  <c r="V4111" i="34"/>
  <c r="X4111" i="34"/>
  <c r="Y4111" i="34"/>
  <c r="N4112" i="34"/>
  <c r="R4112" i="34"/>
  <c r="S4112" i="34"/>
  <c r="T4112" i="34"/>
  <c r="V4112" i="34"/>
  <c r="X4112" i="34"/>
  <c r="Y4112" i="34"/>
  <c r="N4113" i="34"/>
  <c r="R4113" i="34"/>
  <c r="S4113" i="34"/>
  <c r="T4113" i="34"/>
  <c r="V4113" i="34"/>
  <c r="X4113" i="34"/>
  <c r="Y4113" i="34"/>
  <c r="N4114" i="34"/>
  <c r="R4114" i="34"/>
  <c r="S4114" i="34"/>
  <c r="T4114" i="34"/>
  <c r="V4114" i="34"/>
  <c r="X4114" i="34"/>
  <c r="Y4114" i="34"/>
  <c r="N4115" i="34"/>
  <c r="R4115" i="34"/>
  <c r="S4115" i="34"/>
  <c r="T4115" i="34"/>
  <c r="V4115" i="34"/>
  <c r="X4115" i="34"/>
  <c r="Y4115" i="34"/>
  <c r="N4116" i="34"/>
  <c r="R4116" i="34"/>
  <c r="S4116" i="34"/>
  <c r="T4116" i="34"/>
  <c r="V4116" i="34"/>
  <c r="X4116" i="34"/>
  <c r="Y4116" i="34"/>
  <c r="N4117" i="34"/>
  <c r="R4117" i="34"/>
  <c r="S4117" i="34"/>
  <c r="T4117" i="34"/>
  <c r="V4117" i="34"/>
  <c r="X4117" i="34"/>
  <c r="Y4117" i="34"/>
  <c r="N4118" i="34"/>
  <c r="R4118" i="34"/>
  <c r="S4118" i="34"/>
  <c r="T4118" i="34"/>
  <c r="V4118" i="34"/>
  <c r="X4118" i="34"/>
  <c r="Y4118" i="34"/>
  <c r="N4119" i="34"/>
  <c r="R4119" i="34"/>
  <c r="S4119" i="34"/>
  <c r="T4119" i="34"/>
  <c r="V4119" i="34"/>
  <c r="X4119" i="34"/>
  <c r="Y4119" i="34"/>
  <c r="N4120" i="34"/>
  <c r="R4120" i="34"/>
  <c r="S4120" i="34"/>
  <c r="T4120" i="34"/>
  <c r="V4120" i="34"/>
  <c r="X4120" i="34"/>
  <c r="Y4120" i="34"/>
  <c r="N4121" i="34"/>
  <c r="R4121" i="34"/>
  <c r="S4121" i="34"/>
  <c r="T4121" i="34"/>
  <c r="V4121" i="34"/>
  <c r="X4121" i="34"/>
  <c r="Y4121" i="34"/>
  <c r="N4122" i="34"/>
  <c r="R4122" i="34"/>
  <c r="S4122" i="34"/>
  <c r="T4122" i="34"/>
  <c r="V4122" i="34"/>
  <c r="X4122" i="34"/>
  <c r="Y4122" i="34"/>
  <c r="N4123" i="34"/>
  <c r="R4123" i="34"/>
  <c r="S4123" i="34"/>
  <c r="T4123" i="34"/>
  <c r="V4123" i="34"/>
  <c r="X4123" i="34"/>
  <c r="Y4123" i="34"/>
  <c r="N4124" i="34"/>
  <c r="R4124" i="34"/>
  <c r="S4124" i="34"/>
  <c r="T4124" i="34"/>
  <c r="V4124" i="34"/>
  <c r="X4124" i="34"/>
  <c r="Y4124" i="34"/>
  <c r="N4125" i="34"/>
  <c r="R4125" i="34"/>
  <c r="S4125" i="34"/>
  <c r="T4125" i="34"/>
  <c r="V4125" i="34"/>
  <c r="X4125" i="34"/>
  <c r="Y4125" i="34"/>
  <c r="N4126" i="34"/>
  <c r="R4126" i="34"/>
  <c r="S4126" i="34"/>
  <c r="T4126" i="34"/>
  <c r="V4126" i="34"/>
  <c r="X4126" i="34"/>
  <c r="Y4126" i="34"/>
  <c r="N4127" i="34"/>
  <c r="R4127" i="34"/>
  <c r="S4127" i="34"/>
  <c r="T4127" i="34"/>
  <c r="V4127" i="34"/>
  <c r="X4127" i="34"/>
  <c r="Y4127" i="34"/>
  <c r="N4128" i="34"/>
  <c r="R4128" i="34"/>
  <c r="S4128" i="34"/>
  <c r="T4128" i="34"/>
  <c r="V4128" i="34"/>
  <c r="X4128" i="34"/>
  <c r="Y4128" i="34"/>
  <c r="N4129" i="34"/>
  <c r="R4129" i="34"/>
  <c r="S4129" i="34"/>
  <c r="T4129" i="34"/>
  <c r="V4129" i="34"/>
  <c r="X4129" i="34"/>
  <c r="Y4129" i="34"/>
  <c r="N4130" i="34"/>
  <c r="R4130" i="34"/>
  <c r="S4130" i="34"/>
  <c r="T4130" i="34"/>
  <c r="V4130" i="34"/>
  <c r="X4130" i="34"/>
  <c r="Y4130" i="34"/>
  <c r="N4131" i="34"/>
  <c r="R4131" i="34"/>
  <c r="S4131" i="34"/>
  <c r="T4131" i="34"/>
  <c r="V4131" i="34"/>
  <c r="X4131" i="34"/>
  <c r="Y4131" i="34"/>
  <c r="N4132" i="34"/>
  <c r="R4132" i="34"/>
  <c r="S4132" i="34"/>
  <c r="T4132" i="34"/>
  <c r="V4132" i="34"/>
  <c r="X4132" i="34"/>
  <c r="Y4132" i="34"/>
  <c r="N4133" i="34"/>
  <c r="R4133" i="34"/>
  <c r="S4133" i="34"/>
  <c r="T4133" i="34"/>
  <c r="V4133" i="34"/>
  <c r="X4133" i="34"/>
  <c r="Y4133" i="34"/>
  <c r="N4134" i="34"/>
  <c r="R4134" i="34"/>
  <c r="S4134" i="34"/>
  <c r="T4134" i="34"/>
  <c r="V4134" i="34"/>
  <c r="X4134" i="34"/>
  <c r="Y4134" i="34"/>
  <c r="N4135" i="34"/>
  <c r="R4135" i="34"/>
  <c r="S4135" i="34"/>
  <c r="T4135" i="34"/>
  <c r="V4135" i="34"/>
  <c r="X4135" i="34"/>
  <c r="Y4135" i="34"/>
  <c r="N4136" i="34"/>
  <c r="R4136" i="34"/>
  <c r="S4136" i="34"/>
  <c r="T4136" i="34"/>
  <c r="V4136" i="34"/>
  <c r="X4136" i="34"/>
  <c r="Y4136" i="34"/>
  <c r="N4137" i="34"/>
  <c r="R4137" i="34"/>
  <c r="S4137" i="34"/>
  <c r="T4137" i="34"/>
  <c r="V4137" i="34"/>
  <c r="X4137" i="34"/>
  <c r="Y4137" i="34"/>
  <c r="N4138" i="34"/>
  <c r="R4138" i="34"/>
  <c r="S4138" i="34"/>
  <c r="T4138" i="34"/>
  <c r="V4138" i="34"/>
  <c r="X4138" i="34"/>
  <c r="Y4138" i="34"/>
  <c r="N4139" i="34"/>
  <c r="R4139" i="34"/>
  <c r="S4139" i="34"/>
  <c r="T4139" i="34"/>
  <c r="V4139" i="34"/>
  <c r="X4139" i="34"/>
  <c r="Y4139" i="34"/>
  <c r="N4140" i="34"/>
  <c r="R4140" i="34"/>
  <c r="S4140" i="34"/>
  <c r="T4140" i="34"/>
  <c r="V4140" i="34"/>
  <c r="X4140" i="34"/>
  <c r="Y4140" i="34"/>
  <c r="N4141" i="34"/>
  <c r="R4141" i="34"/>
  <c r="S4141" i="34"/>
  <c r="T4141" i="34"/>
  <c r="V4141" i="34"/>
  <c r="X4141" i="34"/>
  <c r="Y4141" i="34"/>
  <c r="N4142" i="34"/>
  <c r="R4142" i="34"/>
  <c r="S4142" i="34"/>
  <c r="T4142" i="34"/>
  <c r="V4142" i="34"/>
  <c r="X4142" i="34"/>
  <c r="Y4142" i="34"/>
  <c r="N4143" i="34"/>
  <c r="R4143" i="34"/>
  <c r="S4143" i="34"/>
  <c r="T4143" i="34"/>
  <c r="V4143" i="34"/>
  <c r="X4143" i="34"/>
  <c r="Y4143" i="34"/>
  <c r="N4144" i="34"/>
  <c r="R4144" i="34"/>
  <c r="S4144" i="34"/>
  <c r="T4144" i="34"/>
  <c r="V4144" i="34"/>
  <c r="X4144" i="34"/>
  <c r="Y4144" i="34"/>
  <c r="N4145" i="34"/>
  <c r="R4145" i="34"/>
  <c r="S4145" i="34"/>
  <c r="T4145" i="34"/>
  <c r="V4145" i="34"/>
  <c r="X4145" i="34"/>
  <c r="Y4145" i="34"/>
  <c r="N4146" i="34"/>
  <c r="R4146" i="34"/>
  <c r="S4146" i="34"/>
  <c r="T4146" i="34"/>
  <c r="V4146" i="34"/>
  <c r="X4146" i="34"/>
  <c r="Y4146" i="34"/>
  <c r="N4147" i="34"/>
  <c r="R4147" i="34"/>
  <c r="S4147" i="34"/>
  <c r="T4147" i="34"/>
  <c r="V4147" i="34"/>
  <c r="X4147" i="34"/>
  <c r="Y4147" i="34"/>
  <c r="N4148" i="34"/>
  <c r="R4148" i="34"/>
  <c r="S4148" i="34"/>
  <c r="T4148" i="34"/>
  <c r="V4148" i="34"/>
  <c r="X4148" i="34"/>
  <c r="Y4148" i="34"/>
  <c r="N4149" i="34"/>
  <c r="R4149" i="34"/>
  <c r="S4149" i="34"/>
  <c r="T4149" i="34"/>
  <c r="V4149" i="34"/>
  <c r="X4149" i="34"/>
  <c r="Y4149" i="34"/>
  <c r="N4150" i="34"/>
  <c r="R4150" i="34"/>
  <c r="S4150" i="34"/>
  <c r="T4150" i="34"/>
  <c r="V4150" i="34"/>
  <c r="X4150" i="34"/>
  <c r="Y4150" i="34"/>
  <c r="N4151" i="34"/>
  <c r="R4151" i="34"/>
  <c r="S4151" i="34"/>
  <c r="T4151" i="34"/>
  <c r="V4151" i="34"/>
  <c r="X4151" i="34"/>
  <c r="Y4151" i="34"/>
  <c r="N4152" i="34"/>
  <c r="R4152" i="34"/>
  <c r="S4152" i="34"/>
  <c r="T4152" i="34"/>
  <c r="V4152" i="34"/>
  <c r="X4152" i="34"/>
  <c r="Y4152" i="34"/>
  <c r="N4153" i="34"/>
  <c r="R4153" i="34"/>
  <c r="S4153" i="34"/>
  <c r="T4153" i="34"/>
  <c r="V4153" i="34"/>
  <c r="X4153" i="34"/>
  <c r="Y4153" i="34"/>
  <c r="N4154" i="34"/>
  <c r="R4154" i="34"/>
  <c r="S4154" i="34"/>
  <c r="T4154" i="34"/>
  <c r="V4154" i="34"/>
  <c r="X4154" i="34"/>
  <c r="Y4154" i="34"/>
  <c r="N4155" i="34"/>
  <c r="R4155" i="34"/>
  <c r="S4155" i="34"/>
  <c r="T4155" i="34"/>
  <c r="V4155" i="34"/>
  <c r="X4155" i="34"/>
  <c r="Y4155" i="34"/>
  <c r="N4156" i="34"/>
  <c r="R4156" i="34"/>
  <c r="S4156" i="34"/>
  <c r="T4156" i="34"/>
  <c r="V4156" i="34"/>
  <c r="X4156" i="34"/>
  <c r="Y4156" i="34"/>
  <c r="N4157" i="34"/>
  <c r="R4157" i="34"/>
  <c r="S4157" i="34"/>
  <c r="T4157" i="34"/>
  <c r="V4157" i="34"/>
  <c r="X4157" i="34"/>
  <c r="Y4157" i="34"/>
  <c r="N4158" i="34"/>
  <c r="R4158" i="34"/>
  <c r="S4158" i="34"/>
  <c r="T4158" i="34"/>
  <c r="V4158" i="34"/>
  <c r="X4158" i="34"/>
  <c r="Y4158" i="34"/>
  <c r="N4159" i="34"/>
  <c r="R4159" i="34"/>
  <c r="S4159" i="34"/>
  <c r="T4159" i="34"/>
  <c r="V4159" i="34"/>
  <c r="X4159" i="34"/>
  <c r="Y4159" i="34"/>
  <c r="N4160" i="34"/>
  <c r="R4160" i="34"/>
  <c r="S4160" i="34"/>
  <c r="T4160" i="34"/>
  <c r="V4160" i="34"/>
  <c r="X4160" i="34"/>
  <c r="Y4160" i="34"/>
  <c r="N4161" i="34"/>
  <c r="R4161" i="34"/>
  <c r="S4161" i="34"/>
  <c r="T4161" i="34"/>
  <c r="V4161" i="34"/>
  <c r="X4161" i="34"/>
  <c r="Y4161" i="34"/>
  <c r="N4162" i="34"/>
  <c r="R4162" i="34"/>
  <c r="S4162" i="34"/>
  <c r="T4162" i="34"/>
  <c r="V4162" i="34"/>
  <c r="X4162" i="34"/>
  <c r="Y4162" i="34"/>
  <c r="N4163" i="34"/>
  <c r="R4163" i="34"/>
  <c r="S4163" i="34"/>
  <c r="T4163" i="34"/>
  <c r="V4163" i="34"/>
  <c r="X4163" i="34"/>
  <c r="Y4163" i="34"/>
  <c r="N4164" i="34"/>
  <c r="R4164" i="34"/>
  <c r="S4164" i="34"/>
  <c r="T4164" i="34"/>
  <c r="V4164" i="34"/>
  <c r="X4164" i="34"/>
  <c r="Y4164" i="34"/>
  <c r="N4165" i="34"/>
  <c r="R4165" i="34"/>
  <c r="S4165" i="34"/>
  <c r="T4165" i="34"/>
  <c r="V4165" i="34"/>
  <c r="X4165" i="34"/>
  <c r="Y4165" i="34"/>
  <c r="N4166" i="34"/>
  <c r="R4166" i="34"/>
  <c r="S4166" i="34"/>
  <c r="T4166" i="34"/>
  <c r="V4166" i="34"/>
  <c r="X4166" i="34"/>
  <c r="Y4166" i="34"/>
  <c r="N4167" i="34"/>
  <c r="R4167" i="34"/>
  <c r="S4167" i="34"/>
  <c r="T4167" i="34"/>
  <c r="V4167" i="34"/>
  <c r="X4167" i="34"/>
  <c r="Y4167" i="34"/>
  <c r="N4168" i="34"/>
  <c r="R4168" i="34"/>
  <c r="S4168" i="34"/>
  <c r="T4168" i="34"/>
  <c r="V4168" i="34"/>
  <c r="X4168" i="34"/>
  <c r="Y4168" i="34"/>
  <c r="N4169" i="34"/>
  <c r="R4169" i="34"/>
  <c r="S4169" i="34"/>
  <c r="T4169" i="34"/>
  <c r="V4169" i="34"/>
  <c r="X4169" i="34"/>
  <c r="Y4169" i="34"/>
  <c r="N4170" i="34"/>
  <c r="R4170" i="34"/>
  <c r="S4170" i="34"/>
  <c r="T4170" i="34"/>
  <c r="V4170" i="34"/>
  <c r="X4170" i="34"/>
  <c r="Y4170" i="34"/>
  <c r="N4171" i="34"/>
  <c r="R4171" i="34"/>
  <c r="S4171" i="34"/>
  <c r="T4171" i="34"/>
  <c r="V4171" i="34"/>
  <c r="X4171" i="34"/>
  <c r="Y4171" i="34"/>
  <c r="N4172" i="34"/>
  <c r="R4172" i="34"/>
  <c r="S4172" i="34"/>
  <c r="T4172" i="34"/>
  <c r="V4172" i="34"/>
  <c r="X4172" i="34"/>
  <c r="Y4172" i="34"/>
  <c r="N4173" i="34"/>
  <c r="R4173" i="34"/>
  <c r="S4173" i="34"/>
  <c r="T4173" i="34"/>
  <c r="V4173" i="34"/>
  <c r="X4173" i="34"/>
  <c r="Y4173" i="34"/>
  <c r="N4174" i="34"/>
  <c r="R4174" i="34"/>
  <c r="S4174" i="34"/>
  <c r="T4174" i="34"/>
  <c r="V4174" i="34"/>
  <c r="X4174" i="34"/>
  <c r="Y4174" i="34"/>
  <c r="N4175" i="34"/>
  <c r="R4175" i="34"/>
  <c r="S4175" i="34"/>
  <c r="T4175" i="34"/>
  <c r="V4175" i="34"/>
  <c r="X4175" i="34"/>
  <c r="Y4175" i="34"/>
  <c r="N4176" i="34"/>
  <c r="R4176" i="34"/>
  <c r="S4176" i="34"/>
  <c r="T4176" i="34"/>
  <c r="V4176" i="34"/>
  <c r="X4176" i="34"/>
  <c r="Y4176" i="34"/>
  <c r="N4177" i="34"/>
  <c r="R4177" i="34"/>
  <c r="S4177" i="34"/>
  <c r="T4177" i="34"/>
  <c r="V4177" i="34"/>
  <c r="X4177" i="34"/>
  <c r="Y4177" i="34"/>
  <c r="N4178" i="34"/>
  <c r="R4178" i="34"/>
  <c r="S4178" i="34"/>
  <c r="T4178" i="34"/>
  <c r="V4178" i="34"/>
  <c r="X4178" i="34"/>
  <c r="Y4178" i="34"/>
  <c r="N4179" i="34"/>
  <c r="R4179" i="34"/>
  <c r="S4179" i="34"/>
  <c r="T4179" i="34"/>
  <c r="V4179" i="34"/>
  <c r="X4179" i="34"/>
  <c r="Y4179" i="34"/>
  <c r="N4180" i="34"/>
  <c r="R4180" i="34"/>
  <c r="S4180" i="34"/>
  <c r="T4180" i="34"/>
  <c r="V4180" i="34"/>
  <c r="X4180" i="34"/>
  <c r="Y4180" i="34"/>
  <c r="N4181" i="34"/>
  <c r="R4181" i="34"/>
  <c r="S4181" i="34"/>
  <c r="T4181" i="34"/>
  <c r="V4181" i="34"/>
  <c r="X4181" i="34"/>
  <c r="Y4181" i="34"/>
  <c r="N4182" i="34"/>
  <c r="R4182" i="34"/>
  <c r="S4182" i="34"/>
  <c r="T4182" i="34"/>
  <c r="V4182" i="34"/>
  <c r="X4182" i="34"/>
  <c r="Y4182" i="34"/>
  <c r="N4183" i="34"/>
  <c r="R4183" i="34"/>
  <c r="S4183" i="34"/>
  <c r="T4183" i="34"/>
  <c r="V4183" i="34"/>
  <c r="X4183" i="34"/>
  <c r="Y4183" i="34"/>
  <c r="N4184" i="34"/>
  <c r="R4184" i="34"/>
  <c r="S4184" i="34"/>
  <c r="T4184" i="34"/>
  <c r="V4184" i="34"/>
  <c r="X4184" i="34"/>
  <c r="Y4184" i="34"/>
  <c r="N4185" i="34"/>
  <c r="R4185" i="34"/>
  <c r="S4185" i="34"/>
  <c r="T4185" i="34"/>
  <c r="V4185" i="34"/>
  <c r="X4185" i="34"/>
  <c r="Y4185" i="34"/>
  <c r="N4186" i="34"/>
  <c r="R4186" i="34"/>
  <c r="S4186" i="34"/>
  <c r="T4186" i="34"/>
  <c r="V4186" i="34"/>
  <c r="X4186" i="34"/>
  <c r="Y4186" i="34"/>
  <c r="N4187" i="34"/>
  <c r="R4187" i="34"/>
  <c r="S4187" i="34"/>
  <c r="T4187" i="34"/>
  <c r="V4187" i="34"/>
  <c r="X4187" i="34"/>
  <c r="Y4187" i="34"/>
  <c r="N4188" i="34"/>
  <c r="R4188" i="34"/>
  <c r="S4188" i="34"/>
  <c r="T4188" i="34"/>
  <c r="V4188" i="34"/>
  <c r="X4188" i="34"/>
  <c r="Y4188" i="34"/>
  <c r="N4189" i="34"/>
  <c r="R4189" i="34"/>
  <c r="S4189" i="34"/>
  <c r="T4189" i="34"/>
  <c r="V4189" i="34"/>
  <c r="X4189" i="34"/>
  <c r="Y4189" i="34"/>
  <c r="N4190" i="34"/>
  <c r="R4190" i="34"/>
  <c r="S4190" i="34"/>
  <c r="T4190" i="34"/>
  <c r="V4190" i="34"/>
  <c r="X4190" i="34"/>
  <c r="Y4190" i="34"/>
  <c r="N4191" i="34"/>
  <c r="R4191" i="34"/>
  <c r="S4191" i="34"/>
  <c r="T4191" i="34"/>
  <c r="V4191" i="34"/>
  <c r="X4191" i="34"/>
  <c r="Y4191" i="34"/>
  <c r="N4192" i="34"/>
  <c r="R4192" i="34"/>
  <c r="S4192" i="34"/>
  <c r="T4192" i="34"/>
  <c r="V4192" i="34"/>
  <c r="X4192" i="34"/>
  <c r="Y4192" i="34"/>
  <c r="N4193" i="34"/>
  <c r="R4193" i="34"/>
  <c r="S4193" i="34"/>
  <c r="T4193" i="34"/>
  <c r="V4193" i="34"/>
  <c r="X4193" i="34"/>
  <c r="Y4193" i="34"/>
  <c r="N4194" i="34"/>
  <c r="R4194" i="34"/>
  <c r="S4194" i="34"/>
  <c r="T4194" i="34"/>
  <c r="V4194" i="34"/>
  <c r="X4194" i="34"/>
  <c r="Y4194" i="34"/>
  <c r="N4195" i="34"/>
  <c r="R4195" i="34"/>
  <c r="S4195" i="34"/>
  <c r="T4195" i="34"/>
  <c r="V4195" i="34"/>
  <c r="X4195" i="34"/>
  <c r="Y4195" i="34"/>
  <c r="N4196" i="34"/>
  <c r="R4196" i="34"/>
  <c r="S4196" i="34"/>
  <c r="T4196" i="34"/>
  <c r="V4196" i="34"/>
  <c r="X4196" i="34"/>
  <c r="Y4196" i="34"/>
  <c r="N4197" i="34"/>
  <c r="R4197" i="34"/>
  <c r="S4197" i="34"/>
  <c r="T4197" i="34"/>
  <c r="V4197" i="34"/>
  <c r="X4197" i="34"/>
  <c r="Y4197" i="34"/>
  <c r="N4198" i="34"/>
  <c r="R4198" i="34"/>
  <c r="S4198" i="34"/>
  <c r="T4198" i="34"/>
  <c r="V4198" i="34"/>
  <c r="X4198" i="34"/>
  <c r="Y4198" i="34"/>
  <c r="N4199" i="34"/>
  <c r="R4199" i="34"/>
  <c r="S4199" i="34"/>
  <c r="T4199" i="34"/>
  <c r="V4199" i="34"/>
  <c r="X4199" i="34"/>
  <c r="Y4199" i="34"/>
  <c r="N4200" i="34"/>
  <c r="R4200" i="34"/>
  <c r="S4200" i="34"/>
  <c r="T4200" i="34"/>
  <c r="V4200" i="34"/>
  <c r="X4200" i="34"/>
  <c r="Y4200" i="34"/>
  <c r="N4201" i="34"/>
  <c r="R4201" i="34"/>
  <c r="S4201" i="34"/>
  <c r="T4201" i="34"/>
  <c r="V4201" i="34"/>
  <c r="X4201" i="34"/>
  <c r="Y4201" i="34"/>
  <c r="N4202" i="34"/>
  <c r="R4202" i="34"/>
  <c r="S4202" i="34"/>
  <c r="T4202" i="34"/>
  <c r="V4202" i="34"/>
  <c r="X4202" i="34"/>
  <c r="Y4202" i="34"/>
  <c r="N4203" i="34"/>
  <c r="R4203" i="34"/>
  <c r="S4203" i="34"/>
  <c r="T4203" i="34"/>
  <c r="V4203" i="34"/>
  <c r="X4203" i="34"/>
  <c r="Y4203" i="34"/>
  <c r="N4204" i="34"/>
  <c r="R4204" i="34"/>
  <c r="S4204" i="34"/>
  <c r="T4204" i="34"/>
  <c r="V4204" i="34"/>
  <c r="X4204" i="34"/>
  <c r="Y4204" i="34"/>
  <c r="N4205" i="34"/>
  <c r="R4205" i="34"/>
  <c r="S4205" i="34"/>
  <c r="T4205" i="34"/>
  <c r="V4205" i="34"/>
  <c r="X4205" i="34"/>
  <c r="Y4205" i="34"/>
  <c r="N4206" i="34"/>
  <c r="R4206" i="34"/>
  <c r="S4206" i="34"/>
  <c r="T4206" i="34"/>
  <c r="V4206" i="34"/>
  <c r="X4206" i="34"/>
  <c r="Y4206" i="34"/>
  <c r="N4207" i="34"/>
  <c r="R4207" i="34"/>
  <c r="S4207" i="34"/>
  <c r="T4207" i="34"/>
  <c r="V4207" i="34"/>
  <c r="X4207" i="34"/>
  <c r="Y4207" i="34"/>
  <c r="N4208" i="34"/>
  <c r="R4208" i="34"/>
  <c r="S4208" i="34"/>
  <c r="T4208" i="34"/>
  <c r="V4208" i="34"/>
  <c r="X4208" i="34"/>
  <c r="Y4208" i="34"/>
  <c r="N4209" i="34"/>
  <c r="R4209" i="34"/>
  <c r="S4209" i="34"/>
  <c r="T4209" i="34"/>
  <c r="V4209" i="34"/>
  <c r="X4209" i="34"/>
  <c r="Y4209" i="34"/>
  <c r="N4210" i="34"/>
  <c r="R4210" i="34"/>
  <c r="S4210" i="34"/>
  <c r="T4210" i="34"/>
  <c r="V4210" i="34"/>
  <c r="X4210" i="34"/>
  <c r="Y4210" i="34"/>
  <c r="N4211" i="34"/>
  <c r="R4211" i="34"/>
  <c r="S4211" i="34"/>
  <c r="T4211" i="34"/>
  <c r="V4211" i="34"/>
  <c r="X4211" i="34"/>
  <c r="Y4211" i="34"/>
  <c r="N4212" i="34"/>
  <c r="R4212" i="34"/>
  <c r="S4212" i="34"/>
  <c r="T4212" i="34"/>
  <c r="V4212" i="34"/>
  <c r="X4212" i="34"/>
  <c r="Y4212" i="34"/>
  <c r="N4213" i="34"/>
  <c r="R4213" i="34"/>
  <c r="S4213" i="34"/>
  <c r="T4213" i="34"/>
  <c r="V4213" i="34"/>
  <c r="X4213" i="34"/>
  <c r="Y4213" i="34"/>
  <c r="N4214" i="34"/>
  <c r="R4214" i="34"/>
  <c r="S4214" i="34"/>
  <c r="T4214" i="34"/>
  <c r="V4214" i="34"/>
  <c r="X4214" i="34"/>
  <c r="Y4214" i="34"/>
  <c r="N4215" i="34"/>
  <c r="R4215" i="34"/>
  <c r="S4215" i="34"/>
  <c r="T4215" i="34"/>
  <c r="V4215" i="34"/>
  <c r="X4215" i="34"/>
  <c r="Y4215" i="34"/>
  <c r="N4216" i="34"/>
  <c r="R4216" i="34"/>
  <c r="S4216" i="34"/>
  <c r="T4216" i="34"/>
  <c r="V4216" i="34"/>
  <c r="X4216" i="34"/>
  <c r="Y4216" i="34"/>
  <c r="N4217" i="34"/>
  <c r="R4217" i="34"/>
  <c r="S4217" i="34"/>
  <c r="T4217" i="34"/>
  <c r="V4217" i="34"/>
  <c r="X4217" i="34"/>
  <c r="Y4217" i="34"/>
  <c r="N4218" i="34"/>
  <c r="R4218" i="34"/>
  <c r="S4218" i="34"/>
  <c r="T4218" i="34"/>
  <c r="V4218" i="34"/>
  <c r="X4218" i="34"/>
  <c r="Y4218" i="34"/>
  <c r="N4219" i="34"/>
  <c r="R4219" i="34"/>
  <c r="S4219" i="34"/>
  <c r="T4219" i="34"/>
  <c r="V4219" i="34"/>
  <c r="X4219" i="34"/>
  <c r="Y4219" i="34"/>
  <c r="N4220" i="34"/>
  <c r="R4220" i="34"/>
  <c r="S4220" i="34"/>
  <c r="T4220" i="34"/>
  <c r="V4220" i="34"/>
  <c r="X4220" i="34"/>
  <c r="Y4220" i="34"/>
  <c r="N4221" i="34"/>
  <c r="R4221" i="34"/>
  <c r="S4221" i="34"/>
  <c r="T4221" i="34"/>
  <c r="V4221" i="34"/>
  <c r="X4221" i="34"/>
  <c r="Y4221" i="34"/>
  <c r="N4222" i="34"/>
  <c r="R4222" i="34"/>
  <c r="S4222" i="34"/>
  <c r="T4222" i="34"/>
  <c r="V4222" i="34"/>
  <c r="X4222" i="34"/>
  <c r="Y4222" i="34"/>
  <c r="N4223" i="34"/>
  <c r="R4223" i="34"/>
  <c r="S4223" i="34"/>
  <c r="T4223" i="34"/>
  <c r="V4223" i="34"/>
  <c r="X4223" i="34"/>
  <c r="Y4223" i="34"/>
  <c r="N4224" i="34"/>
  <c r="R4224" i="34"/>
  <c r="S4224" i="34"/>
  <c r="T4224" i="34"/>
  <c r="V4224" i="34"/>
  <c r="X4224" i="34"/>
  <c r="Y4224" i="34"/>
  <c r="N4225" i="34"/>
  <c r="R4225" i="34"/>
  <c r="S4225" i="34"/>
  <c r="T4225" i="34"/>
  <c r="V4225" i="34"/>
  <c r="X4225" i="34"/>
  <c r="Y4225" i="34"/>
  <c r="N4226" i="34"/>
  <c r="R4226" i="34"/>
  <c r="S4226" i="34"/>
  <c r="T4226" i="34"/>
  <c r="V4226" i="34"/>
  <c r="X4226" i="34"/>
  <c r="Y4226" i="34"/>
  <c r="N4227" i="34"/>
  <c r="R4227" i="34"/>
  <c r="S4227" i="34"/>
  <c r="T4227" i="34"/>
  <c r="V4227" i="34"/>
  <c r="X4227" i="34"/>
  <c r="Y4227" i="34"/>
  <c r="N4228" i="34"/>
  <c r="R4228" i="34"/>
  <c r="S4228" i="34"/>
  <c r="T4228" i="34"/>
  <c r="V4228" i="34"/>
  <c r="X4228" i="34"/>
  <c r="Y4228" i="34"/>
  <c r="N4229" i="34"/>
  <c r="R4229" i="34"/>
  <c r="S4229" i="34"/>
  <c r="T4229" i="34"/>
  <c r="V4229" i="34"/>
  <c r="X4229" i="34"/>
  <c r="Y4229" i="34"/>
  <c r="N4230" i="34"/>
  <c r="R4230" i="34"/>
  <c r="S4230" i="34"/>
  <c r="T4230" i="34"/>
  <c r="V4230" i="34"/>
  <c r="X4230" i="34"/>
  <c r="Y4230" i="34"/>
  <c r="N4231" i="34"/>
  <c r="R4231" i="34"/>
  <c r="S4231" i="34"/>
  <c r="T4231" i="34"/>
  <c r="V4231" i="34"/>
  <c r="X4231" i="34"/>
  <c r="Y4231" i="34"/>
  <c r="N4232" i="34"/>
  <c r="R4232" i="34"/>
  <c r="S4232" i="34"/>
  <c r="T4232" i="34"/>
  <c r="V4232" i="34"/>
  <c r="X4232" i="34"/>
  <c r="Y4232" i="34"/>
  <c r="N4233" i="34"/>
  <c r="R4233" i="34"/>
  <c r="S4233" i="34"/>
  <c r="T4233" i="34"/>
  <c r="V4233" i="34"/>
  <c r="X4233" i="34"/>
  <c r="Y4233" i="34"/>
  <c r="N4234" i="34"/>
  <c r="R4234" i="34"/>
  <c r="S4234" i="34"/>
  <c r="T4234" i="34"/>
  <c r="V4234" i="34"/>
  <c r="X4234" i="34"/>
  <c r="Y4234" i="34"/>
  <c r="N4235" i="34"/>
  <c r="R4235" i="34"/>
  <c r="S4235" i="34"/>
  <c r="T4235" i="34"/>
  <c r="V4235" i="34"/>
  <c r="X4235" i="34"/>
  <c r="Y4235" i="34"/>
  <c r="N4236" i="34"/>
  <c r="R4236" i="34"/>
  <c r="S4236" i="34"/>
  <c r="T4236" i="34"/>
  <c r="V4236" i="34"/>
  <c r="X4236" i="34"/>
  <c r="Y4236" i="34"/>
  <c r="N4237" i="34"/>
  <c r="R4237" i="34"/>
  <c r="S4237" i="34"/>
  <c r="T4237" i="34"/>
  <c r="V4237" i="34"/>
  <c r="X4237" i="34"/>
  <c r="Y4237" i="34"/>
  <c r="N4238" i="34"/>
  <c r="R4238" i="34"/>
  <c r="S4238" i="34"/>
  <c r="T4238" i="34"/>
  <c r="V4238" i="34"/>
  <c r="X4238" i="34"/>
  <c r="Y4238" i="34"/>
  <c r="N4239" i="34"/>
  <c r="R4239" i="34"/>
  <c r="S4239" i="34"/>
  <c r="T4239" i="34"/>
  <c r="V4239" i="34"/>
  <c r="X4239" i="34"/>
  <c r="Y4239" i="34"/>
  <c r="N4240" i="34"/>
  <c r="R4240" i="34"/>
  <c r="S4240" i="34"/>
  <c r="T4240" i="34"/>
  <c r="V4240" i="34"/>
  <c r="X4240" i="34"/>
  <c r="Y4240" i="34"/>
  <c r="N4241" i="34"/>
  <c r="R4241" i="34"/>
  <c r="S4241" i="34"/>
  <c r="T4241" i="34"/>
  <c r="V4241" i="34"/>
  <c r="X4241" i="34"/>
  <c r="Y4241" i="34"/>
  <c r="N4242" i="34"/>
  <c r="R4242" i="34"/>
  <c r="S4242" i="34"/>
  <c r="T4242" i="34"/>
  <c r="V4242" i="34"/>
  <c r="X4242" i="34"/>
  <c r="Y4242" i="34"/>
  <c r="N4243" i="34"/>
  <c r="R4243" i="34"/>
  <c r="S4243" i="34"/>
  <c r="T4243" i="34"/>
  <c r="V4243" i="34"/>
  <c r="X4243" i="34"/>
  <c r="Y4243" i="34"/>
  <c r="N4244" i="34"/>
  <c r="R4244" i="34"/>
  <c r="S4244" i="34"/>
  <c r="T4244" i="34"/>
  <c r="V4244" i="34"/>
  <c r="X4244" i="34"/>
  <c r="Y4244" i="34"/>
  <c r="N4245" i="34"/>
  <c r="R4245" i="34"/>
  <c r="S4245" i="34"/>
  <c r="T4245" i="34"/>
  <c r="V4245" i="34"/>
  <c r="X4245" i="34"/>
  <c r="Y4245" i="34"/>
  <c r="N4246" i="34"/>
  <c r="R4246" i="34"/>
  <c r="S4246" i="34"/>
  <c r="T4246" i="34"/>
  <c r="V4246" i="34"/>
  <c r="X4246" i="34"/>
  <c r="Y4246" i="34"/>
  <c r="N4247" i="34"/>
  <c r="R4247" i="34"/>
  <c r="S4247" i="34"/>
  <c r="T4247" i="34"/>
  <c r="V4247" i="34"/>
  <c r="X4247" i="34"/>
  <c r="Y4247" i="34"/>
  <c r="N4248" i="34"/>
  <c r="R4248" i="34"/>
  <c r="S4248" i="34"/>
  <c r="T4248" i="34"/>
  <c r="V4248" i="34"/>
  <c r="X4248" i="34"/>
  <c r="Y4248" i="34"/>
  <c r="N4249" i="34"/>
  <c r="R4249" i="34"/>
  <c r="S4249" i="34"/>
  <c r="T4249" i="34"/>
  <c r="V4249" i="34"/>
  <c r="X4249" i="34"/>
  <c r="Y4249" i="34"/>
  <c r="N4250" i="34"/>
  <c r="R4250" i="34"/>
  <c r="S4250" i="34"/>
  <c r="T4250" i="34"/>
  <c r="V4250" i="34"/>
  <c r="X4250" i="34"/>
  <c r="Y4250" i="34"/>
  <c r="N4251" i="34"/>
  <c r="R4251" i="34"/>
  <c r="S4251" i="34"/>
  <c r="T4251" i="34"/>
  <c r="V4251" i="34"/>
  <c r="X4251" i="34"/>
  <c r="Y4251" i="34"/>
  <c r="N4252" i="34"/>
  <c r="R4252" i="34"/>
  <c r="S4252" i="34"/>
  <c r="T4252" i="34"/>
  <c r="V4252" i="34"/>
  <c r="X4252" i="34"/>
  <c r="Y4252" i="34"/>
  <c r="N4253" i="34"/>
  <c r="R4253" i="34"/>
  <c r="S4253" i="34"/>
  <c r="T4253" i="34"/>
  <c r="V4253" i="34"/>
  <c r="X4253" i="34"/>
  <c r="Y4253" i="34"/>
  <c r="N4254" i="34"/>
  <c r="R4254" i="34"/>
  <c r="S4254" i="34"/>
  <c r="T4254" i="34"/>
  <c r="V4254" i="34"/>
  <c r="X4254" i="34"/>
  <c r="Y4254" i="34"/>
  <c r="N4255" i="34"/>
  <c r="R4255" i="34"/>
  <c r="S4255" i="34"/>
  <c r="T4255" i="34"/>
  <c r="V4255" i="34"/>
  <c r="X4255" i="34"/>
  <c r="Y4255" i="34"/>
  <c r="N4256" i="34"/>
  <c r="R4256" i="34"/>
  <c r="S4256" i="34"/>
  <c r="T4256" i="34"/>
  <c r="V4256" i="34"/>
  <c r="X4256" i="34"/>
  <c r="Y4256" i="34"/>
  <c r="N4257" i="34"/>
  <c r="R4257" i="34"/>
  <c r="S4257" i="34"/>
  <c r="T4257" i="34"/>
  <c r="V4257" i="34"/>
  <c r="X4257" i="34"/>
  <c r="Y4257" i="34"/>
  <c r="N4258" i="34"/>
  <c r="R4258" i="34"/>
  <c r="S4258" i="34"/>
  <c r="T4258" i="34"/>
  <c r="V4258" i="34"/>
  <c r="X4258" i="34"/>
  <c r="Y4258" i="34"/>
  <c r="N4259" i="34"/>
  <c r="R4259" i="34"/>
  <c r="S4259" i="34"/>
  <c r="T4259" i="34"/>
  <c r="V4259" i="34"/>
  <c r="X4259" i="34"/>
  <c r="Y4259" i="34"/>
  <c r="N4260" i="34"/>
  <c r="R4260" i="34"/>
  <c r="S4260" i="34"/>
  <c r="T4260" i="34"/>
  <c r="V4260" i="34"/>
  <c r="X4260" i="34"/>
  <c r="Y4260" i="34"/>
  <c r="N4261" i="34"/>
  <c r="R4261" i="34"/>
  <c r="S4261" i="34"/>
  <c r="T4261" i="34"/>
  <c r="V4261" i="34"/>
  <c r="X4261" i="34"/>
  <c r="Y4261" i="34"/>
  <c r="N4262" i="34"/>
  <c r="R4262" i="34"/>
  <c r="S4262" i="34"/>
  <c r="T4262" i="34"/>
  <c r="V4262" i="34"/>
  <c r="X4262" i="34"/>
  <c r="Y4262" i="34"/>
  <c r="N4263" i="34"/>
  <c r="R4263" i="34"/>
  <c r="S4263" i="34"/>
  <c r="T4263" i="34"/>
  <c r="V4263" i="34"/>
  <c r="X4263" i="34"/>
  <c r="Y4263" i="34"/>
  <c r="N4264" i="34"/>
  <c r="R4264" i="34"/>
  <c r="S4264" i="34"/>
  <c r="T4264" i="34"/>
  <c r="V4264" i="34"/>
  <c r="X4264" i="34"/>
  <c r="Y4264" i="34"/>
  <c r="N4265" i="34"/>
  <c r="R4265" i="34"/>
  <c r="S4265" i="34"/>
  <c r="T4265" i="34"/>
  <c r="V4265" i="34"/>
  <c r="X4265" i="34"/>
  <c r="Y4265" i="34"/>
  <c r="N4266" i="34"/>
  <c r="R4266" i="34"/>
  <c r="S4266" i="34"/>
  <c r="T4266" i="34"/>
  <c r="V4266" i="34"/>
  <c r="X4266" i="34"/>
  <c r="Y4266" i="34"/>
  <c r="N4267" i="34"/>
  <c r="R4267" i="34"/>
  <c r="S4267" i="34"/>
  <c r="T4267" i="34"/>
  <c r="V4267" i="34"/>
  <c r="X4267" i="34"/>
  <c r="Y4267" i="34"/>
  <c r="N4268" i="34"/>
  <c r="R4268" i="34"/>
  <c r="S4268" i="34"/>
  <c r="T4268" i="34"/>
  <c r="V4268" i="34"/>
  <c r="X4268" i="34"/>
  <c r="Y4268" i="34"/>
  <c r="N4269" i="34"/>
  <c r="R4269" i="34"/>
  <c r="S4269" i="34"/>
  <c r="T4269" i="34"/>
  <c r="V4269" i="34"/>
  <c r="X4269" i="34"/>
  <c r="Y4269" i="34"/>
  <c r="N4270" i="34"/>
  <c r="R4270" i="34"/>
  <c r="S4270" i="34"/>
  <c r="T4270" i="34"/>
  <c r="V4270" i="34"/>
  <c r="X4270" i="34"/>
  <c r="Y4270" i="34"/>
  <c r="N4271" i="34"/>
  <c r="R4271" i="34"/>
  <c r="S4271" i="34"/>
  <c r="T4271" i="34"/>
  <c r="V4271" i="34"/>
  <c r="X4271" i="34"/>
  <c r="Y4271" i="34"/>
  <c r="N4272" i="34"/>
  <c r="R4272" i="34"/>
  <c r="S4272" i="34"/>
  <c r="T4272" i="34"/>
  <c r="V4272" i="34"/>
  <c r="X4272" i="34"/>
  <c r="Y4272" i="34"/>
  <c r="N4273" i="34"/>
  <c r="R4273" i="34"/>
  <c r="S4273" i="34"/>
  <c r="T4273" i="34"/>
  <c r="V4273" i="34"/>
  <c r="X4273" i="34"/>
  <c r="Y4273" i="34"/>
  <c r="N4274" i="34"/>
  <c r="R4274" i="34"/>
  <c r="S4274" i="34"/>
  <c r="T4274" i="34"/>
  <c r="V4274" i="34"/>
  <c r="X4274" i="34"/>
  <c r="Y4274" i="34"/>
  <c r="N4275" i="34"/>
  <c r="R4275" i="34"/>
  <c r="S4275" i="34"/>
  <c r="T4275" i="34"/>
  <c r="V4275" i="34"/>
  <c r="X4275" i="34"/>
  <c r="Y4275" i="34"/>
  <c r="N4276" i="34"/>
  <c r="R4276" i="34"/>
  <c r="S4276" i="34"/>
  <c r="T4276" i="34"/>
  <c r="V4276" i="34"/>
  <c r="X4276" i="34"/>
  <c r="Y4276" i="34"/>
  <c r="N4277" i="34"/>
  <c r="R4277" i="34"/>
  <c r="S4277" i="34"/>
  <c r="T4277" i="34"/>
  <c r="V4277" i="34"/>
  <c r="X4277" i="34"/>
  <c r="Y4277" i="34"/>
  <c r="N4278" i="34"/>
  <c r="R4278" i="34"/>
  <c r="S4278" i="34"/>
  <c r="T4278" i="34"/>
  <c r="V4278" i="34"/>
  <c r="X4278" i="34"/>
  <c r="Y4278" i="34"/>
  <c r="N4279" i="34"/>
  <c r="R4279" i="34"/>
  <c r="S4279" i="34"/>
  <c r="T4279" i="34"/>
  <c r="V4279" i="34"/>
  <c r="X4279" i="34"/>
  <c r="Y4279" i="34"/>
  <c r="N4280" i="34"/>
  <c r="R4280" i="34"/>
  <c r="S4280" i="34"/>
  <c r="T4280" i="34"/>
  <c r="V4280" i="34"/>
  <c r="X4280" i="34"/>
  <c r="Y4280" i="34"/>
  <c r="N4281" i="34"/>
  <c r="R4281" i="34"/>
  <c r="S4281" i="34"/>
  <c r="T4281" i="34"/>
  <c r="V4281" i="34"/>
  <c r="X4281" i="34"/>
  <c r="Y4281" i="34"/>
  <c r="N4282" i="34"/>
  <c r="R4282" i="34"/>
  <c r="S4282" i="34"/>
  <c r="T4282" i="34"/>
  <c r="V4282" i="34"/>
  <c r="X4282" i="34"/>
  <c r="Y4282" i="34"/>
  <c r="N4283" i="34"/>
  <c r="R4283" i="34"/>
  <c r="S4283" i="34"/>
  <c r="T4283" i="34"/>
  <c r="V4283" i="34"/>
  <c r="X4283" i="34"/>
  <c r="Y4283" i="34"/>
  <c r="N4284" i="34"/>
  <c r="R4284" i="34"/>
  <c r="S4284" i="34"/>
  <c r="T4284" i="34"/>
  <c r="V4284" i="34"/>
  <c r="X4284" i="34"/>
  <c r="Y4284" i="34"/>
  <c r="N4285" i="34"/>
  <c r="R4285" i="34"/>
  <c r="S4285" i="34"/>
  <c r="T4285" i="34"/>
  <c r="V4285" i="34"/>
  <c r="X4285" i="34"/>
  <c r="Y4285" i="34"/>
  <c r="N4286" i="34"/>
  <c r="R4286" i="34"/>
  <c r="S4286" i="34"/>
  <c r="T4286" i="34"/>
  <c r="V4286" i="34"/>
  <c r="X4286" i="34"/>
  <c r="Y4286" i="34"/>
  <c r="N4287" i="34"/>
  <c r="R4287" i="34"/>
  <c r="S4287" i="34"/>
  <c r="T4287" i="34"/>
  <c r="V4287" i="34"/>
  <c r="X4287" i="34"/>
  <c r="Y4287" i="34"/>
  <c r="N4288" i="34"/>
  <c r="R4288" i="34"/>
  <c r="S4288" i="34"/>
  <c r="T4288" i="34"/>
  <c r="V4288" i="34"/>
  <c r="X4288" i="34"/>
  <c r="Y4288" i="34"/>
  <c r="N4289" i="34"/>
  <c r="R4289" i="34"/>
  <c r="S4289" i="34"/>
  <c r="T4289" i="34"/>
  <c r="V4289" i="34"/>
  <c r="X4289" i="34"/>
  <c r="Y4289" i="34"/>
  <c r="N4290" i="34"/>
  <c r="R4290" i="34"/>
  <c r="S4290" i="34"/>
  <c r="T4290" i="34"/>
  <c r="V4290" i="34"/>
  <c r="X4290" i="34"/>
  <c r="Y4290" i="34"/>
  <c r="N4291" i="34"/>
  <c r="R4291" i="34"/>
  <c r="S4291" i="34"/>
  <c r="T4291" i="34"/>
  <c r="V4291" i="34"/>
  <c r="X4291" i="34"/>
  <c r="Y4291" i="34"/>
  <c r="N4292" i="34"/>
  <c r="R4292" i="34"/>
  <c r="S4292" i="34"/>
  <c r="T4292" i="34"/>
  <c r="V4292" i="34"/>
  <c r="X4292" i="34"/>
  <c r="Y4292" i="34"/>
  <c r="N4293" i="34"/>
  <c r="R4293" i="34"/>
  <c r="S4293" i="34"/>
  <c r="T4293" i="34"/>
  <c r="V4293" i="34"/>
  <c r="X4293" i="34"/>
  <c r="Y4293" i="34"/>
  <c r="N4294" i="34"/>
  <c r="R4294" i="34"/>
  <c r="S4294" i="34"/>
  <c r="T4294" i="34"/>
  <c r="V4294" i="34"/>
  <c r="X4294" i="34"/>
  <c r="Y4294" i="34"/>
  <c r="N4295" i="34"/>
  <c r="R4295" i="34"/>
  <c r="S4295" i="34"/>
  <c r="T4295" i="34"/>
  <c r="V4295" i="34"/>
  <c r="X4295" i="34"/>
  <c r="Y4295" i="34"/>
  <c r="N4296" i="34"/>
  <c r="R4296" i="34"/>
  <c r="S4296" i="34"/>
  <c r="T4296" i="34"/>
  <c r="V4296" i="34"/>
  <c r="X4296" i="34"/>
  <c r="Y4296" i="34"/>
  <c r="N4297" i="34"/>
  <c r="R4297" i="34"/>
  <c r="S4297" i="34"/>
  <c r="T4297" i="34"/>
  <c r="V4297" i="34"/>
  <c r="X4297" i="34"/>
  <c r="Y4297" i="34"/>
  <c r="N4298" i="34"/>
  <c r="R4298" i="34"/>
  <c r="S4298" i="34"/>
  <c r="T4298" i="34"/>
  <c r="V4298" i="34"/>
  <c r="X4298" i="34"/>
  <c r="Y4298" i="34"/>
  <c r="N4299" i="34"/>
  <c r="R4299" i="34"/>
  <c r="S4299" i="34"/>
  <c r="T4299" i="34"/>
  <c r="V4299" i="34"/>
  <c r="X4299" i="34"/>
  <c r="Y4299" i="34"/>
  <c r="N4300" i="34"/>
  <c r="R4300" i="34"/>
  <c r="S4300" i="34"/>
  <c r="T4300" i="34"/>
  <c r="V4300" i="34"/>
  <c r="X4300" i="34"/>
  <c r="Y4300" i="34"/>
  <c r="N4301" i="34"/>
  <c r="R4301" i="34"/>
  <c r="S4301" i="34"/>
  <c r="T4301" i="34"/>
  <c r="V4301" i="34"/>
  <c r="X4301" i="34"/>
  <c r="Y4301" i="34"/>
  <c r="N4302" i="34"/>
  <c r="R4302" i="34"/>
  <c r="S4302" i="34"/>
  <c r="T4302" i="34"/>
  <c r="V4302" i="34"/>
  <c r="X4302" i="34"/>
  <c r="Y4302" i="34"/>
  <c r="N4303" i="34"/>
  <c r="R4303" i="34"/>
  <c r="S4303" i="34"/>
  <c r="T4303" i="34"/>
  <c r="V4303" i="34"/>
  <c r="X4303" i="34"/>
  <c r="Y4303" i="34"/>
  <c r="N4304" i="34"/>
  <c r="R4304" i="34"/>
  <c r="S4304" i="34"/>
  <c r="T4304" i="34"/>
  <c r="V4304" i="34"/>
  <c r="X4304" i="34"/>
  <c r="Y4304" i="34"/>
  <c r="N4305" i="34"/>
  <c r="R4305" i="34"/>
  <c r="S4305" i="34"/>
  <c r="T4305" i="34"/>
  <c r="V4305" i="34"/>
  <c r="X4305" i="34"/>
  <c r="Y4305" i="34"/>
  <c r="N4306" i="34"/>
  <c r="R4306" i="34"/>
  <c r="S4306" i="34"/>
  <c r="T4306" i="34"/>
  <c r="V4306" i="34"/>
  <c r="X4306" i="34"/>
  <c r="Y4306" i="34"/>
  <c r="N4307" i="34"/>
  <c r="R4307" i="34"/>
  <c r="S4307" i="34"/>
  <c r="T4307" i="34"/>
  <c r="V4307" i="34"/>
  <c r="X4307" i="34"/>
  <c r="Y4307" i="34"/>
  <c r="N4308" i="34"/>
  <c r="R4308" i="34"/>
  <c r="S4308" i="34"/>
  <c r="T4308" i="34"/>
  <c r="V4308" i="34"/>
  <c r="X4308" i="34"/>
  <c r="Y4308" i="34"/>
  <c r="N4309" i="34"/>
  <c r="R4309" i="34"/>
  <c r="S4309" i="34"/>
  <c r="T4309" i="34"/>
  <c r="V4309" i="34"/>
  <c r="X4309" i="34"/>
  <c r="Y4309" i="34"/>
  <c r="N4310" i="34"/>
  <c r="R4310" i="34"/>
  <c r="S4310" i="34"/>
  <c r="T4310" i="34"/>
  <c r="V4310" i="34"/>
  <c r="X4310" i="34"/>
  <c r="Y4310" i="34"/>
  <c r="N4311" i="34"/>
  <c r="R4311" i="34"/>
  <c r="S4311" i="34"/>
  <c r="T4311" i="34"/>
  <c r="V4311" i="34"/>
  <c r="X4311" i="34"/>
  <c r="Y4311" i="34"/>
  <c r="N4312" i="34"/>
  <c r="R4312" i="34"/>
  <c r="S4312" i="34"/>
  <c r="T4312" i="34"/>
  <c r="V4312" i="34"/>
  <c r="X4312" i="34"/>
  <c r="Y4312" i="34"/>
  <c r="N4313" i="34"/>
  <c r="R4313" i="34"/>
  <c r="S4313" i="34"/>
  <c r="T4313" i="34"/>
  <c r="V4313" i="34"/>
  <c r="X4313" i="34"/>
  <c r="Y4313" i="34"/>
  <c r="N4314" i="34"/>
  <c r="R4314" i="34"/>
  <c r="S4314" i="34"/>
  <c r="T4314" i="34"/>
  <c r="V4314" i="34"/>
  <c r="X4314" i="34"/>
  <c r="Y4314" i="34"/>
  <c r="N4315" i="34"/>
  <c r="R4315" i="34"/>
  <c r="S4315" i="34"/>
  <c r="T4315" i="34"/>
  <c r="V4315" i="34"/>
  <c r="X4315" i="34"/>
  <c r="Y4315" i="34"/>
  <c r="N4316" i="34"/>
  <c r="R4316" i="34"/>
  <c r="S4316" i="34"/>
  <c r="T4316" i="34"/>
  <c r="V4316" i="34"/>
  <c r="X4316" i="34"/>
  <c r="Y4316" i="34"/>
  <c r="N4317" i="34"/>
  <c r="R4317" i="34"/>
  <c r="S4317" i="34"/>
  <c r="T4317" i="34"/>
  <c r="V4317" i="34"/>
  <c r="X4317" i="34"/>
  <c r="Y4317" i="34"/>
  <c r="N4318" i="34"/>
  <c r="R4318" i="34"/>
  <c r="S4318" i="34"/>
  <c r="T4318" i="34"/>
  <c r="V4318" i="34"/>
  <c r="X4318" i="34"/>
  <c r="Y4318" i="34"/>
  <c r="N4319" i="34"/>
  <c r="R4319" i="34"/>
  <c r="S4319" i="34"/>
  <c r="T4319" i="34"/>
  <c r="V4319" i="34"/>
  <c r="X4319" i="34"/>
  <c r="Y4319" i="34"/>
  <c r="N4320" i="34"/>
  <c r="R4320" i="34"/>
  <c r="S4320" i="34"/>
  <c r="T4320" i="34"/>
  <c r="V4320" i="34"/>
  <c r="X4320" i="34"/>
  <c r="Y4320" i="34"/>
  <c r="N4321" i="34"/>
  <c r="R4321" i="34"/>
  <c r="S4321" i="34"/>
  <c r="T4321" i="34"/>
  <c r="V4321" i="34"/>
  <c r="X4321" i="34"/>
  <c r="Y4321" i="34"/>
  <c r="N4322" i="34"/>
  <c r="R4322" i="34"/>
  <c r="S4322" i="34"/>
  <c r="T4322" i="34"/>
  <c r="V4322" i="34"/>
  <c r="X4322" i="34"/>
  <c r="Y4322" i="34"/>
  <c r="N4323" i="34"/>
  <c r="R4323" i="34"/>
  <c r="S4323" i="34"/>
  <c r="T4323" i="34"/>
  <c r="V4323" i="34"/>
  <c r="X4323" i="34"/>
  <c r="Y4323" i="34"/>
  <c r="N4324" i="34"/>
  <c r="R4324" i="34"/>
  <c r="S4324" i="34"/>
  <c r="T4324" i="34"/>
  <c r="V4324" i="34"/>
  <c r="X4324" i="34"/>
  <c r="Y4324" i="34"/>
  <c r="N4325" i="34"/>
  <c r="R4325" i="34"/>
  <c r="S4325" i="34"/>
  <c r="T4325" i="34"/>
  <c r="V4325" i="34"/>
  <c r="X4325" i="34"/>
  <c r="Y4325" i="34"/>
  <c r="N4326" i="34"/>
  <c r="R4326" i="34"/>
  <c r="S4326" i="34"/>
  <c r="T4326" i="34"/>
  <c r="V4326" i="34"/>
  <c r="X4326" i="34"/>
  <c r="Y4326" i="34"/>
  <c r="N4327" i="34"/>
  <c r="R4327" i="34"/>
  <c r="S4327" i="34"/>
  <c r="T4327" i="34"/>
  <c r="V4327" i="34"/>
  <c r="X4327" i="34"/>
  <c r="Y4327" i="34"/>
  <c r="N4328" i="34"/>
  <c r="R4328" i="34"/>
  <c r="S4328" i="34"/>
  <c r="T4328" i="34"/>
  <c r="V4328" i="34"/>
  <c r="X4328" i="34"/>
  <c r="Y4328" i="34"/>
  <c r="N4329" i="34"/>
  <c r="R4329" i="34"/>
  <c r="S4329" i="34"/>
  <c r="T4329" i="34"/>
  <c r="V4329" i="34"/>
  <c r="X4329" i="34"/>
  <c r="Y4329" i="34"/>
  <c r="N4330" i="34"/>
  <c r="R4330" i="34"/>
  <c r="S4330" i="34"/>
  <c r="T4330" i="34"/>
  <c r="V4330" i="34"/>
  <c r="X4330" i="34"/>
  <c r="Y4330" i="34"/>
  <c r="N4331" i="34"/>
  <c r="R4331" i="34"/>
  <c r="S4331" i="34"/>
  <c r="T4331" i="34"/>
  <c r="V4331" i="34"/>
  <c r="X4331" i="34"/>
  <c r="Y4331" i="34"/>
  <c r="N4332" i="34"/>
  <c r="R4332" i="34"/>
  <c r="S4332" i="34"/>
  <c r="T4332" i="34"/>
  <c r="V4332" i="34"/>
  <c r="X4332" i="34"/>
  <c r="Y4332" i="34"/>
  <c r="N4333" i="34"/>
  <c r="R4333" i="34"/>
  <c r="S4333" i="34"/>
  <c r="T4333" i="34"/>
  <c r="V4333" i="34"/>
  <c r="X4333" i="34"/>
  <c r="Y4333" i="34"/>
  <c r="N4334" i="34"/>
  <c r="R4334" i="34"/>
  <c r="S4334" i="34"/>
  <c r="T4334" i="34"/>
  <c r="V4334" i="34"/>
  <c r="X4334" i="34"/>
  <c r="Y4334" i="34"/>
  <c r="N4335" i="34"/>
  <c r="R4335" i="34"/>
  <c r="S4335" i="34"/>
  <c r="T4335" i="34"/>
  <c r="V4335" i="34"/>
  <c r="X4335" i="34"/>
  <c r="Y4335" i="34"/>
  <c r="N4336" i="34"/>
  <c r="R4336" i="34"/>
  <c r="S4336" i="34"/>
  <c r="T4336" i="34"/>
  <c r="V4336" i="34"/>
  <c r="X4336" i="34"/>
  <c r="Y4336" i="34"/>
  <c r="N4337" i="34"/>
  <c r="R4337" i="34"/>
  <c r="S4337" i="34"/>
  <c r="T4337" i="34"/>
  <c r="V4337" i="34"/>
  <c r="X4337" i="34"/>
  <c r="Y4337" i="34"/>
  <c r="N4338" i="34"/>
  <c r="R4338" i="34"/>
  <c r="S4338" i="34"/>
  <c r="T4338" i="34"/>
  <c r="V4338" i="34"/>
  <c r="X4338" i="34"/>
  <c r="Y4338" i="34"/>
  <c r="N4339" i="34"/>
  <c r="R4339" i="34"/>
  <c r="S4339" i="34"/>
  <c r="T4339" i="34"/>
  <c r="V4339" i="34"/>
  <c r="X4339" i="34"/>
  <c r="Y4339" i="34"/>
  <c r="N4340" i="34"/>
  <c r="R4340" i="34"/>
  <c r="S4340" i="34"/>
  <c r="T4340" i="34"/>
  <c r="V4340" i="34"/>
  <c r="X4340" i="34"/>
  <c r="Y4340" i="34"/>
  <c r="N4341" i="34"/>
  <c r="R4341" i="34"/>
  <c r="S4341" i="34"/>
  <c r="T4341" i="34"/>
  <c r="V4341" i="34"/>
  <c r="X4341" i="34"/>
  <c r="Y4341" i="34"/>
  <c r="N4342" i="34"/>
  <c r="R4342" i="34"/>
  <c r="S4342" i="34"/>
  <c r="T4342" i="34"/>
  <c r="V4342" i="34"/>
  <c r="X4342" i="34"/>
  <c r="Y4342" i="34"/>
  <c r="N4343" i="34"/>
  <c r="R4343" i="34"/>
  <c r="S4343" i="34"/>
  <c r="T4343" i="34"/>
  <c r="V4343" i="34"/>
  <c r="X4343" i="34"/>
  <c r="Y4343" i="34"/>
  <c r="N4344" i="34"/>
  <c r="R4344" i="34"/>
  <c r="S4344" i="34"/>
  <c r="T4344" i="34"/>
  <c r="V4344" i="34"/>
  <c r="X4344" i="34"/>
  <c r="Y4344" i="34"/>
  <c r="N4345" i="34"/>
  <c r="R4345" i="34"/>
  <c r="S4345" i="34"/>
  <c r="T4345" i="34"/>
  <c r="V4345" i="34"/>
  <c r="X4345" i="34"/>
  <c r="Y4345" i="34"/>
  <c r="N4346" i="34"/>
  <c r="R4346" i="34"/>
  <c r="S4346" i="34"/>
  <c r="T4346" i="34"/>
  <c r="V4346" i="34"/>
  <c r="X4346" i="34"/>
  <c r="Y4346" i="34"/>
  <c r="N4347" i="34"/>
  <c r="R4347" i="34"/>
  <c r="S4347" i="34"/>
  <c r="T4347" i="34"/>
  <c r="V4347" i="34"/>
  <c r="X4347" i="34"/>
  <c r="Y4347" i="34"/>
  <c r="N4348" i="34"/>
  <c r="R4348" i="34"/>
  <c r="S4348" i="34"/>
  <c r="T4348" i="34"/>
  <c r="V4348" i="34"/>
  <c r="X4348" i="34"/>
  <c r="Y4348" i="34"/>
  <c r="N4349" i="34"/>
  <c r="R4349" i="34"/>
  <c r="S4349" i="34"/>
  <c r="T4349" i="34"/>
  <c r="V4349" i="34"/>
  <c r="X4349" i="34"/>
  <c r="Y4349" i="34"/>
  <c r="N4350" i="34"/>
  <c r="R4350" i="34"/>
  <c r="S4350" i="34"/>
  <c r="T4350" i="34"/>
  <c r="V4350" i="34"/>
  <c r="X4350" i="34"/>
  <c r="Y4350" i="34"/>
  <c r="N4351" i="34"/>
  <c r="R4351" i="34"/>
  <c r="S4351" i="34"/>
  <c r="T4351" i="34"/>
  <c r="V4351" i="34"/>
  <c r="X4351" i="34"/>
  <c r="Y4351" i="34"/>
  <c r="N4352" i="34"/>
  <c r="R4352" i="34"/>
  <c r="S4352" i="34"/>
  <c r="T4352" i="34"/>
  <c r="V4352" i="34"/>
  <c r="X4352" i="34"/>
  <c r="Y4352" i="34"/>
  <c r="N4353" i="34"/>
  <c r="R4353" i="34"/>
  <c r="S4353" i="34"/>
  <c r="T4353" i="34"/>
  <c r="V4353" i="34"/>
  <c r="X4353" i="34"/>
  <c r="Y4353" i="34"/>
  <c r="N4354" i="34"/>
  <c r="R4354" i="34"/>
  <c r="S4354" i="34"/>
  <c r="T4354" i="34"/>
  <c r="V4354" i="34"/>
  <c r="X4354" i="34"/>
  <c r="Y4354" i="34"/>
  <c r="N4355" i="34"/>
  <c r="R4355" i="34"/>
  <c r="S4355" i="34"/>
  <c r="T4355" i="34"/>
  <c r="V4355" i="34"/>
  <c r="X4355" i="34"/>
  <c r="Y4355" i="34"/>
  <c r="N4356" i="34"/>
  <c r="R4356" i="34"/>
  <c r="S4356" i="34"/>
  <c r="T4356" i="34"/>
  <c r="V4356" i="34"/>
  <c r="X4356" i="34"/>
  <c r="Y4356" i="34"/>
  <c r="N4357" i="34"/>
  <c r="R4357" i="34"/>
  <c r="S4357" i="34"/>
  <c r="T4357" i="34"/>
  <c r="V4357" i="34"/>
  <c r="X4357" i="34"/>
  <c r="Y4357" i="34"/>
  <c r="N4358" i="34"/>
  <c r="R4358" i="34"/>
  <c r="S4358" i="34"/>
  <c r="T4358" i="34"/>
  <c r="V4358" i="34"/>
  <c r="X4358" i="34"/>
  <c r="Y4358" i="34"/>
  <c r="N4359" i="34"/>
  <c r="R4359" i="34"/>
  <c r="S4359" i="34"/>
  <c r="T4359" i="34"/>
  <c r="V4359" i="34"/>
  <c r="X4359" i="34"/>
  <c r="Y4359" i="34"/>
  <c r="N4360" i="34"/>
  <c r="R4360" i="34"/>
  <c r="S4360" i="34"/>
  <c r="T4360" i="34"/>
  <c r="V4360" i="34"/>
  <c r="X4360" i="34"/>
  <c r="Y4360" i="34"/>
  <c r="N4361" i="34"/>
  <c r="R4361" i="34"/>
  <c r="S4361" i="34"/>
  <c r="T4361" i="34"/>
  <c r="V4361" i="34"/>
  <c r="X4361" i="34"/>
  <c r="Y4361" i="34"/>
  <c r="N4362" i="34"/>
  <c r="R4362" i="34"/>
  <c r="S4362" i="34"/>
  <c r="T4362" i="34"/>
  <c r="V4362" i="34"/>
  <c r="X4362" i="34"/>
  <c r="Y4362" i="34"/>
  <c r="N4363" i="34"/>
  <c r="R4363" i="34"/>
  <c r="S4363" i="34"/>
  <c r="T4363" i="34"/>
  <c r="V4363" i="34"/>
  <c r="X4363" i="34"/>
  <c r="Y4363" i="34"/>
  <c r="N4364" i="34"/>
  <c r="R4364" i="34"/>
  <c r="S4364" i="34"/>
  <c r="T4364" i="34"/>
  <c r="V4364" i="34"/>
  <c r="X4364" i="34"/>
  <c r="Y4364" i="34"/>
  <c r="N4365" i="34"/>
  <c r="R4365" i="34"/>
  <c r="S4365" i="34"/>
  <c r="T4365" i="34"/>
  <c r="V4365" i="34"/>
  <c r="X4365" i="34"/>
  <c r="Y4365" i="34"/>
  <c r="N4366" i="34"/>
  <c r="R4366" i="34"/>
  <c r="S4366" i="34"/>
  <c r="T4366" i="34"/>
  <c r="V4366" i="34"/>
  <c r="X4366" i="34"/>
  <c r="Y4366" i="34"/>
  <c r="N4367" i="34"/>
  <c r="R4367" i="34"/>
  <c r="S4367" i="34"/>
  <c r="T4367" i="34"/>
  <c r="V4367" i="34"/>
  <c r="X4367" i="34"/>
  <c r="Y4367" i="34"/>
  <c r="N4368" i="34"/>
  <c r="R4368" i="34"/>
  <c r="S4368" i="34"/>
  <c r="T4368" i="34"/>
  <c r="V4368" i="34"/>
  <c r="X4368" i="34"/>
  <c r="Y4368" i="34"/>
  <c r="N4369" i="34"/>
  <c r="R4369" i="34"/>
  <c r="S4369" i="34"/>
  <c r="T4369" i="34"/>
  <c r="V4369" i="34"/>
  <c r="X4369" i="34"/>
  <c r="Y4369" i="34"/>
  <c r="N4370" i="34"/>
  <c r="R4370" i="34"/>
  <c r="S4370" i="34"/>
  <c r="T4370" i="34"/>
  <c r="V4370" i="34"/>
  <c r="X4370" i="34"/>
  <c r="Y4370" i="34"/>
  <c r="N4371" i="34"/>
  <c r="R4371" i="34"/>
  <c r="S4371" i="34"/>
  <c r="T4371" i="34"/>
  <c r="V4371" i="34"/>
  <c r="X4371" i="34"/>
  <c r="Y4371" i="34"/>
  <c r="N4372" i="34"/>
  <c r="R4372" i="34"/>
  <c r="S4372" i="34"/>
  <c r="T4372" i="34"/>
  <c r="V4372" i="34"/>
  <c r="X4372" i="34"/>
  <c r="Y4372" i="34"/>
  <c r="N4373" i="34"/>
  <c r="R4373" i="34"/>
  <c r="S4373" i="34"/>
  <c r="T4373" i="34"/>
  <c r="V4373" i="34"/>
  <c r="X4373" i="34"/>
  <c r="Y4373" i="34"/>
  <c r="N4374" i="34"/>
  <c r="R4374" i="34"/>
  <c r="S4374" i="34"/>
  <c r="T4374" i="34"/>
  <c r="V4374" i="34"/>
  <c r="X4374" i="34"/>
  <c r="Y4374" i="34"/>
  <c r="N4375" i="34"/>
  <c r="R4375" i="34"/>
  <c r="S4375" i="34"/>
  <c r="T4375" i="34"/>
  <c r="V4375" i="34"/>
  <c r="X4375" i="34"/>
  <c r="Y4375" i="34"/>
  <c r="N4376" i="34"/>
  <c r="R4376" i="34"/>
  <c r="S4376" i="34"/>
  <c r="T4376" i="34"/>
  <c r="V4376" i="34"/>
  <c r="X4376" i="34"/>
  <c r="Y4376" i="34"/>
  <c r="N4377" i="34"/>
  <c r="R4377" i="34"/>
  <c r="S4377" i="34"/>
  <c r="T4377" i="34"/>
  <c r="V4377" i="34"/>
  <c r="X4377" i="34"/>
  <c r="Y4377" i="34"/>
  <c r="N4378" i="34"/>
  <c r="R4378" i="34"/>
  <c r="S4378" i="34"/>
  <c r="T4378" i="34"/>
  <c r="V4378" i="34"/>
  <c r="X4378" i="34"/>
  <c r="Y4378" i="34"/>
  <c r="N4379" i="34"/>
  <c r="R4379" i="34"/>
  <c r="S4379" i="34"/>
  <c r="T4379" i="34"/>
  <c r="V4379" i="34"/>
  <c r="X4379" i="34"/>
  <c r="Y4379" i="34"/>
  <c r="N4380" i="34"/>
  <c r="R4380" i="34"/>
  <c r="S4380" i="34"/>
  <c r="T4380" i="34"/>
  <c r="V4380" i="34"/>
  <c r="X4380" i="34"/>
  <c r="Y4380" i="34"/>
  <c r="N4381" i="34"/>
  <c r="R4381" i="34"/>
  <c r="S4381" i="34"/>
  <c r="T4381" i="34"/>
  <c r="V4381" i="34"/>
  <c r="X4381" i="34"/>
  <c r="Y4381" i="34"/>
  <c r="N4382" i="34"/>
  <c r="R4382" i="34"/>
  <c r="S4382" i="34"/>
  <c r="T4382" i="34"/>
  <c r="V4382" i="34"/>
  <c r="X4382" i="34"/>
  <c r="Y4382" i="34"/>
  <c r="N4383" i="34"/>
  <c r="R4383" i="34"/>
  <c r="S4383" i="34"/>
  <c r="T4383" i="34"/>
  <c r="V4383" i="34"/>
  <c r="X4383" i="34"/>
  <c r="Y4383" i="34"/>
  <c r="N4384" i="34"/>
  <c r="R4384" i="34"/>
  <c r="S4384" i="34"/>
  <c r="T4384" i="34"/>
  <c r="V4384" i="34"/>
  <c r="X4384" i="34"/>
  <c r="Y4384" i="34"/>
  <c r="N4385" i="34"/>
  <c r="R4385" i="34"/>
  <c r="S4385" i="34"/>
  <c r="T4385" i="34"/>
  <c r="V4385" i="34"/>
  <c r="X4385" i="34"/>
  <c r="Y4385" i="34"/>
  <c r="N4386" i="34"/>
  <c r="R4386" i="34"/>
  <c r="S4386" i="34"/>
  <c r="T4386" i="34"/>
  <c r="V4386" i="34"/>
  <c r="X4386" i="34"/>
  <c r="Y4386" i="34"/>
  <c r="N4387" i="34"/>
  <c r="R4387" i="34"/>
  <c r="S4387" i="34"/>
  <c r="T4387" i="34"/>
  <c r="V4387" i="34"/>
  <c r="X4387" i="34"/>
  <c r="Y4387" i="34"/>
  <c r="N4388" i="34"/>
  <c r="R4388" i="34"/>
  <c r="S4388" i="34"/>
  <c r="T4388" i="34"/>
  <c r="V4388" i="34"/>
  <c r="X4388" i="34"/>
  <c r="Y4388" i="34"/>
  <c r="N4389" i="34"/>
  <c r="R4389" i="34"/>
  <c r="S4389" i="34"/>
  <c r="T4389" i="34"/>
  <c r="V4389" i="34"/>
  <c r="X4389" i="34"/>
  <c r="Y4389" i="34"/>
  <c r="N4390" i="34"/>
  <c r="R4390" i="34"/>
  <c r="S4390" i="34"/>
  <c r="T4390" i="34"/>
  <c r="V4390" i="34"/>
  <c r="X4390" i="34"/>
  <c r="Y4390" i="34"/>
  <c r="N4391" i="34"/>
  <c r="R4391" i="34"/>
  <c r="S4391" i="34"/>
  <c r="T4391" i="34"/>
  <c r="V4391" i="34"/>
  <c r="X4391" i="34"/>
  <c r="Y4391" i="34"/>
  <c r="N4392" i="34"/>
  <c r="R4392" i="34"/>
  <c r="S4392" i="34"/>
  <c r="T4392" i="34"/>
  <c r="V4392" i="34"/>
  <c r="X4392" i="34"/>
  <c r="Y4392" i="34"/>
  <c r="N4393" i="34"/>
  <c r="R4393" i="34"/>
  <c r="S4393" i="34"/>
  <c r="T4393" i="34"/>
  <c r="V4393" i="34"/>
  <c r="X4393" i="34"/>
  <c r="Y4393" i="34"/>
  <c r="N4394" i="34"/>
  <c r="R4394" i="34"/>
  <c r="S4394" i="34"/>
  <c r="T4394" i="34"/>
  <c r="V4394" i="34"/>
  <c r="X4394" i="34"/>
  <c r="Y4394" i="34"/>
  <c r="N4395" i="34"/>
  <c r="R4395" i="34"/>
  <c r="S4395" i="34"/>
  <c r="T4395" i="34"/>
  <c r="V4395" i="34"/>
  <c r="X4395" i="34"/>
  <c r="Y4395" i="34"/>
  <c r="N4396" i="34"/>
  <c r="R4396" i="34"/>
  <c r="S4396" i="34"/>
  <c r="T4396" i="34"/>
  <c r="V4396" i="34"/>
  <c r="X4396" i="34"/>
  <c r="Y4396" i="34"/>
  <c r="N4397" i="34"/>
  <c r="R4397" i="34"/>
  <c r="S4397" i="34"/>
  <c r="T4397" i="34"/>
  <c r="V4397" i="34"/>
  <c r="X4397" i="34"/>
  <c r="Y4397" i="34"/>
  <c r="N4398" i="34"/>
  <c r="R4398" i="34"/>
  <c r="S4398" i="34"/>
  <c r="T4398" i="34"/>
  <c r="V4398" i="34"/>
  <c r="X4398" i="34"/>
  <c r="Y4398" i="34"/>
  <c r="N4399" i="34"/>
  <c r="R4399" i="34"/>
  <c r="S4399" i="34"/>
  <c r="T4399" i="34"/>
  <c r="V4399" i="34"/>
  <c r="X4399" i="34"/>
  <c r="Y4399" i="34"/>
  <c r="N4400" i="34"/>
  <c r="R4400" i="34"/>
  <c r="S4400" i="34"/>
  <c r="T4400" i="34"/>
  <c r="V4400" i="34"/>
  <c r="X4400" i="34"/>
  <c r="Y4400" i="34"/>
  <c r="N4401" i="34"/>
  <c r="R4401" i="34"/>
  <c r="S4401" i="34"/>
  <c r="T4401" i="34"/>
  <c r="V4401" i="34"/>
  <c r="X4401" i="34"/>
  <c r="Y4401" i="34"/>
  <c r="N4402" i="34"/>
  <c r="R4402" i="34"/>
  <c r="S4402" i="34"/>
  <c r="T4402" i="34"/>
  <c r="V4402" i="34"/>
  <c r="X4402" i="34"/>
  <c r="Y4402" i="34"/>
  <c r="N4403" i="34"/>
  <c r="R4403" i="34"/>
  <c r="S4403" i="34"/>
  <c r="T4403" i="34"/>
  <c r="V4403" i="34"/>
  <c r="X4403" i="34"/>
  <c r="Y4403" i="34"/>
  <c r="N4404" i="34"/>
  <c r="R4404" i="34"/>
  <c r="S4404" i="34"/>
  <c r="T4404" i="34"/>
  <c r="V4404" i="34"/>
  <c r="X4404" i="34"/>
  <c r="Y4404" i="34"/>
  <c r="N4405" i="34"/>
  <c r="R4405" i="34"/>
  <c r="S4405" i="34"/>
  <c r="T4405" i="34"/>
  <c r="V4405" i="34"/>
  <c r="X4405" i="34"/>
  <c r="Y4405" i="34"/>
  <c r="N4406" i="34"/>
  <c r="R4406" i="34"/>
  <c r="S4406" i="34"/>
  <c r="T4406" i="34"/>
  <c r="V4406" i="34"/>
  <c r="X4406" i="34"/>
  <c r="Y4406" i="34"/>
  <c r="N4407" i="34"/>
  <c r="R4407" i="34"/>
  <c r="S4407" i="34"/>
  <c r="T4407" i="34"/>
  <c r="V4407" i="34"/>
  <c r="X4407" i="34"/>
  <c r="Y4407" i="34"/>
  <c r="N4408" i="34"/>
  <c r="R4408" i="34"/>
  <c r="S4408" i="34"/>
  <c r="T4408" i="34"/>
  <c r="V4408" i="34"/>
  <c r="X4408" i="34"/>
  <c r="Y4408" i="34"/>
  <c r="N4409" i="34"/>
  <c r="R4409" i="34"/>
  <c r="S4409" i="34"/>
  <c r="T4409" i="34"/>
  <c r="V4409" i="34"/>
  <c r="X4409" i="34"/>
  <c r="Y4409" i="34"/>
  <c r="N4410" i="34"/>
  <c r="R4410" i="34"/>
  <c r="S4410" i="34"/>
  <c r="T4410" i="34"/>
  <c r="V4410" i="34"/>
  <c r="X4410" i="34"/>
  <c r="Y4410" i="34"/>
  <c r="N4411" i="34"/>
  <c r="R4411" i="34"/>
  <c r="S4411" i="34"/>
  <c r="T4411" i="34"/>
  <c r="V4411" i="34"/>
  <c r="X4411" i="34"/>
  <c r="Y4411" i="34"/>
  <c r="N4412" i="34"/>
  <c r="R4412" i="34"/>
  <c r="S4412" i="34"/>
  <c r="T4412" i="34"/>
  <c r="V4412" i="34"/>
  <c r="X4412" i="34"/>
  <c r="Y4412" i="34"/>
  <c r="N4413" i="34"/>
  <c r="R4413" i="34"/>
  <c r="S4413" i="34"/>
  <c r="T4413" i="34"/>
  <c r="V4413" i="34"/>
  <c r="X4413" i="34"/>
  <c r="Y4413" i="34"/>
  <c r="N4414" i="34"/>
  <c r="R4414" i="34"/>
  <c r="S4414" i="34"/>
  <c r="T4414" i="34"/>
  <c r="V4414" i="34"/>
  <c r="X4414" i="34"/>
  <c r="Y4414" i="34"/>
  <c r="N4415" i="34"/>
  <c r="R4415" i="34"/>
  <c r="S4415" i="34"/>
  <c r="T4415" i="34"/>
  <c r="V4415" i="34"/>
  <c r="X4415" i="34"/>
  <c r="Y4415" i="34"/>
  <c r="N4416" i="34"/>
  <c r="R4416" i="34"/>
  <c r="S4416" i="34"/>
  <c r="T4416" i="34"/>
  <c r="V4416" i="34"/>
  <c r="X4416" i="34"/>
  <c r="Y4416" i="34"/>
  <c r="N4417" i="34"/>
  <c r="R4417" i="34"/>
  <c r="S4417" i="34"/>
  <c r="T4417" i="34"/>
  <c r="V4417" i="34"/>
  <c r="X4417" i="34"/>
  <c r="Y4417" i="34"/>
  <c r="N4418" i="34"/>
  <c r="R4418" i="34"/>
  <c r="S4418" i="34"/>
  <c r="T4418" i="34"/>
  <c r="V4418" i="34"/>
  <c r="X4418" i="34"/>
  <c r="Y4418" i="34"/>
  <c r="N4419" i="34"/>
  <c r="R4419" i="34"/>
  <c r="S4419" i="34"/>
  <c r="T4419" i="34"/>
  <c r="V4419" i="34"/>
  <c r="X4419" i="34"/>
  <c r="Y4419" i="34"/>
  <c r="N4420" i="34"/>
  <c r="R4420" i="34"/>
  <c r="S4420" i="34"/>
  <c r="T4420" i="34"/>
  <c r="V4420" i="34"/>
  <c r="X4420" i="34"/>
  <c r="Y4420" i="34"/>
  <c r="N4421" i="34"/>
  <c r="R4421" i="34"/>
  <c r="S4421" i="34"/>
  <c r="T4421" i="34"/>
  <c r="V4421" i="34"/>
  <c r="X4421" i="34"/>
  <c r="Y4421" i="34"/>
  <c r="N4422" i="34"/>
  <c r="R4422" i="34"/>
  <c r="S4422" i="34"/>
  <c r="T4422" i="34"/>
  <c r="V4422" i="34"/>
  <c r="X4422" i="34"/>
  <c r="Y4422" i="34"/>
  <c r="N4423" i="34"/>
  <c r="R4423" i="34"/>
  <c r="S4423" i="34"/>
  <c r="T4423" i="34"/>
  <c r="V4423" i="34"/>
  <c r="X4423" i="34"/>
  <c r="Y4423" i="34"/>
  <c r="N4424" i="34"/>
  <c r="R4424" i="34"/>
  <c r="S4424" i="34"/>
  <c r="T4424" i="34"/>
  <c r="V4424" i="34"/>
  <c r="X4424" i="34"/>
  <c r="Y4424" i="34"/>
  <c r="N4425" i="34"/>
  <c r="R4425" i="34"/>
  <c r="S4425" i="34"/>
  <c r="T4425" i="34"/>
  <c r="V4425" i="34"/>
  <c r="X4425" i="34"/>
  <c r="Y4425" i="34"/>
  <c r="N4426" i="34"/>
  <c r="R4426" i="34"/>
  <c r="S4426" i="34"/>
  <c r="T4426" i="34"/>
  <c r="V4426" i="34"/>
  <c r="X4426" i="34"/>
  <c r="Y4426" i="34"/>
  <c r="N4427" i="34"/>
  <c r="R4427" i="34"/>
  <c r="S4427" i="34"/>
  <c r="T4427" i="34"/>
  <c r="V4427" i="34"/>
  <c r="X4427" i="34"/>
  <c r="Y4427" i="34"/>
  <c r="N4428" i="34"/>
  <c r="R4428" i="34"/>
  <c r="S4428" i="34"/>
  <c r="T4428" i="34"/>
  <c r="V4428" i="34"/>
  <c r="X4428" i="34"/>
  <c r="Y4428" i="34"/>
  <c r="N4429" i="34"/>
  <c r="R4429" i="34"/>
  <c r="S4429" i="34"/>
  <c r="T4429" i="34"/>
  <c r="V4429" i="34"/>
  <c r="X4429" i="34"/>
  <c r="Y4429" i="34"/>
  <c r="N4430" i="34"/>
  <c r="R4430" i="34"/>
  <c r="S4430" i="34"/>
  <c r="T4430" i="34"/>
  <c r="V4430" i="34"/>
  <c r="X4430" i="34"/>
  <c r="Y4430" i="34"/>
  <c r="N4431" i="34"/>
  <c r="R4431" i="34"/>
  <c r="S4431" i="34"/>
  <c r="T4431" i="34"/>
  <c r="V4431" i="34"/>
  <c r="X4431" i="34"/>
  <c r="Y4431" i="34"/>
  <c r="N4432" i="34"/>
  <c r="R4432" i="34"/>
  <c r="S4432" i="34"/>
  <c r="T4432" i="34"/>
  <c r="V4432" i="34"/>
  <c r="X4432" i="34"/>
  <c r="Y4432" i="34"/>
  <c r="N4433" i="34"/>
  <c r="R4433" i="34"/>
  <c r="S4433" i="34"/>
  <c r="T4433" i="34"/>
  <c r="V4433" i="34"/>
  <c r="X4433" i="34"/>
  <c r="Y4433" i="34"/>
  <c r="N4434" i="34"/>
  <c r="R4434" i="34"/>
  <c r="S4434" i="34"/>
  <c r="T4434" i="34"/>
  <c r="V4434" i="34"/>
  <c r="X4434" i="34"/>
  <c r="Y4434" i="34"/>
  <c r="N4435" i="34"/>
  <c r="R4435" i="34"/>
  <c r="S4435" i="34"/>
  <c r="T4435" i="34"/>
  <c r="V4435" i="34"/>
  <c r="X4435" i="34"/>
  <c r="Y4435" i="34"/>
  <c r="N4436" i="34"/>
  <c r="R4436" i="34"/>
  <c r="S4436" i="34"/>
  <c r="T4436" i="34"/>
  <c r="V4436" i="34"/>
  <c r="X4436" i="34"/>
  <c r="Y4436" i="34"/>
  <c r="N4437" i="34"/>
  <c r="R4437" i="34"/>
  <c r="S4437" i="34"/>
  <c r="T4437" i="34"/>
  <c r="V4437" i="34"/>
  <c r="X4437" i="34"/>
  <c r="Y4437" i="34"/>
  <c r="N4438" i="34"/>
  <c r="R4438" i="34"/>
  <c r="S4438" i="34"/>
  <c r="T4438" i="34"/>
  <c r="V4438" i="34"/>
  <c r="X4438" i="34"/>
  <c r="Y4438" i="34"/>
  <c r="N4439" i="34"/>
  <c r="R4439" i="34"/>
  <c r="S4439" i="34"/>
  <c r="T4439" i="34"/>
  <c r="V4439" i="34"/>
  <c r="X4439" i="34"/>
  <c r="Y4439" i="34"/>
  <c r="N4440" i="34"/>
  <c r="R4440" i="34"/>
  <c r="S4440" i="34"/>
  <c r="T4440" i="34"/>
  <c r="V4440" i="34"/>
  <c r="X4440" i="34"/>
  <c r="Y4440" i="34"/>
  <c r="N4441" i="34"/>
  <c r="R4441" i="34"/>
  <c r="S4441" i="34"/>
  <c r="T4441" i="34"/>
  <c r="V4441" i="34"/>
  <c r="X4441" i="34"/>
  <c r="Y4441" i="34"/>
  <c r="N4442" i="34"/>
  <c r="R4442" i="34"/>
  <c r="S4442" i="34"/>
  <c r="T4442" i="34"/>
  <c r="V4442" i="34"/>
  <c r="X4442" i="34"/>
  <c r="Y4442" i="34"/>
  <c r="N4443" i="34"/>
  <c r="R4443" i="34"/>
  <c r="S4443" i="34"/>
  <c r="T4443" i="34"/>
  <c r="V4443" i="34"/>
  <c r="X4443" i="34"/>
  <c r="Y4443" i="34"/>
  <c r="N4444" i="34"/>
  <c r="R4444" i="34"/>
  <c r="S4444" i="34"/>
  <c r="T4444" i="34"/>
  <c r="V4444" i="34"/>
  <c r="X4444" i="34"/>
  <c r="Y4444" i="34"/>
  <c r="N4445" i="34"/>
  <c r="R4445" i="34"/>
  <c r="S4445" i="34"/>
  <c r="T4445" i="34"/>
  <c r="V4445" i="34"/>
  <c r="X4445" i="34"/>
  <c r="Y4445" i="34"/>
  <c r="N4446" i="34"/>
  <c r="R4446" i="34"/>
  <c r="S4446" i="34"/>
  <c r="T4446" i="34"/>
  <c r="V4446" i="34"/>
  <c r="X4446" i="34"/>
  <c r="Y4446" i="34"/>
  <c r="N4447" i="34"/>
  <c r="R4447" i="34"/>
  <c r="S4447" i="34"/>
  <c r="T4447" i="34"/>
  <c r="V4447" i="34"/>
  <c r="X4447" i="34"/>
  <c r="Y4447" i="34"/>
  <c r="N4448" i="34"/>
  <c r="R4448" i="34"/>
  <c r="S4448" i="34"/>
  <c r="T4448" i="34"/>
  <c r="V4448" i="34"/>
  <c r="X4448" i="34"/>
  <c r="Y4448" i="34"/>
  <c r="N4449" i="34"/>
  <c r="R4449" i="34"/>
  <c r="S4449" i="34"/>
  <c r="T4449" i="34"/>
  <c r="V4449" i="34"/>
  <c r="X4449" i="34"/>
  <c r="Y4449" i="34"/>
  <c r="N4450" i="34"/>
  <c r="R4450" i="34"/>
  <c r="S4450" i="34"/>
  <c r="T4450" i="34"/>
  <c r="V4450" i="34"/>
  <c r="X4450" i="34"/>
  <c r="Y4450" i="34"/>
  <c r="N4451" i="34"/>
  <c r="R4451" i="34"/>
  <c r="S4451" i="34"/>
  <c r="T4451" i="34"/>
  <c r="V4451" i="34"/>
  <c r="X4451" i="34"/>
  <c r="Y4451" i="34"/>
  <c r="N4452" i="34"/>
  <c r="R4452" i="34"/>
  <c r="S4452" i="34"/>
  <c r="T4452" i="34"/>
  <c r="V4452" i="34"/>
  <c r="X4452" i="34"/>
  <c r="Y4452" i="34"/>
  <c r="N4453" i="34"/>
  <c r="R4453" i="34"/>
  <c r="S4453" i="34"/>
  <c r="T4453" i="34"/>
  <c r="V4453" i="34"/>
  <c r="X4453" i="34"/>
  <c r="Y4453" i="34"/>
  <c r="N4454" i="34"/>
  <c r="R4454" i="34"/>
  <c r="S4454" i="34"/>
  <c r="T4454" i="34"/>
  <c r="V4454" i="34"/>
  <c r="X4454" i="34"/>
  <c r="Y4454" i="34"/>
  <c r="N4455" i="34"/>
  <c r="R4455" i="34"/>
  <c r="S4455" i="34"/>
  <c r="T4455" i="34"/>
  <c r="V4455" i="34"/>
  <c r="X4455" i="34"/>
  <c r="Y4455" i="34"/>
  <c r="N4456" i="34"/>
  <c r="R4456" i="34"/>
  <c r="S4456" i="34"/>
  <c r="T4456" i="34"/>
  <c r="V4456" i="34"/>
  <c r="X4456" i="34"/>
  <c r="Y4456" i="34"/>
  <c r="N4457" i="34"/>
  <c r="R4457" i="34"/>
  <c r="S4457" i="34"/>
  <c r="T4457" i="34"/>
  <c r="V4457" i="34"/>
  <c r="X4457" i="34"/>
  <c r="Y4457" i="34"/>
  <c r="N4458" i="34"/>
  <c r="R4458" i="34"/>
  <c r="S4458" i="34"/>
  <c r="T4458" i="34"/>
  <c r="V4458" i="34"/>
  <c r="X4458" i="34"/>
  <c r="Y4458" i="34"/>
  <c r="N4459" i="34"/>
  <c r="R4459" i="34"/>
  <c r="S4459" i="34"/>
  <c r="T4459" i="34"/>
  <c r="V4459" i="34"/>
  <c r="X4459" i="34"/>
  <c r="Y4459" i="34"/>
  <c r="N4460" i="34"/>
  <c r="R4460" i="34"/>
  <c r="S4460" i="34"/>
  <c r="T4460" i="34"/>
  <c r="V4460" i="34"/>
  <c r="X4460" i="34"/>
  <c r="Y4460" i="34"/>
  <c r="N4461" i="34"/>
  <c r="R4461" i="34"/>
  <c r="S4461" i="34"/>
  <c r="T4461" i="34"/>
  <c r="V4461" i="34"/>
  <c r="X4461" i="34"/>
  <c r="Y4461" i="34"/>
  <c r="N4462" i="34"/>
  <c r="R4462" i="34"/>
  <c r="S4462" i="34"/>
  <c r="T4462" i="34"/>
  <c r="V4462" i="34"/>
  <c r="X4462" i="34"/>
  <c r="Y4462" i="34"/>
  <c r="N4463" i="34"/>
  <c r="R4463" i="34"/>
  <c r="S4463" i="34"/>
  <c r="T4463" i="34"/>
  <c r="V4463" i="34"/>
  <c r="X4463" i="34"/>
  <c r="Y4463" i="34"/>
  <c r="N4464" i="34"/>
  <c r="R4464" i="34"/>
  <c r="S4464" i="34"/>
  <c r="T4464" i="34"/>
  <c r="V4464" i="34"/>
  <c r="X4464" i="34"/>
  <c r="Y4464" i="34"/>
  <c r="N4465" i="34"/>
  <c r="R4465" i="34"/>
  <c r="S4465" i="34"/>
  <c r="T4465" i="34"/>
  <c r="V4465" i="34"/>
  <c r="X4465" i="34"/>
  <c r="Y4465" i="34"/>
  <c r="N4466" i="34"/>
  <c r="R4466" i="34"/>
  <c r="S4466" i="34"/>
  <c r="T4466" i="34"/>
  <c r="V4466" i="34"/>
  <c r="X4466" i="34"/>
  <c r="Y4466" i="34"/>
  <c r="N4467" i="34"/>
  <c r="R4467" i="34"/>
  <c r="S4467" i="34"/>
  <c r="T4467" i="34"/>
  <c r="V4467" i="34"/>
  <c r="X4467" i="34"/>
  <c r="Y4467" i="34"/>
  <c r="N4468" i="34"/>
  <c r="R4468" i="34"/>
  <c r="S4468" i="34"/>
  <c r="T4468" i="34"/>
  <c r="V4468" i="34"/>
  <c r="X4468" i="34"/>
  <c r="Y4468" i="34"/>
  <c r="N4469" i="34"/>
  <c r="R4469" i="34"/>
  <c r="S4469" i="34"/>
  <c r="T4469" i="34"/>
  <c r="V4469" i="34"/>
  <c r="X4469" i="34"/>
  <c r="Y4469" i="34"/>
  <c r="N4470" i="34"/>
  <c r="R4470" i="34"/>
  <c r="S4470" i="34"/>
  <c r="T4470" i="34"/>
  <c r="V4470" i="34"/>
  <c r="X4470" i="34"/>
  <c r="Y4470" i="34"/>
  <c r="N4471" i="34"/>
  <c r="R4471" i="34"/>
  <c r="S4471" i="34"/>
  <c r="T4471" i="34"/>
  <c r="V4471" i="34"/>
  <c r="X4471" i="34"/>
  <c r="Y4471" i="34"/>
  <c r="N4472" i="34"/>
  <c r="R4472" i="34"/>
  <c r="S4472" i="34"/>
  <c r="T4472" i="34"/>
  <c r="V4472" i="34"/>
  <c r="X4472" i="34"/>
  <c r="Y4472" i="34"/>
  <c r="N4473" i="34"/>
  <c r="R4473" i="34"/>
  <c r="S4473" i="34"/>
  <c r="T4473" i="34"/>
  <c r="V4473" i="34"/>
  <c r="X4473" i="34"/>
  <c r="Y4473" i="34"/>
  <c r="N4474" i="34"/>
  <c r="R4474" i="34"/>
  <c r="S4474" i="34"/>
  <c r="T4474" i="34"/>
  <c r="V4474" i="34"/>
  <c r="X4474" i="34"/>
  <c r="Y4474" i="34"/>
  <c r="N4475" i="34"/>
  <c r="R4475" i="34"/>
  <c r="S4475" i="34"/>
  <c r="T4475" i="34"/>
  <c r="V4475" i="34"/>
  <c r="X4475" i="34"/>
  <c r="Y4475" i="34"/>
  <c r="N4476" i="34"/>
  <c r="R4476" i="34"/>
  <c r="S4476" i="34"/>
  <c r="T4476" i="34"/>
  <c r="V4476" i="34"/>
  <c r="X4476" i="34"/>
  <c r="Y4476" i="34"/>
  <c r="N4477" i="34"/>
  <c r="R4477" i="34"/>
  <c r="S4477" i="34"/>
  <c r="T4477" i="34"/>
  <c r="V4477" i="34"/>
  <c r="X4477" i="34"/>
  <c r="Y4477" i="34"/>
  <c r="N4478" i="34"/>
  <c r="R4478" i="34"/>
  <c r="S4478" i="34"/>
  <c r="T4478" i="34"/>
  <c r="V4478" i="34"/>
  <c r="X4478" i="34"/>
  <c r="Y4478" i="34"/>
  <c r="N4479" i="34"/>
  <c r="R4479" i="34"/>
  <c r="S4479" i="34"/>
  <c r="T4479" i="34"/>
  <c r="V4479" i="34"/>
  <c r="X4479" i="34"/>
  <c r="Y4479" i="34"/>
  <c r="N4480" i="34"/>
  <c r="R4480" i="34"/>
  <c r="S4480" i="34"/>
  <c r="T4480" i="34"/>
  <c r="V4480" i="34"/>
  <c r="X4480" i="34"/>
  <c r="Y4480" i="34"/>
  <c r="N4481" i="34"/>
  <c r="R4481" i="34"/>
  <c r="S4481" i="34"/>
  <c r="T4481" i="34"/>
  <c r="V4481" i="34"/>
  <c r="X4481" i="34"/>
  <c r="Y4481" i="34"/>
  <c r="N4482" i="34"/>
  <c r="R4482" i="34"/>
  <c r="S4482" i="34"/>
  <c r="T4482" i="34"/>
  <c r="V4482" i="34"/>
  <c r="X4482" i="34"/>
  <c r="Y4482" i="34"/>
  <c r="N4483" i="34"/>
  <c r="R4483" i="34"/>
  <c r="S4483" i="34"/>
  <c r="T4483" i="34"/>
  <c r="V4483" i="34"/>
  <c r="X4483" i="34"/>
  <c r="Y4483" i="34"/>
  <c r="N4484" i="34"/>
  <c r="R4484" i="34"/>
  <c r="S4484" i="34"/>
  <c r="T4484" i="34"/>
  <c r="V4484" i="34"/>
  <c r="X4484" i="34"/>
  <c r="Y4484" i="34"/>
  <c r="N4485" i="34"/>
  <c r="R4485" i="34"/>
  <c r="S4485" i="34"/>
  <c r="T4485" i="34"/>
  <c r="V4485" i="34"/>
  <c r="X4485" i="34"/>
  <c r="Y4485" i="34"/>
  <c r="N4486" i="34"/>
  <c r="R4486" i="34"/>
  <c r="S4486" i="34"/>
  <c r="T4486" i="34"/>
  <c r="V4486" i="34"/>
  <c r="X4486" i="34"/>
  <c r="Y4486" i="34"/>
  <c r="N4487" i="34"/>
  <c r="R4487" i="34"/>
  <c r="S4487" i="34"/>
  <c r="T4487" i="34"/>
  <c r="V4487" i="34"/>
  <c r="X4487" i="34"/>
  <c r="Y4487" i="34"/>
  <c r="H191" i="60"/>
  <c r="K3826" i="34"/>
  <c r="C3826" i="34"/>
  <c r="B3826" i="34" s="1"/>
  <c r="A3826" i="34" s="1"/>
  <c r="N94" i="60"/>
  <c r="Q94" i="60"/>
  <c r="C93" i="60"/>
  <c r="K3818" i="34"/>
  <c r="C3818" i="34"/>
  <c r="B3818" i="34" s="1"/>
  <c r="A3818" i="34" s="1"/>
  <c r="N86" i="60"/>
  <c r="Q86" i="60"/>
  <c r="K3803" i="34"/>
  <c r="C3803" i="34"/>
  <c r="B3803" i="34" s="1"/>
  <c r="K3802" i="34"/>
  <c r="C3802" i="34"/>
  <c r="B3802" i="34" s="1"/>
  <c r="Q73" i="60"/>
  <c r="N73" i="60"/>
  <c r="Q71" i="60"/>
  <c r="N71" i="60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0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48" i="60"/>
  <c r="T49" i="60"/>
  <c r="T50" i="60"/>
  <c r="T51" i="60"/>
  <c r="T52" i="60"/>
  <c r="T53" i="60"/>
  <c r="T54" i="60"/>
  <c r="T55" i="60"/>
  <c r="T56" i="60"/>
  <c r="T57" i="60"/>
  <c r="T58" i="60"/>
  <c r="T59" i="60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A3653" i="34" s="1"/>
  <c r="K3652" i="34"/>
  <c r="C3652" i="34"/>
  <c r="B3652" i="34" s="1"/>
  <c r="K3651" i="34"/>
  <c r="C3651" i="34"/>
  <c r="B3651" i="34" s="1"/>
  <c r="K3650" i="34"/>
  <c r="C3650" i="34"/>
  <c r="B3650" i="34" s="1"/>
  <c r="A3650" i="34" s="1"/>
  <c r="K3649" i="34"/>
  <c r="C3649" i="34"/>
  <c r="B3649" i="34" s="1"/>
  <c r="K3648" i="34"/>
  <c r="C3648" i="34"/>
  <c r="B3648" i="34" s="1"/>
  <c r="A3648" i="34" s="1"/>
  <c r="K3647" i="34"/>
  <c r="C3647" i="34"/>
  <c r="B3647" i="34" s="1"/>
  <c r="K3646" i="34"/>
  <c r="C3646" i="34"/>
  <c r="B3646" i="34" s="1"/>
  <c r="A3646" i="34" s="1"/>
  <c r="K3645" i="34"/>
  <c r="C3645" i="34"/>
  <c r="B3645" i="34" s="1"/>
  <c r="K3644" i="34"/>
  <c r="C3644" i="34"/>
  <c r="B3644" i="34" s="1"/>
  <c r="A3644" i="34" s="1"/>
  <c r="K3643" i="34"/>
  <c r="C3643" i="34"/>
  <c r="B3643" i="34" s="1"/>
  <c r="K3642" i="34"/>
  <c r="C3642" i="34"/>
  <c r="B3642" i="34" s="1"/>
  <c r="A3642" i="34" s="1"/>
  <c r="K3641" i="34"/>
  <c r="C3641" i="34"/>
  <c r="B3641" i="34" s="1"/>
  <c r="K3640" i="34"/>
  <c r="C3640" i="34"/>
  <c r="B3640" i="34" s="1"/>
  <c r="A3640" i="34" s="1"/>
  <c r="K3639" i="34"/>
  <c r="C3639" i="34"/>
  <c r="B3639" i="34" s="1"/>
  <c r="K3638" i="34"/>
  <c r="C3638" i="34"/>
  <c r="B3638" i="34" s="1"/>
  <c r="K3637" i="34"/>
  <c r="C3637" i="34"/>
  <c r="B3637" i="34" s="1"/>
  <c r="Q190" i="60"/>
  <c r="C190" i="60" s="1"/>
  <c r="O188" i="60"/>
  <c r="Q176" i="60"/>
  <c r="C176" i="60" s="1"/>
  <c r="Q177" i="60"/>
  <c r="C177" i="60" s="1"/>
  <c r="O178" i="60"/>
  <c r="Q178" i="60" s="1"/>
  <c r="C178" i="60" s="1"/>
  <c r="O179" i="60"/>
  <c r="Q179" i="60" s="1"/>
  <c r="C179" i="60" s="1"/>
  <c r="Q180" i="60"/>
  <c r="C180" i="60" s="1"/>
  <c r="Q181" i="60"/>
  <c r="C181" i="60" s="1"/>
  <c r="Q182" i="60"/>
  <c r="C182" i="60" s="1"/>
  <c r="Q184" i="60"/>
  <c r="C184" i="60" s="1"/>
  <c r="Q185" i="60"/>
  <c r="C185" i="60" s="1"/>
  <c r="Q186" i="60"/>
  <c r="C186" i="60" s="1"/>
  <c r="Q188" i="60"/>
  <c r="C188" i="60" s="1"/>
  <c r="Q189" i="60"/>
  <c r="C189" i="60" s="1"/>
  <c r="Q175" i="60"/>
  <c r="C175" i="60" s="1"/>
  <c r="P891" i="79"/>
  <c r="P887" i="79"/>
  <c r="P886" i="79"/>
  <c r="P885" i="79"/>
  <c r="P884" i="79"/>
  <c r="P883" i="79"/>
  <c r="P882" i="79"/>
  <c r="P881" i="79"/>
  <c r="P880" i="79"/>
  <c r="P879" i="79"/>
  <c r="P878" i="79"/>
  <c r="P877" i="79"/>
  <c r="P876" i="79"/>
  <c r="P875" i="79"/>
  <c r="P874" i="79"/>
  <c r="P873" i="79"/>
  <c r="P872" i="79"/>
  <c r="P871" i="79"/>
  <c r="P870" i="79"/>
  <c r="P868" i="79"/>
  <c r="Q172" i="60"/>
  <c r="C172" i="60" s="1"/>
  <c r="Q173" i="60"/>
  <c r="C173" i="60" s="1"/>
  <c r="Q174" i="60"/>
  <c r="C174" i="60" s="1"/>
  <c r="Q183" i="60"/>
  <c r="C183" i="60" s="1"/>
  <c r="Q187" i="60"/>
  <c r="C187" i="60" s="1"/>
  <c r="Q191" i="60"/>
  <c r="C191" i="60" s="1"/>
  <c r="Q3638" i="34" l="1"/>
  <c r="U3638" i="34"/>
  <c r="Z3638" i="34"/>
  <c r="O3638" i="34"/>
  <c r="W3638" i="34"/>
  <c r="P3638" i="34"/>
  <c r="A3638" i="34"/>
  <c r="Q3654" i="34"/>
  <c r="U3654" i="34"/>
  <c r="Z3654" i="34"/>
  <c r="O3654" i="34"/>
  <c r="W3654" i="34"/>
  <c r="P3654" i="34"/>
  <c r="A3654" i="34"/>
  <c r="Z3637" i="34"/>
  <c r="O3637" i="34"/>
  <c r="W3637" i="34"/>
  <c r="P3637" i="34"/>
  <c r="Q3637" i="34"/>
  <c r="U3637" i="34"/>
  <c r="O3652" i="34"/>
  <c r="W3652" i="34"/>
  <c r="P3652" i="34"/>
  <c r="Q3652" i="34"/>
  <c r="U3652" i="34"/>
  <c r="Z3652" i="34"/>
  <c r="Q3802" i="34"/>
  <c r="U3802" i="34"/>
  <c r="Z3802" i="34"/>
  <c r="O3802" i="34"/>
  <c r="W3802" i="34"/>
  <c r="P3802" i="34"/>
  <c r="A3802" i="34"/>
  <c r="P3639" i="34"/>
  <c r="Q3639" i="34"/>
  <c r="U3639" i="34"/>
  <c r="Z3639" i="34"/>
  <c r="O3639" i="34"/>
  <c r="W3639" i="34"/>
  <c r="Z3641" i="34"/>
  <c r="O3641" i="34"/>
  <c r="W3641" i="34"/>
  <c r="P3641" i="34"/>
  <c r="Q3641" i="34"/>
  <c r="U3641" i="34"/>
  <c r="P3643" i="34"/>
  <c r="Q3643" i="34"/>
  <c r="U3643" i="34"/>
  <c r="Z3643" i="34"/>
  <c r="O3643" i="34"/>
  <c r="W3643" i="34"/>
  <c r="Z3645" i="34"/>
  <c r="O3645" i="34"/>
  <c r="W3645" i="34"/>
  <c r="P3645" i="34"/>
  <c r="Q3645" i="34"/>
  <c r="U3645" i="34"/>
  <c r="P3647" i="34"/>
  <c r="Q3647" i="34"/>
  <c r="U3647" i="34"/>
  <c r="Z3647" i="34"/>
  <c r="O3647" i="34"/>
  <c r="W3647" i="34"/>
  <c r="Z3649" i="34"/>
  <c r="O3649" i="34"/>
  <c r="W3649" i="34"/>
  <c r="P3649" i="34"/>
  <c r="Q3649" i="34"/>
  <c r="U3649" i="34"/>
  <c r="O3656" i="34"/>
  <c r="W3656" i="34"/>
  <c r="P3656" i="34"/>
  <c r="Q3656" i="34"/>
  <c r="U3656" i="34"/>
  <c r="Z3656" i="34"/>
  <c r="A3649" i="34"/>
  <c r="A3645" i="34"/>
  <c r="A3641" i="34"/>
  <c r="A3637" i="34"/>
  <c r="P3651" i="34"/>
  <c r="Q3651" i="34"/>
  <c r="U3651" i="34"/>
  <c r="Z3651" i="34"/>
  <c r="O3651" i="34"/>
  <c r="W3651" i="34"/>
  <c r="Z3653" i="34"/>
  <c r="O3653" i="34"/>
  <c r="W3653" i="34"/>
  <c r="P3653" i="34"/>
  <c r="Q3653" i="34"/>
  <c r="U3653" i="34"/>
  <c r="P3803" i="34"/>
  <c r="Q3803" i="34"/>
  <c r="U3803" i="34"/>
  <c r="Z3803" i="34"/>
  <c r="O3803" i="34"/>
  <c r="W3803" i="34"/>
  <c r="Q3818" i="34"/>
  <c r="U3818" i="34"/>
  <c r="Z3818" i="34"/>
  <c r="O3818" i="34"/>
  <c r="W3818" i="34"/>
  <c r="P3818" i="34"/>
  <c r="A3656" i="34"/>
  <c r="A3652" i="34"/>
  <c r="O3640" i="34"/>
  <c r="W3640" i="34"/>
  <c r="P3640" i="34"/>
  <c r="Q3640" i="34"/>
  <c r="U3640" i="34"/>
  <c r="Z3640" i="34"/>
  <c r="Q3642" i="34"/>
  <c r="U3642" i="34"/>
  <c r="Z3642" i="34"/>
  <c r="O3642" i="34"/>
  <c r="W3642" i="34"/>
  <c r="P3642" i="34"/>
  <c r="O3644" i="34"/>
  <c r="W3644" i="34"/>
  <c r="P3644" i="34"/>
  <c r="Q3644" i="34"/>
  <c r="U3644" i="34"/>
  <c r="Z3644" i="34"/>
  <c r="Q3646" i="34"/>
  <c r="U3646" i="34"/>
  <c r="Z3646" i="34"/>
  <c r="O3646" i="34"/>
  <c r="W3646" i="34"/>
  <c r="P3646" i="34"/>
  <c r="O3648" i="34"/>
  <c r="W3648" i="34"/>
  <c r="P3648" i="34"/>
  <c r="Q3648" i="34"/>
  <c r="U3648" i="34"/>
  <c r="Z3648" i="34"/>
  <c r="Q3650" i="34"/>
  <c r="U3650" i="34"/>
  <c r="Z3650" i="34"/>
  <c r="O3650" i="34"/>
  <c r="W3650" i="34"/>
  <c r="P3650" i="34"/>
  <c r="P3655" i="34"/>
  <c r="Q3655" i="34"/>
  <c r="U3655" i="34"/>
  <c r="Z3655" i="34"/>
  <c r="O3655" i="34"/>
  <c r="W3655" i="34"/>
  <c r="Q3826" i="34"/>
  <c r="U3826" i="34"/>
  <c r="Z3826" i="34"/>
  <c r="O3826" i="34"/>
  <c r="W3826" i="34"/>
  <c r="P3826" i="34"/>
  <c r="A3803" i="34"/>
  <c r="A3655" i="34"/>
  <c r="A3651" i="34"/>
  <c r="A3647" i="34"/>
  <c r="A3643" i="34"/>
  <c r="A3639" i="34"/>
  <c r="K3476" i="34"/>
  <c r="C3476" i="34"/>
  <c r="B3476" i="34" s="1"/>
  <c r="K3475" i="34"/>
  <c r="C3475" i="34"/>
  <c r="B3475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480" i="34"/>
  <c r="C3480" i="34"/>
  <c r="B3480" i="34" s="1"/>
  <c r="K3479" i="34"/>
  <c r="C3479" i="34"/>
  <c r="B3479" i="34" s="1"/>
  <c r="K3478" i="34"/>
  <c r="C3478" i="34"/>
  <c r="B3478" i="34" s="1"/>
  <c r="K3477" i="34"/>
  <c r="C3477" i="34"/>
  <c r="B3477" i="34" s="1"/>
  <c r="K3474" i="34"/>
  <c r="C3474" i="34"/>
  <c r="B347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50" i="34"/>
  <c r="C3450" i="34"/>
  <c r="B3450" i="34" s="1"/>
  <c r="K3449" i="34"/>
  <c r="C3449" i="34"/>
  <c r="B3449" i="34" s="1"/>
  <c r="K3448" i="34"/>
  <c r="C3448" i="34"/>
  <c r="B3448" i="34" s="1"/>
  <c r="K3447" i="34"/>
  <c r="C3447" i="34"/>
  <c r="B3447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59" i="34"/>
  <c r="C3459" i="34"/>
  <c r="B3459" i="34" s="1"/>
  <c r="K3458" i="34"/>
  <c r="C3458" i="34"/>
  <c r="B3458" i="34" s="1"/>
  <c r="K3457" i="34"/>
  <c r="C3457" i="34"/>
  <c r="B3457" i="34" s="1"/>
  <c r="K3456" i="34"/>
  <c r="C3456" i="34"/>
  <c r="B3456" i="34" s="1"/>
  <c r="K3455" i="34"/>
  <c r="C3455" i="34"/>
  <c r="B3455" i="34" s="1"/>
  <c r="K3454" i="34"/>
  <c r="C3454" i="34"/>
  <c r="B3454" i="34" s="1"/>
  <c r="K3453" i="34"/>
  <c r="C3453" i="34"/>
  <c r="B3453" i="34" s="1"/>
  <c r="K3452" i="34"/>
  <c r="C3452" i="34"/>
  <c r="B3452" i="34" s="1"/>
  <c r="K3451" i="34"/>
  <c r="C3451" i="34"/>
  <c r="B3451" i="34" s="1"/>
  <c r="K3460" i="34"/>
  <c r="K3461" i="34"/>
  <c r="K3462" i="34"/>
  <c r="K3463" i="34"/>
  <c r="K3464" i="34"/>
  <c r="K3465" i="34"/>
  <c r="K3466" i="34"/>
  <c r="C3464" i="34"/>
  <c r="B3464" i="34" s="1"/>
  <c r="C3463" i="34"/>
  <c r="B3463" i="34" s="1"/>
  <c r="C3462" i="34"/>
  <c r="B3462" i="34" s="1"/>
  <c r="C3461" i="34"/>
  <c r="B3461" i="34" s="1"/>
  <c r="C3460" i="34"/>
  <c r="B3460" i="34" s="1"/>
  <c r="L888" i="79"/>
  <c r="L889" i="79"/>
  <c r="L890" i="79"/>
  <c r="L892" i="79"/>
  <c r="L893" i="79"/>
  <c r="L894" i="79"/>
  <c r="L895" i="79"/>
  <c r="L896" i="79"/>
  <c r="J884" i="79"/>
  <c r="J885" i="79"/>
  <c r="J886" i="79"/>
  <c r="J887" i="79"/>
  <c r="J888" i="79"/>
  <c r="J889" i="79"/>
  <c r="J890" i="79"/>
  <c r="J891" i="79"/>
  <c r="J892" i="79"/>
  <c r="J893" i="79"/>
  <c r="J894" i="79"/>
  <c r="J895" i="79"/>
  <c r="J896" i="79"/>
  <c r="J897" i="79"/>
  <c r="J898" i="79"/>
  <c r="J899" i="79"/>
  <c r="J900" i="79"/>
  <c r="L897" i="79"/>
  <c r="L898" i="79"/>
  <c r="L899" i="79"/>
  <c r="L900" i="79"/>
  <c r="L901" i="79"/>
  <c r="L902" i="79"/>
  <c r="L903" i="79"/>
  <c r="L904" i="79"/>
  <c r="L905" i="79"/>
  <c r="L906" i="79"/>
  <c r="L907" i="79"/>
  <c r="L908" i="79"/>
  <c r="L909" i="79"/>
  <c r="L910" i="79"/>
  <c r="L911" i="79"/>
  <c r="L912" i="79"/>
  <c r="L913" i="79"/>
  <c r="L914" i="79"/>
  <c r="L915" i="79"/>
  <c r="L916" i="79"/>
  <c r="L917" i="79"/>
  <c r="L918" i="79"/>
  <c r="L919" i="79"/>
  <c r="L920" i="79"/>
  <c r="L921" i="79"/>
  <c r="L922" i="79"/>
  <c r="L923" i="79"/>
  <c r="L924" i="79"/>
  <c r="L925" i="79"/>
  <c r="L926" i="79"/>
  <c r="L927" i="79"/>
  <c r="L928" i="79"/>
  <c r="L929" i="79"/>
  <c r="L930" i="79"/>
  <c r="L931" i="79"/>
  <c r="L932" i="79"/>
  <c r="L933" i="79"/>
  <c r="L934" i="79"/>
  <c r="L935" i="79"/>
  <c r="L936" i="79"/>
  <c r="L937" i="79"/>
  <c r="L938" i="79"/>
  <c r="L939" i="79"/>
  <c r="L940" i="79"/>
  <c r="L941" i="79"/>
  <c r="L942" i="79"/>
  <c r="L943" i="79"/>
  <c r="L944" i="79"/>
  <c r="L945" i="79"/>
  <c r="L946" i="79"/>
  <c r="L947" i="79"/>
  <c r="L948" i="79"/>
  <c r="L949" i="79"/>
  <c r="L950" i="79"/>
  <c r="L951" i="79"/>
  <c r="L952" i="79"/>
  <c r="L953" i="79"/>
  <c r="L954" i="79"/>
  <c r="L955" i="79"/>
  <c r="J876" i="79"/>
  <c r="J877" i="79"/>
  <c r="J878" i="79"/>
  <c r="J879" i="79"/>
  <c r="J880" i="79"/>
  <c r="J881" i="79"/>
  <c r="J882" i="79"/>
  <c r="J883" i="79"/>
  <c r="J901" i="79"/>
  <c r="J902" i="79"/>
  <c r="J903" i="79"/>
  <c r="J904" i="79"/>
  <c r="J905" i="79"/>
  <c r="J906" i="79"/>
  <c r="J907" i="79"/>
  <c r="J908" i="79"/>
  <c r="J909" i="79"/>
  <c r="J910" i="79"/>
  <c r="J911" i="79"/>
  <c r="J912" i="79"/>
  <c r="J913" i="79"/>
  <c r="J914" i="79"/>
  <c r="J915" i="79"/>
  <c r="J916" i="79"/>
  <c r="J917" i="79"/>
  <c r="J918" i="79"/>
  <c r="J919" i="79"/>
  <c r="J920" i="79"/>
  <c r="J921" i="79"/>
  <c r="J922" i="79"/>
  <c r="J923" i="79"/>
  <c r="J924" i="79"/>
  <c r="J925" i="79"/>
  <c r="J926" i="79"/>
  <c r="J927" i="79"/>
  <c r="J928" i="79"/>
  <c r="J929" i="79"/>
  <c r="J930" i="79"/>
  <c r="J931" i="79"/>
  <c r="J932" i="79"/>
  <c r="J933" i="79"/>
  <c r="J934" i="79"/>
  <c r="J935" i="79"/>
  <c r="J936" i="79"/>
  <c r="J937" i="79"/>
  <c r="J938" i="79"/>
  <c r="J939" i="79"/>
  <c r="J940" i="79"/>
  <c r="J941" i="79"/>
  <c r="J942" i="79"/>
  <c r="J943" i="79"/>
  <c r="J944" i="79"/>
  <c r="J945" i="79"/>
  <c r="J946" i="79"/>
  <c r="J947" i="79"/>
  <c r="J948" i="79"/>
  <c r="J949" i="79"/>
  <c r="J950" i="79"/>
  <c r="J951" i="79"/>
  <c r="J952" i="79"/>
  <c r="J953" i="79"/>
  <c r="J954" i="79"/>
  <c r="J955" i="79"/>
  <c r="J858" i="79"/>
  <c r="J859" i="79"/>
  <c r="J860" i="79"/>
  <c r="J861" i="79"/>
  <c r="J862" i="79"/>
  <c r="J863" i="79"/>
  <c r="J864" i="79"/>
  <c r="J865" i="79"/>
  <c r="J866" i="79"/>
  <c r="J867" i="79"/>
  <c r="J868" i="79"/>
  <c r="J869" i="79"/>
  <c r="J870" i="79"/>
  <c r="J871" i="79"/>
  <c r="J872" i="79"/>
  <c r="J873" i="79"/>
  <c r="J874" i="79"/>
  <c r="J875" i="79"/>
  <c r="Q3462" i="34" l="1"/>
  <c r="U3462" i="34"/>
  <c r="Z3462" i="34"/>
  <c r="O3462" i="34"/>
  <c r="W3462" i="34"/>
  <c r="P3462" i="34"/>
  <c r="A3462" i="34"/>
  <c r="P3463" i="34"/>
  <c r="Q3463" i="34"/>
  <c r="U3463" i="34"/>
  <c r="Z3463" i="34"/>
  <c r="O3463" i="34"/>
  <c r="W3463" i="34"/>
  <c r="A3463" i="34"/>
  <c r="O3460" i="34"/>
  <c r="W3460" i="34"/>
  <c r="P3460" i="34"/>
  <c r="Q3460" i="34"/>
  <c r="U3460" i="34"/>
  <c r="Z3460" i="34"/>
  <c r="A3460" i="34"/>
  <c r="O3464" i="34"/>
  <c r="W3464" i="34"/>
  <c r="P3464" i="34"/>
  <c r="Q3464" i="34"/>
  <c r="U3464" i="34"/>
  <c r="Z3464" i="34"/>
  <c r="A3464" i="34"/>
  <c r="P3451" i="34"/>
  <c r="Q3451" i="34"/>
  <c r="U3451" i="34"/>
  <c r="Z3451" i="34"/>
  <c r="O3451" i="34"/>
  <c r="W3451" i="34"/>
  <c r="A3451" i="34"/>
  <c r="Z3453" i="34"/>
  <c r="O3453" i="34"/>
  <c r="W3453" i="34"/>
  <c r="P3453" i="34"/>
  <c r="Q3453" i="34"/>
  <c r="U3453" i="34"/>
  <c r="A3453" i="34"/>
  <c r="P3455" i="34"/>
  <c r="Q3455" i="34"/>
  <c r="U3455" i="34"/>
  <c r="Z3455" i="34"/>
  <c r="O3455" i="34"/>
  <c r="W3455" i="34"/>
  <c r="A3455" i="34"/>
  <c r="Z3457" i="34"/>
  <c r="O3457" i="34"/>
  <c r="W3457" i="34"/>
  <c r="P3457" i="34"/>
  <c r="Q3457" i="34"/>
  <c r="U3457" i="34"/>
  <c r="A3457" i="34"/>
  <c r="P3459" i="34"/>
  <c r="Q3459" i="34"/>
  <c r="U3459" i="34"/>
  <c r="Z3459" i="34"/>
  <c r="O3459" i="34"/>
  <c r="W3459" i="34"/>
  <c r="A3459" i="34"/>
  <c r="Q3434" i="34"/>
  <c r="U3434" i="34"/>
  <c r="Z3434" i="34"/>
  <c r="O3434" i="34"/>
  <c r="W3434" i="34"/>
  <c r="P3434" i="34"/>
  <c r="A3434" i="34"/>
  <c r="O3436" i="34"/>
  <c r="W3436" i="34"/>
  <c r="P3436" i="34"/>
  <c r="Q3436" i="34"/>
  <c r="U3436" i="34"/>
  <c r="Z3436" i="34"/>
  <c r="A3436" i="34"/>
  <c r="Q3438" i="34"/>
  <c r="U3438" i="34"/>
  <c r="Z3438" i="34"/>
  <c r="O3438" i="34"/>
  <c r="W3438" i="34"/>
  <c r="P3438" i="34"/>
  <c r="A3438" i="34"/>
  <c r="O3440" i="34"/>
  <c r="W3440" i="34"/>
  <c r="P3440" i="34"/>
  <c r="Q3440" i="34"/>
  <c r="U3440" i="34"/>
  <c r="Z3440" i="34"/>
  <c r="A3440" i="34"/>
  <c r="Q3442" i="34"/>
  <c r="U3442" i="34"/>
  <c r="Z3442" i="34"/>
  <c r="O3442" i="34"/>
  <c r="W3442" i="34"/>
  <c r="P3442" i="34"/>
  <c r="A3442" i="34"/>
  <c r="O3444" i="34"/>
  <c r="W3444" i="34"/>
  <c r="P3444" i="34"/>
  <c r="Q3444" i="34"/>
  <c r="U3444" i="34"/>
  <c r="Z3444" i="34"/>
  <c r="A3444" i="34"/>
  <c r="Q3446" i="34"/>
  <c r="U3446" i="34"/>
  <c r="Z3446" i="34"/>
  <c r="O3446" i="34"/>
  <c r="W3446" i="34"/>
  <c r="P3446" i="34"/>
  <c r="A3446" i="34"/>
  <c r="O3448" i="34"/>
  <c r="W3448" i="34"/>
  <c r="P3448" i="34"/>
  <c r="Q3448" i="34"/>
  <c r="U3448" i="34"/>
  <c r="Z3448" i="34"/>
  <c r="A3448" i="34"/>
  <c r="Q3450" i="34"/>
  <c r="U3450" i="34"/>
  <c r="Z3450" i="34"/>
  <c r="O3450" i="34"/>
  <c r="W3450" i="34"/>
  <c r="P3450" i="34"/>
  <c r="A3450" i="34"/>
  <c r="O3416" i="34"/>
  <c r="W3416" i="34"/>
  <c r="P3416" i="34"/>
  <c r="Q3416" i="34"/>
  <c r="U3416" i="34"/>
  <c r="Z3416" i="34"/>
  <c r="A3416" i="34"/>
  <c r="Q3418" i="34"/>
  <c r="U3418" i="34"/>
  <c r="Z3418" i="34"/>
  <c r="O3418" i="34"/>
  <c r="W3418" i="34"/>
  <c r="P3418" i="34"/>
  <c r="A3418" i="34"/>
  <c r="O3420" i="34"/>
  <c r="W3420" i="34"/>
  <c r="P3420" i="34"/>
  <c r="Q3420" i="34"/>
  <c r="U3420" i="34"/>
  <c r="Z3420" i="34"/>
  <c r="A3420" i="34"/>
  <c r="Q3422" i="34"/>
  <c r="U3422" i="34"/>
  <c r="Z3422" i="34"/>
  <c r="O3422" i="34"/>
  <c r="W3422" i="34"/>
  <c r="P3422" i="34"/>
  <c r="A3422" i="34"/>
  <c r="O3424" i="34"/>
  <c r="W3424" i="34"/>
  <c r="P3424" i="34"/>
  <c r="Q3424" i="34"/>
  <c r="U3424" i="34"/>
  <c r="Z3424" i="34"/>
  <c r="A3424" i="34"/>
  <c r="Q3426" i="34"/>
  <c r="U3426" i="34"/>
  <c r="Z3426" i="34"/>
  <c r="O3426" i="34"/>
  <c r="W3426" i="34"/>
  <c r="P3426" i="34"/>
  <c r="A3426" i="34"/>
  <c r="O3428" i="34"/>
  <c r="W3428" i="34"/>
  <c r="P3428" i="34"/>
  <c r="Q3428" i="34"/>
  <c r="U3428" i="34"/>
  <c r="Z3428" i="34"/>
  <c r="A3428" i="34"/>
  <c r="Q3430" i="34"/>
  <c r="U3430" i="34"/>
  <c r="Z3430" i="34"/>
  <c r="O3430" i="34"/>
  <c r="W3430" i="34"/>
  <c r="P3430" i="34"/>
  <c r="A3430" i="34"/>
  <c r="O3432" i="34"/>
  <c r="W3432" i="34"/>
  <c r="P3432" i="34"/>
  <c r="Q3432" i="34"/>
  <c r="U3432" i="34"/>
  <c r="Z3432" i="34"/>
  <c r="A3432" i="34"/>
  <c r="Z3397" i="34"/>
  <c r="O3397" i="34"/>
  <c r="W3397" i="34"/>
  <c r="P3397" i="34"/>
  <c r="Q3397" i="34"/>
  <c r="U3397" i="34"/>
  <c r="A3397" i="34"/>
  <c r="P3399" i="34"/>
  <c r="Q3399" i="34"/>
  <c r="U3399" i="34"/>
  <c r="Z3399" i="34"/>
  <c r="O3399" i="34"/>
  <c r="W3399" i="34"/>
  <c r="A3399" i="34"/>
  <c r="Z3401" i="34"/>
  <c r="O3401" i="34"/>
  <c r="W3401" i="34"/>
  <c r="P3401" i="34"/>
  <c r="Q3401" i="34"/>
  <c r="U3401" i="34"/>
  <c r="A3401" i="34"/>
  <c r="P3403" i="34"/>
  <c r="Q3403" i="34"/>
  <c r="U3403" i="34"/>
  <c r="Z3403" i="34"/>
  <c r="O3403" i="34"/>
  <c r="W3403" i="34"/>
  <c r="A3403" i="34"/>
  <c r="Z3405" i="34"/>
  <c r="O3405" i="34"/>
  <c r="W3405" i="34"/>
  <c r="P3405" i="34"/>
  <c r="Q3405" i="34"/>
  <c r="U3405" i="34"/>
  <c r="A3405" i="34"/>
  <c r="P3407" i="34"/>
  <c r="Q3407" i="34"/>
  <c r="U3407" i="34"/>
  <c r="Z3407" i="34"/>
  <c r="O3407" i="34"/>
  <c r="W3407" i="34"/>
  <c r="A3407" i="34"/>
  <c r="Z3409" i="34"/>
  <c r="O3409" i="34"/>
  <c r="W3409" i="34"/>
  <c r="P3409" i="34"/>
  <c r="Q3409" i="34"/>
  <c r="U3409" i="34"/>
  <c r="A3409" i="34"/>
  <c r="P3411" i="34"/>
  <c r="Q3411" i="34"/>
  <c r="U3411" i="34"/>
  <c r="Z3411" i="34"/>
  <c r="O3411" i="34"/>
  <c r="W3411" i="34"/>
  <c r="A3411" i="34"/>
  <c r="Z3413" i="34"/>
  <c r="O3413" i="34"/>
  <c r="W3413" i="34"/>
  <c r="P3413" i="34"/>
  <c r="Q3413" i="34"/>
  <c r="U3413" i="34"/>
  <c r="A3413" i="34"/>
  <c r="Z3485" i="34"/>
  <c r="O3485" i="34"/>
  <c r="W3485" i="34"/>
  <c r="P3485" i="34"/>
  <c r="Q3485" i="34"/>
  <c r="U3485" i="34"/>
  <c r="A3485" i="34"/>
  <c r="P3487" i="34"/>
  <c r="Q3487" i="34"/>
  <c r="U3487" i="34"/>
  <c r="Z3487" i="34"/>
  <c r="O3487" i="34"/>
  <c r="W3487" i="34"/>
  <c r="A3487" i="34"/>
  <c r="Z3489" i="34"/>
  <c r="O3489" i="34"/>
  <c r="W3489" i="34"/>
  <c r="P3489" i="34"/>
  <c r="Q3489" i="34"/>
  <c r="U3489" i="34"/>
  <c r="A3489" i="34"/>
  <c r="P3491" i="34"/>
  <c r="Q3491" i="34"/>
  <c r="U3491" i="34"/>
  <c r="Z3491" i="34"/>
  <c r="O3491" i="34"/>
  <c r="W3491" i="34"/>
  <c r="A3491" i="34"/>
  <c r="Z3493" i="34"/>
  <c r="O3493" i="34"/>
  <c r="W3493" i="34"/>
  <c r="P3493" i="34"/>
  <c r="Q3493" i="34"/>
  <c r="U3493" i="34"/>
  <c r="A3493" i="34"/>
  <c r="Z3477" i="34"/>
  <c r="O3477" i="34"/>
  <c r="W3477" i="34"/>
  <c r="P3477" i="34"/>
  <c r="Q3477" i="34"/>
  <c r="U3477" i="34"/>
  <c r="A3477" i="34"/>
  <c r="P3479" i="34"/>
  <c r="Q3479" i="34"/>
  <c r="U3479" i="34"/>
  <c r="Z3479" i="34"/>
  <c r="O3479" i="34"/>
  <c r="W3479" i="34"/>
  <c r="A3479" i="34"/>
  <c r="Z3481" i="34"/>
  <c r="O3481" i="34"/>
  <c r="W3481" i="34"/>
  <c r="P3481" i="34"/>
  <c r="Q3481" i="34"/>
  <c r="U3481" i="34"/>
  <c r="A3481" i="34"/>
  <c r="P3483" i="34"/>
  <c r="Q3483" i="34"/>
  <c r="U3483" i="34"/>
  <c r="Z3483" i="34"/>
  <c r="O3483" i="34"/>
  <c r="W3483" i="34"/>
  <c r="A3483" i="34"/>
  <c r="P3475" i="34"/>
  <c r="Q3475" i="34"/>
  <c r="U3475" i="34"/>
  <c r="Z3475" i="34"/>
  <c r="O3475" i="34"/>
  <c r="W3475" i="34"/>
  <c r="A3475" i="34"/>
  <c r="Z3461" i="34"/>
  <c r="O3461" i="34"/>
  <c r="W3461" i="34"/>
  <c r="P3461" i="34"/>
  <c r="Q3461" i="34"/>
  <c r="U3461" i="34"/>
  <c r="A3461" i="34"/>
  <c r="O3452" i="34"/>
  <c r="W3452" i="34"/>
  <c r="P3452" i="34"/>
  <c r="Q3452" i="34"/>
  <c r="U3452" i="34"/>
  <c r="Z3452" i="34"/>
  <c r="A3452" i="34"/>
  <c r="Q3454" i="34"/>
  <c r="U3454" i="34"/>
  <c r="Z3454" i="34"/>
  <c r="O3454" i="34"/>
  <c r="W3454" i="34"/>
  <c r="P3454" i="34"/>
  <c r="A3454" i="34"/>
  <c r="O3456" i="34"/>
  <c r="W3456" i="34"/>
  <c r="P3456" i="34"/>
  <c r="Q3456" i="34"/>
  <c r="U3456" i="34"/>
  <c r="Z3456" i="34"/>
  <c r="A3456" i="34"/>
  <c r="Q3458" i="34"/>
  <c r="U3458" i="34"/>
  <c r="Z3458" i="34"/>
  <c r="O3458" i="34"/>
  <c r="W3458" i="34"/>
  <c r="P3458" i="34"/>
  <c r="A3458" i="34"/>
  <c r="Z3433" i="34"/>
  <c r="O3433" i="34"/>
  <c r="W3433" i="34"/>
  <c r="P3433" i="34"/>
  <c r="Q3433" i="34"/>
  <c r="U3433" i="34"/>
  <c r="A3433" i="34"/>
  <c r="P3435" i="34"/>
  <c r="Q3435" i="34"/>
  <c r="U3435" i="34"/>
  <c r="Z3435" i="34"/>
  <c r="O3435" i="34"/>
  <c r="W3435" i="34"/>
  <c r="A3435" i="34"/>
  <c r="Z3437" i="34"/>
  <c r="O3437" i="34"/>
  <c r="W3437" i="34"/>
  <c r="P3437" i="34"/>
  <c r="Q3437" i="34"/>
  <c r="U3437" i="34"/>
  <c r="A3437" i="34"/>
  <c r="P3439" i="34"/>
  <c r="Q3439" i="34"/>
  <c r="U3439" i="34"/>
  <c r="Z3439" i="34"/>
  <c r="O3439" i="34"/>
  <c r="W3439" i="34"/>
  <c r="A3439" i="34"/>
  <c r="Z3441" i="34"/>
  <c r="O3441" i="34"/>
  <c r="W3441" i="34"/>
  <c r="P3441" i="34"/>
  <c r="Q3441" i="34"/>
  <c r="U3441" i="34"/>
  <c r="A3441" i="34"/>
  <c r="P3443" i="34"/>
  <c r="Q3443" i="34"/>
  <c r="U3443" i="34"/>
  <c r="Z3443" i="34"/>
  <c r="O3443" i="34"/>
  <c r="W3443" i="34"/>
  <c r="A3443" i="34"/>
  <c r="Z3445" i="34"/>
  <c r="O3445" i="34"/>
  <c r="W3445" i="34"/>
  <c r="P3445" i="34"/>
  <c r="Q3445" i="34"/>
  <c r="U3445" i="34"/>
  <c r="A3445" i="34"/>
  <c r="P3447" i="34"/>
  <c r="Q3447" i="34"/>
  <c r="U3447" i="34"/>
  <c r="Z3447" i="34"/>
  <c r="O3447" i="34"/>
  <c r="W3447" i="34"/>
  <c r="A3447" i="34"/>
  <c r="Z3449" i="34"/>
  <c r="O3449" i="34"/>
  <c r="W3449" i="34"/>
  <c r="P3449" i="34"/>
  <c r="Q3449" i="34"/>
  <c r="U3449" i="34"/>
  <c r="A3449" i="34"/>
  <c r="P3415" i="34"/>
  <c r="Q3415" i="34"/>
  <c r="U3415" i="34"/>
  <c r="Z3415" i="34"/>
  <c r="O3415" i="34"/>
  <c r="W3415" i="34"/>
  <c r="A3415" i="34"/>
  <c r="Z3417" i="34"/>
  <c r="O3417" i="34"/>
  <c r="W3417" i="34"/>
  <c r="P3417" i="34"/>
  <c r="Q3417" i="34"/>
  <c r="U3417" i="34"/>
  <c r="A3417" i="34"/>
  <c r="P3419" i="34"/>
  <c r="Q3419" i="34"/>
  <c r="U3419" i="34"/>
  <c r="Z3419" i="34"/>
  <c r="O3419" i="34"/>
  <c r="W3419" i="34"/>
  <c r="A3419" i="34"/>
  <c r="Z3421" i="34"/>
  <c r="O3421" i="34"/>
  <c r="W3421" i="34"/>
  <c r="P3421" i="34"/>
  <c r="Q3421" i="34"/>
  <c r="U3421" i="34"/>
  <c r="A3421" i="34"/>
  <c r="P3423" i="34"/>
  <c r="Q3423" i="34"/>
  <c r="U3423" i="34"/>
  <c r="Z3423" i="34"/>
  <c r="O3423" i="34"/>
  <c r="W3423" i="34"/>
  <c r="A3423" i="34"/>
  <c r="Z3425" i="34"/>
  <c r="O3425" i="34"/>
  <c r="W3425" i="34"/>
  <c r="P3425" i="34"/>
  <c r="Q3425" i="34"/>
  <c r="U3425" i="34"/>
  <c r="A3425" i="34"/>
  <c r="P3427" i="34"/>
  <c r="Q3427" i="34"/>
  <c r="U3427" i="34"/>
  <c r="Z3427" i="34"/>
  <c r="O3427" i="34"/>
  <c r="W3427" i="34"/>
  <c r="A3427" i="34"/>
  <c r="Z3429" i="34"/>
  <c r="O3429" i="34"/>
  <c r="W3429" i="34"/>
  <c r="P3429" i="34"/>
  <c r="Q3429" i="34"/>
  <c r="U3429" i="34"/>
  <c r="A3429" i="34"/>
  <c r="P3431" i="34"/>
  <c r="Q3431" i="34"/>
  <c r="U3431" i="34"/>
  <c r="Z3431" i="34"/>
  <c r="O3431" i="34"/>
  <c r="W3431" i="34"/>
  <c r="A3431" i="34"/>
  <c r="O3396" i="34"/>
  <c r="W3396" i="34"/>
  <c r="P3396" i="34"/>
  <c r="Q3396" i="34"/>
  <c r="U3396" i="34"/>
  <c r="Z3396" i="34"/>
  <c r="A3396" i="34"/>
  <c r="Q3398" i="34"/>
  <c r="U3398" i="34"/>
  <c r="Z3398" i="34"/>
  <c r="O3398" i="34"/>
  <c r="W3398" i="34"/>
  <c r="P3398" i="34"/>
  <c r="A3398" i="34"/>
  <c r="O3400" i="34"/>
  <c r="W3400" i="34"/>
  <c r="P3400" i="34"/>
  <c r="Q3400" i="34"/>
  <c r="U3400" i="34"/>
  <c r="Z3400" i="34"/>
  <c r="A3400" i="34"/>
  <c r="Q3402" i="34"/>
  <c r="U3402" i="34"/>
  <c r="Z3402" i="34"/>
  <c r="O3402" i="34"/>
  <c r="W3402" i="34"/>
  <c r="P3402" i="34"/>
  <c r="A3402" i="34"/>
  <c r="O3404" i="34"/>
  <c r="W3404" i="34"/>
  <c r="P3404" i="34"/>
  <c r="Q3404" i="34"/>
  <c r="U3404" i="34"/>
  <c r="Z3404" i="34"/>
  <c r="A3404" i="34"/>
  <c r="Q3406" i="34"/>
  <c r="U3406" i="34"/>
  <c r="Z3406" i="34"/>
  <c r="O3406" i="34"/>
  <c r="W3406" i="34"/>
  <c r="P3406" i="34"/>
  <c r="A3406" i="34"/>
  <c r="O3408" i="34"/>
  <c r="W3408" i="34"/>
  <c r="P3408" i="34"/>
  <c r="Q3408" i="34"/>
  <c r="U3408" i="34"/>
  <c r="Z3408" i="34"/>
  <c r="A3408" i="34"/>
  <c r="Q3410" i="34"/>
  <c r="U3410" i="34"/>
  <c r="Z3410" i="34"/>
  <c r="O3410" i="34"/>
  <c r="W3410" i="34"/>
  <c r="P3410" i="34"/>
  <c r="A3410" i="34"/>
  <c r="O3412" i="34"/>
  <c r="W3412" i="34"/>
  <c r="P3412" i="34"/>
  <c r="Q3412" i="34"/>
  <c r="U3412" i="34"/>
  <c r="Z3412" i="34"/>
  <c r="A3412" i="34"/>
  <c r="Q3414" i="34"/>
  <c r="U3414" i="34"/>
  <c r="Z3414" i="34"/>
  <c r="O3414" i="34"/>
  <c r="W3414" i="34"/>
  <c r="P3414" i="34"/>
  <c r="A3414" i="34"/>
  <c r="Q3486" i="34"/>
  <c r="U3486" i="34"/>
  <c r="Z3486" i="34"/>
  <c r="O3486" i="34"/>
  <c r="W3486" i="34"/>
  <c r="P3486" i="34"/>
  <c r="A3486" i="34"/>
  <c r="O3488" i="34"/>
  <c r="W3488" i="34"/>
  <c r="P3488" i="34"/>
  <c r="Q3488" i="34"/>
  <c r="U3488" i="34"/>
  <c r="Z3488" i="34"/>
  <c r="A3488" i="34"/>
  <c r="Q3490" i="34"/>
  <c r="U3490" i="34"/>
  <c r="Z3490" i="34"/>
  <c r="O3490" i="34"/>
  <c r="W3490" i="34"/>
  <c r="P3490" i="34"/>
  <c r="A3490" i="34"/>
  <c r="O3492" i="34"/>
  <c r="W3492" i="34"/>
  <c r="P3492" i="34"/>
  <c r="Q3492" i="34"/>
  <c r="U3492" i="34"/>
  <c r="Z3492" i="34"/>
  <c r="A3492" i="34"/>
  <c r="Q3474" i="34"/>
  <c r="U3474" i="34"/>
  <c r="Z3474" i="34"/>
  <c r="O3474" i="34"/>
  <c r="W3474" i="34"/>
  <c r="P3474" i="34"/>
  <c r="A3474" i="34"/>
  <c r="Q3478" i="34"/>
  <c r="U3478" i="34"/>
  <c r="Z3478" i="34"/>
  <c r="O3478" i="34"/>
  <c r="W3478" i="34"/>
  <c r="P3478" i="34"/>
  <c r="A3478" i="34"/>
  <c r="O3480" i="34"/>
  <c r="W3480" i="34"/>
  <c r="P3480" i="34"/>
  <c r="Q3480" i="34"/>
  <c r="U3480" i="34"/>
  <c r="Z3480" i="34"/>
  <c r="A3480" i="34"/>
  <c r="Q3482" i="34"/>
  <c r="U3482" i="34"/>
  <c r="Z3482" i="34"/>
  <c r="O3482" i="34"/>
  <c r="W3482" i="34"/>
  <c r="P3482" i="34"/>
  <c r="A3482" i="34"/>
  <c r="O3484" i="34"/>
  <c r="W3484" i="34"/>
  <c r="P3484" i="34"/>
  <c r="Q3484" i="34"/>
  <c r="U3484" i="34"/>
  <c r="Z3484" i="34"/>
  <c r="A3484" i="34"/>
  <c r="O3476" i="34"/>
  <c r="W3476" i="34"/>
  <c r="P3476" i="34"/>
  <c r="Q3476" i="34"/>
  <c r="U3476" i="34"/>
  <c r="Z3476" i="34"/>
  <c r="A3476" i="34"/>
  <c r="I616" i="55" a="1"/>
  <c r="I616" i="55" s="1"/>
  <c r="G616" i="55" a="1"/>
  <c r="G616" i="55" s="1"/>
  <c r="B616" i="55"/>
  <c r="A616" i="55" s="1"/>
  <c r="I743" i="55" a="1"/>
  <c r="I743" i="55" s="1"/>
  <c r="G743" i="55" a="1"/>
  <c r="G743" i="55" s="1"/>
  <c r="B743" i="55"/>
  <c r="A743" i="55" s="1"/>
  <c r="I695" i="55" a="1"/>
  <c r="I695" i="55" s="1"/>
  <c r="G695" i="55" a="1"/>
  <c r="G695" i="55" s="1"/>
  <c r="B695" i="55"/>
  <c r="A695" i="55" s="1"/>
  <c r="I312" i="55" a="1"/>
  <c r="I312" i="55" s="1"/>
  <c r="G312" i="55" a="1"/>
  <c r="G312" i="55" s="1"/>
  <c r="B312" i="55"/>
  <c r="A312" i="55" s="1"/>
  <c r="I617" i="55" a="1"/>
  <c r="I617" i="55" s="1"/>
  <c r="G617" i="55" a="1"/>
  <c r="G617" i="55" s="1"/>
  <c r="B617" i="55"/>
  <c r="A617" i="55" s="1"/>
  <c r="I618" i="55" a="1"/>
  <c r="I618" i="55" s="1"/>
  <c r="G618" i="55" a="1"/>
  <c r="G618" i="55" s="1"/>
  <c r="B618" i="55"/>
  <c r="A618" i="55" s="1"/>
  <c r="I694" i="55" a="1"/>
  <c r="I694" i="55" s="1"/>
  <c r="G694" i="55" a="1"/>
  <c r="G694" i="55" s="1"/>
  <c r="B694" i="55"/>
  <c r="A694" i="55" s="1"/>
  <c r="I624" i="55" a="1"/>
  <c r="I624" i="55" s="1"/>
  <c r="G624" i="55" a="1"/>
  <c r="G624" i="55" s="1"/>
  <c r="B624" i="55"/>
  <c r="A624" i="55" s="1"/>
  <c r="I672" i="55" a="1"/>
  <c r="I672" i="55" s="1"/>
  <c r="G672" i="55" a="1"/>
  <c r="G672" i="55" s="1"/>
  <c r="B672" i="55"/>
  <c r="A672" i="55" s="1"/>
  <c r="I352" i="55" a="1"/>
  <c r="I352" i="55" s="1"/>
  <c r="G352" i="55" a="1"/>
  <c r="G352" i="55" s="1"/>
  <c r="B352" i="55"/>
  <c r="A352" i="55" s="1"/>
  <c r="I338" i="55" a="1"/>
  <c r="I338" i="55" s="1"/>
  <c r="G338" i="55" a="1"/>
  <c r="G338" i="55" s="1"/>
  <c r="B338" i="55"/>
  <c r="A338" i="55" s="1"/>
  <c r="I599" i="55" a="1"/>
  <c r="I599" i="55" s="1"/>
  <c r="G599" i="55" a="1"/>
  <c r="G599" i="55" s="1"/>
  <c r="B599" i="55"/>
  <c r="A599" i="55" s="1"/>
  <c r="I708" i="55" a="1"/>
  <c r="I708" i="55" s="1"/>
  <c r="G708" i="55" a="1"/>
  <c r="G708" i="55" s="1"/>
  <c r="B708" i="55"/>
  <c r="A708" i="55" s="1"/>
  <c r="I347" i="55" a="1"/>
  <c r="I347" i="55" s="1"/>
  <c r="G347" i="55" a="1"/>
  <c r="G347" i="55" s="1"/>
  <c r="B347" i="55"/>
  <c r="A347" i="55" s="1"/>
  <c r="I323" i="55" a="1"/>
  <c r="I323" i="55" s="1"/>
  <c r="G323" i="55" a="1"/>
  <c r="G323" i="55" s="1"/>
  <c r="B323" i="55"/>
  <c r="A323" i="55" s="1"/>
  <c r="I720" i="55" a="1"/>
  <c r="I720" i="55" s="1"/>
  <c r="G720" i="55" a="1"/>
  <c r="G720" i="55" s="1"/>
  <c r="B720" i="55"/>
  <c r="A720" i="55" s="1"/>
  <c r="I579" i="55" a="1"/>
  <c r="I579" i="55" s="1"/>
  <c r="G579" i="55" a="1"/>
  <c r="G579" i="55" s="1"/>
  <c r="B579" i="55"/>
  <c r="A579" i="55" s="1"/>
  <c r="I286" i="55" a="1"/>
  <c r="I286" i="55" s="1"/>
  <c r="G286" i="55" a="1"/>
  <c r="G286" i="55" s="1"/>
  <c r="B286" i="55"/>
  <c r="A286" i="55" s="1"/>
  <c r="I628" i="55" a="1"/>
  <c r="I628" i="55" s="1"/>
  <c r="G628" i="55" a="1"/>
  <c r="G628" i="55" s="1"/>
  <c r="B628" i="55"/>
  <c r="A628" i="55" s="1"/>
  <c r="I754" i="55" a="1"/>
  <c r="I754" i="55" s="1"/>
  <c r="G754" i="55" a="1"/>
  <c r="G754" i="55" s="1"/>
  <c r="B754" i="55"/>
  <c r="A754" i="55" s="1"/>
  <c r="I438" i="55" a="1"/>
  <c r="I438" i="55" s="1"/>
  <c r="G438" i="55" a="1"/>
  <c r="G438" i="55" s="1"/>
  <c r="B438" i="55"/>
  <c r="A438" i="55" s="1"/>
  <c r="I508" i="55" a="1"/>
  <c r="I508" i="55" s="1"/>
  <c r="G508" i="55" a="1"/>
  <c r="G508" i="55" s="1"/>
  <c r="B508" i="55"/>
  <c r="A508" i="55" s="1"/>
  <c r="I665" i="55" a="1"/>
  <c r="I665" i="55" s="1"/>
  <c r="G665" i="55" a="1"/>
  <c r="G665" i="55" s="1"/>
  <c r="B665" i="55"/>
  <c r="A665" i="55" s="1"/>
  <c r="I662" i="55" a="1"/>
  <c r="I662" i="55" s="1"/>
  <c r="G662" i="55" a="1"/>
  <c r="G662" i="55" s="1"/>
  <c r="B662" i="55"/>
  <c r="A662" i="55" s="1"/>
  <c r="I494" i="55" a="1"/>
  <c r="I494" i="55" s="1"/>
  <c r="G494" i="55" a="1"/>
  <c r="G494" i="55" s="1"/>
  <c r="B494" i="55"/>
  <c r="A494" i="55" s="1"/>
  <c r="I493" i="55" a="1"/>
  <c r="I493" i="55" s="1"/>
  <c r="G493" i="55" a="1"/>
  <c r="G493" i="55" s="1"/>
  <c r="B493" i="55"/>
  <c r="A493" i="55" s="1"/>
  <c r="I411" i="55" a="1"/>
  <c r="I411" i="55" s="1"/>
  <c r="G411" i="55" a="1"/>
  <c r="G411" i="55" s="1"/>
  <c r="B411" i="55"/>
  <c r="A411" i="55" s="1"/>
  <c r="I424" i="55" a="1"/>
  <c r="I424" i="55" s="1"/>
  <c r="G424" i="55" a="1"/>
  <c r="G424" i="55" s="1"/>
  <c r="B424" i="55"/>
  <c r="A424" i="55" s="1"/>
  <c r="I585" i="55" a="1"/>
  <c r="I585" i="55" s="1"/>
  <c r="G585" i="55" a="1"/>
  <c r="G585" i="55" s="1"/>
  <c r="B585" i="55"/>
  <c r="A585" i="55" s="1"/>
  <c r="I402" i="55" a="1"/>
  <c r="I402" i="55" s="1"/>
  <c r="G402" i="55" a="1"/>
  <c r="G402" i="55" s="1"/>
  <c r="B402" i="55"/>
  <c r="A402" i="55" s="1"/>
  <c r="I423" i="55" a="1"/>
  <c r="I423" i="55" s="1"/>
  <c r="G423" i="55" a="1"/>
  <c r="G423" i="55" s="1"/>
  <c r="B423" i="55"/>
  <c r="A423" i="55" s="1"/>
  <c r="I587" i="55" a="1"/>
  <c r="I587" i="55" s="1"/>
  <c r="G587" i="55" a="1"/>
  <c r="G587" i="55" s="1"/>
  <c r="B587" i="55"/>
  <c r="A587" i="55" s="1"/>
  <c r="I394" i="55" a="1"/>
  <c r="I394" i="55" s="1"/>
  <c r="G394" i="55" a="1"/>
  <c r="G394" i="55" s="1"/>
  <c r="B394" i="55"/>
  <c r="A394" i="55" s="1"/>
  <c r="I461" i="55" a="1"/>
  <c r="I461" i="55" s="1"/>
  <c r="G461" i="55" a="1"/>
  <c r="G461" i="55" s="1"/>
  <c r="B461" i="55"/>
  <c r="A461" i="55" s="1"/>
  <c r="I393" i="55" a="1"/>
  <c r="I393" i="55" s="1"/>
  <c r="G393" i="55" a="1"/>
  <c r="G393" i="55" s="1"/>
  <c r="B393" i="55"/>
  <c r="A393" i="55" s="1"/>
  <c r="I592" i="55" a="1"/>
  <c r="I592" i="55" s="1"/>
  <c r="G592" i="55" a="1"/>
  <c r="G592" i="55" s="1"/>
  <c r="B592" i="55"/>
  <c r="A592" i="55" s="1"/>
  <c r="I524" i="55" a="1"/>
  <c r="I524" i="55" s="1"/>
  <c r="G524" i="55" a="1"/>
  <c r="G524" i="55" s="1"/>
  <c r="B524" i="55"/>
  <c r="A524" i="55" s="1"/>
  <c r="I479" i="55" a="1"/>
  <c r="I479" i="55" s="1"/>
  <c r="G479" i="55" a="1"/>
  <c r="G479" i="55" s="1"/>
  <c r="B479" i="55"/>
  <c r="A479" i="55" s="1"/>
  <c r="I520" i="55" a="1"/>
  <c r="I520" i="55" s="1"/>
  <c r="G520" i="55" a="1"/>
  <c r="G520" i="55" s="1"/>
  <c r="B520" i="55"/>
  <c r="A520" i="55" s="1"/>
  <c r="I734" i="55" a="1"/>
  <c r="I734" i="55" s="1"/>
  <c r="G734" i="55" a="1"/>
  <c r="G734" i="55" s="1"/>
  <c r="B734" i="55"/>
  <c r="A734" i="55" s="1"/>
  <c r="I603" i="55" a="1"/>
  <c r="I603" i="55" s="1"/>
  <c r="G603" i="55" a="1"/>
  <c r="G603" i="55" s="1"/>
  <c r="B603" i="55"/>
  <c r="A603" i="55" s="1"/>
  <c r="I746" i="55" a="1"/>
  <c r="I746" i="55" s="1"/>
  <c r="G746" i="55" a="1"/>
  <c r="G746" i="55" s="1"/>
  <c r="B746" i="55"/>
  <c r="A746" i="55" s="1"/>
  <c r="I541" i="55" a="1"/>
  <c r="I541" i="55" s="1"/>
  <c r="G541" i="55" a="1"/>
  <c r="G541" i="55" s="1"/>
  <c r="B541" i="55"/>
  <c r="A541" i="55" s="1"/>
  <c r="I737" i="55" a="1"/>
  <c r="I737" i="55" s="1"/>
  <c r="G737" i="55" a="1"/>
  <c r="G737" i="55" s="1"/>
  <c r="B737" i="55"/>
  <c r="A737" i="55" s="1"/>
  <c r="I376" i="55" a="1"/>
  <c r="I376" i="55" s="1"/>
  <c r="G376" i="55" a="1"/>
  <c r="G376" i="55" s="1"/>
  <c r="B376" i="55"/>
  <c r="A376" i="55" s="1"/>
  <c r="I496" i="55" a="1"/>
  <c r="I496" i="55" s="1"/>
  <c r="G496" i="55" a="1"/>
  <c r="G496" i="55" s="1"/>
  <c r="B496" i="55"/>
  <c r="A496" i="55" s="1"/>
  <c r="I427" i="55" a="1"/>
  <c r="I427" i="55" s="1"/>
  <c r="G427" i="55" a="1"/>
  <c r="G427" i="55" s="1"/>
  <c r="B427" i="55"/>
  <c r="A427" i="55" s="1"/>
  <c r="I417" i="55" a="1"/>
  <c r="I417" i="55" s="1"/>
  <c r="G417" i="55" a="1"/>
  <c r="G417" i="55" s="1"/>
  <c r="B417" i="55"/>
  <c r="A417" i="55" s="1"/>
  <c r="K616" i="55" l="1"/>
  <c r="K618" i="55"/>
  <c r="K628" i="55"/>
  <c r="K393" i="55"/>
  <c r="K754" i="55"/>
  <c r="K708" i="55"/>
  <c r="K599" i="55"/>
  <c r="K323" i="55"/>
  <c r="K338" i="55"/>
  <c r="K624" i="55"/>
  <c r="K695" i="55"/>
  <c r="K743" i="55"/>
  <c r="K694" i="55"/>
  <c r="K672" i="55"/>
  <c r="K617" i="55"/>
  <c r="K312" i="55"/>
  <c r="K592" i="55"/>
  <c r="K720" i="55"/>
  <c r="K417" i="55"/>
  <c r="K579" i="55"/>
  <c r="K286" i="55"/>
  <c r="K352" i="55"/>
  <c r="K347" i="55"/>
  <c r="K662" i="55"/>
  <c r="K461" i="55"/>
  <c r="K402" i="55"/>
  <c r="K541" i="55"/>
  <c r="K603" i="55"/>
  <c r="K479" i="55"/>
  <c r="K411" i="55"/>
  <c r="K493" i="55"/>
  <c r="K508" i="55"/>
  <c r="K585" i="55"/>
  <c r="K423" i="55"/>
  <c r="K494" i="55"/>
  <c r="K394" i="55"/>
  <c r="K587" i="55"/>
  <c r="K424" i="55"/>
  <c r="K438" i="55"/>
  <c r="K665" i="55"/>
  <c r="K734" i="55"/>
  <c r="K520" i="55"/>
  <c r="K524" i="55"/>
  <c r="K427" i="55"/>
  <c r="K737" i="55"/>
  <c r="K746" i="55"/>
  <c r="K496" i="55"/>
  <c r="K376" i="55"/>
  <c r="AB2548" i="34" l="1"/>
  <c r="K2548" i="34"/>
  <c r="C2548" i="34"/>
  <c r="B2548" i="34" s="1"/>
  <c r="AB2547" i="34"/>
  <c r="K2547" i="34"/>
  <c r="C2547" i="34"/>
  <c r="B2547" i="34" s="1"/>
  <c r="AB2546" i="34"/>
  <c r="K2546" i="34"/>
  <c r="C2546" i="34"/>
  <c r="B2546" i="34" s="1"/>
  <c r="AB2545" i="34"/>
  <c r="K2545" i="34"/>
  <c r="C2545" i="34"/>
  <c r="B2545" i="34" s="1"/>
  <c r="AB2544" i="34"/>
  <c r="K2544" i="34"/>
  <c r="C2544" i="34"/>
  <c r="B2544" i="34" s="1"/>
  <c r="AB2543" i="34"/>
  <c r="K2543" i="34"/>
  <c r="C2543" i="34"/>
  <c r="B2543" i="34" s="1"/>
  <c r="AB2542" i="34"/>
  <c r="K2542" i="34"/>
  <c r="C2542" i="34"/>
  <c r="B2542" i="34" s="1"/>
  <c r="AB2541" i="34"/>
  <c r="K2541" i="34"/>
  <c r="C2541" i="34"/>
  <c r="B2541" i="34" s="1"/>
  <c r="AB2540" i="34"/>
  <c r="K2540" i="34"/>
  <c r="C2540" i="34"/>
  <c r="B2540" i="34" s="1"/>
  <c r="AB2539" i="34"/>
  <c r="K2539" i="34"/>
  <c r="C2539" i="34"/>
  <c r="B2539" i="34" s="1"/>
  <c r="AB2538" i="34"/>
  <c r="K2538" i="34"/>
  <c r="C2538" i="34"/>
  <c r="B2538" i="34" s="1"/>
  <c r="AB2537" i="34"/>
  <c r="K2537" i="34"/>
  <c r="C2537" i="34"/>
  <c r="B2537" i="34" s="1"/>
  <c r="AB2536" i="34"/>
  <c r="K2536" i="34"/>
  <c r="C2536" i="34"/>
  <c r="B2536" i="34" s="1"/>
  <c r="AB2535" i="34"/>
  <c r="K2535" i="34"/>
  <c r="C2535" i="34"/>
  <c r="B2535" i="34" s="1"/>
  <c r="AB2534" i="34"/>
  <c r="K2534" i="34"/>
  <c r="C2534" i="34"/>
  <c r="B2534" i="34" s="1"/>
  <c r="AB2533" i="34"/>
  <c r="K2533" i="34"/>
  <c r="C2533" i="34"/>
  <c r="B2533" i="34" s="1"/>
  <c r="AB2532" i="34"/>
  <c r="K2532" i="34"/>
  <c r="C2532" i="34"/>
  <c r="B2532" i="34" s="1"/>
  <c r="AB2531" i="34"/>
  <c r="K2531" i="34"/>
  <c r="C2531" i="34"/>
  <c r="B2531" i="34" s="1"/>
  <c r="AB2530" i="34"/>
  <c r="K2530" i="34"/>
  <c r="C2530" i="34"/>
  <c r="B2530" i="34" s="1"/>
  <c r="AB2529" i="34"/>
  <c r="K2529" i="34"/>
  <c r="C2529" i="34"/>
  <c r="B2529" i="34" s="1"/>
  <c r="AB2528" i="34"/>
  <c r="K2528" i="34"/>
  <c r="C2528" i="34"/>
  <c r="B2528" i="34" s="1"/>
  <c r="AB2527" i="34"/>
  <c r="K2527" i="34"/>
  <c r="C2527" i="34"/>
  <c r="B2527" i="34" s="1"/>
  <c r="AB2526" i="34"/>
  <c r="K2526" i="34"/>
  <c r="C2526" i="34"/>
  <c r="B2526" i="34" s="1"/>
  <c r="AB2525" i="34"/>
  <c r="K2525" i="34"/>
  <c r="C2525" i="34"/>
  <c r="B2525" i="34" s="1"/>
  <c r="AB2524" i="34"/>
  <c r="K2524" i="34"/>
  <c r="C2524" i="34"/>
  <c r="B2524" i="34" s="1"/>
  <c r="AB2523" i="34"/>
  <c r="K2523" i="34"/>
  <c r="C2523" i="34"/>
  <c r="B2523" i="34" s="1"/>
  <c r="AB2522" i="34"/>
  <c r="K2522" i="34"/>
  <c r="C2522" i="34"/>
  <c r="B2522" i="34" s="1"/>
  <c r="AB2521" i="34"/>
  <c r="K2521" i="34"/>
  <c r="C2521" i="34"/>
  <c r="B2521" i="34" s="1"/>
  <c r="AB2520" i="34"/>
  <c r="K2520" i="34"/>
  <c r="C2520" i="34"/>
  <c r="B2520" i="34" s="1"/>
  <c r="AB2519" i="34"/>
  <c r="K2519" i="34"/>
  <c r="C2519" i="34"/>
  <c r="B2519" i="34" s="1"/>
  <c r="AB2518" i="34"/>
  <c r="K2518" i="34"/>
  <c r="C2518" i="34"/>
  <c r="B2518" i="34" s="1"/>
  <c r="AB2517" i="34"/>
  <c r="K2517" i="34"/>
  <c r="C2517" i="34"/>
  <c r="B2517" i="34" s="1"/>
  <c r="AB2516" i="34"/>
  <c r="K2516" i="34"/>
  <c r="C2516" i="34"/>
  <c r="B2516" i="34" s="1"/>
  <c r="AB2515" i="34"/>
  <c r="K2515" i="34"/>
  <c r="C2515" i="34"/>
  <c r="B2515" i="34" s="1"/>
  <c r="AB2514" i="34"/>
  <c r="K2514" i="34"/>
  <c r="C2514" i="34"/>
  <c r="B2514" i="34" s="1"/>
  <c r="AB2513" i="34"/>
  <c r="K2513" i="34"/>
  <c r="C2513" i="34"/>
  <c r="B2513" i="34" s="1"/>
  <c r="AB2512" i="34"/>
  <c r="K2512" i="34"/>
  <c r="C2512" i="34"/>
  <c r="B2512" i="34" s="1"/>
  <c r="AB2511" i="34"/>
  <c r="K2511" i="34"/>
  <c r="C2511" i="34"/>
  <c r="B2511" i="34" s="1"/>
  <c r="AB2510" i="34"/>
  <c r="K2510" i="34"/>
  <c r="C2510" i="34"/>
  <c r="B2510" i="34" s="1"/>
  <c r="AB2509" i="34"/>
  <c r="K2509" i="34"/>
  <c r="C2509" i="34"/>
  <c r="B2509" i="34" s="1"/>
  <c r="AB2508" i="34"/>
  <c r="K2508" i="34"/>
  <c r="C2508" i="34"/>
  <c r="B2508" i="34" s="1"/>
  <c r="AB2507" i="34"/>
  <c r="K2507" i="34"/>
  <c r="C2507" i="34"/>
  <c r="B2507" i="34" s="1"/>
  <c r="AB2506" i="34"/>
  <c r="K2506" i="34"/>
  <c r="C2506" i="34"/>
  <c r="B2506" i="34" s="1"/>
  <c r="AB2505" i="34"/>
  <c r="K2505" i="34"/>
  <c r="C2505" i="34"/>
  <c r="B2505" i="34" s="1"/>
  <c r="AB2504" i="34"/>
  <c r="K2504" i="34"/>
  <c r="C2504" i="34"/>
  <c r="B2504" i="34" s="1"/>
  <c r="AB2503" i="34"/>
  <c r="K2503" i="34"/>
  <c r="C2503" i="34"/>
  <c r="B2503" i="34" s="1"/>
  <c r="AB2502" i="34"/>
  <c r="K2502" i="34"/>
  <c r="C2502" i="34"/>
  <c r="B2502" i="34" s="1"/>
  <c r="AB2501" i="34"/>
  <c r="K2501" i="34"/>
  <c r="C2501" i="34"/>
  <c r="B2501" i="34" s="1"/>
  <c r="AB2500" i="34"/>
  <c r="K2500" i="34"/>
  <c r="C2500" i="34"/>
  <c r="B2500" i="34" s="1"/>
  <c r="AB2499" i="34"/>
  <c r="K2499" i="34"/>
  <c r="C2499" i="34"/>
  <c r="B2499" i="34" s="1"/>
  <c r="AB2498" i="34"/>
  <c r="K2498" i="34"/>
  <c r="C2498" i="34"/>
  <c r="B2498" i="34" s="1"/>
  <c r="AB2497" i="34"/>
  <c r="K2497" i="34"/>
  <c r="C2497" i="34"/>
  <c r="B2497" i="34" s="1"/>
  <c r="AB2496" i="34"/>
  <c r="K2496" i="34"/>
  <c r="C2496" i="34"/>
  <c r="B2496" i="34" s="1"/>
  <c r="AB2495" i="34"/>
  <c r="K2495" i="34"/>
  <c r="C2495" i="34"/>
  <c r="B2495" i="34" s="1"/>
  <c r="AB2494" i="34"/>
  <c r="K2494" i="34"/>
  <c r="C2494" i="34"/>
  <c r="B2494" i="34" s="1"/>
  <c r="AB2493" i="34"/>
  <c r="K2493" i="34"/>
  <c r="C2493" i="34"/>
  <c r="B2493" i="34" s="1"/>
  <c r="AB2492" i="34"/>
  <c r="K2492" i="34"/>
  <c r="C2492" i="34"/>
  <c r="B2492" i="34" s="1"/>
  <c r="AB2491" i="34"/>
  <c r="K2491" i="34"/>
  <c r="C2491" i="34"/>
  <c r="B2491" i="34" s="1"/>
  <c r="AB2490" i="34"/>
  <c r="K2490" i="34"/>
  <c r="C2490" i="34"/>
  <c r="B2490" i="34" s="1"/>
  <c r="AB2489" i="34"/>
  <c r="K2489" i="34"/>
  <c r="C2489" i="34"/>
  <c r="B2489" i="34" s="1"/>
  <c r="AB2488" i="34"/>
  <c r="K2488" i="34"/>
  <c r="C2488" i="34"/>
  <c r="B2488" i="34" s="1"/>
  <c r="AB2487" i="34"/>
  <c r="K2487" i="34"/>
  <c r="C2487" i="34"/>
  <c r="B2487" i="34" s="1"/>
  <c r="AB2486" i="34"/>
  <c r="K2486" i="34"/>
  <c r="C2486" i="34"/>
  <c r="B2486" i="34" s="1"/>
  <c r="AB2485" i="34"/>
  <c r="K2485" i="34"/>
  <c r="C2485" i="34"/>
  <c r="B2485" i="34" s="1"/>
  <c r="AB2577" i="34"/>
  <c r="K2577" i="34"/>
  <c r="C2577" i="34"/>
  <c r="B2577" i="34" s="1"/>
  <c r="AB2576" i="34"/>
  <c r="K2576" i="34"/>
  <c r="C2576" i="34"/>
  <c r="B2576" i="34" s="1"/>
  <c r="AB2575" i="34"/>
  <c r="K2575" i="34"/>
  <c r="C2575" i="34"/>
  <c r="B2575" i="34" s="1"/>
  <c r="AB2574" i="34"/>
  <c r="K2574" i="34"/>
  <c r="C2574" i="34"/>
  <c r="B2574" i="34" s="1"/>
  <c r="AB2573" i="34"/>
  <c r="K2573" i="34"/>
  <c r="C2573" i="34"/>
  <c r="B2573" i="34" s="1"/>
  <c r="AB2572" i="34"/>
  <c r="K2572" i="34"/>
  <c r="C2572" i="34"/>
  <c r="B2572" i="34" s="1"/>
  <c r="AB2571" i="34"/>
  <c r="K2571" i="34"/>
  <c r="C2571" i="34"/>
  <c r="B2571" i="34" s="1"/>
  <c r="AB2570" i="34"/>
  <c r="K2570" i="34"/>
  <c r="C2570" i="34"/>
  <c r="B2570" i="34" s="1"/>
  <c r="AB2569" i="34"/>
  <c r="K2569" i="34"/>
  <c r="C2569" i="34"/>
  <c r="B2569" i="34" s="1"/>
  <c r="AB2568" i="34"/>
  <c r="K2568" i="34"/>
  <c r="C2568" i="34"/>
  <c r="B2568" i="34" s="1"/>
  <c r="AB2567" i="34"/>
  <c r="K2567" i="34"/>
  <c r="C2567" i="34"/>
  <c r="B2567" i="34" s="1"/>
  <c r="AB2566" i="34"/>
  <c r="K2566" i="34"/>
  <c r="C2566" i="34"/>
  <c r="B2566" i="34" s="1"/>
  <c r="AB2565" i="34"/>
  <c r="K2565" i="34"/>
  <c r="C2565" i="34"/>
  <c r="B2565" i="34" s="1"/>
  <c r="AB2564" i="34"/>
  <c r="K2564" i="34"/>
  <c r="C2564" i="34"/>
  <c r="B2564" i="34" s="1"/>
  <c r="AB2563" i="34"/>
  <c r="K2563" i="34"/>
  <c r="C2563" i="34"/>
  <c r="B2563" i="34" s="1"/>
  <c r="AB2562" i="34"/>
  <c r="K2562" i="34"/>
  <c r="C2562" i="34"/>
  <c r="B2562" i="34" s="1"/>
  <c r="AB2561" i="34"/>
  <c r="K2561" i="34"/>
  <c r="C2561" i="34"/>
  <c r="B2561" i="34" s="1"/>
  <c r="AB2560" i="34"/>
  <c r="K2560" i="34"/>
  <c r="C2560" i="34"/>
  <c r="B2560" i="34" s="1"/>
  <c r="AB2559" i="34"/>
  <c r="K2559" i="34"/>
  <c r="C2559" i="34"/>
  <c r="B2559" i="34" s="1"/>
  <c r="AB2558" i="34"/>
  <c r="K2558" i="34"/>
  <c r="C2558" i="34"/>
  <c r="B2558" i="34" s="1"/>
  <c r="AB2557" i="34"/>
  <c r="K2557" i="34"/>
  <c r="C2557" i="34"/>
  <c r="B2557" i="34" s="1"/>
  <c r="AB2556" i="34"/>
  <c r="K2556" i="34"/>
  <c r="C2556" i="34"/>
  <c r="B2556" i="34" s="1"/>
  <c r="AB2555" i="34"/>
  <c r="K2555" i="34"/>
  <c r="C2555" i="34"/>
  <c r="B2555" i="34" s="1"/>
  <c r="AB2554" i="34"/>
  <c r="K2554" i="34"/>
  <c r="C2554" i="34"/>
  <c r="B2554" i="34" s="1"/>
  <c r="AB2553" i="34"/>
  <c r="K2553" i="34"/>
  <c r="C2553" i="34"/>
  <c r="B2553" i="34" s="1"/>
  <c r="AB2552" i="34"/>
  <c r="K2552" i="34"/>
  <c r="C2552" i="34"/>
  <c r="B2552" i="34" s="1"/>
  <c r="AB2551" i="34"/>
  <c r="K2551" i="34"/>
  <c r="C2551" i="34"/>
  <c r="B2551" i="34" s="1"/>
  <c r="AB2550" i="34"/>
  <c r="K2550" i="34"/>
  <c r="C2550" i="34"/>
  <c r="B2550" i="34" s="1"/>
  <c r="AB2549" i="34"/>
  <c r="K2549" i="34"/>
  <c r="C2549" i="34"/>
  <c r="B2549" i="34" s="1"/>
  <c r="C2578" i="34"/>
  <c r="B2578" i="34" s="1"/>
  <c r="Q2537" i="34" l="1"/>
  <c r="U2537" i="34"/>
  <c r="Z2537" i="34"/>
  <c r="O2537" i="34"/>
  <c r="W2537" i="34"/>
  <c r="P2537" i="34"/>
  <c r="A2537" i="34"/>
  <c r="Z2568" i="34"/>
  <c r="O2568" i="34"/>
  <c r="W2568" i="34"/>
  <c r="P2568" i="34"/>
  <c r="Q2568" i="34"/>
  <c r="U2568" i="34"/>
  <c r="A2568" i="34"/>
  <c r="O2499" i="34"/>
  <c r="W2499" i="34"/>
  <c r="P2499" i="34"/>
  <c r="Q2499" i="34"/>
  <c r="U2499" i="34"/>
  <c r="Z2499" i="34"/>
  <c r="A2499" i="34"/>
  <c r="Q2549" i="34"/>
  <c r="U2549" i="34"/>
  <c r="Z2549" i="34"/>
  <c r="O2549" i="34"/>
  <c r="W2549" i="34"/>
  <c r="P2549" i="34"/>
  <c r="A2549" i="34"/>
  <c r="Q2553" i="34"/>
  <c r="U2553" i="34"/>
  <c r="Z2553" i="34"/>
  <c r="O2553" i="34"/>
  <c r="W2553" i="34"/>
  <c r="P2553" i="34"/>
  <c r="A2553" i="34"/>
  <c r="Q2557" i="34"/>
  <c r="U2557" i="34"/>
  <c r="Z2557" i="34"/>
  <c r="O2557" i="34"/>
  <c r="W2557" i="34"/>
  <c r="P2557" i="34"/>
  <c r="A2557" i="34"/>
  <c r="Q2561" i="34"/>
  <c r="U2561" i="34"/>
  <c r="Z2561" i="34"/>
  <c r="O2561" i="34"/>
  <c r="W2561" i="34"/>
  <c r="P2561" i="34"/>
  <c r="A2561" i="34"/>
  <c r="Q2565" i="34"/>
  <c r="U2565" i="34"/>
  <c r="Z2565" i="34"/>
  <c r="O2565" i="34"/>
  <c r="W2565" i="34"/>
  <c r="P2565" i="34"/>
  <c r="A2565" i="34"/>
  <c r="Q2569" i="34"/>
  <c r="U2569" i="34"/>
  <c r="Z2569" i="34"/>
  <c r="O2569" i="34"/>
  <c r="W2569" i="34"/>
  <c r="P2569" i="34"/>
  <c r="A2569" i="34"/>
  <c r="Q2573" i="34"/>
  <c r="U2573" i="34"/>
  <c r="Z2573" i="34"/>
  <c r="O2573" i="34"/>
  <c r="W2573" i="34"/>
  <c r="P2573" i="34"/>
  <c r="A2573" i="34"/>
  <c r="Q2577" i="34"/>
  <c r="U2577" i="34"/>
  <c r="Z2577" i="34"/>
  <c r="O2577" i="34"/>
  <c r="W2577" i="34"/>
  <c r="P2577" i="34"/>
  <c r="A2577" i="34"/>
  <c r="Z2488" i="34"/>
  <c r="O2488" i="34"/>
  <c r="W2488" i="34"/>
  <c r="P2488" i="34"/>
  <c r="Q2488" i="34"/>
  <c r="U2488" i="34"/>
  <c r="A2488" i="34"/>
  <c r="Z2492" i="34"/>
  <c r="O2492" i="34"/>
  <c r="W2492" i="34"/>
  <c r="P2492" i="34"/>
  <c r="Q2492" i="34"/>
  <c r="U2492" i="34"/>
  <c r="A2492" i="34"/>
  <c r="Z2496" i="34"/>
  <c r="O2496" i="34"/>
  <c r="W2496" i="34"/>
  <c r="P2496" i="34"/>
  <c r="Q2496" i="34"/>
  <c r="U2496" i="34"/>
  <c r="A2496" i="34"/>
  <c r="Z2500" i="34"/>
  <c r="O2500" i="34"/>
  <c r="W2500" i="34"/>
  <c r="P2500" i="34"/>
  <c r="Q2500" i="34"/>
  <c r="U2500" i="34"/>
  <c r="A2500" i="34"/>
  <c r="Z2504" i="34"/>
  <c r="O2504" i="34"/>
  <c r="W2504" i="34"/>
  <c r="P2504" i="34"/>
  <c r="Q2504" i="34"/>
  <c r="U2504" i="34"/>
  <c r="A2504" i="34"/>
  <c r="Z2508" i="34"/>
  <c r="O2508" i="34"/>
  <c r="W2508" i="34"/>
  <c r="P2508" i="34"/>
  <c r="Q2508" i="34"/>
  <c r="U2508" i="34"/>
  <c r="A2508" i="34"/>
  <c r="Z2512" i="34"/>
  <c r="O2512" i="34"/>
  <c r="W2512" i="34"/>
  <c r="P2512" i="34"/>
  <c r="Q2512" i="34"/>
  <c r="U2512" i="34"/>
  <c r="A2512" i="34"/>
  <c r="Z2516" i="34"/>
  <c r="O2516" i="34"/>
  <c r="W2516" i="34"/>
  <c r="P2516" i="34"/>
  <c r="Q2516" i="34"/>
  <c r="U2516" i="34"/>
  <c r="A2516" i="34"/>
  <c r="Z2520" i="34"/>
  <c r="O2520" i="34"/>
  <c r="W2520" i="34"/>
  <c r="P2520" i="34"/>
  <c r="Q2520" i="34"/>
  <c r="U2520" i="34"/>
  <c r="A2520" i="34"/>
  <c r="Z2524" i="34"/>
  <c r="O2524" i="34"/>
  <c r="W2524" i="34"/>
  <c r="P2524" i="34"/>
  <c r="Q2524" i="34"/>
  <c r="U2524" i="34"/>
  <c r="A2524" i="34"/>
  <c r="Z2528" i="34"/>
  <c r="O2528" i="34"/>
  <c r="W2528" i="34"/>
  <c r="P2528" i="34"/>
  <c r="Q2528" i="34"/>
  <c r="U2528" i="34"/>
  <c r="A2528" i="34"/>
  <c r="Z2532" i="34"/>
  <c r="O2532" i="34"/>
  <c r="W2532" i="34"/>
  <c r="P2532" i="34"/>
  <c r="Q2532" i="34"/>
  <c r="U2532" i="34"/>
  <c r="A2532" i="34"/>
  <c r="Z2536" i="34"/>
  <c r="O2536" i="34"/>
  <c r="W2536" i="34"/>
  <c r="P2536" i="34"/>
  <c r="Q2536" i="34"/>
  <c r="U2536" i="34"/>
  <c r="A2536" i="34"/>
  <c r="Q2541" i="34"/>
  <c r="U2541" i="34"/>
  <c r="Z2541" i="34"/>
  <c r="O2541" i="34"/>
  <c r="W2541" i="34"/>
  <c r="P2541" i="34"/>
  <c r="A2541" i="34"/>
  <c r="Q2545" i="34"/>
  <c r="U2545" i="34"/>
  <c r="Z2545" i="34"/>
  <c r="O2545" i="34"/>
  <c r="W2545" i="34"/>
  <c r="P2545" i="34"/>
  <c r="A2545" i="34"/>
  <c r="Z2552" i="34"/>
  <c r="O2552" i="34"/>
  <c r="W2552" i="34"/>
  <c r="P2552" i="34"/>
  <c r="Q2552" i="34"/>
  <c r="U2552" i="34"/>
  <c r="A2552" i="34"/>
  <c r="Z2576" i="34"/>
  <c r="O2576" i="34"/>
  <c r="W2576" i="34"/>
  <c r="P2576" i="34"/>
  <c r="Q2576" i="34"/>
  <c r="U2576" i="34"/>
  <c r="A2576" i="34"/>
  <c r="O2487" i="34"/>
  <c r="W2487" i="34"/>
  <c r="P2487" i="34"/>
  <c r="Q2487" i="34"/>
  <c r="U2487" i="34"/>
  <c r="Z2487" i="34"/>
  <c r="A2487" i="34"/>
  <c r="O2503" i="34"/>
  <c r="W2503" i="34"/>
  <c r="P2503" i="34"/>
  <c r="Q2503" i="34"/>
  <c r="U2503" i="34"/>
  <c r="Z2503" i="34"/>
  <c r="A2503" i="34"/>
  <c r="O2511" i="34"/>
  <c r="W2511" i="34"/>
  <c r="P2511" i="34"/>
  <c r="Q2511" i="34"/>
  <c r="U2511" i="34"/>
  <c r="Z2511" i="34"/>
  <c r="A2511" i="34"/>
  <c r="O2515" i="34"/>
  <c r="W2515" i="34"/>
  <c r="P2515" i="34"/>
  <c r="Q2515" i="34"/>
  <c r="U2515" i="34"/>
  <c r="Z2515" i="34"/>
  <c r="A2515" i="34"/>
  <c r="O2535" i="34"/>
  <c r="W2535" i="34"/>
  <c r="P2535" i="34"/>
  <c r="Q2535" i="34"/>
  <c r="U2535" i="34"/>
  <c r="Z2535" i="34"/>
  <c r="A2535" i="34"/>
  <c r="Z2540" i="34"/>
  <c r="O2540" i="34"/>
  <c r="W2540" i="34"/>
  <c r="P2540" i="34"/>
  <c r="Q2540" i="34"/>
  <c r="U2540" i="34"/>
  <c r="A2540" i="34"/>
  <c r="Z2544" i="34"/>
  <c r="O2544" i="34"/>
  <c r="W2544" i="34"/>
  <c r="P2544" i="34"/>
  <c r="Q2544" i="34"/>
  <c r="U2544" i="34"/>
  <c r="A2544" i="34"/>
  <c r="Z2548" i="34"/>
  <c r="O2548" i="34"/>
  <c r="W2548" i="34"/>
  <c r="P2548" i="34"/>
  <c r="Q2548" i="34"/>
  <c r="U2548" i="34"/>
  <c r="A2548" i="34"/>
  <c r="Z2560" i="34"/>
  <c r="O2560" i="34"/>
  <c r="W2560" i="34"/>
  <c r="P2560" i="34"/>
  <c r="Q2560" i="34"/>
  <c r="U2560" i="34"/>
  <c r="A2560" i="34"/>
  <c r="Z2564" i="34"/>
  <c r="O2564" i="34"/>
  <c r="W2564" i="34"/>
  <c r="P2564" i="34"/>
  <c r="Q2564" i="34"/>
  <c r="U2564" i="34"/>
  <c r="A2564" i="34"/>
  <c r="O2495" i="34"/>
  <c r="W2495" i="34"/>
  <c r="P2495" i="34"/>
  <c r="Q2495" i="34"/>
  <c r="U2495" i="34"/>
  <c r="Z2495" i="34"/>
  <c r="A2495" i="34"/>
  <c r="O2519" i="34"/>
  <c r="W2519" i="34"/>
  <c r="P2519" i="34"/>
  <c r="Q2519" i="34"/>
  <c r="U2519" i="34"/>
  <c r="Z2519" i="34"/>
  <c r="A2519" i="34"/>
  <c r="O2551" i="34"/>
  <c r="W2551" i="34"/>
  <c r="P2551" i="34"/>
  <c r="Q2551" i="34"/>
  <c r="U2551" i="34"/>
  <c r="Z2551" i="34"/>
  <c r="A2551" i="34"/>
  <c r="O2555" i="34"/>
  <c r="W2555" i="34"/>
  <c r="P2555" i="34"/>
  <c r="Q2555" i="34"/>
  <c r="U2555" i="34"/>
  <c r="Z2555" i="34"/>
  <c r="A2555" i="34"/>
  <c r="O2559" i="34"/>
  <c r="W2559" i="34"/>
  <c r="P2559" i="34"/>
  <c r="Q2559" i="34"/>
  <c r="U2559" i="34"/>
  <c r="Z2559" i="34"/>
  <c r="A2559" i="34"/>
  <c r="O2563" i="34"/>
  <c r="W2563" i="34"/>
  <c r="P2563" i="34"/>
  <c r="Q2563" i="34"/>
  <c r="U2563" i="34"/>
  <c r="Z2563" i="34"/>
  <c r="A2563" i="34"/>
  <c r="O2567" i="34"/>
  <c r="W2567" i="34"/>
  <c r="P2567" i="34"/>
  <c r="Q2567" i="34"/>
  <c r="U2567" i="34"/>
  <c r="Z2567" i="34"/>
  <c r="A2567" i="34"/>
  <c r="O2571" i="34"/>
  <c r="W2571" i="34"/>
  <c r="P2571" i="34"/>
  <c r="Q2571" i="34"/>
  <c r="U2571" i="34"/>
  <c r="Z2571" i="34"/>
  <c r="A2571" i="34"/>
  <c r="O2575" i="34"/>
  <c r="W2575" i="34"/>
  <c r="P2575" i="34"/>
  <c r="Q2575" i="34"/>
  <c r="U2575" i="34"/>
  <c r="Z2575" i="34"/>
  <c r="A2575" i="34"/>
  <c r="P2486" i="34"/>
  <c r="Q2486" i="34"/>
  <c r="U2486" i="34"/>
  <c r="Z2486" i="34"/>
  <c r="O2486" i="34"/>
  <c r="W2486" i="34"/>
  <c r="A2486" i="34"/>
  <c r="P2490" i="34"/>
  <c r="Q2490" i="34"/>
  <c r="U2490" i="34"/>
  <c r="Z2490" i="34"/>
  <c r="O2490" i="34"/>
  <c r="W2490" i="34"/>
  <c r="A2490" i="34"/>
  <c r="P2494" i="34"/>
  <c r="Q2494" i="34"/>
  <c r="U2494" i="34"/>
  <c r="Z2494" i="34"/>
  <c r="O2494" i="34"/>
  <c r="W2494" i="34"/>
  <c r="A2494" i="34"/>
  <c r="P2498" i="34"/>
  <c r="Q2498" i="34"/>
  <c r="U2498" i="34"/>
  <c r="Z2498" i="34"/>
  <c r="O2498" i="34"/>
  <c r="W2498" i="34"/>
  <c r="A2498" i="34"/>
  <c r="P2502" i="34"/>
  <c r="Q2502" i="34"/>
  <c r="U2502" i="34"/>
  <c r="Z2502" i="34"/>
  <c r="O2502" i="34"/>
  <c r="W2502" i="34"/>
  <c r="A2502" i="34"/>
  <c r="P2506" i="34"/>
  <c r="Q2506" i="34"/>
  <c r="U2506" i="34"/>
  <c r="Z2506" i="34"/>
  <c r="O2506" i="34"/>
  <c r="W2506" i="34"/>
  <c r="A2506" i="34"/>
  <c r="P2510" i="34"/>
  <c r="Q2510" i="34"/>
  <c r="U2510" i="34"/>
  <c r="Z2510" i="34"/>
  <c r="O2510" i="34"/>
  <c r="W2510" i="34"/>
  <c r="A2510" i="34"/>
  <c r="P2514" i="34"/>
  <c r="Q2514" i="34"/>
  <c r="U2514" i="34"/>
  <c r="Z2514" i="34"/>
  <c r="O2514" i="34"/>
  <c r="W2514" i="34"/>
  <c r="A2514" i="34"/>
  <c r="P2518" i="34"/>
  <c r="Q2518" i="34"/>
  <c r="U2518" i="34"/>
  <c r="Z2518" i="34"/>
  <c r="O2518" i="34"/>
  <c r="W2518" i="34"/>
  <c r="A2518" i="34"/>
  <c r="P2522" i="34"/>
  <c r="Q2522" i="34"/>
  <c r="U2522" i="34"/>
  <c r="Z2522" i="34"/>
  <c r="O2522" i="34"/>
  <c r="W2522" i="34"/>
  <c r="A2522" i="34"/>
  <c r="P2526" i="34"/>
  <c r="Q2526" i="34"/>
  <c r="U2526" i="34"/>
  <c r="Z2526" i="34"/>
  <c r="O2526" i="34"/>
  <c r="W2526" i="34"/>
  <c r="A2526" i="34"/>
  <c r="P2530" i="34"/>
  <c r="Q2530" i="34"/>
  <c r="U2530" i="34"/>
  <c r="Z2530" i="34"/>
  <c r="O2530" i="34"/>
  <c r="W2530" i="34"/>
  <c r="A2530" i="34"/>
  <c r="P2534" i="34"/>
  <c r="Q2534" i="34"/>
  <c r="U2534" i="34"/>
  <c r="Z2534" i="34"/>
  <c r="O2534" i="34"/>
  <c r="W2534" i="34"/>
  <c r="A2534" i="34"/>
  <c r="O2539" i="34"/>
  <c r="W2539" i="34"/>
  <c r="P2539" i="34"/>
  <c r="Q2539" i="34"/>
  <c r="U2539" i="34"/>
  <c r="Z2539" i="34"/>
  <c r="A2539" i="34"/>
  <c r="O2543" i="34"/>
  <c r="W2543" i="34"/>
  <c r="P2543" i="34"/>
  <c r="Q2543" i="34"/>
  <c r="U2543" i="34"/>
  <c r="Z2543" i="34"/>
  <c r="A2543" i="34"/>
  <c r="O2547" i="34"/>
  <c r="W2547" i="34"/>
  <c r="P2547" i="34"/>
  <c r="Q2547" i="34"/>
  <c r="U2547" i="34"/>
  <c r="Z2547" i="34"/>
  <c r="A2547" i="34"/>
  <c r="Z2556" i="34"/>
  <c r="O2556" i="34"/>
  <c r="W2556" i="34"/>
  <c r="P2556" i="34"/>
  <c r="Q2556" i="34"/>
  <c r="U2556" i="34"/>
  <c r="A2556" i="34"/>
  <c r="Z2572" i="34"/>
  <c r="O2572" i="34"/>
  <c r="W2572" i="34"/>
  <c r="P2572" i="34"/>
  <c r="Q2572" i="34"/>
  <c r="U2572" i="34"/>
  <c r="A2572" i="34"/>
  <c r="O2491" i="34"/>
  <c r="W2491" i="34"/>
  <c r="P2491" i="34"/>
  <c r="Q2491" i="34"/>
  <c r="U2491" i="34"/>
  <c r="Z2491" i="34"/>
  <c r="A2491" i="34"/>
  <c r="O2507" i="34"/>
  <c r="W2507" i="34"/>
  <c r="P2507" i="34"/>
  <c r="Q2507" i="34"/>
  <c r="U2507" i="34"/>
  <c r="Z2507" i="34"/>
  <c r="A2507" i="34"/>
  <c r="O2523" i="34"/>
  <c r="W2523" i="34"/>
  <c r="P2523" i="34"/>
  <c r="Q2523" i="34"/>
  <c r="U2523" i="34"/>
  <c r="Z2523" i="34"/>
  <c r="A2523" i="34"/>
  <c r="O2527" i="34"/>
  <c r="W2527" i="34"/>
  <c r="P2527" i="34"/>
  <c r="Q2527" i="34"/>
  <c r="U2527" i="34"/>
  <c r="Z2527" i="34"/>
  <c r="A2527" i="34"/>
  <c r="O2531" i="34"/>
  <c r="W2531" i="34"/>
  <c r="P2531" i="34"/>
  <c r="Q2531" i="34"/>
  <c r="U2531" i="34"/>
  <c r="Z2531" i="34"/>
  <c r="A2531" i="34"/>
  <c r="P2578" i="34"/>
  <c r="Q2578" i="34"/>
  <c r="U2578" i="34"/>
  <c r="Z2578" i="34"/>
  <c r="O2578" i="34"/>
  <c r="W2578" i="34"/>
  <c r="A2578" i="34"/>
  <c r="P2550" i="34"/>
  <c r="Q2550" i="34"/>
  <c r="U2550" i="34"/>
  <c r="Z2550" i="34"/>
  <c r="O2550" i="34"/>
  <c r="W2550" i="34"/>
  <c r="A2550" i="34"/>
  <c r="P2554" i="34"/>
  <c r="Q2554" i="34"/>
  <c r="U2554" i="34"/>
  <c r="Z2554" i="34"/>
  <c r="O2554" i="34"/>
  <c r="W2554" i="34"/>
  <c r="A2554" i="34"/>
  <c r="P2558" i="34"/>
  <c r="Q2558" i="34"/>
  <c r="U2558" i="34"/>
  <c r="Z2558" i="34"/>
  <c r="O2558" i="34"/>
  <c r="W2558" i="34"/>
  <c r="A2558" i="34"/>
  <c r="P2562" i="34"/>
  <c r="Q2562" i="34"/>
  <c r="U2562" i="34"/>
  <c r="Z2562" i="34"/>
  <c r="O2562" i="34"/>
  <c r="W2562" i="34"/>
  <c r="A2562" i="34"/>
  <c r="P2566" i="34"/>
  <c r="Q2566" i="34"/>
  <c r="U2566" i="34"/>
  <c r="Z2566" i="34"/>
  <c r="O2566" i="34"/>
  <c r="W2566" i="34"/>
  <c r="A2566" i="34"/>
  <c r="P2570" i="34"/>
  <c r="Q2570" i="34"/>
  <c r="U2570" i="34"/>
  <c r="Z2570" i="34"/>
  <c r="O2570" i="34"/>
  <c r="W2570" i="34"/>
  <c r="A2570" i="34"/>
  <c r="P2574" i="34"/>
  <c r="Q2574" i="34"/>
  <c r="U2574" i="34"/>
  <c r="Z2574" i="34"/>
  <c r="O2574" i="34"/>
  <c r="W2574" i="34"/>
  <c r="A2574" i="34"/>
  <c r="Q2485" i="34"/>
  <c r="U2485" i="34"/>
  <c r="Z2485" i="34"/>
  <c r="O2485" i="34"/>
  <c r="W2485" i="34"/>
  <c r="P2485" i="34"/>
  <c r="A2485" i="34"/>
  <c r="Q2489" i="34"/>
  <c r="U2489" i="34"/>
  <c r="Z2489" i="34"/>
  <c r="O2489" i="34"/>
  <c r="W2489" i="34"/>
  <c r="P2489" i="34"/>
  <c r="A2489" i="34"/>
  <c r="Q2493" i="34"/>
  <c r="U2493" i="34"/>
  <c r="Z2493" i="34"/>
  <c r="O2493" i="34"/>
  <c r="W2493" i="34"/>
  <c r="P2493" i="34"/>
  <c r="A2493" i="34"/>
  <c r="Q2497" i="34"/>
  <c r="U2497" i="34"/>
  <c r="Z2497" i="34"/>
  <c r="O2497" i="34"/>
  <c r="W2497" i="34"/>
  <c r="P2497" i="34"/>
  <c r="A2497" i="34"/>
  <c r="Q2501" i="34"/>
  <c r="U2501" i="34"/>
  <c r="Z2501" i="34"/>
  <c r="O2501" i="34"/>
  <c r="W2501" i="34"/>
  <c r="P2501" i="34"/>
  <c r="A2501" i="34"/>
  <c r="Q2505" i="34"/>
  <c r="U2505" i="34"/>
  <c r="Z2505" i="34"/>
  <c r="O2505" i="34"/>
  <c r="W2505" i="34"/>
  <c r="P2505" i="34"/>
  <c r="A2505" i="34"/>
  <c r="Q2509" i="34"/>
  <c r="U2509" i="34"/>
  <c r="Z2509" i="34"/>
  <c r="O2509" i="34"/>
  <c r="W2509" i="34"/>
  <c r="P2509" i="34"/>
  <c r="A2509" i="34"/>
  <c r="Q2513" i="34"/>
  <c r="U2513" i="34"/>
  <c r="Z2513" i="34"/>
  <c r="O2513" i="34"/>
  <c r="W2513" i="34"/>
  <c r="P2513" i="34"/>
  <c r="A2513" i="34"/>
  <c r="Q2517" i="34"/>
  <c r="U2517" i="34"/>
  <c r="Z2517" i="34"/>
  <c r="O2517" i="34"/>
  <c r="W2517" i="34"/>
  <c r="P2517" i="34"/>
  <c r="A2517" i="34"/>
  <c r="Q2521" i="34"/>
  <c r="U2521" i="34"/>
  <c r="Z2521" i="34"/>
  <c r="O2521" i="34"/>
  <c r="W2521" i="34"/>
  <c r="P2521" i="34"/>
  <c r="A2521" i="34"/>
  <c r="Q2525" i="34"/>
  <c r="U2525" i="34"/>
  <c r="Z2525" i="34"/>
  <c r="O2525" i="34"/>
  <c r="W2525" i="34"/>
  <c r="P2525" i="34"/>
  <c r="A2525" i="34"/>
  <c r="Q2529" i="34"/>
  <c r="U2529" i="34"/>
  <c r="Z2529" i="34"/>
  <c r="O2529" i="34"/>
  <c r="W2529" i="34"/>
  <c r="P2529" i="34"/>
  <c r="A2529" i="34"/>
  <c r="Q2533" i="34"/>
  <c r="U2533" i="34"/>
  <c r="Z2533" i="34"/>
  <c r="O2533" i="34"/>
  <c r="W2533" i="34"/>
  <c r="P2533" i="34"/>
  <c r="A2533" i="34"/>
  <c r="P2538" i="34"/>
  <c r="Q2538" i="34"/>
  <c r="U2538" i="34"/>
  <c r="Z2538" i="34"/>
  <c r="O2538" i="34"/>
  <c r="W2538" i="34"/>
  <c r="A2538" i="34"/>
  <c r="P2542" i="34"/>
  <c r="Q2542" i="34"/>
  <c r="U2542" i="34"/>
  <c r="Z2542" i="34"/>
  <c r="O2542" i="34"/>
  <c r="W2542" i="34"/>
  <c r="A2542" i="34"/>
  <c r="P2546" i="34"/>
  <c r="Q2546" i="34"/>
  <c r="U2546" i="34"/>
  <c r="Z2546" i="34"/>
  <c r="O2546" i="34"/>
  <c r="W2546" i="34"/>
  <c r="A2546" i="34"/>
  <c r="Q163" i="60"/>
  <c r="C163" i="60" s="1"/>
  <c r="Q164" i="60"/>
  <c r="C164" i="60" s="1"/>
  <c r="Q165" i="60"/>
  <c r="C165" i="60" s="1"/>
  <c r="Q166" i="60"/>
  <c r="C166" i="60" s="1"/>
  <c r="Q167" i="60"/>
  <c r="C167" i="60" s="1"/>
  <c r="Q168" i="60"/>
  <c r="C168" i="60" s="1"/>
  <c r="Q169" i="60"/>
  <c r="C169" i="60" s="1"/>
  <c r="Q170" i="60"/>
  <c r="C170" i="60" s="1"/>
  <c r="Q171" i="60"/>
  <c r="C171" i="60" s="1"/>
  <c r="P861" i="79"/>
  <c r="P858" i="79"/>
  <c r="P856" i="79"/>
  <c r="P854" i="79"/>
  <c r="P849" i="79"/>
  <c r="P848" i="79"/>
  <c r="P847" i="79"/>
  <c r="P846" i="79"/>
  <c r="P838" i="79"/>
  <c r="N163" i="60"/>
  <c r="N164" i="60"/>
  <c r="N165" i="60"/>
  <c r="N166" i="60"/>
  <c r="N167" i="60"/>
  <c r="N168" i="60"/>
  <c r="N169" i="60"/>
  <c r="N170" i="60"/>
  <c r="N171" i="60"/>
  <c r="J836" i="79"/>
  <c r="J837" i="79"/>
  <c r="J838" i="79"/>
  <c r="J839" i="79"/>
  <c r="J840" i="79"/>
  <c r="J841" i="79"/>
  <c r="J842" i="79"/>
  <c r="J843" i="79"/>
  <c r="J844" i="79"/>
  <c r="J845" i="79"/>
  <c r="J846" i="79"/>
  <c r="J847" i="79"/>
  <c r="J848" i="79"/>
  <c r="J849" i="79"/>
  <c r="J850" i="79"/>
  <c r="J851" i="79"/>
  <c r="J852" i="79"/>
  <c r="J853" i="79"/>
  <c r="J854" i="79"/>
  <c r="J855" i="79"/>
  <c r="J856" i="79"/>
  <c r="J857" i="79"/>
  <c r="B666" i="55"/>
  <c r="A666" i="55" s="1"/>
  <c r="G666" i="55" a="1"/>
  <c r="G666" i="55" s="1"/>
  <c r="I666" i="55" a="1"/>
  <c r="I666" i="55" s="1"/>
  <c r="B670" i="55"/>
  <c r="A670" i="55" s="1"/>
  <c r="G670" i="55" a="1"/>
  <c r="G670" i="55" s="1"/>
  <c r="I670" i="55" a="1"/>
  <c r="I670" i="55" s="1"/>
  <c r="A716" i="55"/>
  <c r="B716" i="55"/>
  <c r="G716" i="55" a="1"/>
  <c r="G716" i="55" s="1"/>
  <c r="I716" i="55" a="1"/>
  <c r="I716" i="55" s="1"/>
  <c r="B532" i="55"/>
  <c r="A532" i="55" s="1"/>
  <c r="G532" i="55" a="1"/>
  <c r="G532" i="55" s="1"/>
  <c r="I532" i="55" a="1"/>
  <c r="I532" i="55" s="1"/>
  <c r="A305" i="55"/>
  <c r="B305" i="55"/>
  <c r="G305" i="55" a="1"/>
  <c r="G305" i="55" s="1"/>
  <c r="I305" i="55" a="1"/>
  <c r="I305" i="55" s="1"/>
  <c r="B346" i="55"/>
  <c r="A346" i="55" s="1"/>
  <c r="G346" i="55" a="1"/>
  <c r="G346" i="55" s="1"/>
  <c r="I346" i="55" a="1"/>
  <c r="I346" i="55" s="1"/>
  <c r="B364" i="55"/>
  <c r="A364" i="55" s="1"/>
  <c r="G364" i="55" a="1"/>
  <c r="G364" i="55" s="1"/>
  <c r="I364" i="55" a="1"/>
  <c r="I364" i="55" s="1"/>
  <c r="B361" i="55"/>
  <c r="A361" i="55" s="1"/>
  <c r="G361" i="55" a="1"/>
  <c r="G361" i="55" s="1"/>
  <c r="I361" i="55" a="1"/>
  <c r="I361" i="55" s="1"/>
  <c r="B365" i="55"/>
  <c r="A365" i="55" s="1"/>
  <c r="G365" i="55" a="1"/>
  <c r="G365" i="55" s="1"/>
  <c r="I365" i="55" a="1"/>
  <c r="I365" i="55" s="1"/>
  <c r="B315" i="55"/>
  <c r="A315" i="55" s="1"/>
  <c r="G315" i="55" a="1"/>
  <c r="G315" i="55" s="1"/>
  <c r="I315" i="55" a="1"/>
  <c r="I315" i="55" s="1"/>
  <c r="A380" i="55"/>
  <c r="B380" i="55"/>
  <c r="G380" i="55" a="1"/>
  <c r="G380" i="55" s="1"/>
  <c r="I380" i="55" a="1"/>
  <c r="I380" i="55" s="1"/>
  <c r="B331" i="55"/>
  <c r="A331" i="55" s="1"/>
  <c r="G331" i="55" a="1"/>
  <c r="G331" i="55" s="1"/>
  <c r="I331" i="55" a="1"/>
  <c r="I331" i="55" s="1"/>
  <c r="B783" i="55"/>
  <c r="A783" i="55" s="1"/>
  <c r="G783" i="55" a="1"/>
  <c r="G783" i="55" s="1"/>
  <c r="I783" i="55" a="1"/>
  <c r="I783" i="55" s="1"/>
  <c r="B784" i="55"/>
  <c r="A784" i="55" s="1"/>
  <c r="G784" i="55" a="1"/>
  <c r="G784" i="55" s="1"/>
  <c r="I784" i="55" a="1"/>
  <c r="I784" i="55" s="1"/>
  <c r="K783" i="55" l="1"/>
  <c r="K380" i="55"/>
  <c r="K365" i="55"/>
  <c r="K364" i="55"/>
  <c r="K305" i="55"/>
  <c r="K716" i="55"/>
  <c r="K666" i="55"/>
  <c r="K784" i="55"/>
  <c r="K331" i="55"/>
  <c r="K315" i="55"/>
  <c r="K361" i="55"/>
  <c r="K346" i="55"/>
  <c r="K532" i="55"/>
  <c r="K670" i="55"/>
  <c r="AB1431" i="34" l="1"/>
  <c r="K1431" i="34"/>
  <c r="C1431" i="34"/>
  <c r="B1431" i="34" s="1"/>
  <c r="AB1430" i="34"/>
  <c r="K1430" i="34"/>
  <c r="C1430" i="34"/>
  <c r="B1430" i="34" s="1"/>
  <c r="AB1429" i="34"/>
  <c r="K1429" i="34"/>
  <c r="C1429" i="34"/>
  <c r="B1429" i="34" s="1"/>
  <c r="AB1428" i="34"/>
  <c r="K1428" i="34"/>
  <c r="C1428" i="34"/>
  <c r="B1428" i="34" s="1"/>
  <c r="AB1427" i="34"/>
  <c r="K1427" i="34"/>
  <c r="C1427" i="34"/>
  <c r="B1427" i="34" s="1"/>
  <c r="AB1426" i="34"/>
  <c r="K1426" i="34"/>
  <c r="C1426" i="34"/>
  <c r="B1426" i="34" s="1"/>
  <c r="AB1425" i="34"/>
  <c r="K1425" i="34"/>
  <c r="C1425" i="34"/>
  <c r="B1425" i="34" s="1"/>
  <c r="AB1424" i="34"/>
  <c r="K1424" i="34"/>
  <c r="C1424" i="34"/>
  <c r="B1424" i="34" s="1"/>
  <c r="AB1423" i="34"/>
  <c r="K1423" i="34"/>
  <c r="C1423" i="34"/>
  <c r="B1423" i="34" s="1"/>
  <c r="AB1422" i="34"/>
  <c r="K1422" i="34"/>
  <c r="C1422" i="34"/>
  <c r="B1422" i="34" s="1"/>
  <c r="AB1421" i="34"/>
  <c r="K1421" i="34"/>
  <c r="C1421" i="34"/>
  <c r="B1421" i="34" s="1"/>
  <c r="AB1420" i="34"/>
  <c r="K1420" i="34"/>
  <c r="C1420" i="34"/>
  <c r="B1420" i="34" s="1"/>
  <c r="AB1419" i="34"/>
  <c r="K1419" i="34"/>
  <c r="C1419" i="34"/>
  <c r="B1419" i="34" s="1"/>
  <c r="AB1418" i="34"/>
  <c r="K1418" i="34"/>
  <c r="C1418" i="34"/>
  <c r="B1418" i="34" s="1"/>
  <c r="AB1417" i="34"/>
  <c r="K1417" i="34"/>
  <c r="C1417" i="34"/>
  <c r="B1417" i="34" s="1"/>
  <c r="AB1446" i="34"/>
  <c r="K1446" i="34"/>
  <c r="C1446" i="34"/>
  <c r="B1446" i="34" s="1"/>
  <c r="AB1445" i="34"/>
  <c r="K1445" i="34"/>
  <c r="C1445" i="34"/>
  <c r="B1445" i="34" s="1"/>
  <c r="AB1444" i="34"/>
  <c r="K1444" i="34"/>
  <c r="C1444" i="34"/>
  <c r="B1444" i="34" s="1"/>
  <c r="AB1443" i="34"/>
  <c r="K1443" i="34"/>
  <c r="C1443" i="34"/>
  <c r="B1443" i="34" s="1"/>
  <c r="AB1442" i="34"/>
  <c r="K1442" i="34"/>
  <c r="C1442" i="34"/>
  <c r="B1442" i="34" s="1"/>
  <c r="AB1441" i="34"/>
  <c r="K1441" i="34"/>
  <c r="C1441" i="34"/>
  <c r="B1441" i="34" s="1"/>
  <c r="AB1440" i="34"/>
  <c r="K1440" i="34"/>
  <c r="C1440" i="34"/>
  <c r="B1440" i="34" s="1"/>
  <c r="AB1439" i="34"/>
  <c r="K1439" i="34"/>
  <c r="C1439" i="34"/>
  <c r="B1439" i="34" s="1"/>
  <c r="AB1438" i="34"/>
  <c r="K1438" i="34"/>
  <c r="C1438" i="34"/>
  <c r="B1438" i="34" s="1"/>
  <c r="AB1437" i="34"/>
  <c r="K1437" i="34"/>
  <c r="C1437" i="34"/>
  <c r="B1437" i="34" s="1"/>
  <c r="AB1436" i="34"/>
  <c r="K1436" i="34"/>
  <c r="C1436" i="34"/>
  <c r="B1436" i="34" s="1"/>
  <c r="AB1435" i="34"/>
  <c r="K1435" i="34"/>
  <c r="C1435" i="34"/>
  <c r="B1435" i="34" s="1"/>
  <c r="AB1434" i="34"/>
  <c r="K1434" i="34"/>
  <c r="C1434" i="34"/>
  <c r="B1434" i="34" s="1"/>
  <c r="AB1433" i="34"/>
  <c r="K1433" i="34"/>
  <c r="C1433" i="34"/>
  <c r="B1433" i="34" s="1"/>
  <c r="AB1432" i="34"/>
  <c r="K1432" i="34"/>
  <c r="C1432" i="34"/>
  <c r="B1432" i="34" s="1"/>
  <c r="AB1461" i="34"/>
  <c r="K1461" i="34"/>
  <c r="C1461" i="34"/>
  <c r="B1461" i="34" s="1"/>
  <c r="AB1460" i="34"/>
  <c r="K1460" i="34"/>
  <c r="C1460" i="34"/>
  <c r="B1460" i="34" s="1"/>
  <c r="AB1459" i="34"/>
  <c r="K1459" i="34"/>
  <c r="C1459" i="34"/>
  <c r="B1459" i="34" s="1"/>
  <c r="AB1458" i="34"/>
  <c r="K1458" i="34"/>
  <c r="C1458" i="34"/>
  <c r="B1458" i="34" s="1"/>
  <c r="AB1457" i="34"/>
  <c r="K1457" i="34"/>
  <c r="C1457" i="34"/>
  <c r="B1457" i="34" s="1"/>
  <c r="AB1456" i="34"/>
  <c r="K1456" i="34"/>
  <c r="C1456" i="34"/>
  <c r="B1456" i="34" s="1"/>
  <c r="AB1455" i="34"/>
  <c r="K1455" i="34"/>
  <c r="C1455" i="34"/>
  <c r="B1455" i="34" s="1"/>
  <c r="AB1454" i="34"/>
  <c r="K1454" i="34"/>
  <c r="C1454" i="34"/>
  <c r="B1454" i="34" s="1"/>
  <c r="AB1453" i="34"/>
  <c r="K1453" i="34"/>
  <c r="C1453" i="34"/>
  <c r="B1453" i="34" s="1"/>
  <c r="AB1452" i="34"/>
  <c r="K1452" i="34"/>
  <c r="C1452" i="34"/>
  <c r="B1452" i="34" s="1"/>
  <c r="AB1451" i="34"/>
  <c r="K1451" i="34"/>
  <c r="C1451" i="34"/>
  <c r="B1451" i="34" s="1"/>
  <c r="AB1450" i="34"/>
  <c r="K1450" i="34"/>
  <c r="C1450" i="34"/>
  <c r="B1450" i="34" s="1"/>
  <c r="AB1449" i="34"/>
  <c r="K1449" i="34"/>
  <c r="C1449" i="34"/>
  <c r="B1449" i="34" s="1"/>
  <c r="AB1448" i="34"/>
  <c r="K1448" i="34"/>
  <c r="C1448" i="34"/>
  <c r="B1448" i="34" s="1"/>
  <c r="AB1447" i="34"/>
  <c r="K1447" i="34"/>
  <c r="C1447" i="34"/>
  <c r="B1447" i="34" s="1"/>
  <c r="P1453" i="34" l="1"/>
  <c r="Q1453" i="34"/>
  <c r="U1453" i="34"/>
  <c r="Z1453" i="34"/>
  <c r="O1453" i="34"/>
  <c r="W1453" i="34"/>
  <c r="A1453" i="34"/>
  <c r="P1457" i="34"/>
  <c r="Q1457" i="34"/>
  <c r="U1457" i="34"/>
  <c r="Z1457" i="34"/>
  <c r="O1457" i="34"/>
  <c r="W1457" i="34"/>
  <c r="A1457" i="34"/>
  <c r="O1448" i="34"/>
  <c r="W1448" i="34"/>
  <c r="P1448" i="34"/>
  <c r="Z1448" i="34"/>
  <c r="Q1448" i="34"/>
  <c r="U1448" i="34"/>
  <c r="A1448" i="34"/>
  <c r="O1452" i="34"/>
  <c r="W1452" i="34"/>
  <c r="P1452" i="34"/>
  <c r="Q1452" i="34"/>
  <c r="U1452" i="34"/>
  <c r="Z1452" i="34"/>
  <c r="A1452" i="34"/>
  <c r="Q1456" i="34"/>
  <c r="U1456" i="34"/>
  <c r="Z1456" i="34"/>
  <c r="O1456" i="34"/>
  <c r="W1456" i="34"/>
  <c r="P1456" i="34"/>
  <c r="A1456" i="34"/>
  <c r="Q1460" i="34"/>
  <c r="U1460" i="34"/>
  <c r="Z1460" i="34"/>
  <c r="O1460" i="34"/>
  <c r="W1460" i="34"/>
  <c r="P1460" i="34"/>
  <c r="A1460" i="34"/>
  <c r="Q1434" i="34"/>
  <c r="U1434" i="34"/>
  <c r="Z1434" i="34"/>
  <c r="O1434" i="34"/>
  <c r="W1434" i="34"/>
  <c r="P1434" i="34"/>
  <c r="A1434" i="34"/>
  <c r="Q1438" i="34"/>
  <c r="U1438" i="34"/>
  <c r="Z1438" i="34"/>
  <c r="O1438" i="34"/>
  <c r="W1438" i="34"/>
  <c r="P1438" i="34"/>
  <c r="A1438" i="34"/>
  <c r="Q1442" i="34"/>
  <c r="U1442" i="34"/>
  <c r="Z1442" i="34"/>
  <c r="O1442" i="34"/>
  <c r="W1442" i="34"/>
  <c r="P1442" i="34"/>
  <c r="A1442" i="34"/>
  <c r="Q1446" i="34"/>
  <c r="U1446" i="34"/>
  <c r="Z1446" i="34"/>
  <c r="O1446" i="34"/>
  <c r="P1446" i="34"/>
  <c r="W1446" i="34"/>
  <c r="A1446" i="34"/>
  <c r="O1420" i="34"/>
  <c r="W1420" i="34"/>
  <c r="P1420" i="34"/>
  <c r="Q1420" i="34"/>
  <c r="U1420" i="34"/>
  <c r="Z1420" i="34"/>
  <c r="A1420" i="34"/>
  <c r="O1424" i="34"/>
  <c r="W1424" i="34"/>
  <c r="P1424" i="34"/>
  <c r="Q1424" i="34"/>
  <c r="U1424" i="34"/>
  <c r="Z1424" i="34"/>
  <c r="A1424" i="34"/>
  <c r="O1428" i="34"/>
  <c r="W1428" i="34"/>
  <c r="P1428" i="34"/>
  <c r="Q1428" i="34"/>
  <c r="U1428" i="34"/>
  <c r="Z1428" i="34"/>
  <c r="A1428" i="34"/>
  <c r="Z1449" i="34"/>
  <c r="O1449" i="34"/>
  <c r="W1449" i="34"/>
  <c r="Q1449" i="34"/>
  <c r="U1449" i="34"/>
  <c r="P1449" i="34"/>
  <c r="A1449" i="34"/>
  <c r="P1447" i="34"/>
  <c r="Q1447" i="34"/>
  <c r="U1447" i="34"/>
  <c r="O1447" i="34"/>
  <c r="W1447" i="34"/>
  <c r="Z1447" i="34"/>
  <c r="A1447" i="34"/>
  <c r="P1451" i="34"/>
  <c r="Q1451" i="34"/>
  <c r="U1451" i="34"/>
  <c r="O1451" i="34"/>
  <c r="W1451" i="34"/>
  <c r="Z1451" i="34"/>
  <c r="A1451" i="34"/>
  <c r="Z1455" i="34"/>
  <c r="O1455" i="34"/>
  <c r="W1455" i="34"/>
  <c r="P1455" i="34"/>
  <c r="Q1455" i="34"/>
  <c r="U1455" i="34"/>
  <c r="A1455" i="34"/>
  <c r="Z1459" i="34"/>
  <c r="O1459" i="34"/>
  <c r="W1459" i="34"/>
  <c r="P1459" i="34"/>
  <c r="Q1459" i="34"/>
  <c r="U1459" i="34"/>
  <c r="A1459" i="34"/>
  <c r="Z1433" i="34"/>
  <c r="O1433" i="34"/>
  <c r="W1433" i="34"/>
  <c r="P1433" i="34"/>
  <c r="Q1433" i="34"/>
  <c r="U1433" i="34"/>
  <c r="A1433" i="34"/>
  <c r="Z1437" i="34"/>
  <c r="O1437" i="34"/>
  <c r="W1437" i="34"/>
  <c r="P1437" i="34"/>
  <c r="Q1437" i="34"/>
  <c r="U1437" i="34"/>
  <c r="A1437" i="34"/>
  <c r="Z1441" i="34"/>
  <c r="O1441" i="34"/>
  <c r="W1441" i="34"/>
  <c r="P1441" i="34"/>
  <c r="Q1441" i="34"/>
  <c r="U1441" i="34"/>
  <c r="A1441" i="34"/>
  <c r="Z1445" i="34"/>
  <c r="O1445" i="34"/>
  <c r="W1445" i="34"/>
  <c r="P1445" i="34"/>
  <c r="Q1445" i="34"/>
  <c r="U1445" i="34"/>
  <c r="A1445" i="34"/>
  <c r="P1419" i="34"/>
  <c r="Q1419" i="34"/>
  <c r="U1419" i="34"/>
  <c r="Z1419" i="34"/>
  <c r="O1419" i="34"/>
  <c r="W1419" i="34"/>
  <c r="A1419" i="34"/>
  <c r="P1423" i="34"/>
  <c r="Q1423" i="34"/>
  <c r="U1423" i="34"/>
  <c r="Z1423" i="34"/>
  <c r="O1423" i="34"/>
  <c r="W1423" i="34"/>
  <c r="A1423" i="34"/>
  <c r="P1427" i="34"/>
  <c r="Q1427" i="34"/>
  <c r="U1427" i="34"/>
  <c r="Z1427" i="34"/>
  <c r="O1427" i="34"/>
  <c r="W1427" i="34"/>
  <c r="A1427" i="34"/>
  <c r="P1431" i="34"/>
  <c r="Q1431" i="34"/>
  <c r="U1431" i="34"/>
  <c r="Z1431" i="34"/>
  <c r="O1431" i="34"/>
  <c r="W1431" i="34"/>
  <c r="A1431" i="34"/>
  <c r="Q1450" i="34"/>
  <c r="U1450" i="34"/>
  <c r="Z1450" i="34"/>
  <c r="P1450" i="34"/>
  <c r="O1450" i="34"/>
  <c r="W1450" i="34"/>
  <c r="A1450" i="34"/>
  <c r="O1454" i="34"/>
  <c r="W1454" i="34"/>
  <c r="P1454" i="34"/>
  <c r="Q1454" i="34"/>
  <c r="U1454" i="34"/>
  <c r="Z1454" i="34"/>
  <c r="A1454" i="34"/>
  <c r="O1458" i="34"/>
  <c r="W1458" i="34"/>
  <c r="P1458" i="34"/>
  <c r="Q1458" i="34"/>
  <c r="U1458" i="34"/>
  <c r="Z1458" i="34"/>
  <c r="A1458" i="34"/>
  <c r="O1432" i="34"/>
  <c r="W1432" i="34"/>
  <c r="P1432" i="34"/>
  <c r="Q1432" i="34"/>
  <c r="U1432" i="34"/>
  <c r="Z1432" i="34"/>
  <c r="A1432" i="34"/>
  <c r="O1436" i="34"/>
  <c r="W1436" i="34"/>
  <c r="P1436" i="34"/>
  <c r="Q1436" i="34"/>
  <c r="U1436" i="34"/>
  <c r="Z1436" i="34"/>
  <c r="A1436" i="34"/>
  <c r="O1440" i="34"/>
  <c r="W1440" i="34"/>
  <c r="P1440" i="34"/>
  <c r="Q1440" i="34"/>
  <c r="U1440" i="34"/>
  <c r="Z1440" i="34"/>
  <c r="A1440" i="34"/>
  <c r="O1444" i="34"/>
  <c r="W1444" i="34"/>
  <c r="P1444" i="34"/>
  <c r="Q1444" i="34"/>
  <c r="U1444" i="34"/>
  <c r="Z1444" i="34"/>
  <c r="A1444" i="34"/>
  <c r="Q1418" i="34"/>
  <c r="U1418" i="34"/>
  <c r="Z1418" i="34"/>
  <c r="O1418" i="34"/>
  <c r="W1418" i="34"/>
  <c r="P1418" i="34"/>
  <c r="A1418" i="34"/>
  <c r="Q1422" i="34"/>
  <c r="U1422" i="34"/>
  <c r="Z1422" i="34"/>
  <c r="O1422" i="34"/>
  <c r="W1422" i="34"/>
  <c r="P1422" i="34"/>
  <c r="A1422" i="34"/>
  <c r="Q1426" i="34"/>
  <c r="U1426" i="34"/>
  <c r="Z1426" i="34"/>
  <c r="O1426" i="34"/>
  <c r="W1426" i="34"/>
  <c r="P1426" i="34"/>
  <c r="A1426" i="34"/>
  <c r="Q1430" i="34"/>
  <c r="U1430" i="34"/>
  <c r="Z1430" i="34"/>
  <c r="O1430" i="34"/>
  <c r="W1430" i="34"/>
  <c r="P1430" i="34"/>
  <c r="A1430" i="34"/>
  <c r="P1461" i="34"/>
  <c r="Q1461" i="34"/>
  <c r="U1461" i="34"/>
  <c r="Z1461" i="34"/>
  <c r="O1461" i="34"/>
  <c r="W1461" i="34"/>
  <c r="A1461" i="34"/>
  <c r="P1435" i="34"/>
  <c r="Q1435" i="34"/>
  <c r="U1435" i="34"/>
  <c r="Z1435" i="34"/>
  <c r="O1435" i="34"/>
  <c r="W1435" i="34"/>
  <c r="A1435" i="34"/>
  <c r="P1439" i="34"/>
  <c r="Q1439" i="34"/>
  <c r="U1439" i="34"/>
  <c r="Z1439" i="34"/>
  <c r="O1439" i="34"/>
  <c r="W1439" i="34"/>
  <c r="A1439" i="34"/>
  <c r="P1443" i="34"/>
  <c r="Q1443" i="34"/>
  <c r="U1443" i="34"/>
  <c r="Z1443" i="34"/>
  <c r="O1443" i="34"/>
  <c r="W1443" i="34"/>
  <c r="A1443" i="34"/>
  <c r="Z1417" i="34"/>
  <c r="O1417" i="34"/>
  <c r="W1417" i="34"/>
  <c r="P1417" i="34"/>
  <c r="Q1417" i="34"/>
  <c r="U1417" i="34"/>
  <c r="A1417" i="34"/>
  <c r="Z1421" i="34"/>
  <c r="O1421" i="34"/>
  <c r="W1421" i="34"/>
  <c r="P1421" i="34"/>
  <c r="Q1421" i="34"/>
  <c r="U1421" i="34"/>
  <c r="A1421" i="34"/>
  <c r="Z1425" i="34"/>
  <c r="O1425" i="34"/>
  <c r="W1425" i="34"/>
  <c r="P1425" i="34"/>
  <c r="Q1425" i="34"/>
  <c r="U1425" i="34"/>
  <c r="A1425" i="34"/>
  <c r="Z1429" i="34"/>
  <c r="O1429" i="34"/>
  <c r="W1429" i="34"/>
  <c r="P1429" i="34"/>
  <c r="Q1429" i="34"/>
  <c r="U1429" i="34"/>
  <c r="A1429" i="34"/>
  <c r="AB1475" i="34"/>
  <c r="K1475" i="34"/>
  <c r="C1475" i="34"/>
  <c r="B1475" i="34" s="1"/>
  <c r="AB1474" i="34"/>
  <c r="K1474" i="34"/>
  <c r="C1474" i="34"/>
  <c r="B1474" i="34" s="1"/>
  <c r="AB1473" i="34"/>
  <c r="K1473" i="34"/>
  <c r="C1473" i="34"/>
  <c r="B1473" i="34" s="1"/>
  <c r="AB1472" i="34"/>
  <c r="K1472" i="34"/>
  <c r="C1472" i="34"/>
  <c r="B1472" i="34" s="1"/>
  <c r="AB1471" i="34"/>
  <c r="K1471" i="34"/>
  <c r="C1471" i="34"/>
  <c r="B1471" i="34" s="1"/>
  <c r="AB1470" i="34"/>
  <c r="K1470" i="34"/>
  <c r="C1470" i="34"/>
  <c r="B1470" i="34" s="1"/>
  <c r="AB1469" i="34"/>
  <c r="K1469" i="34"/>
  <c r="C1469" i="34"/>
  <c r="B1469" i="34" s="1"/>
  <c r="AB1468" i="34"/>
  <c r="K1468" i="34"/>
  <c r="C1468" i="34"/>
  <c r="B1468" i="34" s="1"/>
  <c r="AB1467" i="34"/>
  <c r="K1467" i="34"/>
  <c r="C1467" i="34"/>
  <c r="B1467" i="34" s="1"/>
  <c r="AB1466" i="34"/>
  <c r="K1466" i="34"/>
  <c r="C1466" i="34"/>
  <c r="B1466" i="34" s="1"/>
  <c r="AB1465" i="34"/>
  <c r="K1465" i="34"/>
  <c r="C1465" i="34"/>
  <c r="B1465" i="34" s="1"/>
  <c r="AB1464" i="34"/>
  <c r="K1464" i="34"/>
  <c r="C1464" i="34"/>
  <c r="B1464" i="34" s="1"/>
  <c r="AB1463" i="34"/>
  <c r="K1463" i="34"/>
  <c r="C1463" i="34"/>
  <c r="B1463" i="34" s="1"/>
  <c r="AB1462" i="34"/>
  <c r="K1462" i="34"/>
  <c r="C1462" i="34"/>
  <c r="B1462" i="34" s="1"/>
  <c r="AB1482" i="34"/>
  <c r="K1482" i="34"/>
  <c r="C1482" i="34"/>
  <c r="B1482" i="34" s="1"/>
  <c r="AB1481" i="34"/>
  <c r="K1481" i="34"/>
  <c r="C1481" i="34"/>
  <c r="B1481" i="34" s="1"/>
  <c r="AB1480" i="34"/>
  <c r="K1480" i="34"/>
  <c r="C1480" i="34"/>
  <c r="B1480" i="34" s="1"/>
  <c r="AB1479" i="34"/>
  <c r="K1479" i="34"/>
  <c r="C1479" i="34"/>
  <c r="B1479" i="34" s="1"/>
  <c r="AB1478" i="34"/>
  <c r="K1478" i="34"/>
  <c r="C1478" i="34"/>
  <c r="B1478" i="34" s="1"/>
  <c r="AB1477" i="34"/>
  <c r="K1477" i="34"/>
  <c r="C1477" i="34"/>
  <c r="B1477" i="34" s="1"/>
  <c r="AB1476" i="34"/>
  <c r="K1476" i="34"/>
  <c r="C1476" i="34"/>
  <c r="B1476" i="34" s="1"/>
  <c r="O1478" i="34" l="1"/>
  <c r="W1478" i="34"/>
  <c r="P1478" i="34"/>
  <c r="Q1478" i="34"/>
  <c r="U1478" i="34"/>
  <c r="Z1478" i="34"/>
  <c r="A1478" i="34"/>
  <c r="P1465" i="34"/>
  <c r="Q1465" i="34"/>
  <c r="U1465" i="34"/>
  <c r="Z1465" i="34"/>
  <c r="O1465" i="34"/>
  <c r="W1465" i="34"/>
  <c r="A1465" i="34"/>
  <c r="P1469" i="34"/>
  <c r="Q1469" i="34"/>
  <c r="U1469" i="34"/>
  <c r="Z1469" i="34"/>
  <c r="O1469" i="34"/>
  <c r="W1469" i="34"/>
  <c r="A1469" i="34"/>
  <c r="P1473" i="34"/>
  <c r="Q1473" i="34"/>
  <c r="U1473" i="34"/>
  <c r="Z1473" i="34"/>
  <c r="O1473" i="34"/>
  <c r="W1473" i="34"/>
  <c r="A1473" i="34"/>
  <c r="Z1479" i="34"/>
  <c r="O1479" i="34"/>
  <c r="W1479" i="34"/>
  <c r="P1479" i="34"/>
  <c r="Q1479" i="34"/>
  <c r="U1479" i="34"/>
  <c r="A1479" i="34"/>
  <c r="Q1464" i="34"/>
  <c r="U1464" i="34"/>
  <c r="Z1464" i="34"/>
  <c r="O1464" i="34"/>
  <c r="W1464" i="34"/>
  <c r="P1464" i="34"/>
  <c r="A1464" i="34"/>
  <c r="Q1468" i="34"/>
  <c r="U1468" i="34"/>
  <c r="Z1468" i="34"/>
  <c r="O1468" i="34"/>
  <c r="W1468" i="34"/>
  <c r="P1468" i="34"/>
  <c r="A1468" i="34"/>
  <c r="Q1472" i="34"/>
  <c r="U1472" i="34"/>
  <c r="Z1472" i="34"/>
  <c r="O1472" i="34"/>
  <c r="W1472" i="34"/>
  <c r="P1472" i="34"/>
  <c r="A1472" i="34"/>
  <c r="O1482" i="34"/>
  <c r="W1482" i="34"/>
  <c r="P1482" i="34"/>
  <c r="Q1482" i="34"/>
  <c r="U1482" i="34"/>
  <c r="Z1482" i="34"/>
  <c r="A1482" i="34"/>
  <c r="P1477" i="34"/>
  <c r="Q1477" i="34"/>
  <c r="U1477" i="34"/>
  <c r="Z1477" i="34"/>
  <c r="O1477" i="34"/>
  <c r="W1477" i="34"/>
  <c r="A1477" i="34"/>
  <c r="P1481" i="34"/>
  <c r="Q1481" i="34"/>
  <c r="U1481" i="34"/>
  <c r="Z1481" i="34"/>
  <c r="O1481" i="34"/>
  <c r="W1481" i="34"/>
  <c r="A1481" i="34"/>
  <c r="Q1476" i="34"/>
  <c r="U1476" i="34"/>
  <c r="Z1476" i="34"/>
  <c r="O1476" i="34"/>
  <c r="W1476" i="34"/>
  <c r="P1476" i="34"/>
  <c r="A1476" i="34"/>
  <c r="Q1480" i="34"/>
  <c r="U1480" i="34"/>
  <c r="Z1480" i="34"/>
  <c r="O1480" i="34"/>
  <c r="W1480" i="34"/>
  <c r="P1480" i="34"/>
  <c r="A1480" i="34"/>
  <c r="Z1463" i="34"/>
  <c r="O1463" i="34"/>
  <c r="W1463" i="34"/>
  <c r="P1463" i="34"/>
  <c r="Q1463" i="34"/>
  <c r="U1463" i="34"/>
  <c r="A1463" i="34"/>
  <c r="Z1467" i="34"/>
  <c r="O1467" i="34"/>
  <c r="W1467" i="34"/>
  <c r="P1467" i="34"/>
  <c r="Q1467" i="34"/>
  <c r="U1467" i="34"/>
  <c r="A1467" i="34"/>
  <c r="Z1471" i="34"/>
  <c r="O1471" i="34"/>
  <c r="W1471" i="34"/>
  <c r="P1471" i="34"/>
  <c r="Q1471" i="34"/>
  <c r="U1471" i="34"/>
  <c r="A1471" i="34"/>
  <c r="Z1475" i="34"/>
  <c r="O1475" i="34"/>
  <c r="W1475" i="34"/>
  <c r="P1475" i="34"/>
  <c r="Q1475" i="34"/>
  <c r="U1475" i="34"/>
  <c r="A1475" i="34"/>
  <c r="O1462" i="34"/>
  <c r="W1462" i="34"/>
  <c r="P1462" i="34"/>
  <c r="Q1462" i="34"/>
  <c r="U1462" i="34"/>
  <c r="Z1462" i="34"/>
  <c r="A1462" i="34"/>
  <c r="O1466" i="34"/>
  <c r="W1466" i="34"/>
  <c r="P1466" i="34"/>
  <c r="Q1466" i="34"/>
  <c r="U1466" i="34"/>
  <c r="Z1466" i="34"/>
  <c r="A1466" i="34"/>
  <c r="O1470" i="34"/>
  <c r="W1470" i="34"/>
  <c r="P1470" i="34"/>
  <c r="Q1470" i="34"/>
  <c r="U1470" i="34"/>
  <c r="Z1470" i="34"/>
  <c r="A1470" i="34"/>
  <c r="O1474" i="34"/>
  <c r="W1474" i="34"/>
  <c r="P1474" i="34"/>
  <c r="Q1474" i="34"/>
  <c r="U1474" i="34"/>
  <c r="Z1474" i="34"/>
  <c r="A1474" i="34"/>
  <c r="C1492" i="34"/>
  <c r="B1492" i="34" s="1"/>
  <c r="AB1491" i="34"/>
  <c r="K1491" i="34"/>
  <c r="C1491" i="34"/>
  <c r="B1491" i="34" s="1"/>
  <c r="K1484" i="34"/>
  <c r="K1485" i="34"/>
  <c r="K1486" i="34"/>
  <c r="K1487" i="34"/>
  <c r="K1488" i="34"/>
  <c r="K1489" i="34"/>
  <c r="K1483" i="34"/>
  <c r="AB1489" i="34"/>
  <c r="C1489" i="34"/>
  <c r="B1489" i="34" s="1"/>
  <c r="AB1488" i="34"/>
  <c r="C1488" i="34"/>
  <c r="B1488" i="34" s="1"/>
  <c r="AB1487" i="34"/>
  <c r="C1487" i="34"/>
  <c r="B1487" i="34" s="1"/>
  <c r="AB1486" i="34"/>
  <c r="C1486" i="34"/>
  <c r="B1486" i="34" s="1"/>
  <c r="AB1485" i="34"/>
  <c r="C1485" i="34"/>
  <c r="B1485" i="34" s="1"/>
  <c r="AB1484" i="34"/>
  <c r="C1484" i="34"/>
  <c r="B1484" i="34" s="1"/>
  <c r="AB1483" i="34"/>
  <c r="C1483" i="34"/>
  <c r="B1483" i="34" s="1"/>
  <c r="C2580" i="34"/>
  <c r="B2580" i="34" s="1"/>
  <c r="AB2579" i="34"/>
  <c r="K2579" i="34"/>
  <c r="C2579" i="34"/>
  <c r="B2579" i="34" s="1"/>
  <c r="Z1487" i="34" l="1"/>
  <c r="O1487" i="34"/>
  <c r="W1487" i="34"/>
  <c r="P1487" i="34"/>
  <c r="Q1487" i="34"/>
  <c r="U1487" i="34"/>
  <c r="A1487" i="34"/>
  <c r="P1489" i="34"/>
  <c r="Q1489" i="34"/>
  <c r="U1489" i="34"/>
  <c r="Z1489" i="34"/>
  <c r="O1489" i="34"/>
  <c r="W1489" i="34"/>
  <c r="A1489" i="34"/>
  <c r="Q1492" i="34"/>
  <c r="U1492" i="34"/>
  <c r="Z1492" i="34"/>
  <c r="O1492" i="34"/>
  <c r="W1492" i="34"/>
  <c r="P1492" i="34"/>
  <c r="A1492" i="34"/>
  <c r="Z1483" i="34"/>
  <c r="O1483" i="34"/>
  <c r="W1483" i="34"/>
  <c r="P1483" i="34"/>
  <c r="Q1483" i="34"/>
  <c r="U1483" i="34"/>
  <c r="A1483" i="34"/>
  <c r="P1485" i="34"/>
  <c r="Q1485" i="34"/>
  <c r="U1485" i="34"/>
  <c r="Z1485" i="34"/>
  <c r="O1485" i="34"/>
  <c r="W1485" i="34"/>
  <c r="A1485" i="34"/>
  <c r="Z1491" i="34"/>
  <c r="O1491" i="34"/>
  <c r="W1491" i="34"/>
  <c r="P1491" i="34"/>
  <c r="Q1491" i="34"/>
  <c r="U1491" i="34"/>
  <c r="A1491" i="34"/>
  <c r="Z2580" i="34"/>
  <c r="O2580" i="34"/>
  <c r="W2580" i="34"/>
  <c r="P2580" i="34"/>
  <c r="Q2580" i="34"/>
  <c r="U2580" i="34"/>
  <c r="A2580" i="34"/>
  <c r="Q1484" i="34"/>
  <c r="U1484" i="34"/>
  <c r="Z1484" i="34"/>
  <c r="O1484" i="34"/>
  <c r="W1484" i="34"/>
  <c r="P1484" i="34"/>
  <c r="A1484" i="34"/>
  <c r="O1486" i="34"/>
  <c r="W1486" i="34"/>
  <c r="P1486" i="34"/>
  <c r="Q1486" i="34"/>
  <c r="U1486" i="34"/>
  <c r="Z1486" i="34"/>
  <c r="A1486" i="34"/>
  <c r="O2579" i="34"/>
  <c r="W2579" i="34"/>
  <c r="P2579" i="34"/>
  <c r="Q2579" i="34"/>
  <c r="U2579" i="34"/>
  <c r="Z2579" i="34"/>
  <c r="A2579" i="34"/>
  <c r="Q1488" i="34"/>
  <c r="U1488" i="34"/>
  <c r="Z1488" i="34"/>
  <c r="O1488" i="34"/>
  <c r="W1488" i="34"/>
  <c r="P1488" i="34"/>
  <c r="A1488" i="34"/>
  <c r="K432" i="34"/>
  <c r="K431" i="34"/>
  <c r="K430" i="34"/>
  <c r="K429" i="34"/>
  <c r="K428" i="34"/>
  <c r="K427" i="34"/>
  <c r="K426" i="34"/>
  <c r="K425" i="34"/>
  <c r="K420" i="34"/>
  <c r="K419" i="34"/>
  <c r="K418" i="34"/>
  <c r="K417" i="34"/>
  <c r="C432" i="34"/>
  <c r="B432" i="34" s="1"/>
  <c r="C431" i="34"/>
  <c r="B431" i="34" s="1"/>
  <c r="C430" i="34"/>
  <c r="B430" i="34" s="1"/>
  <c r="C429" i="34"/>
  <c r="B429" i="34" s="1"/>
  <c r="C428" i="34"/>
  <c r="B428" i="34" s="1"/>
  <c r="C427" i="34"/>
  <c r="B427" i="34" s="1"/>
  <c r="C426" i="34"/>
  <c r="B426" i="34" s="1"/>
  <c r="C425" i="34"/>
  <c r="B425" i="34" s="1"/>
  <c r="C420" i="34"/>
  <c r="B420" i="34" s="1"/>
  <c r="C419" i="34"/>
  <c r="B419" i="34" s="1"/>
  <c r="C418" i="34"/>
  <c r="B418" i="34" s="1"/>
  <c r="C417" i="34"/>
  <c r="B417" i="34" s="1"/>
  <c r="K476" i="34"/>
  <c r="K475" i="34"/>
  <c r="K474" i="34"/>
  <c r="K473" i="34"/>
  <c r="K472" i="34"/>
  <c r="K471" i="34"/>
  <c r="C476" i="34"/>
  <c r="B476" i="34" s="1"/>
  <c r="C475" i="34"/>
  <c r="B475" i="34" s="1"/>
  <c r="C474" i="34"/>
  <c r="B474" i="34" s="1"/>
  <c r="C473" i="34"/>
  <c r="B473" i="34" s="1"/>
  <c r="C472" i="34"/>
  <c r="B472" i="34" s="1"/>
  <c r="C471" i="34"/>
  <c r="B471" i="34" s="1"/>
  <c r="Z417" i="34" l="1"/>
  <c r="O417" i="34"/>
  <c r="W417" i="34"/>
  <c r="P417" i="34"/>
  <c r="Q417" i="34"/>
  <c r="U417" i="34"/>
  <c r="A417" i="34"/>
  <c r="Q472" i="34"/>
  <c r="U472" i="34"/>
  <c r="Z472" i="34"/>
  <c r="O472" i="34"/>
  <c r="W472" i="34"/>
  <c r="P472" i="34"/>
  <c r="A472" i="34"/>
  <c r="Q476" i="34"/>
  <c r="U476" i="34"/>
  <c r="Z476" i="34"/>
  <c r="O476" i="34"/>
  <c r="W476" i="34"/>
  <c r="P476" i="34"/>
  <c r="A476" i="34"/>
  <c r="Q418" i="34"/>
  <c r="U418" i="34"/>
  <c r="Z418" i="34"/>
  <c r="O418" i="34"/>
  <c r="W418" i="34"/>
  <c r="P418" i="34"/>
  <c r="A418" i="34"/>
  <c r="Q426" i="34"/>
  <c r="U426" i="34"/>
  <c r="Z426" i="34"/>
  <c r="O426" i="34"/>
  <c r="W426" i="34"/>
  <c r="P426" i="34"/>
  <c r="A426" i="34"/>
  <c r="Q430" i="34"/>
  <c r="U430" i="34"/>
  <c r="Z430" i="34"/>
  <c r="O430" i="34"/>
  <c r="W430" i="34"/>
  <c r="P430" i="34"/>
  <c r="A430" i="34"/>
  <c r="Z425" i="34"/>
  <c r="O425" i="34"/>
  <c r="W425" i="34"/>
  <c r="P425" i="34"/>
  <c r="Q425" i="34"/>
  <c r="U425" i="34"/>
  <c r="A425" i="34"/>
  <c r="Z429" i="34"/>
  <c r="O429" i="34"/>
  <c r="W429" i="34"/>
  <c r="P429" i="34"/>
  <c r="Q429" i="34"/>
  <c r="U429" i="34"/>
  <c r="A429" i="34"/>
  <c r="P473" i="34"/>
  <c r="Q473" i="34"/>
  <c r="U473" i="34"/>
  <c r="Z473" i="34"/>
  <c r="O473" i="34"/>
  <c r="W473" i="34"/>
  <c r="A473" i="34"/>
  <c r="P419" i="34"/>
  <c r="Q419" i="34"/>
  <c r="U419" i="34"/>
  <c r="Z419" i="34"/>
  <c r="O419" i="34"/>
  <c r="W419" i="34"/>
  <c r="A419" i="34"/>
  <c r="P427" i="34"/>
  <c r="Q427" i="34"/>
  <c r="U427" i="34"/>
  <c r="Z427" i="34"/>
  <c r="O427" i="34"/>
  <c r="W427" i="34"/>
  <c r="A427" i="34"/>
  <c r="P431" i="34"/>
  <c r="Q431" i="34"/>
  <c r="U431" i="34"/>
  <c r="Z431" i="34"/>
  <c r="O431" i="34"/>
  <c r="W431" i="34"/>
  <c r="A431" i="34"/>
  <c r="Z475" i="34"/>
  <c r="O475" i="34"/>
  <c r="W475" i="34"/>
  <c r="P475" i="34"/>
  <c r="Q475" i="34"/>
  <c r="U475" i="34"/>
  <c r="A475" i="34"/>
  <c r="O474" i="34"/>
  <c r="W474" i="34"/>
  <c r="P474" i="34"/>
  <c r="Q474" i="34"/>
  <c r="U474" i="34"/>
  <c r="Z474" i="34"/>
  <c r="A474" i="34"/>
  <c r="O420" i="34"/>
  <c r="W420" i="34"/>
  <c r="P420" i="34"/>
  <c r="Q420" i="34"/>
  <c r="U420" i="34"/>
  <c r="Z420" i="34"/>
  <c r="A420" i="34"/>
  <c r="O428" i="34"/>
  <c r="W428" i="34"/>
  <c r="P428" i="34"/>
  <c r="Q428" i="34"/>
  <c r="U428" i="34"/>
  <c r="Z428" i="34"/>
  <c r="A428" i="34"/>
  <c r="O432" i="34"/>
  <c r="W432" i="34"/>
  <c r="P432" i="34"/>
  <c r="Q432" i="34"/>
  <c r="U432" i="34"/>
  <c r="Z432" i="34"/>
  <c r="A432" i="34"/>
  <c r="Z471" i="34"/>
  <c r="O471" i="34"/>
  <c r="W471" i="34"/>
  <c r="P471" i="34"/>
  <c r="Q471" i="34"/>
  <c r="U471" i="34"/>
  <c r="A471" i="34"/>
  <c r="K1408" i="34"/>
  <c r="K1409" i="34"/>
  <c r="K1410" i="34"/>
  <c r="K1411" i="34"/>
  <c r="K1412" i="34"/>
  <c r="K1413" i="34"/>
  <c r="K1414" i="34"/>
  <c r="K1415" i="34"/>
  <c r="K1407" i="34"/>
  <c r="AB1409" i="34"/>
  <c r="C1409" i="34"/>
  <c r="B1409" i="34" s="1"/>
  <c r="AB1408" i="34"/>
  <c r="C1408" i="34"/>
  <c r="B1408" i="34" s="1"/>
  <c r="AB1407" i="34"/>
  <c r="C1407" i="34"/>
  <c r="B1407" i="34" s="1"/>
  <c r="AB1412" i="34"/>
  <c r="C1412" i="34"/>
  <c r="B1412" i="34" s="1"/>
  <c r="AB1411" i="34"/>
  <c r="C1411" i="34"/>
  <c r="B1411" i="34" s="1"/>
  <c r="AB1410" i="34"/>
  <c r="C1410" i="34"/>
  <c r="B1410" i="34" s="1"/>
  <c r="AB1413" i="34"/>
  <c r="C1413" i="34"/>
  <c r="B1413" i="34" s="1"/>
  <c r="AB1414" i="34"/>
  <c r="C1414" i="34"/>
  <c r="B1414" i="34" s="1"/>
  <c r="K1396" i="34"/>
  <c r="K1397" i="34"/>
  <c r="K1398" i="34"/>
  <c r="K1399" i="34"/>
  <c r="K1400" i="34"/>
  <c r="K1401" i="34"/>
  <c r="K1402" i="34"/>
  <c r="K1403" i="34"/>
  <c r="K1404" i="34"/>
  <c r="K1405" i="34"/>
  <c r="K1395" i="34"/>
  <c r="AB1402" i="34"/>
  <c r="C1402" i="34"/>
  <c r="B1402" i="34" s="1"/>
  <c r="AB1401" i="34"/>
  <c r="C1401" i="34"/>
  <c r="B1401" i="34" s="1"/>
  <c r="AB1400" i="34"/>
  <c r="C1400" i="34"/>
  <c r="B1400" i="34" s="1"/>
  <c r="AB1399" i="34"/>
  <c r="C1399" i="34"/>
  <c r="B1399" i="34" s="1"/>
  <c r="AB1398" i="34"/>
  <c r="C1398" i="34"/>
  <c r="B1398" i="34" s="1"/>
  <c r="AB1397" i="34"/>
  <c r="C1397" i="34"/>
  <c r="B1397" i="34" s="1"/>
  <c r="AB1396" i="34"/>
  <c r="C1396" i="34"/>
  <c r="B1396" i="34" s="1"/>
  <c r="AB1395" i="34"/>
  <c r="C1395" i="34"/>
  <c r="B1395" i="34" s="1"/>
  <c r="AB1405" i="34"/>
  <c r="C1405" i="34"/>
  <c r="B1405" i="34" s="1"/>
  <c r="AB1404" i="34"/>
  <c r="C1404" i="34"/>
  <c r="B1404" i="34" s="1"/>
  <c r="AB1403" i="34"/>
  <c r="C1403" i="34"/>
  <c r="B1403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O789" i="79"/>
  <c r="O752" i="79"/>
  <c r="O751" i="79"/>
  <c r="O750" i="79"/>
  <c r="O748" i="79"/>
  <c r="O744" i="79"/>
  <c r="O743" i="79"/>
  <c r="O742" i="79"/>
  <c r="O716" i="79"/>
  <c r="O662" i="79"/>
  <c r="O575" i="79"/>
  <c r="O574" i="79"/>
  <c r="O572" i="79"/>
  <c r="O571" i="79"/>
  <c r="O568" i="79"/>
  <c r="D193" i="60"/>
  <c r="N157" i="60"/>
  <c r="N158" i="60"/>
  <c r="N159" i="60"/>
  <c r="N160" i="60"/>
  <c r="N161" i="60"/>
  <c r="N162" i="60"/>
  <c r="K3316" i="34"/>
  <c r="C3316" i="34"/>
  <c r="B3316" i="34" s="1"/>
  <c r="K3315" i="34"/>
  <c r="C3315" i="34"/>
  <c r="B3315" i="34" s="1"/>
  <c r="K3314" i="34"/>
  <c r="C3314" i="34"/>
  <c r="B3314" i="34" s="1"/>
  <c r="K3313" i="34"/>
  <c r="C3313" i="34"/>
  <c r="B3313" i="34" s="1"/>
  <c r="K3312" i="34"/>
  <c r="C3312" i="34"/>
  <c r="B3312" i="34" s="1"/>
  <c r="K3311" i="34"/>
  <c r="C3311" i="34"/>
  <c r="B3311" i="34" s="1"/>
  <c r="K3310" i="34"/>
  <c r="C3310" i="34"/>
  <c r="B3310" i="34" s="1"/>
  <c r="K3309" i="34"/>
  <c r="C3309" i="34"/>
  <c r="B3309" i="34" s="1"/>
  <c r="K3308" i="34"/>
  <c r="C3308" i="34"/>
  <c r="B3308" i="34" s="1"/>
  <c r="K3307" i="34"/>
  <c r="C3307" i="34"/>
  <c r="B3307" i="34" s="1"/>
  <c r="K3306" i="34"/>
  <c r="C3306" i="34"/>
  <c r="B3306" i="34" s="1"/>
  <c r="K3305" i="34"/>
  <c r="C3305" i="34"/>
  <c r="B3305" i="34" s="1"/>
  <c r="K3304" i="34"/>
  <c r="C3304" i="34"/>
  <c r="B3304" i="34" s="1"/>
  <c r="K3303" i="34"/>
  <c r="C3303" i="34"/>
  <c r="B3303" i="34" s="1"/>
  <c r="K3302" i="34"/>
  <c r="C3302" i="34"/>
  <c r="B3302" i="34" s="1"/>
  <c r="K3301" i="34"/>
  <c r="C3301" i="34"/>
  <c r="B3301" i="34" s="1"/>
  <c r="K3300" i="34"/>
  <c r="C3300" i="34"/>
  <c r="B3300" i="34" s="1"/>
  <c r="K3299" i="34"/>
  <c r="C3299" i="34"/>
  <c r="B3299" i="34" s="1"/>
  <c r="K3298" i="34"/>
  <c r="C3298" i="34"/>
  <c r="B3298" i="34" s="1"/>
  <c r="K3297" i="34"/>
  <c r="C3297" i="34"/>
  <c r="B3297" i="34" s="1"/>
  <c r="K3296" i="34"/>
  <c r="C3296" i="34"/>
  <c r="B3296" i="34" s="1"/>
  <c r="K3295" i="34"/>
  <c r="C3295" i="34"/>
  <c r="B3295" i="34" s="1"/>
  <c r="K3294" i="34"/>
  <c r="C3294" i="34"/>
  <c r="B3294" i="34" s="1"/>
  <c r="K3293" i="34"/>
  <c r="C3293" i="34"/>
  <c r="B3293" i="34" s="1"/>
  <c r="K3292" i="34"/>
  <c r="C3292" i="34"/>
  <c r="B3292" i="34" s="1"/>
  <c r="K3291" i="34"/>
  <c r="C3291" i="34"/>
  <c r="B3291" i="34" s="1"/>
  <c r="K3290" i="34"/>
  <c r="C3290" i="34"/>
  <c r="B3290" i="34" s="1"/>
  <c r="K3289" i="34"/>
  <c r="C3289" i="34"/>
  <c r="B3289" i="34" s="1"/>
  <c r="K3288" i="34"/>
  <c r="C3288" i="34"/>
  <c r="B3288" i="34" s="1"/>
  <c r="K3287" i="34"/>
  <c r="C3287" i="34"/>
  <c r="B3287" i="34" s="1"/>
  <c r="K3286" i="34"/>
  <c r="C3286" i="34"/>
  <c r="B3286" i="34" s="1"/>
  <c r="K3285" i="34"/>
  <c r="C3285" i="34"/>
  <c r="B3285" i="34" s="1"/>
  <c r="K3284" i="34"/>
  <c r="C3284" i="34"/>
  <c r="B3284" i="34" s="1"/>
  <c r="K3283" i="34"/>
  <c r="C3283" i="34"/>
  <c r="B3283" i="34" s="1"/>
  <c r="K3282" i="34"/>
  <c r="C3282" i="34"/>
  <c r="B3282" i="34" s="1"/>
  <c r="K3281" i="34"/>
  <c r="C3281" i="34"/>
  <c r="B3281" i="34" s="1"/>
  <c r="K3280" i="34"/>
  <c r="C3280" i="34"/>
  <c r="B3280" i="34" s="1"/>
  <c r="K3279" i="34"/>
  <c r="C3279" i="34"/>
  <c r="B3279" i="34" s="1"/>
  <c r="K3278" i="34"/>
  <c r="C3278" i="34"/>
  <c r="B3278" i="34" s="1"/>
  <c r="K3277" i="34"/>
  <c r="C3277" i="34"/>
  <c r="B3277" i="34" s="1"/>
  <c r="K3276" i="34"/>
  <c r="C3276" i="34"/>
  <c r="B3276" i="34" s="1"/>
  <c r="K3275" i="34"/>
  <c r="C3275" i="34"/>
  <c r="B3275" i="34" s="1"/>
  <c r="K3274" i="34"/>
  <c r="C3274" i="34"/>
  <c r="B3274" i="34" s="1"/>
  <c r="K3273" i="34"/>
  <c r="C3273" i="34"/>
  <c r="B3273" i="34" s="1"/>
  <c r="K3360" i="34"/>
  <c r="C3360" i="34"/>
  <c r="B3360" i="34" s="1"/>
  <c r="K3359" i="34"/>
  <c r="C3359" i="34"/>
  <c r="B3359" i="34" s="1"/>
  <c r="K3358" i="34"/>
  <c r="C3358" i="34"/>
  <c r="B3358" i="34" s="1"/>
  <c r="K3357" i="34"/>
  <c r="C3357" i="34"/>
  <c r="B3357" i="34" s="1"/>
  <c r="K3356" i="34"/>
  <c r="C3356" i="34"/>
  <c r="B3356" i="34" s="1"/>
  <c r="K3355" i="34"/>
  <c r="C3355" i="34"/>
  <c r="B3355" i="34" s="1"/>
  <c r="K3354" i="34"/>
  <c r="C3354" i="34"/>
  <c r="B3354" i="34" s="1"/>
  <c r="K3353" i="34"/>
  <c r="C3353" i="34"/>
  <c r="B3353" i="34" s="1"/>
  <c r="K3352" i="34"/>
  <c r="C3352" i="34"/>
  <c r="B3352" i="34" s="1"/>
  <c r="K3351" i="34"/>
  <c r="C3351" i="34"/>
  <c r="B3351" i="34" s="1"/>
  <c r="K3350" i="34"/>
  <c r="C3350" i="34"/>
  <c r="B3350" i="34" s="1"/>
  <c r="K3349" i="34"/>
  <c r="C3349" i="34"/>
  <c r="B3349" i="34" s="1"/>
  <c r="K3348" i="34"/>
  <c r="C3348" i="34"/>
  <c r="B3348" i="34" s="1"/>
  <c r="K3347" i="34"/>
  <c r="C3347" i="34"/>
  <c r="B3347" i="34" s="1"/>
  <c r="K3346" i="34"/>
  <c r="C3346" i="34"/>
  <c r="B3346" i="34" s="1"/>
  <c r="K3345" i="34"/>
  <c r="C3345" i="34"/>
  <c r="B3345" i="34" s="1"/>
  <c r="K3344" i="34"/>
  <c r="C3344" i="34"/>
  <c r="B3344" i="34" s="1"/>
  <c r="K3343" i="34"/>
  <c r="C3343" i="34"/>
  <c r="B3343" i="34" s="1"/>
  <c r="K3342" i="34"/>
  <c r="C3342" i="34"/>
  <c r="B3342" i="34" s="1"/>
  <c r="K3341" i="34"/>
  <c r="C3341" i="34"/>
  <c r="B3341" i="34" s="1"/>
  <c r="K3340" i="34"/>
  <c r="C3340" i="34"/>
  <c r="B3340" i="34" s="1"/>
  <c r="K3339" i="34"/>
  <c r="C3339" i="34"/>
  <c r="B3339" i="34" s="1"/>
  <c r="K3338" i="34"/>
  <c r="C3338" i="34"/>
  <c r="B3338" i="34" s="1"/>
  <c r="K3337" i="34"/>
  <c r="C3337" i="34"/>
  <c r="B3337" i="34" s="1"/>
  <c r="K3336" i="34"/>
  <c r="C3336" i="34"/>
  <c r="B3336" i="34" s="1"/>
  <c r="K3335" i="34"/>
  <c r="C3335" i="34"/>
  <c r="B3335" i="34" s="1"/>
  <c r="K3334" i="34"/>
  <c r="C3334" i="34"/>
  <c r="B3334" i="34" s="1"/>
  <c r="K3333" i="34"/>
  <c r="C3333" i="34"/>
  <c r="B3333" i="34" s="1"/>
  <c r="K3332" i="34"/>
  <c r="C3332" i="34"/>
  <c r="B3332" i="34" s="1"/>
  <c r="K3331" i="34"/>
  <c r="C3331" i="34"/>
  <c r="B3331" i="34" s="1"/>
  <c r="K3330" i="34"/>
  <c r="C3330" i="34"/>
  <c r="B3330" i="34" s="1"/>
  <c r="K3329" i="34"/>
  <c r="C3329" i="34"/>
  <c r="B3329" i="34" s="1"/>
  <c r="K3328" i="34"/>
  <c r="C3328" i="34"/>
  <c r="B3328" i="34" s="1"/>
  <c r="K3327" i="34"/>
  <c r="C3327" i="34"/>
  <c r="B3327" i="34" s="1"/>
  <c r="K3326" i="34"/>
  <c r="C3326" i="34"/>
  <c r="B3326" i="34" s="1"/>
  <c r="K3325" i="34"/>
  <c r="C3325" i="34"/>
  <c r="B3325" i="34" s="1"/>
  <c r="K3324" i="34"/>
  <c r="C3324" i="34"/>
  <c r="B3324" i="34" s="1"/>
  <c r="K3323" i="34"/>
  <c r="C3323" i="34"/>
  <c r="B3323" i="34" s="1"/>
  <c r="K3322" i="34"/>
  <c r="C3322" i="34"/>
  <c r="B3322" i="34" s="1"/>
  <c r="K3321" i="34"/>
  <c r="C3321" i="34"/>
  <c r="B3321" i="34" s="1"/>
  <c r="K3320" i="34"/>
  <c r="C3320" i="34"/>
  <c r="B3320" i="34" s="1"/>
  <c r="K3319" i="34"/>
  <c r="C3319" i="34"/>
  <c r="B3319" i="34" s="1"/>
  <c r="K3318" i="34"/>
  <c r="C3318" i="34"/>
  <c r="B3318" i="34" s="1"/>
  <c r="K3317" i="34"/>
  <c r="C3317" i="34"/>
  <c r="B3317" i="34" s="1"/>
  <c r="J778" i="79"/>
  <c r="J777" i="79"/>
  <c r="J776" i="79"/>
  <c r="J775" i="79"/>
  <c r="J774" i="79"/>
  <c r="J773" i="79"/>
  <c r="J772" i="79"/>
  <c r="J771" i="79"/>
  <c r="J770" i="79"/>
  <c r="J769" i="79"/>
  <c r="J768" i="79"/>
  <c r="J767" i="79"/>
  <c r="J766" i="79"/>
  <c r="J765" i="79"/>
  <c r="J764" i="79"/>
  <c r="J763" i="79"/>
  <c r="J762" i="79"/>
  <c r="J761" i="79"/>
  <c r="J760" i="79"/>
  <c r="J759" i="79"/>
  <c r="J758" i="79"/>
  <c r="J757" i="79"/>
  <c r="J756" i="79"/>
  <c r="J755" i="79"/>
  <c r="J754" i="79"/>
  <c r="J753" i="79"/>
  <c r="J752" i="79"/>
  <c r="J751" i="79"/>
  <c r="J750" i="79"/>
  <c r="J749" i="79"/>
  <c r="J748" i="79"/>
  <c r="J747" i="79"/>
  <c r="J746" i="79"/>
  <c r="J745" i="79"/>
  <c r="J744" i="79"/>
  <c r="J743" i="79"/>
  <c r="J741" i="79"/>
  <c r="J740" i="79"/>
  <c r="J739" i="79"/>
  <c r="J738" i="79"/>
  <c r="J737" i="79"/>
  <c r="J736" i="79"/>
  <c r="J735" i="79"/>
  <c r="J734" i="79"/>
  <c r="J733" i="79"/>
  <c r="J732" i="79"/>
  <c r="J731" i="79"/>
  <c r="J730" i="79"/>
  <c r="J729" i="79"/>
  <c r="J728" i="79"/>
  <c r="J727" i="79"/>
  <c r="J726" i="79"/>
  <c r="J725" i="79"/>
  <c r="J724" i="79"/>
  <c r="J723" i="79"/>
  <c r="J722" i="79"/>
  <c r="J721" i="79"/>
  <c r="J720" i="79"/>
  <c r="J719" i="79"/>
  <c r="J718" i="79"/>
  <c r="J717" i="79"/>
  <c r="J715" i="79"/>
  <c r="J714" i="79"/>
  <c r="Q3322" i="34" l="1"/>
  <c r="U3322" i="34"/>
  <c r="Z3322" i="34"/>
  <c r="O3322" i="34"/>
  <c r="W3322" i="34"/>
  <c r="P3322" i="34"/>
  <c r="A3322" i="34"/>
  <c r="O3328" i="34"/>
  <c r="W3328" i="34"/>
  <c r="P3328" i="34"/>
  <c r="Q3328" i="34"/>
  <c r="U3328" i="34"/>
  <c r="Z3328" i="34"/>
  <c r="A3328" i="34"/>
  <c r="Q3334" i="34"/>
  <c r="U3334" i="34"/>
  <c r="Z3334" i="34"/>
  <c r="O3334" i="34"/>
  <c r="W3334" i="34"/>
  <c r="P3334" i="34"/>
  <c r="A3334" i="34"/>
  <c r="O3340" i="34"/>
  <c r="W3340" i="34"/>
  <c r="P3340" i="34"/>
  <c r="Q3340" i="34"/>
  <c r="U3340" i="34"/>
  <c r="Z3340" i="34"/>
  <c r="A3340" i="34"/>
  <c r="O3344" i="34"/>
  <c r="W3344" i="34"/>
  <c r="P3344" i="34"/>
  <c r="Q3344" i="34"/>
  <c r="U3344" i="34"/>
  <c r="Z3344" i="34"/>
  <c r="A3344" i="34"/>
  <c r="O3348" i="34"/>
  <c r="W3348" i="34"/>
  <c r="P3348" i="34"/>
  <c r="Q3348" i="34"/>
  <c r="U3348" i="34"/>
  <c r="Z3348" i="34"/>
  <c r="A3348" i="34"/>
  <c r="O3352" i="34"/>
  <c r="W3352" i="34"/>
  <c r="P3352" i="34"/>
  <c r="Q3352" i="34"/>
  <c r="U3352" i="34"/>
  <c r="Z3352" i="34"/>
  <c r="A3352" i="34"/>
  <c r="O3356" i="34"/>
  <c r="W3356" i="34"/>
  <c r="P3356" i="34"/>
  <c r="Q3356" i="34"/>
  <c r="U3356" i="34"/>
  <c r="Z3356" i="34"/>
  <c r="A3356" i="34"/>
  <c r="O3360" i="34"/>
  <c r="W3360" i="34"/>
  <c r="P3360" i="34"/>
  <c r="Q3360" i="34"/>
  <c r="U3360" i="34"/>
  <c r="Z3360" i="34"/>
  <c r="A3360" i="34"/>
  <c r="O3276" i="34"/>
  <c r="W3276" i="34"/>
  <c r="P3276" i="34"/>
  <c r="Q3276" i="34"/>
  <c r="U3276" i="34"/>
  <c r="Z3276" i="34"/>
  <c r="A3276" i="34"/>
  <c r="O3280" i="34"/>
  <c r="W3280" i="34"/>
  <c r="P3280" i="34"/>
  <c r="Q3280" i="34"/>
  <c r="U3280" i="34"/>
  <c r="Z3280" i="34"/>
  <c r="A3280" i="34"/>
  <c r="O3284" i="34"/>
  <c r="W3284" i="34"/>
  <c r="P3284" i="34"/>
  <c r="Q3284" i="34"/>
  <c r="U3284" i="34"/>
  <c r="Z3284" i="34"/>
  <c r="A3284" i="34"/>
  <c r="O3288" i="34"/>
  <c r="W3288" i="34"/>
  <c r="P3288" i="34"/>
  <c r="Q3288" i="34"/>
  <c r="U3288" i="34"/>
  <c r="Z3288" i="34"/>
  <c r="A3288" i="34"/>
  <c r="O3292" i="34"/>
  <c r="W3292" i="34"/>
  <c r="P3292" i="34"/>
  <c r="Q3292" i="34"/>
  <c r="U3292" i="34"/>
  <c r="Z3292" i="34"/>
  <c r="A3292" i="34"/>
  <c r="O3296" i="34"/>
  <c r="W3296" i="34"/>
  <c r="P3296" i="34"/>
  <c r="Q3296" i="34"/>
  <c r="U3296" i="34"/>
  <c r="Z3296" i="34"/>
  <c r="A3296" i="34"/>
  <c r="Q3302" i="34"/>
  <c r="U3302" i="34"/>
  <c r="Z3302" i="34"/>
  <c r="O3302" i="34"/>
  <c r="W3302" i="34"/>
  <c r="P3302" i="34"/>
  <c r="A3302" i="34"/>
  <c r="Q3310" i="34"/>
  <c r="U3310" i="34"/>
  <c r="Z3310" i="34"/>
  <c r="O3310" i="34"/>
  <c r="W3310" i="34"/>
  <c r="P3310" i="34"/>
  <c r="A3310" i="34"/>
  <c r="P3623" i="34"/>
  <c r="Q3623" i="34"/>
  <c r="U3623" i="34"/>
  <c r="Z3623" i="34"/>
  <c r="O3623" i="34"/>
  <c r="W3623" i="34"/>
  <c r="A3623" i="34"/>
  <c r="Z3625" i="34"/>
  <c r="O3625" i="34"/>
  <c r="W3625" i="34"/>
  <c r="P3625" i="34"/>
  <c r="Q3625" i="34"/>
  <c r="U3625" i="34"/>
  <c r="A3625" i="34"/>
  <c r="P1403" i="34"/>
  <c r="Q1403" i="34"/>
  <c r="U1403" i="34"/>
  <c r="Z1403" i="34"/>
  <c r="O1403" i="34"/>
  <c r="W1403" i="34"/>
  <c r="A1403" i="34"/>
  <c r="Z1405" i="34"/>
  <c r="O1405" i="34"/>
  <c r="W1405" i="34"/>
  <c r="P1405" i="34"/>
  <c r="Q1405" i="34"/>
  <c r="U1405" i="34"/>
  <c r="A1405" i="34"/>
  <c r="O1396" i="34"/>
  <c r="W1396" i="34"/>
  <c r="P1396" i="34"/>
  <c r="Q1396" i="34"/>
  <c r="U1396" i="34"/>
  <c r="Z1396" i="34"/>
  <c r="A1396" i="34"/>
  <c r="Q1398" i="34"/>
  <c r="U1398" i="34"/>
  <c r="Z1398" i="34"/>
  <c r="O1398" i="34"/>
  <c r="W1398" i="34"/>
  <c r="P1398" i="34"/>
  <c r="A1398" i="34"/>
  <c r="O1400" i="34"/>
  <c r="W1400" i="34"/>
  <c r="P1400" i="34"/>
  <c r="Q1400" i="34"/>
  <c r="U1400" i="34"/>
  <c r="Z1400" i="34"/>
  <c r="A1400" i="34"/>
  <c r="Q1402" i="34"/>
  <c r="U1402" i="34"/>
  <c r="Z1402" i="34"/>
  <c r="O1402" i="34"/>
  <c r="W1402" i="34"/>
  <c r="P1402" i="34"/>
  <c r="A1402" i="34"/>
  <c r="Q3318" i="34"/>
  <c r="U3318" i="34"/>
  <c r="Z3318" i="34"/>
  <c r="O3318" i="34"/>
  <c r="W3318" i="34"/>
  <c r="P3318" i="34"/>
  <c r="A3318" i="34"/>
  <c r="Q3326" i="34"/>
  <c r="U3326" i="34"/>
  <c r="Z3326" i="34"/>
  <c r="O3326" i="34"/>
  <c r="W3326" i="34"/>
  <c r="P3326" i="34"/>
  <c r="A3326" i="34"/>
  <c r="O3336" i="34"/>
  <c r="W3336" i="34"/>
  <c r="P3336" i="34"/>
  <c r="Q3336" i="34"/>
  <c r="U3336" i="34"/>
  <c r="Z3336" i="34"/>
  <c r="A3336" i="34"/>
  <c r="P3319" i="34"/>
  <c r="Q3319" i="34"/>
  <c r="U3319" i="34"/>
  <c r="Z3319" i="34"/>
  <c r="O3319" i="34"/>
  <c r="W3319" i="34"/>
  <c r="A3319" i="34"/>
  <c r="P3323" i="34"/>
  <c r="Q3323" i="34"/>
  <c r="U3323" i="34"/>
  <c r="Z3323" i="34"/>
  <c r="O3323" i="34"/>
  <c r="W3323" i="34"/>
  <c r="A3323" i="34"/>
  <c r="Z3329" i="34"/>
  <c r="O3329" i="34"/>
  <c r="W3329" i="34"/>
  <c r="P3329" i="34"/>
  <c r="Q3329" i="34"/>
  <c r="U3329" i="34"/>
  <c r="A3329" i="34"/>
  <c r="Z3333" i="34"/>
  <c r="O3333" i="34"/>
  <c r="W3333" i="34"/>
  <c r="P3333" i="34"/>
  <c r="Q3333" i="34"/>
  <c r="U3333" i="34"/>
  <c r="A3333" i="34"/>
  <c r="Z3337" i="34"/>
  <c r="O3337" i="34"/>
  <c r="W3337" i="34"/>
  <c r="P3337" i="34"/>
  <c r="Q3337" i="34"/>
  <c r="U3337" i="34"/>
  <c r="A3337" i="34"/>
  <c r="Z3341" i="34"/>
  <c r="O3341" i="34"/>
  <c r="W3341" i="34"/>
  <c r="P3341" i="34"/>
  <c r="Q3341" i="34"/>
  <c r="U3341" i="34"/>
  <c r="A3341" i="34"/>
  <c r="Z3345" i="34"/>
  <c r="O3345" i="34"/>
  <c r="W3345" i="34"/>
  <c r="P3345" i="34"/>
  <c r="Q3345" i="34"/>
  <c r="U3345" i="34"/>
  <c r="A3345" i="34"/>
  <c r="Z3349" i="34"/>
  <c r="O3349" i="34"/>
  <c r="W3349" i="34"/>
  <c r="P3349" i="34"/>
  <c r="Q3349" i="34"/>
  <c r="U3349" i="34"/>
  <c r="A3349" i="34"/>
  <c r="Z3353" i="34"/>
  <c r="O3353" i="34"/>
  <c r="W3353" i="34"/>
  <c r="P3353" i="34"/>
  <c r="Q3353" i="34"/>
  <c r="U3353" i="34"/>
  <c r="A3353" i="34"/>
  <c r="Z3357" i="34"/>
  <c r="O3357" i="34"/>
  <c r="W3357" i="34"/>
  <c r="P3357" i="34"/>
  <c r="Q3357" i="34"/>
  <c r="U3357" i="34"/>
  <c r="A3357" i="34"/>
  <c r="Z3273" i="34"/>
  <c r="O3273" i="34"/>
  <c r="W3273" i="34"/>
  <c r="P3273" i="34"/>
  <c r="Q3273" i="34"/>
  <c r="U3273" i="34"/>
  <c r="A3273" i="34"/>
  <c r="Z3277" i="34"/>
  <c r="O3277" i="34"/>
  <c r="W3277" i="34"/>
  <c r="P3277" i="34"/>
  <c r="Q3277" i="34"/>
  <c r="U3277" i="34"/>
  <c r="A3277" i="34"/>
  <c r="Z3281" i="34"/>
  <c r="O3281" i="34"/>
  <c r="W3281" i="34"/>
  <c r="P3281" i="34"/>
  <c r="Q3281" i="34"/>
  <c r="U3281" i="34"/>
  <c r="A3281" i="34"/>
  <c r="Z3285" i="34"/>
  <c r="O3285" i="34"/>
  <c r="W3285" i="34"/>
  <c r="P3285" i="34"/>
  <c r="Q3285" i="34"/>
  <c r="U3285" i="34"/>
  <c r="A3285" i="34"/>
  <c r="P3291" i="34"/>
  <c r="Q3291" i="34"/>
  <c r="U3291" i="34"/>
  <c r="Z3291" i="34"/>
  <c r="O3291" i="34"/>
  <c r="W3291" i="34"/>
  <c r="A3291" i="34"/>
  <c r="P3295" i="34"/>
  <c r="Q3295" i="34"/>
  <c r="U3295" i="34"/>
  <c r="Z3295" i="34"/>
  <c r="O3295" i="34"/>
  <c r="W3295" i="34"/>
  <c r="A3295" i="34"/>
  <c r="P3299" i="34"/>
  <c r="Q3299" i="34"/>
  <c r="U3299" i="34"/>
  <c r="Z3299" i="34"/>
  <c r="O3299" i="34"/>
  <c r="W3299" i="34"/>
  <c r="A3299" i="34"/>
  <c r="P3311" i="34"/>
  <c r="Q3311" i="34"/>
  <c r="U3311" i="34"/>
  <c r="Z3311" i="34"/>
  <c r="O3311" i="34"/>
  <c r="W3311" i="34"/>
  <c r="A3311" i="34"/>
  <c r="Q1414" i="34"/>
  <c r="U1414" i="34"/>
  <c r="Z1414" i="34"/>
  <c r="O1414" i="34"/>
  <c r="W1414" i="34"/>
  <c r="P1414" i="34"/>
  <c r="A1414" i="34"/>
  <c r="Q1410" i="34"/>
  <c r="U1410" i="34"/>
  <c r="Z1410" i="34"/>
  <c r="O1410" i="34"/>
  <c r="W1410" i="34"/>
  <c r="P1410" i="34"/>
  <c r="A1410" i="34"/>
  <c r="O1412" i="34"/>
  <c r="W1412" i="34"/>
  <c r="P1412" i="34"/>
  <c r="Q1412" i="34"/>
  <c r="U1412" i="34"/>
  <c r="Z1412" i="34"/>
  <c r="A1412" i="34"/>
  <c r="O1408" i="34"/>
  <c r="W1408" i="34"/>
  <c r="P1408" i="34"/>
  <c r="Q1408" i="34"/>
  <c r="U1408" i="34"/>
  <c r="Z1408" i="34"/>
  <c r="A1408" i="34"/>
  <c r="O3324" i="34"/>
  <c r="W3324" i="34"/>
  <c r="P3324" i="34"/>
  <c r="Q3324" i="34"/>
  <c r="U3324" i="34"/>
  <c r="Z3324" i="34"/>
  <c r="A3324" i="34"/>
  <c r="O3332" i="34"/>
  <c r="W3332" i="34"/>
  <c r="P3332" i="34"/>
  <c r="Q3332" i="34"/>
  <c r="U3332" i="34"/>
  <c r="Z3332" i="34"/>
  <c r="A3332" i="34"/>
  <c r="Z3317" i="34"/>
  <c r="O3317" i="34"/>
  <c r="W3317" i="34"/>
  <c r="P3317" i="34"/>
  <c r="Q3317" i="34"/>
  <c r="U3317" i="34"/>
  <c r="A3317" i="34"/>
  <c r="Z3321" i="34"/>
  <c r="O3321" i="34"/>
  <c r="W3321" i="34"/>
  <c r="P3321" i="34"/>
  <c r="Q3321" i="34"/>
  <c r="U3321" i="34"/>
  <c r="A3321" i="34"/>
  <c r="Z3325" i="34"/>
  <c r="O3325" i="34"/>
  <c r="W3325" i="34"/>
  <c r="P3325" i="34"/>
  <c r="Q3325" i="34"/>
  <c r="U3325" i="34"/>
  <c r="A3325" i="34"/>
  <c r="P3327" i="34"/>
  <c r="Q3327" i="34"/>
  <c r="U3327" i="34"/>
  <c r="Z3327" i="34"/>
  <c r="O3327" i="34"/>
  <c r="W3327" i="34"/>
  <c r="A3327" i="34"/>
  <c r="P3331" i="34"/>
  <c r="Q3331" i="34"/>
  <c r="U3331" i="34"/>
  <c r="Z3331" i="34"/>
  <c r="O3331" i="34"/>
  <c r="W3331" i="34"/>
  <c r="A3331" i="34"/>
  <c r="P3335" i="34"/>
  <c r="Q3335" i="34"/>
  <c r="U3335" i="34"/>
  <c r="Z3335" i="34"/>
  <c r="O3335" i="34"/>
  <c r="W3335" i="34"/>
  <c r="A3335" i="34"/>
  <c r="P3339" i="34"/>
  <c r="Q3339" i="34"/>
  <c r="U3339" i="34"/>
  <c r="Z3339" i="34"/>
  <c r="O3339" i="34"/>
  <c r="W3339" i="34"/>
  <c r="A3339" i="34"/>
  <c r="P3343" i="34"/>
  <c r="Q3343" i="34"/>
  <c r="U3343" i="34"/>
  <c r="Z3343" i="34"/>
  <c r="O3343" i="34"/>
  <c r="W3343" i="34"/>
  <c r="A3343" i="34"/>
  <c r="P3347" i="34"/>
  <c r="Q3347" i="34"/>
  <c r="U3347" i="34"/>
  <c r="Z3347" i="34"/>
  <c r="O3347" i="34"/>
  <c r="W3347" i="34"/>
  <c r="A3347" i="34"/>
  <c r="P3351" i="34"/>
  <c r="Q3351" i="34"/>
  <c r="U3351" i="34"/>
  <c r="Z3351" i="34"/>
  <c r="O3351" i="34"/>
  <c r="W3351" i="34"/>
  <c r="A3351" i="34"/>
  <c r="P3355" i="34"/>
  <c r="Q3355" i="34"/>
  <c r="U3355" i="34"/>
  <c r="Z3355" i="34"/>
  <c r="O3355" i="34"/>
  <c r="W3355" i="34"/>
  <c r="A3355" i="34"/>
  <c r="P3359" i="34"/>
  <c r="Q3359" i="34"/>
  <c r="U3359" i="34"/>
  <c r="Z3359" i="34"/>
  <c r="O3359" i="34"/>
  <c r="W3359" i="34"/>
  <c r="A3359" i="34"/>
  <c r="P3275" i="34"/>
  <c r="Q3275" i="34"/>
  <c r="U3275" i="34"/>
  <c r="Z3275" i="34"/>
  <c r="O3275" i="34"/>
  <c r="W3275" i="34"/>
  <c r="A3275" i="34"/>
  <c r="P3279" i="34"/>
  <c r="Q3279" i="34"/>
  <c r="U3279" i="34"/>
  <c r="Z3279" i="34"/>
  <c r="O3279" i="34"/>
  <c r="W3279" i="34"/>
  <c r="A3279" i="34"/>
  <c r="P3283" i="34"/>
  <c r="Q3283" i="34"/>
  <c r="U3283" i="34"/>
  <c r="Z3283" i="34"/>
  <c r="O3283" i="34"/>
  <c r="W3283" i="34"/>
  <c r="A3283" i="34"/>
  <c r="P3287" i="34"/>
  <c r="Q3287" i="34"/>
  <c r="U3287" i="34"/>
  <c r="Z3287" i="34"/>
  <c r="O3287" i="34"/>
  <c r="W3287" i="34"/>
  <c r="A3287" i="34"/>
  <c r="Z3289" i="34"/>
  <c r="O3289" i="34"/>
  <c r="W3289" i="34"/>
  <c r="P3289" i="34"/>
  <c r="Q3289" i="34"/>
  <c r="U3289" i="34"/>
  <c r="A3289" i="34"/>
  <c r="Z3293" i="34"/>
  <c r="O3293" i="34"/>
  <c r="W3293" i="34"/>
  <c r="P3293" i="34"/>
  <c r="Q3293" i="34"/>
  <c r="U3293" i="34"/>
  <c r="A3293" i="34"/>
  <c r="Z3297" i="34"/>
  <c r="O3297" i="34"/>
  <c r="W3297" i="34"/>
  <c r="P3297" i="34"/>
  <c r="Q3297" i="34"/>
  <c r="U3297" i="34"/>
  <c r="A3297" i="34"/>
  <c r="Z3301" i="34"/>
  <c r="O3301" i="34"/>
  <c r="W3301" i="34"/>
  <c r="P3301" i="34"/>
  <c r="Q3301" i="34"/>
  <c r="U3301" i="34"/>
  <c r="A3301" i="34"/>
  <c r="P3303" i="34"/>
  <c r="Q3303" i="34"/>
  <c r="U3303" i="34"/>
  <c r="Z3303" i="34"/>
  <c r="O3303" i="34"/>
  <c r="W3303" i="34"/>
  <c r="A3303" i="34"/>
  <c r="Z3305" i="34"/>
  <c r="O3305" i="34"/>
  <c r="W3305" i="34"/>
  <c r="P3305" i="34"/>
  <c r="Q3305" i="34"/>
  <c r="U3305" i="34"/>
  <c r="A3305" i="34"/>
  <c r="P3307" i="34"/>
  <c r="Q3307" i="34"/>
  <c r="U3307" i="34"/>
  <c r="Z3307" i="34"/>
  <c r="O3307" i="34"/>
  <c r="W3307" i="34"/>
  <c r="A3307" i="34"/>
  <c r="Z3309" i="34"/>
  <c r="O3309" i="34"/>
  <c r="W3309" i="34"/>
  <c r="P3309" i="34"/>
  <c r="Q3309" i="34"/>
  <c r="U3309" i="34"/>
  <c r="A3309" i="34"/>
  <c r="Z3313" i="34"/>
  <c r="O3313" i="34"/>
  <c r="W3313" i="34"/>
  <c r="P3313" i="34"/>
  <c r="Q3313" i="34"/>
  <c r="U3313" i="34"/>
  <c r="A3313" i="34"/>
  <c r="P3315" i="34"/>
  <c r="Q3315" i="34"/>
  <c r="U3315" i="34"/>
  <c r="Z3315" i="34"/>
  <c r="O3315" i="34"/>
  <c r="W3315" i="34"/>
  <c r="A3315" i="34"/>
  <c r="O3628" i="34"/>
  <c r="W3628" i="34"/>
  <c r="P3628" i="34"/>
  <c r="Q3628" i="34"/>
  <c r="U3628" i="34"/>
  <c r="Z3628" i="34"/>
  <c r="A3628" i="34"/>
  <c r="Q3630" i="34"/>
  <c r="U3630" i="34"/>
  <c r="Z3630" i="34"/>
  <c r="O3630" i="34"/>
  <c r="W3630" i="34"/>
  <c r="P3630" i="34"/>
  <c r="A3630" i="34"/>
  <c r="O3632" i="34"/>
  <c r="W3632" i="34"/>
  <c r="P3632" i="34"/>
  <c r="Q3632" i="34"/>
  <c r="U3632" i="34"/>
  <c r="Z3632" i="34"/>
  <c r="A3632" i="34"/>
  <c r="Q3634" i="34"/>
  <c r="U3634" i="34"/>
  <c r="Z3634" i="34"/>
  <c r="O3634" i="34"/>
  <c r="W3634" i="34"/>
  <c r="P3634" i="34"/>
  <c r="A3634" i="34"/>
  <c r="O3636" i="34"/>
  <c r="W3636" i="34"/>
  <c r="P3636" i="34"/>
  <c r="Q3636" i="34"/>
  <c r="U3636" i="34"/>
  <c r="Z3636" i="34"/>
  <c r="A3636" i="34"/>
  <c r="Q3658" i="34"/>
  <c r="U3658" i="34"/>
  <c r="Z3658" i="34"/>
  <c r="O3658" i="34"/>
  <c r="W3658" i="34"/>
  <c r="P3658" i="34"/>
  <c r="A3658" i="34"/>
  <c r="O3660" i="34"/>
  <c r="W3660" i="34"/>
  <c r="P3660" i="34"/>
  <c r="Q3660" i="34"/>
  <c r="U3660" i="34"/>
  <c r="Z3660" i="34"/>
  <c r="A3660" i="34"/>
  <c r="Q3614" i="34"/>
  <c r="U3614" i="34"/>
  <c r="Z3614" i="34"/>
  <c r="O3614" i="34"/>
  <c r="W3614" i="34"/>
  <c r="P3614" i="34"/>
  <c r="A3614" i="34"/>
  <c r="O3616" i="34"/>
  <c r="W3616" i="34"/>
  <c r="P3616" i="34"/>
  <c r="Q3616" i="34"/>
  <c r="U3616" i="34"/>
  <c r="Z3616" i="34"/>
  <c r="A3616" i="34"/>
  <c r="Q3618" i="34"/>
  <c r="U3618" i="34"/>
  <c r="Z3618" i="34"/>
  <c r="O3618" i="34"/>
  <c r="W3618" i="34"/>
  <c r="P3618" i="34"/>
  <c r="A3618" i="34"/>
  <c r="O3620" i="34"/>
  <c r="W3620" i="34"/>
  <c r="P3620" i="34"/>
  <c r="Q3620" i="34"/>
  <c r="U3620" i="34"/>
  <c r="Z3620" i="34"/>
  <c r="A3620" i="34"/>
  <c r="Q3622" i="34"/>
  <c r="U3622" i="34"/>
  <c r="Z3622" i="34"/>
  <c r="O3622" i="34"/>
  <c r="W3622" i="34"/>
  <c r="P3622" i="34"/>
  <c r="A3622" i="34"/>
  <c r="O3624" i="34"/>
  <c r="W3624" i="34"/>
  <c r="P3624" i="34"/>
  <c r="Q3624" i="34"/>
  <c r="U3624" i="34"/>
  <c r="Z3624" i="34"/>
  <c r="A3624" i="34"/>
  <c r="Q3626" i="34"/>
  <c r="U3626" i="34"/>
  <c r="Z3626" i="34"/>
  <c r="O3626" i="34"/>
  <c r="W3626" i="34"/>
  <c r="P3626" i="34"/>
  <c r="A3626" i="34"/>
  <c r="O1404" i="34"/>
  <c r="W1404" i="34"/>
  <c r="P1404" i="34"/>
  <c r="Q1404" i="34"/>
  <c r="U1404" i="34"/>
  <c r="Z1404" i="34"/>
  <c r="A1404" i="34"/>
  <c r="P1395" i="34"/>
  <c r="Q1395" i="34"/>
  <c r="U1395" i="34"/>
  <c r="Z1395" i="34"/>
  <c r="O1395" i="34"/>
  <c r="W1395" i="34"/>
  <c r="A1395" i="34"/>
  <c r="Z1397" i="34"/>
  <c r="O1397" i="34"/>
  <c r="W1397" i="34"/>
  <c r="P1397" i="34"/>
  <c r="Q1397" i="34"/>
  <c r="U1397" i="34"/>
  <c r="A1397" i="34"/>
  <c r="P1399" i="34"/>
  <c r="Q1399" i="34"/>
  <c r="U1399" i="34"/>
  <c r="Z1399" i="34"/>
  <c r="O1399" i="34"/>
  <c r="W1399" i="34"/>
  <c r="A1399" i="34"/>
  <c r="Z1401" i="34"/>
  <c r="O1401" i="34"/>
  <c r="W1401" i="34"/>
  <c r="P1401" i="34"/>
  <c r="Q1401" i="34"/>
  <c r="U1401" i="34"/>
  <c r="A1401" i="34"/>
  <c r="O3320" i="34"/>
  <c r="W3320" i="34"/>
  <c r="P3320" i="34"/>
  <c r="Q3320" i="34"/>
  <c r="U3320" i="34"/>
  <c r="Z3320" i="34"/>
  <c r="A3320" i="34"/>
  <c r="Q3330" i="34"/>
  <c r="U3330" i="34"/>
  <c r="Z3330" i="34"/>
  <c r="O3330" i="34"/>
  <c r="W3330" i="34"/>
  <c r="P3330" i="34"/>
  <c r="A3330" i="34"/>
  <c r="Q3338" i="34"/>
  <c r="U3338" i="34"/>
  <c r="Z3338" i="34"/>
  <c r="O3338" i="34"/>
  <c r="W3338" i="34"/>
  <c r="P3338" i="34"/>
  <c r="A3338" i="34"/>
  <c r="Q3342" i="34"/>
  <c r="U3342" i="34"/>
  <c r="Z3342" i="34"/>
  <c r="O3342" i="34"/>
  <c r="W3342" i="34"/>
  <c r="P3342" i="34"/>
  <c r="A3342" i="34"/>
  <c r="Q3346" i="34"/>
  <c r="U3346" i="34"/>
  <c r="Z3346" i="34"/>
  <c r="O3346" i="34"/>
  <c r="W3346" i="34"/>
  <c r="P3346" i="34"/>
  <c r="A3346" i="34"/>
  <c r="Q3350" i="34"/>
  <c r="U3350" i="34"/>
  <c r="Z3350" i="34"/>
  <c r="O3350" i="34"/>
  <c r="W3350" i="34"/>
  <c r="P3350" i="34"/>
  <c r="A3350" i="34"/>
  <c r="Q3354" i="34"/>
  <c r="U3354" i="34"/>
  <c r="Z3354" i="34"/>
  <c r="O3354" i="34"/>
  <c r="W3354" i="34"/>
  <c r="P3354" i="34"/>
  <c r="A3354" i="34"/>
  <c r="Q3358" i="34"/>
  <c r="U3358" i="34"/>
  <c r="Z3358" i="34"/>
  <c r="O3358" i="34"/>
  <c r="W3358" i="34"/>
  <c r="P3358" i="34"/>
  <c r="A3358" i="34"/>
  <c r="Q3274" i="34"/>
  <c r="U3274" i="34"/>
  <c r="Z3274" i="34"/>
  <c r="O3274" i="34"/>
  <c r="W3274" i="34"/>
  <c r="P3274" i="34"/>
  <c r="A3274" i="34"/>
  <c r="Q3278" i="34"/>
  <c r="U3278" i="34"/>
  <c r="Z3278" i="34"/>
  <c r="O3278" i="34"/>
  <c r="W3278" i="34"/>
  <c r="P3278" i="34"/>
  <c r="A3278" i="34"/>
  <c r="Q3282" i="34"/>
  <c r="U3282" i="34"/>
  <c r="Z3282" i="34"/>
  <c r="O3282" i="34"/>
  <c r="W3282" i="34"/>
  <c r="P3282" i="34"/>
  <c r="A3282" i="34"/>
  <c r="Q3286" i="34"/>
  <c r="U3286" i="34"/>
  <c r="Z3286" i="34"/>
  <c r="O3286" i="34"/>
  <c r="W3286" i="34"/>
  <c r="P3286" i="34"/>
  <c r="A3286" i="34"/>
  <c r="Q3290" i="34"/>
  <c r="U3290" i="34"/>
  <c r="Z3290" i="34"/>
  <c r="O3290" i="34"/>
  <c r="W3290" i="34"/>
  <c r="P3290" i="34"/>
  <c r="A3290" i="34"/>
  <c r="Q3294" i="34"/>
  <c r="U3294" i="34"/>
  <c r="Z3294" i="34"/>
  <c r="O3294" i="34"/>
  <c r="W3294" i="34"/>
  <c r="P3294" i="34"/>
  <c r="A3294" i="34"/>
  <c r="Q3298" i="34"/>
  <c r="U3298" i="34"/>
  <c r="Z3298" i="34"/>
  <c r="O3298" i="34"/>
  <c r="W3298" i="34"/>
  <c r="P3298" i="34"/>
  <c r="A3298" i="34"/>
  <c r="O3300" i="34"/>
  <c r="W3300" i="34"/>
  <c r="P3300" i="34"/>
  <c r="Q3300" i="34"/>
  <c r="U3300" i="34"/>
  <c r="Z3300" i="34"/>
  <c r="A3300" i="34"/>
  <c r="O3304" i="34"/>
  <c r="W3304" i="34"/>
  <c r="P3304" i="34"/>
  <c r="Q3304" i="34"/>
  <c r="U3304" i="34"/>
  <c r="Z3304" i="34"/>
  <c r="A3304" i="34"/>
  <c r="Q3306" i="34"/>
  <c r="U3306" i="34"/>
  <c r="Z3306" i="34"/>
  <c r="O3306" i="34"/>
  <c r="W3306" i="34"/>
  <c r="P3306" i="34"/>
  <c r="A3306" i="34"/>
  <c r="O3308" i="34"/>
  <c r="W3308" i="34"/>
  <c r="P3308" i="34"/>
  <c r="Q3308" i="34"/>
  <c r="U3308" i="34"/>
  <c r="Z3308" i="34"/>
  <c r="A3308" i="34"/>
  <c r="O3312" i="34"/>
  <c r="W3312" i="34"/>
  <c r="P3312" i="34"/>
  <c r="Q3312" i="34"/>
  <c r="U3312" i="34"/>
  <c r="Z3312" i="34"/>
  <c r="A3312" i="34"/>
  <c r="Q3314" i="34"/>
  <c r="U3314" i="34"/>
  <c r="Z3314" i="34"/>
  <c r="O3314" i="34"/>
  <c r="W3314" i="34"/>
  <c r="P3314" i="34"/>
  <c r="A3314" i="34"/>
  <c r="O3316" i="34"/>
  <c r="W3316" i="34"/>
  <c r="P3316" i="34"/>
  <c r="Q3316" i="34"/>
  <c r="U3316" i="34"/>
  <c r="Z3316" i="34"/>
  <c r="A3316" i="34"/>
  <c r="P3627" i="34"/>
  <c r="Q3627" i="34"/>
  <c r="U3627" i="34"/>
  <c r="Z3627" i="34"/>
  <c r="O3627" i="34"/>
  <c r="W3627" i="34"/>
  <c r="A3627" i="34"/>
  <c r="Z3629" i="34"/>
  <c r="O3629" i="34"/>
  <c r="W3629" i="34"/>
  <c r="P3629" i="34"/>
  <c r="Q3629" i="34"/>
  <c r="U3629" i="34"/>
  <c r="A3629" i="34"/>
  <c r="P3631" i="34"/>
  <c r="Q3631" i="34"/>
  <c r="U3631" i="34"/>
  <c r="Z3631" i="34"/>
  <c r="O3631" i="34"/>
  <c r="W3631" i="34"/>
  <c r="A3631" i="34"/>
  <c r="Z3633" i="34"/>
  <c r="O3633" i="34"/>
  <c r="W3633" i="34"/>
  <c r="P3633" i="34"/>
  <c r="Q3633" i="34"/>
  <c r="U3633" i="34"/>
  <c r="A3633" i="34"/>
  <c r="P3635" i="34"/>
  <c r="Q3635" i="34"/>
  <c r="U3635" i="34"/>
  <c r="Z3635" i="34"/>
  <c r="O3635" i="34"/>
  <c r="W3635" i="34"/>
  <c r="A3635" i="34"/>
  <c r="Z3657" i="34"/>
  <c r="O3657" i="34"/>
  <c r="W3657" i="34"/>
  <c r="P3657" i="34"/>
  <c r="Q3657" i="34"/>
  <c r="U3657" i="34"/>
  <c r="A3657" i="34"/>
  <c r="P3659" i="34"/>
  <c r="Q3659" i="34"/>
  <c r="U3659" i="34"/>
  <c r="Z3659" i="34"/>
  <c r="O3659" i="34"/>
  <c r="W3659" i="34"/>
  <c r="A3659" i="34"/>
  <c r="Z3613" i="34"/>
  <c r="O3613" i="34"/>
  <c r="W3613" i="34"/>
  <c r="P3613" i="34"/>
  <c r="Q3613" i="34"/>
  <c r="U3613" i="34"/>
  <c r="A3613" i="34"/>
  <c r="P3615" i="34"/>
  <c r="Q3615" i="34"/>
  <c r="U3615" i="34"/>
  <c r="Z3615" i="34"/>
  <c r="O3615" i="34"/>
  <c r="W3615" i="34"/>
  <c r="A3615" i="34"/>
  <c r="Z3617" i="34"/>
  <c r="O3617" i="34"/>
  <c r="W3617" i="34"/>
  <c r="P3617" i="34"/>
  <c r="Q3617" i="34"/>
  <c r="U3617" i="34"/>
  <c r="A3617" i="34"/>
  <c r="P3619" i="34"/>
  <c r="Q3619" i="34"/>
  <c r="U3619" i="34"/>
  <c r="Z3619" i="34"/>
  <c r="O3619" i="34"/>
  <c r="W3619" i="34"/>
  <c r="A3619" i="34"/>
  <c r="Z3621" i="34"/>
  <c r="O3621" i="34"/>
  <c r="W3621" i="34"/>
  <c r="P3621" i="34"/>
  <c r="Q3621" i="34"/>
  <c r="U3621" i="34"/>
  <c r="A3621" i="34"/>
  <c r="Z1413" i="34"/>
  <c r="O1413" i="34"/>
  <c r="W1413" i="34"/>
  <c r="P1413" i="34"/>
  <c r="Q1413" i="34"/>
  <c r="U1413" i="34"/>
  <c r="A1413" i="34"/>
  <c r="P1411" i="34"/>
  <c r="Q1411" i="34"/>
  <c r="U1411" i="34"/>
  <c r="Z1411" i="34"/>
  <c r="O1411" i="34"/>
  <c r="W1411" i="34"/>
  <c r="A1411" i="34"/>
  <c r="P1407" i="34"/>
  <c r="Q1407" i="34"/>
  <c r="U1407" i="34"/>
  <c r="Z1407" i="34"/>
  <c r="O1407" i="34"/>
  <c r="W1407" i="34"/>
  <c r="A1407" i="34"/>
  <c r="Z1409" i="34"/>
  <c r="O1409" i="34"/>
  <c r="W1409" i="34"/>
  <c r="P1409" i="34"/>
  <c r="Q1409" i="34"/>
  <c r="U1409" i="34"/>
  <c r="A1409" i="34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Z3361" i="34" l="1"/>
  <c r="O3361" i="34"/>
  <c r="W3361" i="34"/>
  <c r="P3361" i="34"/>
  <c r="Q3361" i="34"/>
  <c r="U3361" i="34"/>
  <c r="A3361" i="34"/>
  <c r="P3367" i="34"/>
  <c r="Q3367" i="34"/>
  <c r="U3367" i="34"/>
  <c r="Z3367" i="34"/>
  <c r="O3367" i="34"/>
  <c r="W3367" i="34"/>
  <c r="A3367" i="34"/>
  <c r="Z3377" i="34"/>
  <c r="O3377" i="34"/>
  <c r="W3377" i="34"/>
  <c r="P3377" i="34"/>
  <c r="Q3377" i="34"/>
  <c r="U3377" i="34"/>
  <c r="A3377" i="34"/>
  <c r="P3363" i="34"/>
  <c r="Q3363" i="34"/>
  <c r="U3363" i="34"/>
  <c r="Z3363" i="34"/>
  <c r="O3363" i="34"/>
  <c r="W3363" i="34"/>
  <c r="A3363" i="34"/>
  <c r="Z3369" i="34"/>
  <c r="O3369" i="34"/>
  <c r="W3369" i="34"/>
  <c r="P3369" i="34"/>
  <c r="Q3369" i="34"/>
  <c r="U3369" i="34"/>
  <c r="A3369" i="34"/>
  <c r="P3375" i="34"/>
  <c r="Q3375" i="34"/>
  <c r="U3375" i="34"/>
  <c r="Z3375" i="34"/>
  <c r="O3375" i="34"/>
  <c r="W3375" i="34"/>
  <c r="A3375" i="34"/>
  <c r="Q3362" i="34"/>
  <c r="U3362" i="34"/>
  <c r="Z3362" i="34"/>
  <c r="O3362" i="34"/>
  <c r="W3362" i="34"/>
  <c r="P3362" i="34"/>
  <c r="A3362" i="34"/>
  <c r="O3364" i="34"/>
  <c r="W3364" i="34"/>
  <c r="P3364" i="34"/>
  <c r="Q3364" i="34"/>
  <c r="U3364" i="34"/>
  <c r="Z3364" i="34"/>
  <c r="A3364" i="34"/>
  <c r="Q3366" i="34"/>
  <c r="U3366" i="34"/>
  <c r="Z3366" i="34"/>
  <c r="O3366" i="34"/>
  <c r="W3366" i="34"/>
  <c r="P3366" i="34"/>
  <c r="A3366" i="34"/>
  <c r="O3368" i="34"/>
  <c r="W3368" i="34"/>
  <c r="P3368" i="34"/>
  <c r="Q3368" i="34"/>
  <c r="U3368" i="34"/>
  <c r="Z3368" i="34"/>
  <c r="A3368" i="34"/>
  <c r="Q3370" i="34"/>
  <c r="U3370" i="34"/>
  <c r="Z3370" i="34"/>
  <c r="O3370" i="34"/>
  <c r="W3370" i="34"/>
  <c r="P3370" i="34"/>
  <c r="A3370" i="34"/>
  <c r="O3372" i="34"/>
  <c r="W3372" i="34"/>
  <c r="P3372" i="34"/>
  <c r="Q3372" i="34"/>
  <c r="U3372" i="34"/>
  <c r="Z3372" i="34"/>
  <c r="A3372" i="34"/>
  <c r="Q3374" i="34"/>
  <c r="U3374" i="34"/>
  <c r="Z3374" i="34"/>
  <c r="O3374" i="34"/>
  <c r="W3374" i="34"/>
  <c r="P3374" i="34"/>
  <c r="A3374" i="34"/>
  <c r="O3376" i="34"/>
  <c r="W3376" i="34"/>
  <c r="P3376" i="34"/>
  <c r="Q3376" i="34"/>
  <c r="U3376" i="34"/>
  <c r="Z3376" i="34"/>
  <c r="A3376" i="34"/>
  <c r="Q3378" i="34"/>
  <c r="U3378" i="34"/>
  <c r="Z3378" i="34"/>
  <c r="O3378" i="34"/>
  <c r="W3378" i="34"/>
  <c r="P3378" i="34"/>
  <c r="A3378" i="34"/>
  <c r="O3380" i="34"/>
  <c r="W3380" i="34"/>
  <c r="P3380" i="34"/>
  <c r="Q3380" i="34"/>
  <c r="U3380" i="34"/>
  <c r="Z3380" i="34"/>
  <c r="A3380" i="34"/>
  <c r="Q3382" i="34"/>
  <c r="U3382" i="34"/>
  <c r="Z3382" i="34"/>
  <c r="O3382" i="34"/>
  <c r="W3382" i="34"/>
  <c r="P3382" i="34"/>
  <c r="A3382" i="34"/>
  <c r="Z3365" i="34"/>
  <c r="O3365" i="34"/>
  <c r="W3365" i="34"/>
  <c r="P3365" i="34"/>
  <c r="Q3365" i="34"/>
  <c r="U3365" i="34"/>
  <c r="A3365" i="34"/>
  <c r="P3371" i="34"/>
  <c r="Q3371" i="34"/>
  <c r="U3371" i="34"/>
  <c r="Z3371" i="34"/>
  <c r="O3371" i="34"/>
  <c r="W3371" i="34"/>
  <c r="A3371" i="34"/>
  <c r="P3379" i="34"/>
  <c r="Q3379" i="34"/>
  <c r="U3379" i="34"/>
  <c r="Z3379" i="34"/>
  <c r="O3379" i="34"/>
  <c r="W3379" i="34"/>
  <c r="A3379" i="34"/>
  <c r="Z3381" i="34"/>
  <c r="O3381" i="34"/>
  <c r="W3381" i="34"/>
  <c r="P3381" i="34"/>
  <c r="Q3381" i="34"/>
  <c r="U3381" i="34"/>
  <c r="A3381" i="34"/>
  <c r="Z3373" i="34"/>
  <c r="O3373" i="34"/>
  <c r="W3373" i="34"/>
  <c r="P3373" i="34"/>
  <c r="Q3373" i="34"/>
  <c r="U3373" i="34"/>
  <c r="A3373" i="34"/>
  <c r="AB1300" i="34"/>
  <c r="K1300" i="34"/>
  <c r="C1300" i="34"/>
  <c r="B1300" i="34" s="1"/>
  <c r="AB1299" i="34"/>
  <c r="K1299" i="34"/>
  <c r="C1299" i="34"/>
  <c r="B1299" i="34" s="1"/>
  <c r="AB1298" i="34"/>
  <c r="K1298" i="34"/>
  <c r="C1298" i="34"/>
  <c r="B1298" i="34" s="1"/>
  <c r="AB1297" i="34"/>
  <c r="K1297" i="34"/>
  <c r="C1297" i="34"/>
  <c r="B1297" i="34" s="1"/>
  <c r="AB1296" i="34"/>
  <c r="K1296" i="34"/>
  <c r="C1296" i="34"/>
  <c r="B1296" i="34" s="1"/>
  <c r="AB1295" i="34"/>
  <c r="K1295" i="34"/>
  <c r="C1295" i="34"/>
  <c r="B1295" i="34" s="1"/>
  <c r="AB1294" i="34"/>
  <c r="K1294" i="34"/>
  <c r="C1294" i="34"/>
  <c r="B1294" i="34" s="1"/>
  <c r="AB1293" i="34"/>
  <c r="K1293" i="34"/>
  <c r="C1293" i="34"/>
  <c r="B1293" i="34" s="1"/>
  <c r="AB1292" i="34"/>
  <c r="K1292" i="34"/>
  <c r="C1292" i="34"/>
  <c r="B1292" i="34" s="1"/>
  <c r="AB1291" i="34"/>
  <c r="K1291" i="34"/>
  <c r="C1291" i="34"/>
  <c r="B1291" i="34" s="1"/>
  <c r="AB1290" i="34"/>
  <c r="K1290" i="34"/>
  <c r="C1290" i="34"/>
  <c r="B1290" i="34" s="1"/>
  <c r="AB1289" i="34"/>
  <c r="K1289" i="34"/>
  <c r="C1289" i="34"/>
  <c r="B1289" i="34" s="1"/>
  <c r="AB1288" i="34"/>
  <c r="K1288" i="34"/>
  <c r="C1288" i="34"/>
  <c r="B1288" i="34" s="1"/>
  <c r="AB1287" i="34"/>
  <c r="K1287" i="34"/>
  <c r="C1287" i="34"/>
  <c r="B1287" i="34" s="1"/>
  <c r="AB1286" i="34"/>
  <c r="K1286" i="34"/>
  <c r="C1286" i="34"/>
  <c r="B1286" i="34" s="1"/>
  <c r="AB1285" i="34"/>
  <c r="K1285" i="34"/>
  <c r="C1285" i="34"/>
  <c r="B1285" i="34" s="1"/>
  <c r="AB1331" i="34"/>
  <c r="K1331" i="34"/>
  <c r="C1331" i="34"/>
  <c r="B1331" i="34" s="1"/>
  <c r="AB1330" i="34"/>
  <c r="K1330" i="34"/>
  <c r="C1330" i="34"/>
  <c r="B1330" i="34" s="1"/>
  <c r="AB1329" i="34"/>
  <c r="K1329" i="34"/>
  <c r="C1329" i="34"/>
  <c r="B1329" i="34" s="1"/>
  <c r="AB1328" i="34"/>
  <c r="K1328" i="34"/>
  <c r="C1328" i="34"/>
  <c r="B1328" i="34" s="1"/>
  <c r="AB1327" i="34"/>
  <c r="K1327" i="34"/>
  <c r="C1327" i="34"/>
  <c r="B1327" i="34" s="1"/>
  <c r="AB1326" i="34"/>
  <c r="K1326" i="34"/>
  <c r="C1326" i="34"/>
  <c r="B1326" i="34" s="1"/>
  <c r="AB1325" i="34"/>
  <c r="K1325" i="34"/>
  <c r="C1325" i="34"/>
  <c r="B1325" i="34" s="1"/>
  <c r="AB1324" i="34"/>
  <c r="K1324" i="34"/>
  <c r="C1324" i="34"/>
  <c r="B1324" i="34" s="1"/>
  <c r="AB1323" i="34"/>
  <c r="K1323" i="34"/>
  <c r="C1323" i="34"/>
  <c r="B1323" i="34" s="1"/>
  <c r="AB1322" i="34"/>
  <c r="K1322" i="34"/>
  <c r="C1322" i="34"/>
  <c r="B1322" i="34" s="1"/>
  <c r="AB1321" i="34"/>
  <c r="K1321" i="34"/>
  <c r="C1321" i="34"/>
  <c r="B1321" i="34" s="1"/>
  <c r="AB1320" i="34"/>
  <c r="K1320" i="34"/>
  <c r="C1320" i="34"/>
  <c r="B1320" i="34" s="1"/>
  <c r="AB1319" i="34"/>
  <c r="K1319" i="34"/>
  <c r="C1319" i="34"/>
  <c r="B1319" i="34" s="1"/>
  <c r="AB1318" i="34"/>
  <c r="K1318" i="34"/>
  <c r="C1318" i="34"/>
  <c r="B1318" i="34" s="1"/>
  <c r="AB1317" i="34"/>
  <c r="K1317" i="34"/>
  <c r="C1317" i="34"/>
  <c r="B1317" i="34" s="1"/>
  <c r="AB1316" i="34"/>
  <c r="K1316" i="34"/>
  <c r="C1316" i="34"/>
  <c r="B1316" i="34" s="1"/>
  <c r="AB1315" i="34"/>
  <c r="K1315" i="34"/>
  <c r="C1315" i="34"/>
  <c r="B1315" i="34" s="1"/>
  <c r="AB1314" i="34"/>
  <c r="K1314" i="34"/>
  <c r="C1314" i="34"/>
  <c r="B1314" i="34" s="1"/>
  <c r="AB1313" i="34"/>
  <c r="K1313" i="34"/>
  <c r="C1313" i="34"/>
  <c r="B1313" i="34" s="1"/>
  <c r="AB1312" i="34"/>
  <c r="K1312" i="34"/>
  <c r="C1312" i="34"/>
  <c r="B1312" i="34" s="1"/>
  <c r="AB1311" i="34"/>
  <c r="K1311" i="34"/>
  <c r="C1311" i="34"/>
  <c r="B1311" i="34" s="1"/>
  <c r="AB1310" i="34"/>
  <c r="K1310" i="34"/>
  <c r="C1310" i="34"/>
  <c r="B1310" i="34" s="1"/>
  <c r="AB1309" i="34"/>
  <c r="K1309" i="34"/>
  <c r="C1309" i="34"/>
  <c r="B1309" i="34" s="1"/>
  <c r="AB1308" i="34"/>
  <c r="K1308" i="34"/>
  <c r="C1308" i="34"/>
  <c r="B1308" i="34" s="1"/>
  <c r="AB1307" i="34"/>
  <c r="K1307" i="34"/>
  <c r="C1307" i="34"/>
  <c r="B1307" i="34" s="1"/>
  <c r="AB1306" i="34"/>
  <c r="K1306" i="34"/>
  <c r="C1306" i="34"/>
  <c r="B1306" i="34" s="1"/>
  <c r="AB1305" i="34"/>
  <c r="K1305" i="34"/>
  <c r="C1305" i="34"/>
  <c r="B1305" i="34" s="1"/>
  <c r="AB1304" i="34"/>
  <c r="K1304" i="34"/>
  <c r="C1304" i="34"/>
  <c r="B1304" i="34" s="1"/>
  <c r="AB1303" i="34"/>
  <c r="K1303" i="34"/>
  <c r="C1303" i="34"/>
  <c r="B1303" i="34" s="1"/>
  <c r="AB1302" i="34"/>
  <c r="K1302" i="34"/>
  <c r="C1302" i="34"/>
  <c r="B1302" i="34" s="1"/>
  <c r="AB1301" i="34"/>
  <c r="K1301" i="34"/>
  <c r="C1301" i="34"/>
  <c r="B1301" i="34" s="1"/>
  <c r="AB1284" i="34"/>
  <c r="K1284" i="34"/>
  <c r="C1284" i="34"/>
  <c r="B1284" i="34" s="1"/>
  <c r="AB1347" i="34"/>
  <c r="K1347" i="34"/>
  <c r="C1347" i="34"/>
  <c r="B1347" i="34" s="1"/>
  <c r="AB1346" i="34"/>
  <c r="K1346" i="34"/>
  <c r="C1346" i="34"/>
  <c r="B1346" i="34" s="1"/>
  <c r="AB1345" i="34"/>
  <c r="K1345" i="34"/>
  <c r="C1345" i="34"/>
  <c r="B1345" i="34" s="1"/>
  <c r="AB1344" i="34"/>
  <c r="K1344" i="34"/>
  <c r="C1344" i="34"/>
  <c r="B1344" i="34" s="1"/>
  <c r="AB1343" i="34"/>
  <c r="K1343" i="34"/>
  <c r="C1343" i="34"/>
  <c r="B1343" i="34" s="1"/>
  <c r="AB1342" i="34"/>
  <c r="K1342" i="34"/>
  <c r="C1342" i="34"/>
  <c r="B1342" i="34" s="1"/>
  <c r="AB1341" i="34"/>
  <c r="K1341" i="34"/>
  <c r="C1341" i="34"/>
  <c r="B1341" i="34" s="1"/>
  <c r="AB1340" i="34"/>
  <c r="K1340" i="34"/>
  <c r="C1340" i="34"/>
  <c r="B1340" i="34" s="1"/>
  <c r="AB1339" i="34"/>
  <c r="K1339" i="34"/>
  <c r="C1339" i="34"/>
  <c r="B1339" i="34" s="1"/>
  <c r="AB1338" i="34"/>
  <c r="K1338" i="34"/>
  <c r="C1338" i="34"/>
  <c r="B1338" i="34" s="1"/>
  <c r="AB1337" i="34"/>
  <c r="K1337" i="34"/>
  <c r="C1337" i="34"/>
  <c r="B1337" i="34" s="1"/>
  <c r="AB1336" i="34"/>
  <c r="K1336" i="34"/>
  <c r="C1336" i="34"/>
  <c r="B1336" i="34" s="1"/>
  <c r="AB1335" i="34"/>
  <c r="K1335" i="34"/>
  <c r="C1335" i="34"/>
  <c r="B1335" i="34" s="1"/>
  <c r="AB1334" i="34"/>
  <c r="K1334" i="34"/>
  <c r="C1334" i="34"/>
  <c r="B1334" i="34" s="1"/>
  <c r="AB1333" i="34"/>
  <c r="K1333" i="34"/>
  <c r="C1333" i="34"/>
  <c r="B1333" i="34" s="1"/>
  <c r="AB1332" i="34"/>
  <c r="K1332" i="34"/>
  <c r="C1332" i="34"/>
  <c r="B1332" i="34" s="1"/>
  <c r="AB1355" i="34"/>
  <c r="K1355" i="34"/>
  <c r="C1355" i="34"/>
  <c r="B1355" i="34" s="1"/>
  <c r="AB1354" i="34"/>
  <c r="K1354" i="34"/>
  <c r="C1354" i="34"/>
  <c r="B1354" i="34" s="1"/>
  <c r="AB1353" i="34"/>
  <c r="K1353" i="34"/>
  <c r="C1353" i="34"/>
  <c r="B1353" i="34" s="1"/>
  <c r="AB1352" i="34"/>
  <c r="K1352" i="34"/>
  <c r="C1352" i="34"/>
  <c r="B1352" i="34" s="1"/>
  <c r="AB1351" i="34"/>
  <c r="K1351" i="34"/>
  <c r="C1351" i="34"/>
  <c r="B1351" i="34" s="1"/>
  <c r="AB1350" i="34"/>
  <c r="K1350" i="34"/>
  <c r="C1350" i="34"/>
  <c r="B1350" i="34" s="1"/>
  <c r="AB1349" i="34"/>
  <c r="K1349" i="34"/>
  <c r="C1349" i="34"/>
  <c r="B1349" i="34" s="1"/>
  <c r="AB1348" i="34"/>
  <c r="K1348" i="34"/>
  <c r="C1348" i="34"/>
  <c r="B1348" i="34" s="1"/>
  <c r="AB1359" i="34"/>
  <c r="K1359" i="34"/>
  <c r="C1359" i="34"/>
  <c r="B1359" i="34" s="1"/>
  <c r="AB1358" i="34"/>
  <c r="K1358" i="34"/>
  <c r="C1358" i="34"/>
  <c r="B1358" i="34" s="1"/>
  <c r="AB1357" i="34"/>
  <c r="K1357" i="34"/>
  <c r="C1357" i="34"/>
  <c r="B1357" i="34" s="1"/>
  <c r="AB1356" i="34"/>
  <c r="K1356" i="34"/>
  <c r="C1356" i="34"/>
  <c r="B1356" i="34" s="1"/>
  <c r="AB1361" i="34"/>
  <c r="K1361" i="34"/>
  <c r="C1361" i="34"/>
  <c r="B1361" i="34" s="1"/>
  <c r="AB1360" i="34"/>
  <c r="K1360" i="34"/>
  <c r="C1360" i="34"/>
  <c r="B1360" i="34" s="1"/>
  <c r="C1362" i="34"/>
  <c r="B1362" i="34" s="1"/>
  <c r="Q1358" i="34" l="1"/>
  <c r="U1358" i="34"/>
  <c r="Z1358" i="34"/>
  <c r="O1358" i="34"/>
  <c r="W1358" i="34"/>
  <c r="P1358" i="34"/>
  <c r="A1358" i="34"/>
  <c r="Q1350" i="34"/>
  <c r="U1350" i="34"/>
  <c r="Z1350" i="34"/>
  <c r="O1350" i="34"/>
  <c r="W1350" i="34"/>
  <c r="P1350" i="34"/>
  <c r="A1350" i="34"/>
  <c r="Q1354" i="34"/>
  <c r="U1354" i="34"/>
  <c r="Z1354" i="34"/>
  <c r="O1354" i="34"/>
  <c r="W1354" i="34"/>
  <c r="P1354" i="34"/>
  <c r="A1354" i="34"/>
  <c r="Q1334" i="34"/>
  <c r="U1334" i="34"/>
  <c r="Z1334" i="34"/>
  <c r="O1334" i="34"/>
  <c r="W1334" i="34"/>
  <c r="P1334" i="34"/>
  <c r="A1334" i="34"/>
  <c r="Q1338" i="34"/>
  <c r="U1338" i="34"/>
  <c r="Z1338" i="34"/>
  <c r="O1338" i="34"/>
  <c r="W1338" i="34"/>
  <c r="P1338" i="34"/>
  <c r="A1338" i="34"/>
  <c r="Q1342" i="34"/>
  <c r="U1342" i="34"/>
  <c r="Z1342" i="34"/>
  <c r="O1342" i="34"/>
  <c r="W1342" i="34"/>
  <c r="P1342" i="34"/>
  <c r="A1342" i="34"/>
  <c r="Q1346" i="34"/>
  <c r="U1346" i="34"/>
  <c r="Z1346" i="34"/>
  <c r="O1346" i="34"/>
  <c r="W1346" i="34"/>
  <c r="P1346" i="34"/>
  <c r="A1346" i="34"/>
  <c r="Q1302" i="34"/>
  <c r="U1302" i="34"/>
  <c r="Z1302" i="34"/>
  <c r="O1302" i="34"/>
  <c r="W1302" i="34"/>
  <c r="P1302" i="34"/>
  <c r="A1302" i="34"/>
  <c r="Q1306" i="34"/>
  <c r="U1306" i="34"/>
  <c r="Z1306" i="34"/>
  <c r="O1306" i="34"/>
  <c r="W1306" i="34"/>
  <c r="P1306" i="34"/>
  <c r="A1306" i="34"/>
  <c r="Q1310" i="34"/>
  <c r="U1310" i="34"/>
  <c r="Z1310" i="34"/>
  <c r="O1310" i="34"/>
  <c r="W1310" i="34"/>
  <c r="P1310" i="34"/>
  <c r="A1310" i="34"/>
  <c r="Q1314" i="34"/>
  <c r="U1314" i="34"/>
  <c r="Z1314" i="34"/>
  <c r="O1314" i="34"/>
  <c r="W1314" i="34"/>
  <c r="P1314" i="34"/>
  <c r="A1314" i="34"/>
  <c r="Q1318" i="34"/>
  <c r="U1318" i="34"/>
  <c r="Z1318" i="34"/>
  <c r="O1318" i="34"/>
  <c r="W1318" i="34"/>
  <c r="P1318" i="34"/>
  <c r="A1318" i="34"/>
  <c r="Q1322" i="34"/>
  <c r="U1322" i="34"/>
  <c r="Z1322" i="34"/>
  <c r="O1322" i="34"/>
  <c r="W1322" i="34"/>
  <c r="P1322" i="34"/>
  <c r="A1322" i="34"/>
  <c r="Q1326" i="34"/>
  <c r="U1326" i="34"/>
  <c r="Z1326" i="34"/>
  <c r="O1326" i="34"/>
  <c r="W1326" i="34"/>
  <c r="P1326" i="34"/>
  <c r="A1326" i="34"/>
  <c r="Q1330" i="34"/>
  <c r="U1330" i="34"/>
  <c r="Z1330" i="34"/>
  <c r="O1330" i="34"/>
  <c r="W1330" i="34"/>
  <c r="P1330" i="34"/>
  <c r="A1330" i="34"/>
  <c r="P1287" i="34"/>
  <c r="Q1287" i="34"/>
  <c r="U1287" i="34"/>
  <c r="Z1287" i="34"/>
  <c r="O1287" i="34"/>
  <c r="W1287" i="34"/>
  <c r="A1287" i="34"/>
  <c r="P1291" i="34"/>
  <c r="Q1291" i="34"/>
  <c r="U1291" i="34"/>
  <c r="Z1291" i="34"/>
  <c r="O1291" i="34"/>
  <c r="W1291" i="34"/>
  <c r="A1291" i="34"/>
  <c r="P1295" i="34"/>
  <c r="Q1295" i="34"/>
  <c r="U1295" i="34"/>
  <c r="Z1295" i="34"/>
  <c r="O1295" i="34"/>
  <c r="W1295" i="34"/>
  <c r="A1295" i="34"/>
  <c r="P1299" i="34"/>
  <c r="Q1299" i="34"/>
  <c r="U1299" i="34"/>
  <c r="Z1299" i="34"/>
  <c r="O1299" i="34"/>
  <c r="W1299" i="34"/>
  <c r="A1299" i="34"/>
  <c r="P1359" i="34"/>
  <c r="Q1359" i="34"/>
  <c r="U1359" i="34"/>
  <c r="Z1359" i="34"/>
  <c r="O1359" i="34"/>
  <c r="W1359" i="34"/>
  <c r="A1359" i="34"/>
  <c r="O1360" i="34"/>
  <c r="W1360" i="34"/>
  <c r="P1360" i="34"/>
  <c r="Q1360" i="34"/>
  <c r="U1360" i="34"/>
  <c r="Z1360" i="34"/>
  <c r="A1360" i="34"/>
  <c r="Z1357" i="34"/>
  <c r="O1357" i="34"/>
  <c r="W1357" i="34"/>
  <c r="P1357" i="34"/>
  <c r="Q1357" i="34"/>
  <c r="U1357" i="34"/>
  <c r="A1357" i="34"/>
  <c r="Z1349" i="34"/>
  <c r="O1349" i="34"/>
  <c r="W1349" i="34"/>
  <c r="P1349" i="34"/>
  <c r="Q1349" i="34"/>
  <c r="U1349" i="34"/>
  <c r="A1349" i="34"/>
  <c r="Z1353" i="34"/>
  <c r="O1353" i="34"/>
  <c r="W1353" i="34"/>
  <c r="P1353" i="34"/>
  <c r="Q1353" i="34"/>
  <c r="U1353" i="34"/>
  <c r="A1353" i="34"/>
  <c r="Z1333" i="34"/>
  <c r="O1333" i="34"/>
  <c r="W1333" i="34"/>
  <c r="P1333" i="34"/>
  <c r="Q1333" i="34"/>
  <c r="U1333" i="34"/>
  <c r="A1333" i="34"/>
  <c r="Z1337" i="34"/>
  <c r="O1337" i="34"/>
  <c r="W1337" i="34"/>
  <c r="P1337" i="34"/>
  <c r="Q1337" i="34"/>
  <c r="U1337" i="34"/>
  <c r="A1337" i="34"/>
  <c r="Z1341" i="34"/>
  <c r="O1341" i="34"/>
  <c r="W1341" i="34"/>
  <c r="P1341" i="34"/>
  <c r="Q1341" i="34"/>
  <c r="U1341" i="34"/>
  <c r="A1341" i="34"/>
  <c r="Z1345" i="34"/>
  <c r="O1345" i="34"/>
  <c r="W1345" i="34"/>
  <c r="P1345" i="34"/>
  <c r="Q1345" i="34"/>
  <c r="U1345" i="34"/>
  <c r="A1345" i="34"/>
  <c r="Z1301" i="34"/>
  <c r="O1301" i="34"/>
  <c r="W1301" i="34"/>
  <c r="P1301" i="34"/>
  <c r="Q1301" i="34"/>
  <c r="U1301" i="34"/>
  <c r="A1301" i="34"/>
  <c r="Z1305" i="34"/>
  <c r="O1305" i="34"/>
  <c r="W1305" i="34"/>
  <c r="P1305" i="34"/>
  <c r="Q1305" i="34"/>
  <c r="U1305" i="34"/>
  <c r="A1305" i="34"/>
  <c r="Z1309" i="34"/>
  <c r="O1309" i="34"/>
  <c r="W1309" i="34"/>
  <c r="P1309" i="34"/>
  <c r="Q1309" i="34"/>
  <c r="U1309" i="34"/>
  <c r="A1309" i="34"/>
  <c r="Z1313" i="34"/>
  <c r="O1313" i="34"/>
  <c r="W1313" i="34"/>
  <c r="P1313" i="34"/>
  <c r="Q1313" i="34"/>
  <c r="U1313" i="34"/>
  <c r="A1313" i="34"/>
  <c r="Z1317" i="34"/>
  <c r="O1317" i="34"/>
  <c r="W1317" i="34"/>
  <c r="P1317" i="34"/>
  <c r="Q1317" i="34"/>
  <c r="U1317" i="34"/>
  <c r="A1317" i="34"/>
  <c r="Z1321" i="34"/>
  <c r="O1321" i="34"/>
  <c r="W1321" i="34"/>
  <c r="P1321" i="34"/>
  <c r="Q1321" i="34"/>
  <c r="U1321" i="34"/>
  <c r="A1321" i="34"/>
  <c r="Z1325" i="34"/>
  <c r="O1325" i="34"/>
  <c r="W1325" i="34"/>
  <c r="P1325" i="34"/>
  <c r="Q1325" i="34"/>
  <c r="U1325" i="34"/>
  <c r="A1325" i="34"/>
  <c r="Z1329" i="34"/>
  <c r="O1329" i="34"/>
  <c r="W1329" i="34"/>
  <c r="P1329" i="34"/>
  <c r="Q1329" i="34"/>
  <c r="U1329" i="34"/>
  <c r="A1329" i="34"/>
  <c r="Q1286" i="34"/>
  <c r="U1286" i="34"/>
  <c r="Z1286" i="34"/>
  <c r="O1286" i="34"/>
  <c r="W1286" i="34"/>
  <c r="P1286" i="34"/>
  <c r="A1286" i="34"/>
  <c r="Q1290" i="34"/>
  <c r="U1290" i="34"/>
  <c r="Z1290" i="34"/>
  <c r="O1290" i="34"/>
  <c r="W1290" i="34"/>
  <c r="P1290" i="34"/>
  <c r="A1290" i="34"/>
  <c r="Q1294" i="34"/>
  <c r="U1294" i="34"/>
  <c r="Z1294" i="34"/>
  <c r="O1294" i="34"/>
  <c r="W1294" i="34"/>
  <c r="P1294" i="34"/>
  <c r="A1294" i="34"/>
  <c r="Q1298" i="34"/>
  <c r="U1298" i="34"/>
  <c r="Z1298" i="34"/>
  <c r="O1298" i="34"/>
  <c r="W1298" i="34"/>
  <c r="P1298" i="34"/>
  <c r="A1298" i="34"/>
  <c r="O1348" i="34"/>
  <c r="W1348" i="34"/>
  <c r="P1348" i="34"/>
  <c r="Q1348" i="34"/>
  <c r="U1348" i="34"/>
  <c r="Z1348" i="34"/>
  <c r="A1348" i="34"/>
  <c r="O1352" i="34"/>
  <c r="W1352" i="34"/>
  <c r="P1352" i="34"/>
  <c r="Q1352" i="34"/>
  <c r="U1352" i="34"/>
  <c r="Z1352" i="34"/>
  <c r="A1352" i="34"/>
  <c r="O1332" i="34"/>
  <c r="W1332" i="34"/>
  <c r="P1332" i="34"/>
  <c r="Q1332" i="34"/>
  <c r="U1332" i="34"/>
  <c r="Z1332" i="34"/>
  <c r="A1332" i="34"/>
  <c r="O1336" i="34"/>
  <c r="W1336" i="34"/>
  <c r="P1336" i="34"/>
  <c r="Q1336" i="34"/>
  <c r="U1336" i="34"/>
  <c r="Z1336" i="34"/>
  <c r="A1336" i="34"/>
  <c r="O1340" i="34"/>
  <c r="W1340" i="34"/>
  <c r="P1340" i="34"/>
  <c r="Q1340" i="34"/>
  <c r="U1340" i="34"/>
  <c r="Z1340" i="34"/>
  <c r="A1340" i="34"/>
  <c r="O1344" i="34"/>
  <c r="W1344" i="34"/>
  <c r="P1344" i="34"/>
  <c r="Q1344" i="34"/>
  <c r="U1344" i="34"/>
  <c r="Z1344" i="34"/>
  <c r="A1344" i="34"/>
  <c r="O1284" i="34"/>
  <c r="W1284" i="34"/>
  <c r="P1284" i="34"/>
  <c r="Q1284" i="34"/>
  <c r="U1284" i="34"/>
  <c r="Z1284" i="34"/>
  <c r="A1284" i="34"/>
  <c r="O1304" i="34"/>
  <c r="W1304" i="34"/>
  <c r="P1304" i="34"/>
  <c r="Q1304" i="34"/>
  <c r="U1304" i="34"/>
  <c r="Z1304" i="34"/>
  <c r="A1304" i="34"/>
  <c r="O1308" i="34"/>
  <c r="W1308" i="34"/>
  <c r="P1308" i="34"/>
  <c r="Q1308" i="34"/>
  <c r="U1308" i="34"/>
  <c r="Z1308" i="34"/>
  <c r="A1308" i="34"/>
  <c r="O1312" i="34"/>
  <c r="W1312" i="34"/>
  <c r="P1312" i="34"/>
  <c r="Q1312" i="34"/>
  <c r="U1312" i="34"/>
  <c r="Z1312" i="34"/>
  <c r="A1312" i="34"/>
  <c r="O1316" i="34"/>
  <c r="W1316" i="34"/>
  <c r="P1316" i="34"/>
  <c r="Q1316" i="34"/>
  <c r="U1316" i="34"/>
  <c r="Z1316" i="34"/>
  <c r="A1316" i="34"/>
  <c r="O1320" i="34"/>
  <c r="W1320" i="34"/>
  <c r="P1320" i="34"/>
  <c r="Q1320" i="34"/>
  <c r="U1320" i="34"/>
  <c r="Z1320" i="34"/>
  <c r="A1320" i="34"/>
  <c r="O1324" i="34"/>
  <c r="W1324" i="34"/>
  <c r="P1324" i="34"/>
  <c r="Q1324" i="34"/>
  <c r="U1324" i="34"/>
  <c r="Z1324" i="34"/>
  <c r="A1324" i="34"/>
  <c r="O1328" i="34"/>
  <c r="W1328" i="34"/>
  <c r="P1328" i="34"/>
  <c r="Q1328" i="34"/>
  <c r="U1328" i="34"/>
  <c r="Z1328" i="34"/>
  <c r="A1328" i="34"/>
  <c r="Z1285" i="34"/>
  <c r="O1285" i="34"/>
  <c r="W1285" i="34"/>
  <c r="P1285" i="34"/>
  <c r="Q1285" i="34"/>
  <c r="U1285" i="34"/>
  <c r="A1285" i="34"/>
  <c r="Z1289" i="34"/>
  <c r="O1289" i="34"/>
  <c r="W1289" i="34"/>
  <c r="P1289" i="34"/>
  <c r="Q1289" i="34"/>
  <c r="U1289" i="34"/>
  <c r="A1289" i="34"/>
  <c r="Z1293" i="34"/>
  <c r="O1293" i="34"/>
  <c r="W1293" i="34"/>
  <c r="P1293" i="34"/>
  <c r="Q1293" i="34"/>
  <c r="U1293" i="34"/>
  <c r="A1293" i="34"/>
  <c r="Z1297" i="34"/>
  <c r="O1297" i="34"/>
  <c r="W1297" i="34"/>
  <c r="P1297" i="34"/>
  <c r="Q1297" i="34"/>
  <c r="U1297" i="34"/>
  <c r="A1297" i="34"/>
  <c r="O1356" i="34"/>
  <c r="W1356" i="34"/>
  <c r="P1356" i="34"/>
  <c r="Q1356" i="34"/>
  <c r="U1356" i="34"/>
  <c r="Z1356" i="34"/>
  <c r="A1356" i="34"/>
  <c r="Q1362" i="34"/>
  <c r="U1362" i="34"/>
  <c r="Z1362" i="34"/>
  <c r="O1362" i="34"/>
  <c r="W1362" i="34"/>
  <c r="P1362" i="34"/>
  <c r="A1362" i="34"/>
  <c r="Z1361" i="34"/>
  <c r="O1361" i="34"/>
  <c r="W1361" i="34"/>
  <c r="P1361" i="34"/>
  <c r="Q1361" i="34"/>
  <c r="U1361" i="34"/>
  <c r="A1361" i="34"/>
  <c r="P1351" i="34"/>
  <c r="Q1351" i="34"/>
  <c r="U1351" i="34"/>
  <c r="Z1351" i="34"/>
  <c r="O1351" i="34"/>
  <c r="W1351" i="34"/>
  <c r="A1351" i="34"/>
  <c r="P1355" i="34"/>
  <c r="Q1355" i="34"/>
  <c r="U1355" i="34"/>
  <c r="Z1355" i="34"/>
  <c r="O1355" i="34"/>
  <c r="W1355" i="34"/>
  <c r="A1355" i="34"/>
  <c r="P1335" i="34"/>
  <c r="Q1335" i="34"/>
  <c r="U1335" i="34"/>
  <c r="Z1335" i="34"/>
  <c r="O1335" i="34"/>
  <c r="W1335" i="34"/>
  <c r="A1335" i="34"/>
  <c r="P1339" i="34"/>
  <c r="Q1339" i="34"/>
  <c r="U1339" i="34"/>
  <c r="Z1339" i="34"/>
  <c r="O1339" i="34"/>
  <c r="W1339" i="34"/>
  <c r="A1339" i="34"/>
  <c r="P1343" i="34"/>
  <c r="Q1343" i="34"/>
  <c r="U1343" i="34"/>
  <c r="Z1343" i="34"/>
  <c r="O1343" i="34"/>
  <c r="W1343" i="34"/>
  <c r="A1343" i="34"/>
  <c r="P1347" i="34"/>
  <c r="Q1347" i="34"/>
  <c r="U1347" i="34"/>
  <c r="Z1347" i="34"/>
  <c r="O1347" i="34"/>
  <c r="W1347" i="34"/>
  <c r="A1347" i="34"/>
  <c r="P1303" i="34"/>
  <c r="Q1303" i="34"/>
  <c r="U1303" i="34"/>
  <c r="Z1303" i="34"/>
  <c r="O1303" i="34"/>
  <c r="W1303" i="34"/>
  <c r="A1303" i="34"/>
  <c r="P1307" i="34"/>
  <c r="Q1307" i="34"/>
  <c r="U1307" i="34"/>
  <c r="Z1307" i="34"/>
  <c r="O1307" i="34"/>
  <c r="W1307" i="34"/>
  <c r="A1307" i="34"/>
  <c r="P1311" i="34"/>
  <c r="Q1311" i="34"/>
  <c r="U1311" i="34"/>
  <c r="Z1311" i="34"/>
  <c r="O1311" i="34"/>
  <c r="W1311" i="34"/>
  <c r="A1311" i="34"/>
  <c r="P1315" i="34"/>
  <c r="Q1315" i="34"/>
  <c r="U1315" i="34"/>
  <c r="Z1315" i="34"/>
  <c r="O1315" i="34"/>
  <c r="W1315" i="34"/>
  <c r="A1315" i="34"/>
  <c r="P1319" i="34"/>
  <c r="Q1319" i="34"/>
  <c r="U1319" i="34"/>
  <c r="Z1319" i="34"/>
  <c r="O1319" i="34"/>
  <c r="W1319" i="34"/>
  <c r="A1319" i="34"/>
  <c r="P1323" i="34"/>
  <c r="Q1323" i="34"/>
  <c r="U1323" i="34"/>
  <c r="Z1323" i="34"/>
  <c r="O1323" i="34"/>
  <c r="W1323" i="34"/>
  <c r="A1323" i="34"/>
  <c r="P1327" i="34"/>
  <c r="Q1327" i="34"/>
  <c r="U1327" i="34"/>
  <c r="Z1327" i="34"/>
  <c r="O1327" i="34"/>
  <c r="W1327" i="34"/>
  <c r="A1327" i="34"/>
  <c r="P1331" i="34"/>
  <c r="Q1331" i="34"/>
  <c r="U1331" i="34"/>
  <c r="Z1331" i="34"/>
  <c r="O1331" i="34"/>
  <c r="W1331" i="34"/>
  <c r="A1331" i="34"/>
  <c r="O1288" i="34"/>
  <c r="W1288" i="34"/>
  <c r="P1288" i="34"/>
  <c r="Q1288" i="34"/>
  <c r="U1288" i="34"/>
  <c r="Z1288" i="34"/>
  <c r="A1288" i="34"/>
  <c r="O1292" i="34"/>
  <c r="W1292" i="34"/>
  <c r="P1292" i="34"/>
  <c r="Q1292" i="34"/>
  <c r="U1292" i="34"/>
  <c r="Z1292" i="34"/>
  <c r="A1292" i="34"/>
  <c r="O1296" i="34"/>
  <c r="W1296" i="34"/>
  <c r="P1296" i="34"/>
  <c r="Q1296" i="34"/>
  <c r="U1296" i="34"/>
  <c r="Z1296" i="34"/>
  <c r="A1296" i="34"/>
  <c r="O1300" i="34"/>
  <c r="W1300" i="34"/>
  <c r="P1300" i="34"/>
  <c r="Q1300" i="34"/>
  <c r="U1300" i="34"/>
  <c r="Z1300" i="34"/>
  <c r="A1300" i="34"/>
  <c r="C1490" i="34"/>
  <c r="B1490" i="34" s="1"/>
  <c r="C1416" i="34"/>
  <c r="B1416" i="34" s="1"/>
  <c r="AB1415" i="34"/>
  <c r="C1415" i="34"/>
  <c r="B1415" i="34" s="1"/>
  <c r="C1406" i="34"/>
  <c r="B1406" i="34" s="1"/>
  <c r="AB2483" i="34"/>
  <c r="K2483" i="34"/>
  <c r="K2479" i="34"/>
  <c r="AB2479" i="34"/>
  <c r="K2476" i="34"/>
  <c r="AB2476" i="34"/>
  <c r="K2477" i="34"/>
  <c r="AB2477" i="34"/>
  <c r="AB2471" i="34"/>
  <c r="K2471" i="34"/>
  <c r="AB2469" i="34"/>
  <c r="K2469" i="34"/>
  <c r="AB2467" i="34"/>
  <c r="K2467" i="34"/>
  <c r="K2464" i="34"/>
  <c r="AB2464" i="34"/>
  <c r="K2465" i="34"/>
  <c r="AB2465" i="34"/>
  <c r="C2476" i="34"/>
  <c r="B2476" i="34" s="1"/>
  <c r="AB2475" i="34"/>
  <c r="K2475" i="34"/>
  <c r="C2475" i="34"/>
  <c r="B2475" i="34" s="1"/>
  <c r="AB2474" i="34"/>
  <c r="K2474" i="34"/>
  <c r="C2474" i="34"/>
  <c r="B2474" i="34" s="1"/>
  <c r="C2473" i="34"/>
  <c r="B2473" i="34" s="1"/>
  <c r="AB2472" i="34"/>
  <c r="K2472" i="34"/>
  <c r="C2472" i="34"/>
  <c r="B2472" i="34" s="1"/>
  <c r="C2471" i="34"/>
  <c r="B2471" i="34" s="1"/>
  <c r="C2470" i="34"/>
  <c r="B2470" i="34" s="1"/>
  <c r="C2469" i="34"/>
  <c r="B2469" i="34" s="1"/>
  <c r="C2468" i="34"/>
  <c r="B2468" i="34" s="1"/>
  <c r="C2467" i="34"/>
  <c r="B2467" i="34" s="1"/>
  <c r="C2466" i="34"/>
  <c r="B2466" i="34" s="1"/>
  <c r="C2465" i="34"/>
  <c r="B2465" i="34" s="1"/>
  <c r="C2482" i="34"/>
  <c r="B2482" i="34" s="1"/>
  <c r="C2481" i="34"/>
  <c r="B2481" i="34" s="1"/>
  <c r="C2480" i="34"/>
  <c r="B2480" i="34" s="1"/>
  <c r="C2479" i="34"/>
  <c r="B2479" i="34" s="1"/>
  <c r="C2478" i="34"/>
  <c r="B2478" i="34" s="1"/>
  <c r="C2477" i="34"/>
  <c r="B2477" i="34" s="1"/>
  <c r="C2484" i="34"/>
  <c r="B2484" i="34" s="1"/>
  <c r="C2483" i="34"/>
  <c r="B2483" i="34" s="1"/>
  <c r="AB2458" i="34"/>
  <c r="K2458" i="34"/>
  <c r="K2455" i="34"/>
  <c r="AB2455" i="34"/>
  <c r="K2456" i="34"/>
  <c r="AB2456" i="34"/>
  <c r="K2452" i="34"/>
  <c r="AB2452" i="34"/>
  <c r="K2450" i="34"/>
  <c r="C2455" i="34"/>
  <c r="B2455" i="34" s="1"/>
  <c r="AB2454" i="34"/>
  <c r="K2454" i="34"/>
  <c r="C2454" i="34"/>
  <c r="B2454" i="34" s="1"/>
  <c r="AB2453" i="34"/>
  <c r="K2453" i="34"/>
  <c r="C2453" i="34"/>
  <c r="B2453" i="34" s="1"/>
  <c r="C2452" i="34"/>
  <c r="B2452" i="34" s="1"/>
  <c r="C2451" i="34"/>
  <c r="B2451" i="34" s="1"/>
  <c r="AB2450" i="34"/>
  <c r="C2450" i="34"/>
  <c r="B2450" i="34" s="1"/>
  <c r="C2461" i="34"/>
  <c r="B2461" i="34" s="1"/>
  <c r="AB2460" i="34"/>
  <c r="K2460" i="34"/>
  <c r="C2460" i="34"/>
  <c r="B2460" i="34" s="1"/>
  <c r="C2459" i="34"/>
  <c r="B2459" i="34" s="1"/>
  <c r="C2458" i="34"/>
  <c r="B2458" i="34" s="1"/>
  <c r="C2457" i="34"/>
  <c r="B2457" i="34" s="1"/>
  <c r="C2456" i="34"/>
  <c r="B2456" i="34" s="1"/>
  <c r="C2464" i="34"/>
  <c r="B2464" i="34" s="1"/>
  <c r="AB2463" i="34"/>
  <c r="K2463" i="34"/>
  <c r="C2463" i="34"/>
  <c r="B2463" i="34" s="1"/>
  <c r="AB2462" i="34"/>
  <c r="K2462" i="34"/>
  <c r="C2462" i="34"/>
  <c r="B2462" i="34" s="1"/>
  <c r="C2449" i="34"/>
  <c r="B2449" i="34" s="1"/>
  <c r="AB2448" i="34"/>
  <c r="K2448" i="34"/>
  <c r="C2448" i="34"/>
  <c r="B2448" i="34" s="1"/>
  <c r="C2447" i="34"/>
  <c r="B2447" i="34" s="1"/>
  <c r="AB2446" i="34"/>
  <c r="K2446" i="34"/>
  <c r="C2446" i="34"/>
  <c r="B2446" i="34" s="1"/>
  <c r="C2445" i="34"/>
  <c r="B2445" i="34" s="1"/>
  <c r="AB2444" i="34"/>
  <c r="K2444" i="34"/>
  <c r="C2444" i="34"/>
  <c r="B2444" i="34" s="1"/>
  <c r="C2443" i="34"/>
  <c r="B2443" i="34" s="1"/>
  <c r="AB2442" i="34"/>
  <c r="K2442" i="34"/>
  <c r="C2442" i="34"/>
  <c r="B2442" i="34" s="1"/>
  <c r="P2442" i="34" l="1"/>
  <c r="Q2442" i="34"/>
  <c r="U2442" i="34"/>
  <c r="Z2442" i="34"/>
  <c r="O2442" i="34"/>
  <c r="W2442" i="34"/>
  <c r="A2442" i="34"/>
  <c r="Z2444" i="34"/>
  <c r="O2444" i="34"/>
  <c r="W2444" i="34"/>
  <c r="P2444" i="34"/>
  <c r="Q2444" i="34"/>
  <c r="U2444" i="34"/>
  <c r="A2444" i="34"/>
  <c r="P2446" i="34"/>
  <c r="Q2446" i="34"/>
  <c r="U2446" i="34"/>
  <c r="Z2446" i="34"/>
  <c r="O2446" i="34"/>
  <c r="W2446" i="34"/>
  <c r="A2446" i="34"/>
  <c r="Z2448" i="34"/>
  <c r="O2448" i="34"/>
  <c r="W2448" i="34"/>
  <c r="P2448" i="34"/>
  <c r="Q2448" i="34"/>
  <c r="U2448" i="34"/>
  <c r="A2448" i="34"/>
  <c r="P2462" i="34"/>
  <c r="Q2462" i="34"/>
  <c r="U2462" i="34"/>
  <c r="Z2462" i="34"/>
  <c r="O2462" i="34"/>
  <c r="W2462" i="34"/>
  <c r="A2462" i="34"/>
  <c r="Q2457" i="34"/>
  <c r="U2457" i="34"/>
  <c r="Z2457" i="34"/>
  <c r="O2457" i="34"/>
  <c r="W2457" i="34"/>
  <c r="P2457" i="34"/>
  <c r="A2457" i="34"/>
  <c r="P2458" i="34"/>
  <c r="Q2458" i="34"/>
  <c r="U2458" i="34"/>
  <c r="Z2458" i="34"/>
  <c r="O2458" i="34"/>
  <c r="W2458" i="34"/>
  <c r="A2458" i="34"/>
  <c r="O2451" i="34"/>
  <c r="W2451" i="34"/>
  <c r="P2451" i="34"/>
  <c r="Q2451" i="34"/>
  <c r="U2451" i="34"/>
  <c r="Z2451" i="34"/>
  <c r="A2451" i="34"/>
  <c r="O2455" i="34"/>
  <c r="W2455" i="34"/>
  <c r="P2455" i="34"/>
  <c r="Q2455" i="34"/>
  <c r="U2455" i="34"/>
  <c r="Z2455" i="34"/>
  <c r="A2455" i="34"/>
  <c r="Q2477" i="34"/>
  <c r="U2477" i="34"/>
  <c r="Z2477" i="34"/>
  <c r="O2477" i="34"/>
  <c r="W2477" i="34"/>
  <c r="P2477" i="34"/>
  <c r="A2477" i="34"/>
  <c r="Q2481" i="34"/>
  <c r="U2481" i="34"/>
  <c r="Z2481" i="34"/>
  <c r="O2481" i="34"/>
  <c r="W2481" i="34"/>
  <c r="P2481" i="34"/>
  <c r="A2481" i="34"/>
  <c r="O2467" i="34"/>
  <c r="W2467" i="34"/>
  <c r="P2467" i="34"/>
  <c r="Q2467" i="34"/>
  <c r="U2467" i="34"/>
  <c r="Z2467" i="34"/>
  <c r="A2467" i="34"/>
  <c r="O2471" i="34"/>
  <c r="W2471" i="34"/>
  <c r="P2471" i="34"/>
  <c r="Q2471" i="34"/>
  <c r="U2471" i="34"/>
  <c r="Z2471" i="34"/>
  <c r="A2471" i="34"/>
  <c r="Q2473" i="34"/>
  <c r="U2473" i="34"/>
  <c r="Z2473" i="34"/>
  <c r="O2473" i="34"/>
  <c r="W2473" i="34"/>
  <c r="P2473" i="34"/>
  <c r="A2473" i="34"/>
  <c r="O2475" i="34"/>
  <c r="W2475" i="34"/>
  <c r="P2475" i="34"/>
  <c r="Q2475" i="34"/>
  <c r="U2475" i="34"/>
  <c r="Z2475" i="34"/>
  <c r="A2475" i="34"/>
  <c r="Z2464" i="34"/>
  <c r="O2464" i="34"/>
  <c r="W2464" i="34"/>
  <c r="P2464" i="34"/>
  <c r="Q2464" i="34"/>
  <c r="U2464" i="34"/>
  <c r="A2464" i="34"/>
  <c r="O2459" i="34"/>
  <c r="W2459" i="34"/>
  <c r="P2459" i="34"/>
  <c r="Q2459" i="34"/>
  <c r="U2459" i="34"/>
  <c r="Z2459" i="34"/>
  <c r="A2459" i="34"/>
  <c r="Q2461" i="34"/>
  <c r="U2461" i="34"/>
  <c r="Z2461" i="34"/>
  <c r="O2461" i="34"/>
  <c r="W2461" i="34"/>
  <c r="P2461" i="34"/>
  <c r="A2461" i="34"/>
  <c r="Z2452" i="34"/>
  <c r="O2452" i="34"/>
  <c r="W2452" i="34"/>
  <c r="P2452" i="34"/>
  <c r="Q2452" i="34"/>
  <c r="U2452" i="34"/>
  <c r="A2452" i="34"/>
  <c r="P2454" i="34"/>
  <c r="Q2454" i="34"/>
  <c r="U2454" i="34"/>
  <c r="Z2454" i="34"/>
  <c r="O2454" i="34"/>
  <c r="W2454" i="34"/>
  <c r="A2454" i="34"/>
  <c r="P2478" i="34"/>
  <c r="Q2478" i="34"/>
  <c r="U2478" i="34"/>
  <c r="Z2478" i="34"/>
  <c r="O2478" i="34"/>
  <c r="W2478" i="34"/>
  <c r="A2478" i="34"/>
  <c r="P2482" i="34"/>
  <c r="Q2482" i="34"/>
  <c r="U2482" i="34"/>
  <c r="Z2482" i="34"/>
  <c r="O2482" i="34"/>
  <c r="W2482" i="34"/>
  <c r="A2482" i="34"/>
  <c r="Z2468" i="34"/>
  <c r="O2468" i="34"/>
  <c r="W2468" i="34"/>
  <c r="P2468" i="34"/>
  <c r="Q2468" i="34"/>
  <c r="U2468" i="34"/>
  <c r="A2468" i="34"/>
  <c r="Z2472" i="34"/>
  <c r="O2472" i="34"/>
  <c r="W2472" i="34"/>
  <c r="P2472" i="34"/>
  <c r="Q2472" i="34"/>
  <c r="U2472" i="34"/>
  <c r="A2472" i="34"/>
  <c r="P2474" i="34"/>
  <c r="Q2474" i="34"/>
  <c r="U2474" i="34"/>
  <c r="Z2474" i="34"/>
  <c r="O2474" i="34"/>
  <c r="W2474" i="34"/>
  <c r="A2474" i="34"/>
  <c r="O1416" i="34"/>
  <c r="W1416" i="34"/>
  <c r="P1416" i="34"/>
  <c r="Q1416" i="34"/>
  <c r="U1416" i="34"/>
  <c r="Z1416" i="34"/>
  <c r="A1416" i="34"/>
  <c r="O2443" i="34"/>
  <c r="W2443" i="34"/>
  <c r="P2443" i="34"/>
  <c r="Q2443" i="34"/>
  <c r="U2443" i="34"/>
  <c r="Z2443" i="34"/>
  <c r="A2443" i="34"/>
  <c r="Q2445" i="34"/>
  <c r="U2445" i="34"/>
  <c r="Z2445" i="34"/>
  <c r="O2445" i="34"/>
  <c r="W2445" i="34"/>
  <c r="P2445" i="34"/>
  <c r="A2445" i="34"/>
  <c r="O2447" i="34"/>
  <c r="W2447" i="34"/>
  <c r="P2447" i="34"/>
  <c r="Q2447" i="34"/>
  <c r="U2447" i="34"/>
  <c r="Z2447" i="34"/>
  <c r="A2447" i="34"/>
  <c r="Q2449" i="34"/>
  <c r="U2449" i="34"/>
  <c r="Z2449" i="34"/>
  <c r="O2449" i="34"/>
  <c r="W2449" i="34"/>
  <c r="P2449" i="34"/>
  <c r="A2449" i="34"/>
  <c r="O2463" i="34"/>
  <c r="W2463" i="34"/>
  <c r="P2463" i="34"/>
  <c r="Q2463" i="34"/>
  <c r="U2463" i="34"/>
  <c r="Z2463" i="34"/>
  <c r="A2463" i="34"/>
  <c r="Z2456" i="34"/>
  <c r="O2456" i="34"/>
  <c r="W2456" i="34"/>
  <c r="P2456" i="34"/>
  <c r="Q2456" i="34"/>
  <c r="U2456" i="34"/>
  <c r="A2456" i="34"/>
  <c r="Z2460" i="34"/>
  <c r="O2460" i="34"/>
  <c r="W2460" i="34"/>
  <c r="P2460" i="34"/>
  <c r="Q2460" i="34"/>
  <c r="U2460" i="34"/>
  <c r="A2460" i="34"/>
  <c r="P2450" i="34"/>
  <c r="Q2450" i="34"/>
  <c r="U2450" i="34"/>
  <c r="Z2450" i="34"/>
  <c r="O2450" i="34"/>
  <c r="W2450" i="34"/>
  <c r="A2450" i="34"/>
  <c r="Q2453" i="34"/>
  <c r="U2453" i="34"/>
  <c r="Z2453" i="34"/>
  <c r="O2453" i="34"/>
  <c r="W2453" i="34"/>
  <c r="P2453" i="34"/>
  <c r="A2453" i="34"/>
  <c r="O2483" i="34"/>
  <c r="W2483" i="34"/>
  <c r="P2483" i="34"/>
  <c r="Q2483" i="34"/>
  <c r="U2483" i="34"/>
  <c r="Z2483" i="34"/>
  <c r="A2483" i="34"/>
  <c r="O2479" i="34"/>
  <c r="W2479" i="34"/>
  <c r="P2479" i="34"/>
  <c r="Q2479" i="34"/>
  <c r="U2479" i="34"/>
  <c r="Z2479" i="34"/>
  <c r="A2479" i="34"/>
  <c r="Q2465" i="34"/>
  <c r="U2465" i="34"/>
  <c r="Z2465" i="34"/>
  <c r="O2465" i="34"/>
  <c r="W2465" i="34"/>
  <c r="P2465" i="34"/>
  <c r="A2465" i="34"/>
  <c r="Q2469" i="34"/>
  <c r="U2469" i="34"/>
  <c r="Z2469" i="34"/>
  <c r="O2469" i="34"/>
  <c r="W2469" i="34"/>
  <c r="P2469" i="34"/>
  <c r="A2469" i="34"/>
  <c r="Q1406" i="34"/>
  <c r="U1406" i="34"/>
  <c r="Z1406" i="34"/>
  <c r="O1406" i="34"/>
  <c r="W1406" i="34"/>
  <c r="P1406" i="34"/>
  <c r="A1406" i="34"/>
  <c r="O1490" i="34"/>
  <c r="W1490" i="34"/>
  <c r="P1490" i="34"/>
  <c r="Q1490" i="34"/>
  <c r="U1490" i="34"/>
  <c r="Z1490" i="34"/>
  <c r="A1490" i="34"/>
  <c r="Z2484" i="34"/>
  <c r="O2484" i="34"/>
  <c r="W2484" i="34"/>
  <c r="P2484" i="34"/>
  <c r="Q2484" i="34"/>
  <c r="U2484" i="34"/>
  <c r="A2484" i="34"/>
  <c r="Z2480" i="34"/>
  <c r="O2480" i="34"/>
  <c r="W2480" i="34"/>
  <c r="P2480" i="34"/>
  <c r="Q2480" i="34"/>
  <c r="U2480" i="34"/>
  <c r="A2480" i="34"/>
  <c r="P2466" i="34"/>
  <c r="Q2466" i="34"/>
  <c r="U2466" i="34"/>
  <c r="Z2466" i="34"/>
  <c r="O2466" i="34"/>
  <c r="W2466" i="34"/>
  <c r="A2466" i="34"/>
  <c r="P2470" i="34"/>
  <c r="Q2470" i="34"/>
  <c r="U2470" i="34"/>
  <c r="Z2470" i="34"/>
  <c r="O2470" i="34"/>
  <c r="W2470" i="34"/>
  <c r="A2470" i="34"/>
  <c r="Z2476" i="34"/>
  <c r="O2476" i="34"/>
  <c r="W2476" i="34"/>
  <c r="P2476" i="34"/>
  <c r="Q2476" i="34"/>
  <c r="U2476" i="34"/>
  <c r="A2476" i="34"/>
  <c r="P1415" i="34"/>
  <c r="Q1415" i="34"/>
  <c r="U1415" i="34"/>
  <c r="Z1415" i="34"/>
  <c r="O1415" i="34"/>
  <c r="W1415" i="34"/>
  <c r="A1415" i="34"/>
  <c r="C164" i="34"/>
  <c r="B164" i="34" s="1"/>
  <c r="N149" i="60"/>
  <c r="N150" i="60"/>
  <c r="N151" i="60"/>
  <c r="N152" i="60"/>
  <c r="N153" i="60"/>
  <c r="N154" i="60"/>
  <c r="N155" i="60"/>
  <c r="N156" i="60"/>
  <c r="N148" i="60"/>
  <c r="K3198" i="34"/>
  <c r="C3198" i="34"/>
  <c r="B3198" i="34" s="1"/>
  <c r="K3197" i="34"/>
  <c r="C3197" i="34"/>
  <c r="B3197" i="34" s="1"/>
  <c r="K3196" i="34"/>
  <c r="C3196" i="34"/>
  <c r="B3196" i="34" s="1"/>
  <c r="K3195" i="34"/>
  <c r="C3195" i="34"/>
  <c r="B3195" i="34" s="1"/>
  <c r="K3194" i="34"/>
  <c r="C3194" i="34"/>
  <c r="B3194" i="34" s="1"/>
  <c r="K3193" i="34"/>
  <c r="C3193" i="34"/>
  <c r="B3193" i="34" s="1"/>
  <c r="K3192" i="34"/>
  <c r="C3192" i="34"/>
  <c r="B3192" i="34" s="1"/>
  <c r="K3191" i="34"/>
  <c r="C3191" i="34"/>
  <c r="B3191" i="34" s="1"/>
  <c r="K3190" i="34"/>
  <c r="C3190" i="34"/>
  <c r="B3190" i="34" s="1"/>
  <c r="K3189" i="34"/>
  <c r="C3189" i="34"/>
  <c r="B3189" i="34" s="1"/>
  <c r="K3188" i="34"/>
  <c r="C3188" i="34"/>
  <c r="B3188" i="34" s="1"/>
  <c r="K3187" i="34"/>
  <c r="C3187" i="34"/>
  <c r="B3187" i="34" s="1"/>
  <c r="K3186" i="34"/>
  <c r="C3186" i="34"/>
  <c r="B3186" i="34" s="1"/>
  <c r="K3185" i="34"/>
  <c r="C3185" i="34"/>
  <c r="B3185" i="34" s="1"/>
  <c r="K3184" i="34"/>
  <c r="C3184" i="34"/>
  <c r="B3184" i="34" s="1"/>
  <c r="K3183" i="34"/>
  <c r="C3183" i="34"/>
  <c r="B3183" i="34" s="1"/>
  <c r="K3182" i="34"/>
  <c r="C3182" i="34"/>
  <c r="B3182" i="34" s="1"/>
  <c r="K3181" i="34"/>
  <c r="C3181" i="34"/>
  <c r="B3181" i="34" s="1"/>
  <c r="K3180" i="34"/>
  <c r="C3180" i="34"/>
  <c r="B3180" i="34" s="1"/>
  <c r="K3179" i="34"/>
  <c r="C3179" i="34"/>
  <c r="B3179" i="34" s="1"/>
  <c r="K3178" i="34"/>
  <c r="C3178" i="34"/>
  <c r="B3178" i="34" s="1"/>
  <c r="K3177" i="34"/>
  <c r="C3177" i="34"/>
  <c r="B3177" i="34" s="1"/>
  <c r="K3176" i="34"/>
  <c r="C3176" i="34"/>
  <c r="B3176" i="34" s="1"/>
  <c r="K3175" i="34"/>
  <c r="C3175" i="34"/>
  <c r="B3175" i="34" s="1"/>
  <c r="K3174" i="34"/>
  <c r="C3174" i="34"/>
  <c r="B3174" i="34" s="1"/>
  <c r="K3173" i="34"/>
  <c r="C3173" i="34"/>
  <c r="B3173" i="34" s="1"/>
  <c r="K3172" i="34"/>
  <c r="C3172" i="34"/>
  <c r="B3172" i="34" s="1"/>
  <c r="K3171" i="34"/>
  <c r="C3171" i="34"/>
  <c r="B3171" i="34" s="1"/>
  <c r="K3170" i="34"/>
  <c r="C3170" i="34"/>
  <c r="B3170" i="34" s="1"/>
  <c r="K3169" i="34"/>
  <c r="C3169" i="34"/>
  <c r="B3169" i="34" s="1"/>
  <c r="K3168" i="34"/>
  <c r="C3168" i="34"/>
  <c r="B3168" i="34" s="1"/>
  <c r="K3167" i="34"/>
  <c r="C3167" i="34"/>
  <c r="B3167" i="34" s="1"/>
  <c r="K3166" i="34"/>
  <c r="C3166" i="34"/>
  <c r="B3166" i="34" s="1"/>
  <c r="K3165" i="34"/>
  <c r="C3165" i="34"/>
  <c r="B3165" i="34" s="1"/>
  <c r="K3164" i="34"/>
  <c r="C3164" i="34"/>
  <c r="B3164" i="34" s="1"/>
  <c r="K3163" i="34"/>
  <c r="C3163" i="34"/>
  <c r="B3163" i="34" s="1"/>
  <c r="K3162" i="34"/>
  <c r="C3162" i="34"/>
  <c r="B3162" i="34" s="1"/>
  <c r="K3161" i="34"/>
  <c r="C3161" i="34"/>
  <c r="B3161" i="34" s="1"/>
  <c r="K3160" i="34"/>
  <c r="C3160" i="34"/>
  <c r="B3160" i="34" s="1"/>
  <c r="K3159" i="34"/>
  <c r="C3159" i="34"/>
  <c r="B3159" i="34" s="1"/>
  <c r="K3158" i="34"/>
  <c r="C3158" i="34"/>
  <c r="B3158" i="34" s="1"/>
  <c r="K3157" i="34"/>
  <c r="C3157" i="34"/>
  <c r="B3157" i="34" s="1"/>
  <c r="K3156" i="34"/>
  <c r="C3156" i="34"/>
  <c r="B3156" i="34" s="1"/>
  <c r="K3155" i="34"/>
  <c r="C3155" i="34"/>
  <c r="B3155" i="34" s="1"/>
  <c r="K3154" i="34"/>
  <c r="C3154" i="34"/>
  <c r="B3154" i="34" s="1"/>
  <c r="K3153" i="34"/>
  <c r="C3153" i="34"/>
  <c r="B3153" i="34" s="1"/>
  <c r="K3152" i="34"/>
  <c r="C3152" i="34"/>
  <c r="B3152" i="34" s="1"/>
  <c r="K3151" i="34"/>
  <c r="C3151" i="34"/>
  <c r="B3151" i="34" s="1"/>
  <c r="K3246" i="34"/>
  <c r="C3246" i="34"/>
  <c r="B3246" i="34" s="1"/>
  <c r="K3245" i="34"/>
  <c r="C3245" i="34"/>
  <c r="B3245" i="34" s="1"/>
  <c r="K3244" i="34"/>
  <c r="C3244" i="34"/>
  <c r="B3244" i="34" s="1"/>
  <c r="K3243" i="34"/>
  <c r="C3243" i="34"/>
  <c r="B3243" i="34" s="1"/>
  <c r="K3242" i="34"/>
  <c r="C3242" i="34"/>
  <c r="B3242" i="34" s="1"/>
  <c r="K3241" i="34"/>
  <c r="C3241" i="34"/>
  <c r="B3241" i="34" s="1"/>
  <c r="K3240" i="34"/>
  <c r="C3240" i="34"/>
  <c r="B3240" i="34" s="1"/>
  <c r="K3239" i="34"/>
  <c r="C3239" i="34"/>
  <c r="B3239" i="34" s="1"/>
  <c r="K3238" i="34"/>
  <c r="C3238" i="34"/>
  <c r="B3238" i="34" s="1"/>
  <c r="K3237" i="34"/>
  <c r="C3237" i="34"/>
  <c r="B3237" i="34" s="1"/>
  <c r="K3236" i="34"/>
  <c r="C3236" i="34"/>
  <c r="B3236" i="34" s="1"/>
  <c r="K3235" i="34"/>
  <c r="C3235" i="34"/>
  <c r="B3235" i="34" s="1"/>
  <c r="K3234" i="34"/>
  <c r="C3234" i="34"/>
  <c r="B3234" i="34" s="1"/>
  <c r="K3233" i="34"/>
  <c r="C3233" i="34"/>
  <c r="B3233" i="34" s="1"/>
  <c r="K3232" i="34"/>
  <c r="C3232" i="34"/>
  <c r="B3232" i="34" s="1"/>
  <c r="K3231" i="34"/>
  <c r="C3231" i="34"/>
  <c r="B3231" i="34" s="1"/>
  <c r="K3230" i="34"/>
  <c r="C3230" i="34"/>
  <c r="B3230" i="34" s="1"/>
  <c r="K3229" i="34"/>
  <c r="C3229" i="34"/>
  <c r="B3229" i="34" s="1"/>
  <c r="K3228" i="34"/>
  <c r="C3228" i="34"/>
  <c r="B3228" i="34" s="1"/>
  <c r="K3227" i="34"/>
  <c r="C3227" i="34"/>
  <c r="B3227" i="34" s="1"/>
  <c r="K3226" i="34"/>
  <c r="C3226" i="34"/>
  <c r="B3226" i="34" s="1"/>
  <c r="K3225" i="34"/>
  <c r="C3225" i="34"/>
  <c r="B3225" i="34" s="1"/>
  <c r="K3224" i="34"/>
  <c r="C3224" i="34"/>
  <c r="B3224" i="34" s="1"/>
  <c r="K3223" i="34"/>
  <c r="C3223" i="34"/>
  <c r="B3223" i="34" s="1"/>
  <c r="K3222" i="34"/>
  <c r="C3222" i="34"/>
  <c r="B3222" i="34" s="1"/>
  <c r="K3221" i="34"/>
  <c r="C3221" i="34"/>
  <c r="B3221" i="34" s="1"/>
  <c r="K3220" i="34"/>
  <c r="C3220" i="34"/>
  <c r="B3220" i="34" s="1"/>
  <c r="K3219" i="34"/>
  <c r="C3219" i="34"/>
  <c r="B3219" i="34" s="1"/>
  <c r="K3218" i="34"/>
  <c r="C3218" i="34"/>
  <c r="B3218" i="34" s="1"/>
  <c r="K3217" i="34"/>
  <c r="C3217" i="34"/>
  <c r="B3217" i="34" s="1"/>
  <c r="K3216" i="34"/>
  <c r="C3216" i="34"/>
  <c r="B3216" i="34" s="1"/>
  <c r="K3215" i="34"/>
  <c r="C3215" i="34"/>
  <c r="B3215" i="34" s="1"/>
  <c r="K3214" i="34"/>
  <c r="C3214" i="34"/>
  <c r="B3214" i="34" s="1"/>
  <c r="K3213" i="34"/>
  <c r="C3213" i="34"/>
  <c r="B3213" i="34" s="1"/>
  <c r="K3212" i="34"/>
  <c r="C3212" i="34"/>
  <c r="B3212" i="34" s="1"/>
  <c r="K3211" i="34"/>
  <c r="C3211" i="34"/>
  <c r="B3211" i="34" s="1"/>
  <c r="K3210" i="34"/>
  <c r="C3210" i="34"/>
  <c r="B3210" i="34" s="1"/>
  <c r="K3209" i="34"/>
  <c r="C3209" i="34"/>
  <c r="B3209" i="34" s="1"/>
  <c r="K3208" i="34"/>
  <c r="C3208" i="34"/>
  <c r="B3208" i="34" s="1"/>
  <c r="K3207" i="34"/>
  <c r="C3207" i="34"/>
  <c r="B3207" i="34" s="1"/>
  <c r="K3206" i="34"/>
  <c r="C3206" i="34"/>
  <c r="B3206" i="34" s="1"/>
  <c r="K3205" i="34"/>
  <c r="C3205" i="34"/>
  <c r="B3205" i="34" s="1"/>
  <c r="K3204" i="34"/>
  <c r="C3204" i="34"/>
  <c r="B3204" i="34" s="1"/>
  <c r="K3203" i="34"/>
  <c r="C3203" i="34"/>
  <c r="B3203" i="34" s="1"/>
  <c r="K3202" i="34"/>
  <c r="C3202" i="34"/>
  <c r="B3202" i="34" s="1"/>
  <c r="K3201" i="34"/>
  <c r="C3201" i="34"/>
  <c r="B3201" i="34" s="1"/>
  <c r="K3200" i="34"/>
  <c r="C3200" i="34"/>
  <c r="B3200" i="34" s="1"/>
  <c r="K3199" i="34"/>
  <c r="C3199" i="34"/>
  <c r="B3199" i="34" s="1"/>
  <c r="K3473" i="34"/>
  <c r="C3473" i="34"/>
  <c r="B3473" i="34" s="1"/>
  <c r="K3472" i="34"/>
  <c r="C3472" i="34"/>
  <c r="B3472" i="34" s="1"/>
  <c r="K3471" i="34"/>
  <c r="C3471" i="34"/>
  <c r="B3471" i="34" s="1"/>
  <c r="K3470" i="34"/>
  <c r="C3470" i="34"/>
  <c r="B3470" i="34" s="1"/>
  <c r="K3469" i="34"/>
  <c r="C3469" i="34"/>
  <c r="B3469" i="34" s="1"/>
  <c r="K3468" i="34"/>
  <c r="C3468" i="34"/>
  <c r="B3468" i="34" s="1"/>
  <c r="K3467" i="34"/>
  <c r="C3467" i="34"/>
  <c r="B3467" i="34" s="1"/>
  <c r="C3466" i="34"/>
  <c r="B3466" i="34" s="1"/>
  <c r="C3465" i="34"/>
  <c r="B3465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272" i="34"/>
  <c r="C3272" i="34"/>
  <c r="B3272" i="34" s="1"/>
  <c r="K3271" i="34"/>
  <c r="C3271" i="34"/>
  <c r="B3271" i="34" s="1"/>
  <c r="K3270" i="34"/>
  <c r="C3270" i="34"/>
  <c r="B3270" i="34" s="1"/>
  <c r="K3269" i="34"/>
  <c r="C3269" i="34"/>
  <c r="B3269" i="34" s="1"/>
  <c r="K3268" i="34"/>
  <c r="C3268" i="34"/>
  <c r="B3268" i="34" s="1"/>
  <c r="K3267" i="34"/>
  <c r="C3267" i="34"/>
  <c r="B3267" i="34" s="1"/>
  <c r="K3266" i="34"/>
  <c r="C3266" i="34"/>
  <c r="B3266" i="34" s="1"/>
  <c r="K3265" i="34"/>
  <c r="C3265" i="34"/>
  <c r="B3265" i="34" s="1"/>
  <c r="K3264" i="34"/>
  <c r="C3264" i="34"/>
  <c r="B3264" i="34" s="1"/>
  <c r="K3263" i="34"/>
  <c r="C3263" i="34"/>
  <c r="B3263" i="34" s="1"/>
  <c r="K3262" i="34"/>
  <c r="C3262" i="34"/>
  <c r="B3262" i="34" s="1"/>
  <c r="K3261" i="34"/>
  <c r="C3261" i="34"/>
  <c r="B3261" i="34" s="1"/>
  <c r="K3260" i="34"/>
  <c r="C3260" i="34"/>
  <c r="B3260" i="34" s="1"/>
  <c r="K3259" i="34"/>
  <c r="C3259" i="34"/>
  <c r="B3259" i="34" s="1"/>
  <c r="K3258" i="34"/>
  <c r="C3258" i="34"/>
  <c r="B3258" i="34" s="1"/>
  <c r="K3257" i="34"/>
  <c r="C3257" i="34"/>
  <c r="B3257" i="34" s="1"/>
  <c r="K3256" i="34"/>
  <c r="C3256" i="34"/>
  <c r="B3256" i="34" s="1"/>
  <c r="K3255" i="34"/>
  <c r="C3255" i="34"/>
  <c r="B3255" i="34" s="1"/>
  <c r="K3254" i="34"/>
  <c r="C3254" i="34"/>
  <c r="B3254" i="34" s="1"/>
  <c r="K3253" i="34"/>
  <c r="C3253" i="34"/>
  <c r="B3253" i="34" s="1"/>
  <c r="K3252" i="34"/>
  <c r="C3252" i="34"/>
  <c r="B3252" i="34" s="1"/>
  <c r="K3251" i="34"/>
  <c r="C3251" i="34"/>
  <c r="B3251" i="34" s="1"/>
  <c r="K3250" i="34"/>
  <c r="C3250" i="34"/>
  <c r="B3250" i="34" s="1"/>
  <c r="K3249" i="34"/>
  <c r="C3249" i="34"/>
  <c r="B3249" i="34" s="1"/>
  <c r="K3248" i="34"/>
  <c r="C3248" i="34"/>
  <c r="B3248" i="34" s="1"/>
  <c r="K3247" i="34"/>
  <c r="C3247" i="34"/>
  <c r="B3247" i="34" s="1"/>
  <c r="P3253" i="34" l="1"/>
  <c r="Q3253" i="34"/>
  <c r="U3253" i="34"/>
  <c r="Z3253" i="34"/>
  <c r="O3253" i="34"/>
  <c r="W3253" i="34"/>
  <c r="A3253" i="34"/>
  <c r="Z3259" i="34"/>
  <c r="O3259" i="34"/>
  <c r="W3259" i="34"/>
  <c r="P3259" i="34"/>
  <c r="Q3259" i="34"/>
  <c r="U3259" i="34"/>
  <c r="A3259" i="34"/>
  <c r="Z3267" i="34"/>
  <c r="O3267" i="34"/>
  <c r="W3267" i="34"/>
  <c r="P3267" i="34"/>
  <c r="Q3267" i="34"/>
  <c r="U3267" i="34"/>
  <c r="A3267" i="34"/>
  <c r="Z3389" i="34"/>
  <c r="O3389" i="34"/>
  <c r="W3389" i="34"/>
  <c r="P3389" i="34"/>
  <c r="Q3389" i="34"/>
  <c r="U3389" i="34"/>
  <c r="A3389" i="34"/>
  <c r="Z3473" i="34"/>
  <c r="O3473" i="34"/>
  <c r="W3473" i="34"/>
  <c r="P3473" i="34"/>
  <c r="Q3473" i="34"/>
  <c r="U3473" i="34"/>
  <c r="A3473" i="34"/>
  <c r="Z3247" i="34"/>
  <c r="O3247" i="34"/>
  <c r="W3247" i="34"/>
  <c r="P3247" i="34"/>
  <c r="Q3247" i="34"/>
  <c r="U3247" i="34"/>
  <c r="A3247" i="34"/>
  <c r="Z3255" i="34"/>
  <c r="O3255" i="34"/>
  <c r="W3255" i="34"/>
  <c r="P3255" i="34"/>
  <c r="Q3255" i="34"/>
  <c r="U3255" i="34"/>
  <c r="A3255" i="34"/>
  <c r="P3265" i="34"/>
  <c r="Q3265" i="34"/>
  <c r="U3265" i="34"/>
  <c r="O3265" i="34"/>
  <c r="Z3265" i="34"/>
  <c r="W3265" i="34"/>
  <c r="A3265" i="34"/>
  <c r="P3271" i="34"/>
  <c r="Q3271" i="34"/>
  <c r="U3271" i="34"/>
  <c r="Z3271" i="34"/>
  <c r="O3271" i="34"/>
  <c r="W3271" i="34"/>
  <c r="A3271" i="34"/>
  <c r="Z3385" i="34"/>
  <c r="O3385" i="34"/>
  <c r="W3385" i="34"/>
  <c r="P3385" i="34"/>
  <c r="Q3385" i="34"/>
  <c r="U3385" i="34"/>
  <c r="A3385" i="34"/>
  <c r="Z3393" i="34"/>
  <c r="O3393" i="34"/>
  <c r="W3393" i="34"/>
  <c r="P3393" i="34"/>
  <c r="Q3393" i="34"/>
  <c r="U3393" i="34"/>
  <c r="A3393" i="34"/>
  <c r="P3467" i="34"/>
  <c r="Q3467" i="34"/>
  <c r="U3467" i="34"/>
  <c r="Z3467" i="34"/>
  <c r="O3467" i="34"/>
  <c r="W3467" i="34"/>
  <c r="A3467" i="34"/>
  <c r="Q3248" i="34"/>
  <c r="U3248" i="34"/>
  <c r="Z3248" i="34"/>
  <c r="O3248" i="34"/>
  <c r="W3248" i="34"/>
  <c r="P3248" i="34"/>
  <c r="A3248" i="34"/>
  <c r="Q3252" i="34"/>
  <c r="U3252" i="34"/>
  <c r="Z3252" i="34"/>
  <c r="O3252" i="34"/>
  <c r="W3252" i="34"/>
  <c r="P3252" i="34"/>
  <c r="A3252" i="34"/>
  <c r="O3254" i="34"/>
  <c r="W3254" i="34"/>
  <c r="P3254" i="34"/>
  <c r="Q3254" i="34"/>
  <c r="U3254" i="34"/>
  <c r="Z3254" i="34"/>
  <c r="A3254" i="34"/>
  <c r="Q3256" i="34"/>
  <c r="U3256" i="34"/>
  <c r="Z3256" i="34"/>
  <c r="O3256" i="34"/>
  <c r="W3256" i="34"/>
  <c r="P3256" i="34"/>
  <c r="A3256" i="34"/>
  <c r="O3258" i="34"/>
  <c r="W3258" i="34"/>
  <c r="P3258" i="34"/>
  <c r="Q3258" i="34"/>
  <c r="U3258" i="34"/>
  <c r="Z3258" i="34"/>
  <c r="A3258" i="34"/>
  <c r="Q3260" i="34"/>
  <c r="U3260" i="34"/>
  <c r="Z3260" i="34"/>
  <c r="W3260" i="34"/>
  <c r="O3260" i="34"/>
  <c r="P3260" i="34"/>
  <c r="A3260" i="34"/>
  <c r="O3262" i="34"/>
  <c r="W3262" i="34"/>
  <c r="P3262" i="34"/>
  <c r="Q3262" i="34"/>
  <c r="U3262" i="34"/>
  <c r="Z3262" i="34"/>
  <c r="A3262" i="34"/>
  <c r="Q3264" i="34"/>
  <c r="U3264" i="34"/>
  <c r="Z3264" i="34"/>
  <c r="W3264" i="34"/>
  <c r="O3264" i="34"/>
  <c r="P3264" i="34"/>
  <c r="A3264" i="34"/>
  <c r="O3266" i="34"/>
  <c r="W3266" i="34"/>
  <c r="P3266" i="34"/>
  <c r="Q3266" i="34"/>
  <c r="U3266" i="34"/>
  <c r="Z3266" i="34"/>
  <c r="A3266" i="34"/>
  <c r="Q3268" i="34"/>
  <c r="U3268" i="34"/>
  <c r="Z3268" i="34"/>
  <c r="W3268" i="34"/>
  <c r="O3268" i="34"/>
  <c r="P3268" i="34"/>
  <c r="A3268" i="34"/>
  <c r="Q3270" i="34"/>
  <c r="U3270" i="34"/>
  <c r="Z3270" i="34"/>
  <c r="O3270" i="34"/>
  <c r="W3270" i="34"/>
  <c r="P3270" i="34"/>
  <c r="A3270" i="34"/>
  <c r="O3272" i="34"/>
  <c r="W3272" i="34"/>
  <c r="P3272" i="34"/>
  <c r="Q3272" i="34"/>
  <c r="U3272" i="34"/>
  <c r="Z3272" i="34"/>
  <c r="A3272" i="34"/>
  <c r="O3384" i="34"/>
  <c r="W3384" i="34"/>
  <c r="P3384" i="34"/>
  <c r="Q3384" i="34"/>
  <c r="U3384" i="34"/>
  <c r="Z3384" i="34"/>
  <c r="A3384" i="34"/>
  <c r="Q3386" i="34"/>
  <c r="U3386" i="34"/>
  <c r="Z3386" i="34"/>
  <c r="O3386" i="34"/>
  <c r="W3386" i="34"/>
  <c r="P3386" i="34"/>
  <c r="A3386" i="34"/>
  <c r="O3388" i="34"/>
  <c r="W3388" i="34"/>
  <c r="P3388" i="34"/>
  <c r="Q3388" i="34"/>
  <c r="U3388" i="34"/>
  <c r="Z3388" i="34"/>
  <c r="A3388" i="34"/>
  <c r="Q3390" i="34"/>
  <c r="U3390" i="34"/>
  <c r="Z3390" i="34"/>
  <c r="O3390" i="34"/>
  <c r="W3390" i="34"/>
  <c r="P3390" i="34"/>
  <c r="A3390" i="34"/>
  <c r="O3392" i="34"/>
  <c r="W3392" i="34"/>
  <c r="P3392" i="34"/>
  <c r="Q3392" i="34"/>
  <c r="U3392" i="34"/>
  <c r="Z3392" i="34"/>
  <c r="A3392" i="34"/>
  <c r="Q3394" i="34"/>
  <c r="U3394" i="34"/>
  <c r="Z3394" i="34"/>
  <c r="O3394" i="34"/>
  <c r="W3394" i="34"/>
  <c r="P3394" i="34"/>
  <c r="A3394" i="34"/>
  <c r="Z3465" i="34"/>
  <c r="O3465" i="34"/>
  <c r="W3465" i="34"/>
  <c r="P3465" i="34"/>
  <c r="Q3465" i="34"/>
  <c r="U3465" i="34"/>
  <c r="A3465" i="34"/>
  <c r="O3468" i="34"/>
  <c r="W3468" i="34"/>
  <c r="P3468" i="34"/>
  <c r="Q3468" i="34"/>
  <c r="U3468" i="34"/>
  <c r="Z3468" i="34"/>
  <c r="A3468" i="34"/>
  <c r="Q3470" i="34"/>
  <c r="U3470" i="34"/>
  <c r="Z3470" i="34"/>
  <c r="O3470" i="34"/>
  <c r="W3470" i="34"/>
  <c r="P3470" i="34"/>
  <c r="A3470" i="34"/>
  <c r="O3472" i="34"/>
  <c r="W3472" i="34"/>
  <c r="P3472" i="34"/>
  <c r="Q3472" i="34"/>
  <c r="U3472" i="34"/>
  <c r="Z3472" i="34"/>
  <c r="A3472" i="34"/>
  <c r="Z3199" i="34"/>
  <c r="O3199" i="34"/>
  <c r="W3199" i="34"/>
  <c r="P3199" i="34"/>
  <c r="Q3199" i="34"/>
  <c r="U3199" i="34"/>
  <c r="A3199" i="34"/>
  <c r="P3201" i="34"/>
  <c r="Q3201" i="34"/>
  <c r="U3201" i="34"/>
  <c r="Z3201" i="34"/>
  <c r="O3201" i="34"/>
  <c r="W3201" i="34"/>
  <c r="A3201" i="34"/>
  <c r="Z3203" i="34"/>
  <c r="O3203" i="34"/>
  <c r="W3203" i="34"/>
  <c r="P3203" i="34"/>
  <c r="Q3203" i="34"/>
  <c r="U3203" i="34"/>
  <c r="A3203" i="34"/>
  <c r="P3205" i="34"/>
  <c r="Q3205" i="34"/>
  <c r="U3205" i="34"/>
  <c r="Z3205" i="34"/>
  <c r="O3205" i="34"/>
  <c r="W3205" i="34"/>
  <c r="A3205" i="34"/>
  <c r="Z3207" i="34"/>
  <c r="O3207" i="34"/>
  <c r="W3207" i="34"/>
  <c r="P3207" i="34"/>
  <c r="Q3207" i="34"/>
  <c r="U3207" i="34"/>
  <c r="A3207" i="34"/>
  <c r="P3209" i="34"/>
  <c r="Q3209" i="34"/>
  <c r="U3209" i="34"/>
  <c r="Z3209" i="34"/>
  <c r="O3209" i="34"/>
  <c r="W3209" i="34"/>
  <c r="A3209" i="34"/>
  <c r="Z3211" i="34"/>
  <c r="O3211" i="34"/>
  <c r="W3211" i="34"/>
  <c r="P3211" i="34"/>
  <c r="Q3211" i="34"/>
  <c r="U3211" i="34"/>
  <c r="A3211" i="34"/>
  <c r="P3213" i="34"/>
  <c r="Q3213" i="34"/>
  <c r="U3213" i="34"/>
  <c r="Z3213" i="34"/>
  <c r="O3213" i="34"/>
  <c r="W3213" i="34"/>
  <c r="A3213" i="34"/>
  <c r="Z3215" i="34"/>
  <c r="O3215" i="34"/>
  <c r="W3215" i="34"/>
  <c r="P3215" i="34"/>
  <c r="Q3215" i="34"/>
  <c r="U3215" i="34"/>
  <c r="A3215" i="34"/>
  <c r="P3217" i="34"/>
  <c r="Q3217" i="34"/>
  <c r="U3217" i="34"/>
  <c r="Z3217" i="34"/>
  <c r="O3217" i="34"/>
  <c r="W3217" i="34"/>
  <c r="A3217" i="34"/>
  <c r="Z3219" i="34"/>
  <c r="O3219" i="34"/>
  <c r="W3219" i="34"/>
  <c r="P3219" i="34"/>
  <c r="Q3219" i="34"/>
  <c r="U3219" i="34"/>
  <c r="A3219" i="34"/>
  <c r="P3221" i="34"/>
  <c r="Q3221" i="34"/>
  <c r="U3221" i="34"/>
  <c r="Z3221" i="34"/>
  <c r="O3221" i="34"/>
  <c r="W3221" i="34"/>
  <c r="A3221" i="34"/>
  <c r="Z3223" i="34"/>
  <c r="O3223" i="34"/>
  <c r="W3223" i="34"/>
  <c r="P3223" i="34"/>
  <c r="Q3223" i="34"/>
  <c r="U3223" i="34"/>
  <c r="A3223" i="34"/>
  <c r="P3225" i="34"/>
  <c r="Q3225" i="34"/>
  <c r="U3225" i="34"/>
  <c r="Z3225" i="34"/>
  <c r="O3225" i="34"/>
  <c r="W3225" i="34"/>
  <c r="A3225" i="34"/>
  <c r="Z3227" i="34"/>
  <c r="O3227" i="34"/>
  <c r="W3227" i="34"/>
  <c r="P3227" i="34"/>
  <c r="Q3227" i="34"/>
  <c r="U3227" i="34"/>
  <c r="A3227" i="34"/>
  <c r="P3229" i="34"/>
  <c r="Q3229" i="34"/>
  <c r="U3229" i="34"/>
  <c r="Z3229" i="34"/>
  <c r="O3229" i="34"/>
  <c r="W3229" i="34"/>
  <c r="A3229" i="34"/>
  <c r="Z3231" i="34"/>
  <c r="O3231" i="34"/>
  <c r="W3231" i="34"/>
  <c r="P3231" i="34"/>
  <c r="Q3231" i="34"/>
  <c r="U3231" i="34"/>
  <c r="A3231" i="34"/>
  <c r="P3233" i="34"/>
  <c r="Q3233" i="34"/>
  <c r="U3233" i="34"/>
  <c r="Z3233" i="34"/>
  <c r="O3233" i="34"/>
  <c r="W3233" i="34"/>
  <c r="A3233" i="34"/>
  <c r="Z3235" i="34"/>
  <c r="O3235" i="34"/>
  <c r="W3235" i="34"/>
  <c r="P3235" i="34"/>
  <c r="Q3235" i="34"/>
  <c r="U3235" i="34"/>
  <c r="A3235" i="34"/>
  <c r="P3237" i="34"/>
  <c r="Q3237" i="34"/>
  <c r="U3237" i="34"/>
  <c r="Z3237" i="34"/>
  <c r="O3237" i="34"/>
  <c r="W3237" i="34"/>
  <c r="A3237" i="34"/>
  <c r="Z3239" i="34"/>
  <c r="O3239" i="34"/>
  <c r="W3239" i="34"/>
  <c r="P3239" i="34"/>
  <c r="Q3239" i="34"/>
  <c r="U3239" i="34"/>
  <c r="A3239" i="34"/>
  <c r="P3241" i="34"/>
  <c r="Q3241" i="34"/>
  <c r="U3241" i="34"/>
  <c r="Z3241" i="34"/>
  <c r="O3241" i="34"/>
  <c r="W3241" i="34"/>
  <c r="A3241" i="34"/>
  <c r="Z3243" i="34"/>
  <c r="O3243" i="34"/>
  <c r="W3243" i="34"/>
  <c r="P3243" i="34"/>
  <c r="Q3243" i="34"/>
  <c r="U3243" i="34"/>
  <c r="A3243" i="34"/>
  <c r="P3245" i="34"/>
  <c r="Q3245" i="34"/>
  <c r="U3245" i="34"/>
  <c r="Z3245" i="34"/>
  <c r="O3245" i="34"/>
  <c r="W3245" i="34"/>
  <c r="A3245" i="34"/>
  <c r="Z3151" i="34"/>
  <c r="O3151" i="34"/>
  <c r="W3151" i="34"/>
  <c r="P3151" i="34"/>
  <c r="Q3151" i="34"/>
  <c r="U3151" i="34"/>
  <c r="A3151" i="34"/>
  <c r="P3153" i="34"/>
  <c r="Q3153" i="34"/>
  <c r="U3153" i="34"/>
  <c r="Z3153" i="34"/>
  <c r="O3153" i="34"/>
  <c r="W3153" i="34"/>
  <c r="A3153" i="34"/>
  <c r="Z3155" i="34"/>
  <c r="O3155" i="34"/>
  <c r="W3155" i="34"/>
  <c r="P3155" i="34"/>
  <c r="Q3155" i="34"/>
  <c r="U3155" i="34"/>
  <c r="A3155" i="34"/>
  <c r="P3157" i="34"/>
  <c r="Q3157" i="34"/>
  <c r="U3157" i="34"/>
  <c r="Z3157" i="34"/>
  <c r="O3157" i="34"/>
  <c r="W3157" i="34"/>
  <c r="A3157" i="34"/>
  <c r="Z3159" i="34"/>
  <c r="O3159" i="34"/>
  <c r="W3159" i="34"/>
  <c r="P3159" i="34"/>
  <c r="Q3159" i="34"/>
  <c r="U3159" i="34"/>
  <c r="A3159" i="34"/>
  <c r="P3161" i="34"/>
  <c r="Q3161" i="34"/>
  <c r="U3161" i="34"/>
  <c r="Z3161" i="34"/>
  <c r="O3161" i="34"/>
  <c r="W3161" i="34"/>
  <c r="A3161" i="34"/>
  <c r="Z3163" i="34"/>
  <c r="O3163" i="34"/>
  <c r="W3163" i="34"/>
  <c r="P3163" i="34"/>
  <c r="Q3163" i="34"/>
  <c r="U3163" i="34"/>
  <c r="A3163" i="34"/>
  <c r="P3165" i="34"/>
  <c r="Q3165" i="34"/>
  <c r="U3165" i="34"/>
  <c r="Z3165" i="34"/>
  <c r="O3165" i="34"/>
  <c r="W3165" i="34"/>
  <c r="A3165" i="34"/>
  <c r="Z3167" i="34"/>
  <c r="O3167" i="34"/>
  <c r="W3167" i="34"/>
  <c r="P3167" i="34"/>
  <c r="Q3167" i="34"/>
  <c r="U3167" i="34"/>
  <c r="A3167" i="34"/>
  <c r="P3169" i="34"/>
  <c r="Q3169" i="34"/>
  <c r="U3169" i="34"/>
  <c r="Z3169" i="34"/>
  <c r="O3169" i="34"/>
  <c r="W3169" i="34"/>
  <c r="A3169" i="34"/>
  <c r="Z3171" i="34"/>
  <c r="O3171" i="34"/>
  <c r="W3171" i="34"/>
  <c r="P3171" i="34"/>
  <c r="Q3171" i="34"/>
  <c r="U3171" i="34"/>
  <c r="A3171" i="34"/>
  <c r="P3173" i="34"/>
  <c r="Q3173" i="34"/>
  <c r="U3173" i="34"/>
  <c r="Z3173" i="34"/>
  <c r="O3173" i="34"/>
  <c r="W3173" i="34"/>
  <c r="A3173" i="34"/>
  <c r="Z3175" i="34"/>
  <c r="O3175" i="34"/>
  <c r="W3175" i="34"/>
  <c r="P3175" i="34"/>
  <c r="Q3175" i="34"/>
  <c r="U3175" i="34"/>
  <c r="A3175" i="34"/>
  <c r="P3177" i="34"/>
  <c r="Q3177" i="34"/>
  <c r="U3177" i="34"/>
  <c r="Z3177" i="34"/>
  <c r="O3177" i="34"/>
  <c r="W3177" i="34"/>
  <c r="A3177" i="34"/>
  <c r="Z3179" i="34"/>
  <c r="O3179" i="34"/>
  <c r="W3179" i="34"/>
  <c r="P3179" i="34"/>
  <c r="Q3179" i="34"/>
  <c r="U3179" i="34"/>
  <c r="A3179" i="34"/>
  <c r="P3181" i="34"/>
  <c r="Q3181" i="34"/>
  <c r="U3181" i="34"/>
  <c r="Z3181" i="34"/>
  <c r="O3181" i="34"/>
  <c r="W3181" i="34"/>
  <c r="A3181" i="34"/>
  <c r="Z3183" i="34"/>
  <c r="O3183" i="34"/>
  <c r="W3183" i="34"/>
  <c r="P3183" i="34"/>
  <c r="Q3183" i="34"/>
  <c r="U3183" i="34"/>
  <c r="A3183" i="34"/>
  <c r="P3185" i="34"/>
  <c r="Q3185" i="34"/>
  <c r="U3185" i="34"/>
  <c r="Z3185" i="34"/>
  <c r="O3185" i="34"/>
  <c r="W3185" i="34"/>
  <c r="A3185" i="34"/>
  <c r="Z3187" i="34"/>
  <c r="O3187" i="34"/>
  <c r="W3187" i="34"/>
  <c r="P3187" i="34"/>
  <c r="Q3187" i="34"/>
  <c r="U3187" i="34"/>
  <c r="A3187" i="34"/>
  <c r="P3189" i="34"/>
  <c r="Q3189" i="34"/>
  <c r="U3189" i="34"/>
  <c r="Z3189" i="34"/>
  <c r="O3189" i="34"/>
  <c r="W3189" i="34"/>
  <c r="A3189" i="34"/>
  <c r="Z3191" i="34"/>
  <c r="O3191" i="34"/>
  <c r="W3191" i="34"/>
  <c r="P3191" i="34"/>
  <c r="Q3191" i="34"/>
  <c r="U3191" i="34"/>
  <c r="A3191" i="34"/>
  <c r="P3193" i="34"/>
  <c r="Q3193" i="34"/>
  <c r="U3193" i="34"/>
  <c r="Z3193" i="34"/>
  <c r="O3193" i="34"/>
  <c r="W3193" i="34"/>
  <c r="A3193" i="34"/>
  <c r="Z3195" i="34"/>
  <c r="O3195" i="34"/>
  <c r="W3195" i="34"/>
  <c r="P3195" i="34"/>
  <c r="Q3195" i="34"/>
  <c r="U3195" i="34"/>
  <c r="A3195" i="34"/>
  <c r="P3197" i="34"/>
  <c r="Q3197" i="34"/>
  <c r="U3197" i="34"/>
  <c r="Z3197" i="34"/>
  <c r="O3197" i="34"/>
  <c r="W3197" i="34"/>
  <c r="A3197" i="34"/>
  <c r="P3249" i="34"/>
  <c r="Q3249" i="34"/>
  <c r="U3249" i="34"/>
  <c r="Z3249" i="34"/>
  <c r="O3249" i="34"/>
  <c r="W3249" i="34"/>
  <c r="A3249" i="34"/>
  <c r="P3257" i="34"/>
  <c r="Q3257" i="34"/>
  <c r="U3257" i="34"/>
  <c r="O3257" i="34"/>
  <c r="Z3257" i="34"/>
  <c r="W3257" i="34"/>
  <c r="A3257" i="34"/>
  <c r="Z3263" i="34"/>
  <c r="O3263" i="34"/>
  <c r="W3263" i="34"/>
  <c r="P3263" i="34"/>
  <c r="Q3263" i="34"/>
  <c r="U3263" i="34"/>
  <c r="A3263" i="34"/>
  <c r="P3269" i="34"/>
  <c r="Q3269" i="34"/>
  <c r="U3269" i="34"/>
  <c r="O3269" i="34"/>
  <c r="Z3269" i="34"/>
  <c r="W3269" i="34"/>
  <c r="A3269" i="34"/>
  <c r="P3387" i="34"/>
  <c r="Q3387" i="34"/>
  <c r="U3387" i="34"/>
  <c r="Z3387" i="34"/>
  <c r="O3387" i="34"/>
  <c r="W3387" i="34"/>
  <c r="A3387" i="34"/>
  <c r="Z3469" i="34"/>
  <c r="O3469" i="34"/>
  <c r="W3469" i="34"/>
  <c r="P3469" i="34"/>
  <c r="Q3469" i="34"/>
  <c r="U3469" i="34"/>
  <c r="A3469" i="34"/>
  <c r="O3250" i="34"/>
  <c r="W3250" i="34"/>
  <c r="P3250" i="34"/>
  <c r="Q3250" i="34"/>
  <c r="U3250" i="34"/>
  <c r="Z3250" i="34"/>
  <c r="A3250" i="34"/>
  <c r="Q3466" i="34"/>
  <c r="U3466" i="34"/>
  <c r="Z3466" i="34"/>
  <c r="O3466" i="34"/>
  <c r="W3466" i="34"/>
  <c r="P3466" i="34"/>
  <c r="A3466" i="34"/>
  <c r="R164" i="34"/>
  <c r="Z164" i="34"/>
  <c r="O164" i="34"/>
  <c r="S164" i="34"/>
  <c r="W164" i="34"/>
  <c r="P164" i="34"/>
  <c r="T164" i="34"/>
  <c r="Q164" i="34"/>
  <c r="U164" i="34"/>
  <c r="A164" i="34"/>
  <c r="Z3251" i="34"/>
  <c r="O3251" i="34"/>
  <c r="W3251" i="34"/>
  <c r="P3251" i="34"/>
  <c r="Q3251" i="34"/>
  <c r="U3251" i="34"/>
  <c r="A3251" i="34"/>
  <c r="P3261" i="34"/>
  <c r="Q3261" i="34"/>
  <c r="U3261" i="34"/>
  <c r="O3261" i="34"/>
  <c r="Z3261" i="34"/>
  <c r="W3261" i="34"/>
  <c r="A3261" i="34"/>
  <c r="P3383" i="34"/>
  <c r="Q3383" i="34"/>
  <c r="U3383" i="34"/>
  <c r="Z3383" i="34"/>
  <c r="O3383" i="34"/>
  <c r="W3383" i="34"/>
  <c r="A3383" i="34"/>
  <c r="P3391" i="34"/>
  <c r="Q3391" i="34"/>
  <c r="U3391" i="34"/>
  <c r="Z3391" i="34"/>
  <c r="O3391" i="34"/>
  <c r="W3391" i="34"/>
  <c r="A3391" i="34"/>
  <c r="P3395" i="34"/>
  <c r="Q3395" i="34"/>
  <c r="U3395" i="34"/>
  <c r="Z3395" i="34"/>
  <c r="O3395" i="34"/>
  <c r="W3395" i="34"/>
  <c r="A3395" i="34"/>
  <c r="P3471" i="34"/>
  <c r="Q3471" i="34"/>
  <c r="U3471" i="34"/>
  <c r="Z3471" i="34"/>
  <c r="O3471" i="34"/>
  <c r="W3471" i="34"/>
  <c r="A3471" i="34"/>
  <c r="Q3200" i="34"/>
  <c r="U3200" i="34"/>
  <c r="Z3200" i="34"/>
  <c r="O3200" i="34"/>
  <c r="W3200" i="34"/>
  <c r="P3200" i="34"/>
  <c r="A3200" i="34"/>
  <c r="O3202" i="34"/>
  <c r="W3202" i="34"/>
  <c r="P3202" i="34"/>
  <c r="Q3202" i="34"/>
  <c r="U3202" i="34"/>
  <c r="Z3202" i="34"/>
  <c r="A3202" i="34"/>
  <c r="Q3204" i="34"/>
  <c r="U3204" i="34"/>
  <c r="Z3204" i="34"/>
  <c r="O3204" i="34"/>
  <c r="W3204" i="34"/>
  <c r="P3204" i="34"/>
  <c r="A3204" i="34"/>
  <c r="O3206" i="34"/>
  <c r="W3206" i="34"/>
  <c r="P3206" i="34"/>
  <c r="Q3206" i="34"/>
  <c r="U3206" i="34"/>
  <c r="Z3206" i="34"/>
  <c r="A3206" i="34"/>
  <c r="Q3208" i="34"/>
  <c r="U3208" i="34"/>
  <c r="Z3208" i="34"/>
  <c r="O3208" i="34"/>
  <c r="W3208" i="34"/>
  <c r="P3208" i="34"/>
  <c r="A3208" i="34"/>
  <c r="O3210" i="34"/>
  <c r="W3210" i="34"/>
  <c r="P3210" i="34"/>
  <c r="Q3210" i="34"/>
  <c r="U3210" i="34"/>
  <c r="Z3210" i="34"/>
  <c r="A3210" i="34"/>
  <c r="Q3212" i="34"/>
  <c r="U3212" i="34"/>
  <c r="Z3212" i="34"/>
  <c r="O3212" i="34"/>
  <c r="W3212" i="34"/>
  <c r="P3212" i="34"/>
  <c r="A3212" i="34"/>
  <c r="O3214" i="34"/>
  <c r="W3214" i="34"/>
  <c r="P3214" i="34"/>
  <c r="Q3214" i="34"/>
  <c r="U3214" i="34"/>
  <c r="Z3214" i="34"/>
  <c r="A3214" i="34"/>
  <c r="Q3216" i="34"/>
  <c r="U3216" i="34"/>
  <c r="Z3216" i="34"/>
  <c r="O3216" i="34"/>
  <c r="W3216" i="34"/>
  <c r="P3216" i="34"/>
  <c r="A3216" i="34"/>
  <c r="O3218" i="34"/>
  <c r="W3218" i="34"/>
  <c r="P3218" i="34"/>
  <c r="Q3218" i="34"/>
  <c r="U3218" i="34"/>
  <c r="Z3218" i="34"/>
  <c r="A3218" i="34"/>
  <c r="Q3220" i="34"/>
  <c r="U3220" i="34"/>
  <c r="Z3220" i="34"/>
  <c r="O3220" i="34"/>
  <c r="W3220" i="34"/>
  <c r="P3220" i="34"/>
  <c r="A3220" i="34"/>
  <c r="O3222" i="34"/>
  <c r="W3222" i="34"/>
  <c r="P3222" i="34"/>
  <c r="Q3222" i="34"/>
  <c r="U3222" i="34"/>
  <c r="Z3222" i="34"/>
  <c r="A3222" i="34"/>
  <c r="Q3224" i="34"/>
  <c r="U3224" i="34"/>
  <c r="Z3224" i="34"/>
  <c r="O3224" i="34"/>
  <c r="W3224" i="34"/>
  <c r="P3224" i="34"/>
  <c r="A3224" i="34"/>
  <c r="O3226" i="34"/>
  <c r="W3226" i="34"/>
  <c r="P3226" i="34"/>
  <c r="Q3226" i="34"/>
  <c r="U3226" i="34"/>
  <c r="Z3226" i="34"/>
  <c r="A3226" i="34"/>
  <c r="Q3228" i="34"/>
  <c r="U3228" i="34"/>
  <c r="Z3228" i="34"/>
  <c r="O3228" i="34"/>
  <c r="W3228" i="34"/>
  <c r="P3228" i="34"/>
  <c r="A3228" i="34"/>
  <c r="O3230" i="34"/>
  <c r="W3230" i="34"/>
  <c r="P3230" i="34"/>
  <c r="Q3230" i="34"/>
  <c r="U3230" i="34"/>
  <c r="Z3230" i="34"/>
  <c r="A3230" i="34"/>
  <c r="Q3232" i="34"/>
  <c r="U3232" i="34"/>
  <c r="Z3232" i="34"/>
  <c r="O3232" i="34"/>
  <c r="W3232" i="34"/>
  <c r="P3232" i="34"/>
  <c r="A3232" i="34"/>
  <c r="O3234" i="34"/>
  <c r="W3234" i="34"/>
  <c r="P3234" i="34"/>
  <c r="Q3234" i="34"/>
  <c r="U3234" i="34"/>
  <c r="Z3234" i="34"/>
  <c r="A3234" i="34"/>
  <c r="Q3236" i="34"/>
  <c r="U3236" i="34"/>
  <c r="Z3236" i="34"/>
  <c r="O3236" i="34"/>
  <c r="W3236" i="34"/>
  <c r="P3236" i="34"/>
  <c r="A3236" i="34"/>
  <c r="O3238" i="34"/>
  <c r="W3238" i="34"/>
  <c r="P3238" i="34"/>
  <c r="Q3238" i="34"/>
  <c r="U3238" i="34"/>
  <c r="Z3238" i="34"/>
  <c r="A3238" i="34"/>
  <c r="Q3240" i="34"/>
  <c r="U3240" i="34"/>
  <c r="Z3240" i="34"/>
  <c r="O3240" i="34"/>
  <c r="W3240" i="34"/>
  <c r="P3240" i="34"/>
  <c r="A3240" i="34"/>
  <c r="O3242" i="34"/>
  <c r="W3242" i="34"/>
  <c r="P3242" i="34"/>
  <c r="Q3242" i="34"/>
  <c r="U3242" i="34"/>
  <c r="Z3242" i="34"/>
  <c r="A3242" i="34"/>
  <c r="Q3244" i="34"/>
  <c r="U3244" i="34"/>
  <c r="Z3244" i="34"/>
  <c r="O3244" i="34"/>
  <c r="W3244" i="34"/>
  <c r="P3244" i="34"/>
  <c r="A3244" i="34"/>
  <c r="O3246" i="34"/>
  <c r="W3246" i="34"/>
  <c r="P3246" i="34"/>
  <c r="Q3246" i="34"/>
  <c r="U3246" i="34"/>
  <c r="Z3246" i="34"/>
  <c r="A3246" i="34"/>
  <c r="Q3152" i="34"/>
  <c r="U3152" i="34"/>
  <c r="Z3152" i="34"/>
  <c r="O3152" i="34"/>
  <c r="W3152" i="34"/>
  <c r="P3152" i="34"/>
  <c r="A3152" i="34"/>
  <c r="O3154" i="34"/>
  <c r="W3154" i="34"/>
  <c r="P3154" i="34"/>
  <c r="Q3154" i="34"/>
  <c r="U3154" i="34"/>
  <c r="Z3154" i="34"/>
  <c r="A3154" i="34"/>
  <c r="Q3156" i="34"/>
  <c r="U3156" i="34"/>
  <c r="Z3156" i="34"/>
  <c r="O3156" i="34"/>
  <c r="W3156" i="34"/>
  <c r="P3156" i="34"/>
  <c r="A3156" i="34"/>
  <c r="O3158" i="34"/>
  <c r="W3158" i="34"/>
  <c r="P3158" i="34"/>
  <c r="Q3158" i="34"/>
  <c r="U3158" i="34"/>
  <c r="Z3158" i="34"/>
  <c r="A3158" i="34"/>
  <c r="Q3160" i="34"/>
  <c r="U3160" i="34"/>
  <c r="Z3160" i="34"/>
  <c r="O3160" i="34"/>
  <c r="W3160" i="34"/>
  <c r="P3160" i="34"/>
  <c r="A3160" i="34"/>
  <c r="O3162" i="34"/>
  <c r="W3162" i="34"/>
  <c r="P3162" i="34"/>
  <c r="Q3162" i="34"/>
  <c r="U3162" i="34"/>
  <c r="Z3162" i="34"/>
  <c r="A3162" i="34"/>
  <c r="Q3164" i="34"/>
  <c r="U3164" i="34"/>
  <c r="Z3164" i="34"/>
  <c r="O3164" i="34"/>
  <c r="W3164" i="34"/>
  <c r="P3164" i="34"/>
  <c r="A3164" i="34"/>
  <c r="O3166" i="34"/>
  <c r="W3166" i="34"/>
  <c r="P3166" i="34"/>
  <c r="Q3166" i="34"/>
  <c r="U3166" i="34"/>
  <c r="Z3166" i="34"/>
  <c r="A3166" i="34"/>
  <c r="Q3168" i="34"/>
  <c r="U3168" i="34"/>
  <c r="Z3168" i="34"/>
  <c r="O3168" i="34"/>
  <c r="W3168" i="34"/>
  <c r="P3168" i="34"/>
  <c r="A3168" i="34"/>
  <c r="O3170" i="34"/>
  <c r="W3170" i="34"/>
  <c r="P3170" i="34"/>
  <c r="Q3170" i="34"/>
  <c r="U3170" i="34"/>
  <c r="Z3170" i="34"/>
  <c r="A3170" i="34"/>
  <c r="Q3172" i="34"/>
  <c r="U3172" i="34"/>
  <c r="Z3172" i="34"/>
  <c r="O3172" i="34"/>
  <c r="W3172" i="34"/>
  <c r="P3172" i="34"/>
  <c r="A3172" i="34"/>
  <c r="O3174" i="34"/>
  <c r="W3174" i="34"/>
  <c r="P3174" i="34"/>
  <c r="Q3174" i="34"/>
  <c r="U3174" i="34"/>
  <c r="Z3174" i="34"/>
  <c r="A3174" i="34"/>
  <c r="Q3176" i="34"/>
  <c r="U3176" i="34"/>
  <c r="Z3176" i="34"/>
  <c r="O3176" i="34"/>
  <c r="W3176" i="34"/>
  <c r="P3176" i="34"/>
  <c r="A3176" i="34"/>
  <c r="O3178" i="34"/>
  <c r="W3178" i="34"/>
  <c r="P3178" i="34"/>
  <c r="Q3178" i="34"/>
  <c r="U3178" i="34"/>
  <c r="Z3178" i="34"/>
  <c r="A3178" i="34"/>
  <c r="Q3180" i="34"/>
  <c r="U3180" i="34"/>
  <c r="Z3180" i="34"/>
  <c r="O3180" i="34"/>
  <c r="W3180" i="34"/>
  <c r="P3180" i="34"/>
  <c r="A3180" i="34"/>
  <c r="O3182" i="34"/>
  <c r="W3182" i="34"/>
  <c r="P3182" i="34"/>
  <c r="Q3182" i="34"/>
  <c r="U3182" i="34"/>
  <c r="Z3182" i="34"/>
  <c r="A3182" i="34"/>
  <c r="Q3184" i="34"/>
  <c r="U3184" i="34"/>
  <c r="Z3184" i="34"/>
  <c r="O3184" i="34"/>
  <c r="W3184" i="34"/>
  <c r="P3184" i="34"/>
  <c r="A3184" i="34"/>
  <c r="O3186" i="34"/>
  <c r="W3186" i="34"/>
  <c r="P3186" i="34"/>
  <c r="Q3186" i="34"/>
  <c r="U3186" i="34"/>
  <c r="Z3186" i="34"/>
  <c r="A3186" i="34"/>
  <c r="Q3188" i="34"/>
  <c r="U3188" i="34"/>
  <c r="Z3188" i="34"/>
  <c r="O3188" i="34"/>
  <c r="W3188" i="34"/>
  <c r="P3188" i="34"/>
  <c r="A3188" i="34"/>
  <c r="O3190" i="34"/>
  <c r="W3190" i="34"/>
  <c r="P3190" i="34"/>
  <c r="Q3190" i="34"/>
  <c r="U3190" i="34"/>
  <c r="Z3190" i="34"/>
  <c r="A3190" i="34"/>
  <c r="Q3192" i="34"/>
  <c r="U3192" i="34"/>
  <c r="Z3192" i="34"/>
  <c r="O3192" i="34"/>
  <c r="W3192" i="34"/>
  <c r="P3192" i="34"/>
  <c r="A3192" i="34"/>
  <c r="O3194" i="34"/>
  <c r="W3194" i="34"/>
  <c r="P3194" i="34"/>
  <c r="Q3194" i="34"/>
  <c r="U3194" i="34"/>
  <c r="Z3194" i="34"/>
  <c r="A3194" i="34"/>
  <c r="Q3196" i="34"/>
  <c r="U3196" i="34"/>
  <c r="Z3196" i="34"/>
  <c r="O3196" i="34"/>
  <c r="W3196" i="34"/>
  <c r="P3196" i="34"/>
  <c r="A3196" i="34"/>
  <c r="O3198" i="34"/>
  <c r="W3198" i="34"/>
  <c r="P3198" i="34"/>
  <c r="Q3198" i="34"/>
  <c r="U3198" i="34"/>
  <c r="Z3198" i="34"/>
  <c r="A3198" i="34"/>
  <c r="J742" i="79"/>
  <c r="N4488" i="34"/>
  <c r="R4488" i="34"/>
  <c r="S4488" i="34"/>
  <c r="T4488" i="34"/>
  <c r="X4488" i="34"/>
  <c r="Y4488" i="34"/>
  <c r="N4489" i="34"/>
  <c r="R4489" i="34"/>
  <c r="S4489" i="34"/>
  <c r="T4489" i="34"/>
  <c r="X4489" i="34"/>
  <c r="Y4489" i="34"/>
  <c r="J716" i="79"/>
  <c r="J779" i="79"/>
  <c r="J780" i="79"/>
  <c r="J781" i="79"/>
  <c r="J782" i="79"/>
  <c r="J783" i="79"/>
  <c r="J784" i="79"/>
  <c r="J785" i="79"/>
  <c r="J786" i="79"/>
  <c r="J787" i="79"/>
  <c r="J788" i="79"/>
  <c r="J789" i="79"/>
  <c r="J790" i="79"/>
  <c r="J791" i="79"/>
  <c r="J792" i="79"/>
  <c r="J793" i="79"/>
  <c r="J794" i="79"/>
  <c r="J795" i="79"/>
  <c r="J796" i="79"/>
  <c r="J797" i="79"/>
  <c r="J798" i="79"/>
  <c r="J799" i="79"/>
  <c r="J800" i="79"/>
  <c r="J801" i="79"/>
  <c r="J802" i="79"/>
  <c r="J803" i="79"/>
  <c r="J804" i="79"/>
  <c r="J805" i="79"/>
  <c r="J806" i="79"/>
  <c r="J807" i="79"/>
  <c r="J808" i="79"/>
  <c r="J809" i="79"/>
  <c r="J810" i="79"/>
  <c r="J811" i="79"/>
  <c r="J812" i="79"/>
  <c r="J813" i="79"/>
  <c r="J814" i="79"/>
  <c r="J815" i="79"/>
  <c r="J816" i="79"/>
  <c r="J817" i="79"/>
  <c r="J818" i="79"/>
  <c r="J819" i="79"/>
  <c r="J820" i="79"/>
  <c r="J821" i="79"/>
  <c r="J822" i="79"/>
  <c r="J823" i="79"/>
  <c r="J824" i="79"/>
  <c r="J825" i="79"/>
  <c r="J826" i="79"/>
  <c r="J827" i="79"/>
  <c r="J828" i="79"/>
  <c r="J829" i="79"/>
  <c r="J830" i="79"/>
  <c r="J831" i="79"/>
  <c r="J832" i="79"/>
  <c r="J833" i="79"/>
  <c r="J834" i="79"/>
  <c r="J835" i="79"/>
  <c r="J562" i="79"/>
  <c r="J563" i="79"/>
  <c r="J564" i="79"/>
  <c r="J565" i="79"/>
  <c r="J566" i="79"/>
  <c r="J567" i="79"/>
  <c r="J568" i="79"/>
  <c r="J569" i="79"/>
  <c r="J570" i="79"/>
  <c r="J571" i="79"/>
  <c r="J572" i="79"/>
  <c r="J573" i="79"/>
  <c r="J574" i="79"/>
  <c r="J575" i="79"/>
  <c r="J576" i="79"/>
  <c r="J578" i="79"/>
  <c r="J580" i="79"/>
  <c r="J581" i="79"/>
  <c r="J582" i="79"/>
  <c r="J583" i="79"/>
  <c r="J584" i="79"/>
  <c r="J585" i="79"/>
  <c r="J586" i="79"/>
  <c r="J587" i="79"/>
  <c r="J588" i="79"/>
  <c r="J589" i="79"/>
  <c r="J590" i="79"/>
  <c r="J591" i="79"/>
  <c r="J592" i="79"/>
  <c r="J593" i="79"/>
  <c r="J594" i="79"/>
  <c r="J595" i="79"/>
  <c r="J596" i="79"/>
  <c r="J597" i="79"/>
  <c r="J598" i="79"/>
  <c r="J599" i="79"/>
  <c r="J600" i="79"/>
  <c r="J601" i="79"/>
  <c r="J602" i="79"/>
  <c r="J603" i="79"/>
  <c r="J604" i="79"/>
  <c r="J605" i="79"/>
  <c r="J606" i="79"/>
  <c r="J607" i="79"/>
  <c r="J608" i="79"/>
  <c r="J609" i="79"/>
  <c r="J610" i="79"/>
  <c r="J611" i="79"/>
  <c r="J612" i="79"/>
  <c r="J613" i="79"/>
  <c r="J614" i="79"/>
  <c r="J615" i="79"/>
  <c r="J616" i="79"/>
  <c r="J617" i="79"/>
  <c r="J618" i="79"/>
  <c r="J619" i="79"/>
  <c r="J620" i="79"/>
  <c r="J621" i="79"/>
  <c r="J622" i="79"/>
  <c r="J623" i="79"/>
  <c r="J624" i="79"/>
  <c r="J625" i="79"/>
  <c r="J626" i="79"/>
  <c r="J627" i="79"/>
  <c r="J628" i="79"/>
  <c r="J629" i="79"/>
  <c r="J630" i="79"/>
  <c r="J631" i="79"/>
  <c r="J632" i="79"/>
  <c r="J633" i="79"/>
  <c r="J634" i="79"/>
  <c r="J635" i="79"/>
  <c r="J636" i="79"/>
  <c r="J637" i="79"/>
  <c r="J638" i="79"/>
  <c r="J639" i="79"/>
  <c r="J640" i="79"/>
  <c r="J641" i="79"/>
  <c r="J642" i="79"/>
  <c r="J643" i="79"/>
  <c r="J644" i="79"/>
  <c r="J645" i="79"/>
  <c r="J646" i="79"/>
  <c r="J647" i="79"/>
  <c r="J648" i="79"/>
  <c r="J649" i="79"/>
  <c r="J650" i="79"/>
  <c r="J651" i="79"/>
  <c r="J652" i="79"/>
  <c r="J653" i="79"/>
  <c r="J654" i="79"/>
  <c r="J655" i="79"/>
  <c r="J656" i="79"/>
  <c r="J657" i="79"/>
  <c r="J658" i="79"/>
  <c r="J659" i="79"/>
  <c r="J660" i="79"/>
  <c r="J661" i="79"/>
  <c r="J662" i="79"/>
  <c r="J663" i="79"/>
  <c r="J664" i="79"/>
  <c r="J665" i="79"/>
  <c r="J666" i="79"/>
  <c r="J667" i="79"/>
  <c r="J668" i="79"/>
  <c r="J669" i="79"/>
  <c r="J670" i="79"/>
  <c r="J671" i="79"/>
  <c r="J672" i="79"/>
  <c r="J673" i="79"/>
  <c r="J674" i="79"/>
  <c r="J675" i="79"/>
  <c r="J676" i="79"/>
  <c r="J677" i="79"/>
  <c r="J678" i="79"/>
  <c r="J679" i="79"/>
  <c r="J680" i="79"/>
  <c r="J681" i="79"/>
  <c r="J682" i="79"/>
  <c r="J683" i="79"/>
  <c r="J684" i="79"/>
  <c r="J685" i="79"/>
  <c r="J686" i="79"/>
  <c r="J687" i="79"/>
  <c r="J688" i="79"/>
  <c r="J689" i="79"/>
  <c r="J690" i="79"/>
  <c r="J691" i="79"/>
  <c r="J692" i="79"/>
  <c r="J693" i="79"/>
  <c r="J694" i="79"/>
  <c r="J695" i="79"/>
  <c r="J696" i="79"/>
  <c r="J697" i="79"/>
  <c r="J698" i="79"/>
  <c r="J699" i="79"/>
  <c r="J700" i="79"/>
  <c r="J701" i="79"/>
  <c r="J702" i="79"/>
  <c r="J703" i="79"/>
  <c r="J704" i="79"/>
  <c r="J705" i="79"/>
  <c r="J706" i="79"/>
  <c r="J707" i="79"/>
  <c r="J708" i="79"/>
  <c r="J709" i="79"/>
  <c r="J710" i="79"/>
  <c r="J711" i="79"/>
  <c r="J712" i="79"/>
  <c r="J713" i="79"/>
  <c r="J561" i="79"/>
  <c r="D7" i="56" l="1"/>
  <c r="D39" i="15" l="1"/>
  <c r="D27" i="15" l="1"/>
  <c r="C27" i="15"/>
  <c r="C16" i="15"/>
  <c r="C13" i="15"/>
  <c r="C11" i="15"/>
  <c r="G8" i="80" l="1"/>
  <c r="G9" i="80"/>
  <c r="G10" i="80"/>
  <c r="G11" i="80"/>
  <c r="G12" i="80"/>
  <c r="G13" i="80"/>
  <c r="G14" i="80"/>
  <c r="G15" i="80"/>
  <c r="G16" i="80"/>
  <c r="G17" i="80"/>
  <c r="G18" i="80"/>
  <c r="G19" i="80"/>
  <c r="G20" i="80"/>
  <c r="G21" i="80"/>
  <c r="G22" i="80"/>
  <c r="G23" i="80"/>
  <c r="G24" i="80"/>
  <c r="G25" i="80"/>
  <c r="G26" i="80"/>
  <c r="G27" i="80"/>
  <c r="G28" i="80"/>
  <c r="G29" i="80"/>
  <c r="G30" i="80"/>
  <c r="G31" i="80"/>
  <c r="G32" i="80"/>
  <c r="G33" i="80"/>
  <c r="G34" i="80"/>
  <c r="G35" i="80"/>
  <c r="G36" i="80"/>
  <c r="G37" i="80"/>
  <c r="G38" i="80"/>
  <c r="G39" i="80"/>
  <c r="G40" i="80"/>
  <c r="G41" i="80"/>
  <c r="G42" i="80"/>
  <c r="G43" i="80"/>
  <c r="G44" i="80"/>
  <c r="G45" i="80"/>
  <c r="G46" i="80"/>
  <c r="G47" i="80"/>
  <c r="G48" i="80"/>
  <c r="G49" i="80"/>
  <c r="G50" i="80"/>
  <c r="G51" i="80"/>
  <c r="G52" i="80"/>
  <c r="G7" i="80"/>
  <c r="D61" i="60"/>
  <c r="AB1235" i="34" l="1"/>
  <c r="K1235" i="34"/>
  <c r="C1235" i="34"/>
  <c r="B1235" i="34" s="1"/>
  <c r="AB1234" i="34"/>
  <c r="K1234" i="34"/>
  <c r="C1234" i="34"/>
  <c r="B1234" i="34" s="1"/>
  <c r="AB1233" i="34"/>
  <c r="K1233" i="34"/>
  <c r="C1233" i="34"/>
  <c r="B1233" i="34" s="1"/>
  <c r="C1190" i="34"/>
  <c r="B1190" i="34" s="1"/>
  <c r="AB1189" i="34"/>
  <c r="K1189" i="34"/>
  <c r="C1189" i="34"/>
  <c r="B1189" i="34" s="1"/>
  <c r="AB1253" i="34"/>
  <c r="K1253" i="34"/>
  <c r="C1253" i="34"/>
  <c r="B1253" i="34" s="1"/>
  <c r="AB1252" i="34"/>
  <c r="K1252" i="34"/>
  <c r="C1252" i="34"/>
  <c r="B1252" i="34" s="1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37" i="34"/>
  <c r="AB1246" i="34"/>
  <c r="C1246" i="34"/>
  <c r="B1246" i="34" s="1"/>
  <c r="AB1245" i="34"/>
  <c r="C1245" i="34"/>
  <c r="B1245" i="34" s="1"/>
  <c r="AB1244" i="34"/>
  <c r="C1244" i="34"/>
  <c r="B1244" i="34" s="1"/>
  <c r="AB1243" i="34"/>
  <c r="C1243" i="34"/>
  <c r="B1243" i="34" s="1"/>
  <c r="AB1242" i="34"/>
  <c r="C1242" i="34"/>
  <c r="B1242" i="34" s="1"/>
  <c r="AB1241" i="34"/>
  <c r="C1241" i="34"/>
  <c r="B1241" i="34"/>
  <c r="AB1240" i="34"/>
  <c r="C1240" i="34"/>
  <c r="B1240" i="34" s="1"/>
  <c r="AB1239" i="34"/>
  <c r="C1239" i="34"/>
  <c r="B1239" i="34" s="1"/>
  <c r="AB1238" i="34"/>
  <c r="C1238" i="34"/>
  <c r="B1238" i="34" s="1"/>
  <c r="AB1237" i="34"/>
  <c r="C1237" i="34"/>
  <c r="B1237" i="34" s="1"/>
  <c r="AB1251" i="34"/>
  <c r="C1251" i="34"/>
  <c r="B1251" i="34" s="1"/>
  <c r="AB1250" i="34"/>
  <c r="C1250" i="34"/>
  <c r="B1250" i="34" s="1"/>
  <c r="AB1249" i="34"/>
  <c r="C1249" i="34"/>
  <c r="B1249" i="34" s="1"/>
  <c r="AB1248" i="34"/>
  <c r="C1248" i="34"/>
  <c r="B1248" i="34" s="1"/>
  <c r="AB1247" i="34"/>
  <c r="C1247" i="34"/>
  <c r="B1247" i="34" s="1"/>
  <c r="P1251" i="34" l="1"/>
  <c r="Q1251" i="34"/>
  <c r="U1251" i="34"/>
  <c r="Z1251" i="34"/>
  <c r="O1251" i="34"/>
  <c r="W1251" i="34"/>
  <c r="A1251" i="34"/>
  <c r="Q1242" i="34"/>
  <c r="U1242" i="34"/>
  <c r="Z1242" i="34"/>
  <c r="O1242" i="34"/>
  <c r="W1242" i="34"/>
  <c r="P1242" i="34"/>
  <c r="A1242" i="34"/>
  <c r="O1244" i="34"/>
  <c r="W1244" i="34"/>
  <c r="P1244" i="34"/>
  <c r="Q1244" i="34"/>
  <c r="U1244" i="34"/>
  <c r="Z1244" i="34"/>
  <c r="A1244" i="34"/>
  <c r="Q1246" i="34"/>
  <c r="U1246" i="34"/>
  <c r="Z1246" i="34"/>
  <c r="O1246" i="34"/>
  <c r="W1246" i="34"/>
  <c r="P1246" i="34"/>
  <c r="A1246" i="34"/>
  <c r="Z1253" i="34"/>
  <c r="O1253" i="34"/>
  <c r="W1253" i="34"/>
  <c r="P1253" i="34"/>
  <c r="Q1253" i="34"/>
  <c r="U1253" i="34"/>
  <c r="A1253" i="34"/>
  <c r="O1248" i="34"/>
  <c r="W1248" i="34"/>
  <c r="P1248" i="34"/>
  <c r="Q1248" i="34"/>
  <c r="U1248" i="34"/>
  <c r="Z1248" i="34"/>
  <c r="A1248" i="34"/>
  <c r="Q1250" i="34"/>
  <c r="U1250" i="34"/>
  <c r="Z1250" i="34"/>
  <c r="O1250" i="34"/>
  <c r="W1250" i="34"/>
  <c r="P1250" i="34"/>
  <c r="A1250" i="34"/>
  <c r="Z1237" i="34"/>
  <c r="O1237" i="34"/>
  <c r="W1237" i="34"/>
  <c r="P1237" i="34"/>
  <c r="Q1237" i="34"/>
  <c r="U1237" i="34"/>
  <c r="A1237" i="34"/>
  <c r="P1239" i="34"/>
  <c r="Q1239" i="34"/>
  <c r="U1239" i="34"/>
  <c r="Z1239" i="34"/>
  <c r="O1239" i="34"/>
  <c r="W1239" i="34"/>
  <c r="A1239" i="34"/>
  <c r="Z1241" i="34"/>
  <c r="O1241" i="34"/>
  <c r="W1241" i="34"/>
  <c r="P1241" i="34"/>
  <c r="Q1241" i="34"/>
  <c r="U1241" i="34"/>
  <c r="A1241" i="34"/>
  <c r="O1252" i="34"/>
  <c r="W1252" i="34"/>
  <c r="P1252" i="34"/>
  <c r="Q1252" i="34"/>
  <c r="U1252" i="34"/>
  <c r="Z1252" i="34"/>
  <c r="A1252" i="34"/>
  <c r="P1235" i="34"/>
  <c r="Q1235" i="34"/>
  <c r="U1235" i="34"/>
  <c r="Z1235" i="34"/>
  <c r="O1235" i="34"/>
  <c r="W1235" i="34"/>
  <c r="A1235" i="34"/>
  <c r="P1247" i="34"/>
  <c r="Q1247" i="34"/>
  <c r="U1247" i="34"/>
  <c r="Z1247" i="34"/>
  <c r="O1247" i="34"/>
  <c r="W1247" i="34"/>
  <c r="A1247" i="34"/>
  <c r="Q1238" i="34"/>
  <c r="U1238" i="34"/>
  <c r="Z1238" i="34"/>
  <c r="O1238" i="34"/>
  <c r="W1238" i="34"/>
  <c r="P1238" i="34"/>
  <c r="A1238" i="34"/>
  <c r="P1243" i="34"/>
  <c r="Q1243" i="34"/>
  <c r="U1243" i="34"/>
  <c r="Z1243" i="34"/>
  <c r="O1243" i="34"/>
  <c r="W1243" i="34"/>
  <c r="A1243" i="34"/>
  <c r="Z1245" i="34"/>
  <c r="O1245" i="34"/>
  <c r="W1245" i="34"/>
  <c r="P1245" i="34"/>
  <c r="Q1245" i="34"/>
  <c r="U1245" i="34"/>
  <c r="A1245" i="34"/>
  <c r="Q1190" i="34"/>
  <c r="U1190" i="34"/>
  <c r="Z1190" i="34"/>
  <c r="O1190" i="34"/>
  <c r="W1190" i="34"/>
  <c r="P1190" i="34"/>
  <c r="A1190" i="34"/>
  <c r="Q1234" i="34"/>
  <c r="U1234" i="34"/>
  <c r="Z1234" i="34"/>
  <c r="O1234" i="34"/>
  <c r="W1234" i="34"/>
  <c r="P1234" i="34"/>
  <c r="A1234" i="34"/>
  <c r="Z1249" i="34"/>
  <c r="O1249" i="34"/>
  <c r="W1249" i="34"/>
  <c r="P1249" i="34"/>
  <c r="Q1249" i="34"/>
  <c r="U1249" i="34"/>
  <c r="A1249" i="34"/>
  <c r="O1240" i="34"/>
  <c r="W1240" i="34"/>
  <c r="P1240" i="34"/>
  <c r="Q1240" i="34"/>
  <c r="U1240" i="34"/>
  <c r="Z1240" i="34"/>
  <c r="A1240" i="34"/>
  <c r="Z1189" i="34"/>
  <c r="O1189" i="34"/>
  <c r="W1189" i="34"/>
  <c r="P1189" i="34"/>
  <c r="Q1189" i="34"/>
  <c r="U1189" i="34"/>
  <c r="A1189" i="34"/>
  <c r="Z1233" i="34"/>
  <c r="O1233" i="34"/>
  <c r="W1233" i="34"/>
  <c r="P1233" i="34"/>
  <c r="Q1233" i="34"/>
  <c r="U1233" i="34"/>
  <c r="A1233" i="34"/>
  <c r="AD1254" i="34"/>
  <c r="AB2401" i="34" l="1"/>
  <c r="K2401" i="34"/>
  <c r="C2401" i="34"/>
  <c r="B2401" i="34" s="1"/>
  <c r="AB2400" i="34"/>
  <c r="K2400" i="34"/>
  <c r="C2400" i="34"/>
  <c r="B2400" i="34" s="1"/>
  <c r="AB2399" i="34"/>
  <c r="K2399" i="34"/>
  <c r="C2399" i="34"/>
  <c r="B2399" i="34" s="1"/>
  <c r="AB2398" i="34"/>
  <c r="K2398" i="34"/>
  <c r="C2398" i="34"/>
  <c r="B2398" i="34" s="1"/>
  <c r="AB2397" i="34"/>
  <c r="K2397" i="34"/>
  <c r="C2397" i="34"/>
  <c r="B2397" i="34" s="1"/>
  <c r="AB2396" i="34"/>
  <c r="K2396" i="34"/>
  <c r="C2396" i="34"/>
  <c r="B2396" i="34" s="1"/>
  <c r="AB2395" i="34"/>
  <c r="K2395" i="34"/>
  <c r="C2395" i="34"/>
  <c r="B2395" i="34" s="1"/>
  <c r="AB2394" i="34"/>
  <c r="K2394" i="34"/>
  <c r="C2394" i="34"/>
  <c r="B2394" i="34" s="1"/>
  <c r="AB2393" i="34"/>
  <c r="K2393" i="34"/>
  <c r="C2393" i="34"/>
  <c r="B2393" i="34" s="1"/>
  <c r="AB2411" i="34"/>
  <c r="K2411" i="34"/>
  <c r="C2411" i="34"/>
  <c r="B2411" i="34" s="1"/>
  <c r="AB2410" i="34"/>
  <c r="K2410" i="34"/>
  <c r="C2410" i="34"/>
  <c r="B2410" i="34" s="1"/>
  <c r="AB2409" i="34"/>
  <c r="K2409" i="34"/>
  <c r="C2409" i="34"/>
  <c r="B2409" i="34" s="1"/>
  <c r="AB2408" i="34"/>
  <c r="K2408" i="34"/>
  <c r="C2408" i="34"/>
  <c r="B2408" i="34" s="1"/>
  <c r="AB2407" i="34"/>
  <c r="K2407" i="34"/>
  <c r="C2407" i="34"/>
  <c r="B2407" i="34" s="1"/>
  <c r="AB2406" i="34"/>
  <c r="K2406" i="34"/>
  <c r="C2406" i="34"/>
  <c r="B2406" i="34" s="1"/>
  <c r="AB2405" i="34"/>
  <c r="K2405" i="34"/>
  <c r="C2405" i="34"/>
  <c r="B2405" i="34" s="1"/>
  <c r="AB2404" i="34"/>
  <c r="K2404" i="34"/>
  <c r="C2404" i="34"/>
  <c r="B2404" i="34" s="1"/>
  <c r="AB2403" i="34"/>
  <c r="K2403" i="34"/>
  <c r="C2403" i="34"/>
  <c r="B2403" i="34" s="1"/>
  <c r="AB2402" i="34"/>
  <c r="K2402" i="34"/>
  <c r="C2402" i="34"/>
  <c r="B2402" i="34" s="1"/>
  <c r="AB2392" i="34"/>
  <c r="K2392" i="34"/>
  <c r="C2392" i="34"/>
  <c r="B2392" i="34" s="1"/>
  <c r="AB2391" i="34"/>
  <c r="K2391" i="34"/>
  <c r="C2391" i="34"/>
  <c r="B2391" i="34" s="1"/>
  <c r="AB2390" i="34"/>
  <c r="K2390" i="34"/>
  <c r="C2390" i="34"/>
  <c r="B2390" i="34" s="1"/>
  <c r="AB2389" i="34"/>
  <c r="K2389" i="34"/>
  <c r="C2389" i="34"/>
  <c r="B2389" i="34" s="1"/>
  <c r="AB2388" i="34"/>
  <c r="K2388" i="34"/>
  <c r="C2388" i="34"/>
  <c r="B2388" i="34" s="1"/>
  <c r="AB2387" i="34"/>
  <c r="K2387" i="34"/>
  <c r="C2387" i="34"/>
  <c r="B2387" i="34" s="1"/>
  <c r="AB2427" i="34"/>
  <c r="K2427" i="34"/>
  <c r="C2427" i="34"/>
  <c r="B2427" i="34" s="1"/>
  <c r="AB2426" i="34"/>
  <c r="K2426" i="34"/>
  <c r="C2426" i="34"/>
  <c r="B2426" i="34" s="1"/>
  <c r="AB2425" i="34"/>
  <c r="K2425" i="34"/>
  <c r="C2425" i="34"/>
  <c r="B2425" i="34" s="1"/>
  <c r="AB2424" i="34"/>
  <c r="K2424" i="34"/>
  <c r="C2424" i="34"/>
  <c r="B2424" i="34" s="1"/>
  <c r="AB2423" i="34"/>
  <c r="K2423" i="34"/>
  <c r="C2423" i="34"/>
  <c r="B2423" i="34" s="1"/>
  <c r="AB2422" i="34"/>
  <c r="K2422" i="34"/>
  <c r="C2422" i="34"/>
  <c r="B2422" i="34" s="1"/>
  <c r="AB2421" i="34"/>
  <c r="K2421" i="34"/>
  <c r="C2421" i="34"/>
  <c r="B2421" i="34" s="1"/>
  <c r="AB2420" i="34"/>
  <c r="K2420" i="34"/>
  <c r="C2420" i="34"/>
  <c r="B2420" i="34" s="1"/>
  <c r="AB2419" i="34"/>
  <c r="K2419" i="34"/>
  <c r="C2419" i="34"/>
  <c r="B2419" i="34" s="1"/>
  <c r="AB2418" i="34"/>
  <c r="K2418" i="34"/>
  <c r="C2418" i="34"/>
  <c r="B2418" i="34" s="1"/>
  <c r="AB2417" i="34"/>
  <c r="K2417" i="34"/>
  <c r="C2417" i="34"/>
  <c r="B2417" i="34" s="1"/>
  <c r="AB2416" i="34"/>
  <c r="K2416" i="34"/>
  <c r="C2416" i="34"/>
  <c r="B2416" i="34" s="1"/>
  <c r="AB2415" i="34"/>
  <c r="K2415" i="34"/>
  <c r="C2415" i="34"/>
  <c r="B2415" i="34" s="1"/>
  <c r="AB2414" i="34"/>
  <c r="K2414" i="34"/>
  <c r="C2414" i="34"/>
  <c r="B2414" i="34" s="1"/>
  <c r="AB2413" i="34"/>
  <c r="K2413" i="34"/>
  <c r="C2413" i="34"/>
  <c r="B2413" i="34" s="1"/>
  <c r="AB2412" i="34"/>
  <c r="K2412" i="34"/>
  <c r="C2412" i="34"/>
  <c r="B2412" i="34" s="1"/>
  <c r="I704" i="55" a="1"/>
  <c r="I704" i="55" s="1"/>
  <c r="G704" i="55" a="1"/>
  <c r="G704" i="55" s="1"/>
  <c r="B704" i="55"/>
  <c r="A704" i="55" s="1"/>
  <c r="I619" i="55" a="1"/>
  <c r="I619" i="55" s="1"/>
  <c r="G619" i="55" a="1"/>
  <c r="G619" i="55" s="1"/>
  <c r="B619" i="55"/>
  <c r="A619" i="55" s="1"/>
  <c r="I761" i="55" a="1"/>
  <c r="I761" i="55" s="1"/>
  <c r="G761" i="55" a="1"/>
  <c r="G761" i="55" s="1"/>
  <c r="B761" i="55"/>
  <c r="A761" i="55" s="1"/>
  <c r="I382" i="55" a="1"/>
  <c r="I382" i="55" s="1"/>
  <c r="G382" i="55" a="1"/>
  <c r="G382" i="55" s="1"/>
  <c r="B382" i="55"/>
  <c r="A382" i="55" s="1"/>
  <c r="I418" i="55" a="1"/>
  <c r="I418" i="55" s="1"/>
  <c r="G418" i="55" a="1"/>
  <c r="G418" i="55" s="1"/>
  <c r="B418" i="55"/>
  <c r="A418" i="55" s="1"/>
  <c r="I407" i="55" a="1"/>
  <c r="I407" i="55" s="1"/>
  <c r="G407" i="55" a="1"/>
  <c r="G407" i="55" s="1"/>
  <c r="B407" i="55"/>
  <c r="A407" i="55" s="1"/>
  <c r="I409" i="55" a="1"/>
  <c r="I409" i="55" s="1"/>
  <c r="G409" i="55" a="1"/>
  <c r="G409" i="55" s="1"/>
  <c r="B409" i="55"/>
  <c r="A409" i="55" s="1"/>
  <c r="I498" i="55" a="1"/>
  <c r="I498" i="55" s="1"/>
  <c r="G498" i="55" a="1"/>
  <c r="G498" i="55" s="1"/>
  <c r="B498" i="55"/>
  <c r="A498" i="55" s="1"/>
  <c r="I519" i="55" a="1"/>
  <c r="I519" i="55" s="1"/>
  <c r="G519" i="55" a="1"/>
  <c r="G519" i="55" s="1"/>
  <c r="B519" i="55"/>
  <c r="A519" i="55" s="1"/>
  <c r="I333" i="55" a="1"/>
  <c r="I333" i="55" s="1"/>
  <c r="G333" i="55" a="1"/>
  <c r="G333" i="55" s="1"/>
  <c r="B333" i="55"/>
  <c r="A333" i="55" s="1"/>
  <c r="I696" i="55" a="1"/>
  <c r="I696" i="55" s="1"/>
  <c r="G696" i="55" a="1"/>
  <c r="G696" i="55" s="1"/>
  <c r="B696" i="55"/>
  <c r="A696" i="55" s="1"/>
  <c r="I295" i="55" a="1"/>
  <c r="I295" i="55" s="1"/>
  <c r="G295" i="55" a="1"/>
  <c r="G295" i="55" s="1"/>
  <c r="B295" i="55"/>
  <c r="A295" i="55" s="1"/>
  <c r="I593" i="55" a="1"/>
  <c r="I593" i="55" s="1"/>
  <c r="G593" i="55" a="1"/>
  <c r="G593" i="55" s="1"/>
  <c r="B593" i="55"/>
  <c r="A593" i="55" s="1"/>
  <c r="I668" i="55" a="1"/>
  <c r="I668" i="55" s="1"/>
  <c r="G668" i="55" a="1"/>
  <c r="G668" i="55" s="1"/>
  <c r="B668" i="55"/>
  <c r="A668" i="55" s="1"/>
  <c r="I678" i="55" a="1"/>
  <c r="I678" i="55" s="1"/>
  <c r="G678" i="55" a="1"/>
  <c r="G678" i="55" s="1"/>
  <c r="B678" i="55"/>
  <c r="A678" i="55" s="1"/>
  <c r="I590" i="55" a="1"/>
  <c r="I590" i="55" s="1"/>
  <c r="G590" i="55" a="1"/>
  <c r="G590" i="55" s="1"/>
  <c r="B590" i="55"/>
  <c r="A590" i="55" s="1"/>
  <c r="I551" i="55" a="1"/>
  <c r="I551" i="55" s="1"/>
  <c r="G551" i="55" a="1"/>
  <c r="G551" i="55" s="1"/>
  <c r="B551" i="55"/>
  <c r="A551" i="55" s="1"/>
  <c r="I608" i="55" a="1"/>
  <c r="I608" i="55" s="1"/>
  <c r="G608" i="55" a="1"/>
  <c r="G608" i="55" s="1"/>
  <c r="B608" i="55"/>
  <c r="A608" i="55" s="1"/>
  <c r="I512" i="55" a="1"/>
  <c r="I512" i="55" s="1"/>
  <c r="G512" i="55" a="1"/>
  <c r="G512" i="55" s="1"/>
  <c r="B512" i="55"/>
  <c r="A512" i="55" s="1"/>
  <c r="I414" i="55" a="1"/>
  <c r="I414" i="55" s="1"/>
  <c r="G414" i="55" a="1"/>
  <c r="G414" i="55" s="1"/>
  <c r="B414" i="55"/>
  <c r="A414" i="55" s="1"/>
  <c r="I478" i="55" a="1"/>
  <c r="I478" i="55" s="1"/>
  <c r="G478" i="55" a="1"/>
  <c r="G478" i="55" s="1"/>
  <c r="B478" i="55"/>
  <c r="A478" i="55" s="1"/>
  <c r="I613" i="55" a="1"/>
  <c r="I613" i="55" s="1"/>
  <c r="G613" i="55" a="1"/>
  <c r="G613" i="55" s="1"/>
  <c r="B613" i="55"/>
  <c r="A613" i="55" s="1"/>
  <c r="I324" i="55" a="1"/>
  <c r="I324" i="55" s="1"/>
  <c r="G324" i="55" a="1"/>
  <c r="G324" i="55" s="1"/>
  <c r="B324" i="55"/>
  <c r="A324" i="55" s="1"/>
  <c r="I731" i="55" a="1"/>
  <c r="I731" i="55" s="1"/>
  <c r="G731" i="55" a="1"/>
  <c r="G731" i="55" s="1"/>
  <c r="B731" i="55"/>
  <c r="A731" i="55" s="1"/>
  <c r="I302" i="55" a="1"/>
  <c r="I302" i="55" s="1"/>
  <c r="G302" i="55" a="1"/>
  <c r="G302" i="55" s="1"/>
  <c r="B302" i="55"/>
  <c r="A302" i="55" s="1"/>
  <c r="I609" i="55" a="1"/>
  <c r="I609" i="55" s="1"/>
  <c r="G609" i="55" a="1"/>
  <c r="G609" i="55" s="1"/>
  <c r="B609" i="55"/>
  <c r="A609" i="55" s="1"/>
  <c r="I59" i="55" a="1"/>
  <c r="I59" i="55" s="1"/>
  <c r="G59" i="55" a="1"/>
  <c r="G59" i="55" s="1"/>
  <c r="B59" i="55"/>
  <c r="A59" i="55" s="1"/>
  <c r="AB2375" i="34"/>
  <c r="K2375" i="34"/>
  <c r="C2375" i="34"/>
  <c r="B2375" i="34" s="1"/>
  <c r="AB2374" i="34"/>
  <c r="K2374" i="34"/>
  <c r="C2374" i="34"/>
  <c r="B2374" i="34" s="1"/>
  <c r="AB2373" i="34"/>
  <c r="K2373" i="34"/>
  <c r="C2373" i="34"/>
  <c r="B2373" i="34" s="1"/>
  <c r="AB2372" i="34"/>
  <c r="K2372" i="34"/>
  <c r="C2372" i="34"/>
  <c r="B2372" i="34" s="1"/>
  <c r="AB2371" i="34"/>
  <c r="K2371" i="34"/>
  <c r="C2371" i="34"/>
  <c r="B2371" i="34" s="1"/>
  <c r="AB2370" i="34"/>
  <c r="K2370" i="34"/>
  <c r="C2370" i="34"/>
  <c r="B2370" i="34" s="1"/>
  <c r="AB2369" i="34"/>
  <c r="K2369" i="34"/>
  <c r="C2369" i="34"/>
  <c r="B2369" i="34" s="1"/>
  <c r="AB2368" i="34"/>
  <c r="K2368" i="34"/>
  <c r="C2368" i="34"/>
  <c r="B2368" i="34" s="1"/>
  <c r="AB2367" i="34"/>
  <c r="K2367" i="34"/>
  <c r="C2367" i="34"/>
  <c r="B2367" i="34" s="1"/>
  <c r="AB2366" i="34"/>
  <c r="K2366" i="34"/>
  <c r="C2366" i="34"/>
  <c r="B2366" i="34" s="1"/>
  <c r="AB2365" i="34"/>
  <c r="K2365" i="34"/>
  <c r="C2365" i="34"/>
  <c r="B2365" i="34" s="1"/>
  <c r="AB2364" i="34"/>
  <c r="K2364" i="34"/>
  <c r="C2364" i="34"/>
  <c r="B2364" i="34" s="1"/>
  <c r="AB2363" i="34"/>
  <c r="K2363" i="34"/>
  <c r="C2363" i="34"/>
  <c r="B2363" i="34" s="1"/>
  <c r="AB2362" i="34"/>
  <c r="K2362" i="34"/>
  <c r="C2362" i="34"/>
  <c r="B2362" i="34" s="1"/>
  <c r="K2376" i="34"/>
  <c r="K2377" i="34"/>
  <c r="K2378" i="34"/>
  <c r="K2379" i="34"/>
  <c r="K2380" i="34"/>
  <c r="AB2385" i="34"/>
  <c r="K2385" i="34"/>
  <c r="C2385" i="34"/>
  <c r="B2385" i="34" s="1"/>
  <c r="AB2384" i="34"/>
  <c r="K2384" i="34"/>
  <c r="C2384" i="34"/>
  <c r="B2384" i="34" s="1"/>
  <c r="AB2383" i="34"/>
  <c r="K2383" i="34"/>
  <c r="C2383" i="34"/>
  <c r="B2383" i="34" s="1"/>
  <c r="AB2382" i="34"/>
  <c r="K2382" i="34"/>
  <c r="C2382" i="34"/>
  <c r="B2382" i="34" s="1"/>
  <c r="AB2381" i="34"/>
  <c r="K2381" i="34"/>
  <c r="C2381" i="34"/>
  <c r="B2381" i="34" s="1"/>
  <c r="AB2380" i="34"/>
  <c r="C2380" i="34"/>
  <c r="B2380" i="34" s="1"/>
  <c r="AB2379" i="34"/>
  <c r="C2379" i="34"/>
  <c r="B2379" i="34" s="1"/>
  <c r="AB2378" i="34"/>
  <c r="C2378" i="34"/>
  <c r="B2378" i="34" s="1"/>
  <c r="AB2377" i="34"/>
  <c r="C2377" i="34"/>
  <c r="B2377" i="34" s="1"/>
  <c r="Q2413" i="34" l="1"/>
  <c r="U2413" i="34"/>
  <c r="Z2413" i="34"/>
  <c r="O2413" i="34"/>
  <c r="W2413" i="34"/>
  <c r="P2413" i="34"/>
  <c r="A2413" i="34"/>
  <c r="Q2417" i="34"/>
  <c r="U2417" i="34"/>
  <c r="Z2417" i="34"/>
  <c r="O2417" i="34"/>
  <c r="W2417" i="34"/>
  <c r="P2417" i="34"/>
  <c r="A2417" i="34"/>
  <c r="Q2421" i="34"/>
  <c r="U2421" i="34"/>
  <c r="Z2421" i="34"/>
  <c r="O2421" i="34"/>
  <c r="W2421" i="34"/>
  <c r="P2421" i="34"/>
  <c r="A2421" i="34"/>
  <c r="Q2425" i="34"/>
  <c r="U2425" i="34"/>
  <c r="Z2425" i="34"/>
  <c r="O2425" i="34"/>
  <c r="W2425" i="34"/>
  <c r="P2425" i="34"/>
  <c r="A2425" i="34"/>
  <c r="Z2388" i="34"/>
  <c r="O2388" i="34"/>
  <c r="W2388" i="34"/>
  <c r="P2388" i="34"/>
  <c r="Q2388" i="34"/>
  <c r="U2388" i="34"/>
  <c r="A2388" i="34"/>
  <c r="Z2392" i="34"/>
  <c r="O2392" i="34"/>
  <c r="W2392" i="34"/>
  <c r="P2392" i="34"/>
  <c r="Q2392" i="34"/>
  <c r="U2392" i="34"/>
  <c r="A2392" i="34"/>
  <c r="Q2405" i="34"/>
  <c r="U2405" i="34"/>
  <c r="Z2405" i="34"/>
  <c r="O2405" i="34"/>
  <c r="W2405" i="34"/>
  <c r="P2405" i="34"/>
  <c r="A2405" i="34"/>
  <c r="Q2409" i="34"/>
  <c r="U2409" i="34"/>
  <c r="Z2409" i="34"/>
  <c r="O2409" i="34"/>
  <c r="W2409" i="34"/>
  <c r="P2409" i="34"/>
  <c r="A2409" i="34"/>
  <c r="P2394" i="34"/>
  <c r="Q2394" i="34"/>
  <c r="U2394" i="34"/>
  <c r="Z2394" i="34"/>
  <c r="O2394" i="34"/>
  <c r="W2394" i="34"/>
  <c r="A2394" i="34"/>
  <c r="P2398" i="34"/>
  <c r="Q2398" i="34"/>
  <c r="U2398" i="34"/>
  <c r="Z2398" i="34"/>
  <c r="O2398" i="34"/>
  <c r="W2398" i="34"/>
  <c r="A2398" i="34"/>
  <c r="P2378" i="34"/>
  <c r="Q2378" i="34"/>
  <c r="U2378" i="34"/>
  <c r="Z2378" i="34"/>
  <c r="O2378" i="34"/>
  <c r="W2378" i="34"/>
  <c r="A2378" i="34"/>
  <c r="Z2380" i="34"/>
  <c r="O2380" i="34"/>
  <c r="W2380" i="34"/>
  <c r="P2380" i="34"/>
  <c r="Q2380" i="34"/>
  <c r="U2380" i="34"/>
  <c r="A2380" i="34"/>
  <c r="O2383" i="34"/>
  <c r="W2383" i="34"/>
  <c r="P2383" i="34"/>
  <c r="Q2383" i="34"/>
  <c r="U2383" i="34"/>
  <c r="Z2383" i="34"/>
  <c r="A2383" i="34"/>
  <c r="Z2364" i="34"/>
  <c r="O2364" i="34"/>
  <c r="W2364" i="34"/>
  <c r="P2364" i="34"/>
  <c r="Q2364" i="34"/>
  <c r="U2364" i="34"/>
  <c r="A2364" i="34"/>
  <c r="Z2368" i="34"/>
  <c r="O2368" i="34"/>
  <c r="W2368" i="34"/>
  <c r="P2368" i="34"/>
  <c r="Q2368" i="34"/>
  <c r="U2368" i="34"/>
  <c r="A2368" i="34"/>
  <c r="Z2372" i="34"/>
  <c r="O2372" i="34"/>
  <c r="W2372" i="34"/>
  <c r="P2372" i="34"/>
  <c r="Q2372" i="34"/>
  <c r="U2372" i="34"/>
  <c r="A2372" i="34"/>
  <c r="O2363" i="34"/>
  <c r="W2363" i="34"/>
  <c r="P2363" i="34"/>
  <c r="Q2363" i="34"/>
  <c r="U2363" i="34"/>
  <c r="Z2363" i="34"/>
  <c r="A2363" i="34"/>
  <c r="O2371" i="34"/>
  <c r="W2371" i="34"/>
  <c r="P2371" i="34"/>
  <c r="Q2371" i="34"/>
  <c r="U2371" i="34"/>
  <c r="Z2371" i="34"/>
  <c r="A2371" i="34"/>
  <c r="Z2412" i="34"/>
  <c r="O2412" i="34"/>
  <c r="W2412" i="34"/>
  <c r="P2412" i="34"/>
  <c r="Q2412" i="34"/>
  <c r="U2412" i="34"/>
  <c r="A2412" i="34"/>
  <c r="Z2416" i="34"/>
  <c r="O2416" i="34"/>
  <c r="W2416" i="34"/>
  <c r="P2416" i="34"/>
  <c r="Q2416" i="34"/>
  <c r="U2416" i="34"/>
  <c r="A2416" i="34"/>
  <c r="Z2420" i="34"/>
  <c r="O2420" i="34"/>
  <c r="W2420" i="34"/>
  <c r="P2420" i="34"/>
  <c r="Q2420" i="34"/>
  <c r="U2420" i="34"/>
  <c r="A2420" i="34"/>
  <c r="Z2424" i="34"/>
  <c r="O2424" i="34"/>
  <c r="W2424" i="34"/>
  <c r="P2424" i="34"/>
  <c r="Q2424" i="34"/>
  <c r="U2424" i="34"/>
  <c r="A2424" i="34"/>
  <c r="O2387" i="34"/>
  <c r="W2387" i="34"/>
  <c r="P2387" i="34"/>
  <c r="Q2387" i="34"/>
  <c r="U2387" i="34"/>
  <c r="Z2387" i="34"/>
  <c r="A2387" i="34"/>
  <c r="O2391" i="34"/>
  <c r="W2391" i="34"/>
  <c r="P2391" i="34"/>
  <c r="Q2391" i="34"/>
  <c r="U2391" i="34"/>
  <c r="Z2391" i="34"/>
  <c r="A2391" i="34"/>
  <c r="Z2404" i="34"/>
  <c r="O2404" i="34"/>
  <c r="W2404" i="34"/>
  <c r="P2404" i="34"/>
  <c r="Q2404" i="34"/>
  <c r="U2404" i="34"/>
  <c r="A2404" i="34"/>
  <c r="Z2408" i="34"/>
  <c r="O2408" i="34"/>
  <c r="W2408" i="34"/>
  <c r="P2408" i="34"/>
  <c r="Q2408" i="34"/>
  <c r="U2408" i="34"/>
  <c r="A2408" i="34"/>
  <c r="Q2393" i="34"/>
  <c r="U2393" i="34"/>
  <c r="Z2393" i="34"/>
  <c r="O2393" i="34"/>
  <c r="W2393" i="34"/>
  <c r="P2393" i="34"/>
  <c r="A2393" i="34"/>
  <c r="Q2397" i="34"/>
  <c r="U2397" i="34"/>
  <c r="Z2397" i="34"/>
  <c r="O2397" i="34"/>
  <c r="W2397" i="34"/>
  <c r="P2397" i="34"/>
  <c r="A2397" i="34"/>
  <c r="Q2401" i="34"/>
  <c r="U2401" i="34"/>
  <c r="Z2401" i="34"/>
  <c r="O2401" i="34"/>
  <c r="W2401" i="34"/>
  <c r="P2401" i="34"/>
  <c r="A2401" i="34"/>
  <c r="P2382" i="34"/>
  <c r="Q2382" i="34"/>
  <c r="U2382" i="34"/>
  <c r="Z2382" i="34"/>
  <c r="O2382" i="34"/>
  <c r="W2382" i="34"/>
  <c r="A2382" i="34"/>
  <c r="O2367" i="34"/>
  <c r="W2367" i="34"/>
  <c r="P2367" i="34"/>
  <c r="Q2367" i="34"/>
  <c r="U2367" i="34"/>
  <c r="Z2367" i="34"/>
  <c r="A2367" i="34"/>
  <c r="O2375" i="34"/>
  <c r="W2375" i="34"/>
  <c r="P2375" i="34"/>
  <c r="Q2375" i="34"/>
  <c r="U2375" i="34"/>
  <c r="Z2375" i="34"/>
  <c r="A2375" i="34"/>
  <c r="Q2377" i="34"/>
  <c r="U2377" i="34"/>
  <c r="Z2377" i="34"/>
  <c r="O2377" i="34"/>
  <c r="W2377" i="34"/>
  <c r="P2377" i="34"/>
  <c r="A2377" i="34"/>
  <c r="O2379" i="34"/>
  <c r="W2379" i="34"/>
  <c r="P2379" i="34"/>
  <c r="Q2379" i="34"/>
  <c r="U2379" i="34"/>
  <c r="Z2379" i="34"/>
  <c r="A2379" i="34"/>
  <c r="Q2381" i="34"/>
  <c r="U2381" i="34"/>
  <c r="Z2381" i="34"/>
  <c r="O2381" i="34"/>
  <c r="W2381" i="34"/>
  <c r="P2381" i="34"/>
  <c r="A2381" i="34"/>
  <c r="Q2385" i="34"/>
  <c r="U2385" i="34"/>
  <c r="Z2385" i="34"/>
  <c r="O2385" i="34"/>
  <c r="W2385" i="34"/>
  <c r="P2385" i="34"/>
  <c r="A2385" i="34"/>
  <c r="P2362" i="34"/>
  <c r="Q2362" i="34"/>
  <c r="U2362" i="34"/>
  <c r="Z2362" i="34"/>
  <c r="O2362" i="34"/>
  <c r="W2362" i="34"/>
  <c r="A2362" i="34"/>
  <c r="P2366" i="34"/>
  <c r="Q2366" i="34"/>
  <c r="U2366" i="34"/>
  <c r="Z2366" i="34"/>
  <c r="O2366" i="34"/>
  <c r="W2366" i="34"/>
  <c r="A2366" i="34"/>
  <c r="P2370" i="34"/>
  <c r="Q2370" i="34"/>
  <c r="U2370" i="34"/>
  <c r="Z2370" i="34"/>
  <c r="O2370" i="34"/>
  <c r="W2370" i="34"/>
  <c r="A2370" i="34"/>
  <c r="P2374" i="34"/>
  <c r="Q2374" i="34"/>
  <c r="U2374" i="34"/>
  <c r="Z2374" i="34"/>
  <c r="O2374" i="34"/>
  <c r="W2374" i="34"/>
  <c r="A2374" i="34"/>
  <c r="O2415" i="34"/>
  <c r="W2415" i="34"/>
  <c r="P2415" i="34"/>
  <c r="Q2415" i="34"/>
  <c r="U2415" i="34"/>
  <c r="Z2415" i="34"/>
  <c r="A2415" i="34"/>
  <c r="O2419" i="34"/>
  <c r="W2419" i="34"/>
  <c r="P2419" i="34"/>
  <c r="Q2419" i="34"/>
  <c r="U2419" i="34"/>
  <c r="Z2419" i="34"/>
  <c r="A2419" i="34"/>
  <c r="O2423" i="34"/>
  <c r="W2423" i="34"/>
  <c r="P2423" i="34"/>
  <c r="Q2423" i="34"/>
  <c r="U2423" i="34"/>
  <c r="Z2423" i="34"/>
  <c r="A2423" i="34"/>
  <c r="O2427" i="34"/>
  <c r="W2427" i="34"/>
  <c r="P2427" i="34"/>
  <c r="Q2427" i="34"/>
  <c r="U2427" i="34"/>
  <c r="Z2427" i="34"/>
  <c r="A2427" i="34"/>
  <c r="P2390" i="34"/>
  <c r="Q2390" i="34"/>
  <c r="U2390" i="34"/>
  <c r="Z2390" i="34"/>
  <c r="O2390" i="34"/>
  <c r="W2390" i="34"/>
  <c r="A2390" i="34"/>
  <c r="O2403" i="34"/>
  <c r="W2403" i="34"/>
  <c r="P2403" i="34"/>
  <c r="Q2403" i="34"/>
  <c r="U2403" i="34"/>
  <c r="Z2403" i="34"/>
  <c r="A2403" i="34"/>
  <c r="O2407" i="34"/>
  <c r="W2407" i="34"/>
  <c r="P2407" i="34"/>
  <c r="Q2407" i="34"/>
  <c r="U2407" i="34"/>
  <c r="Z2407" i="34"/>
  <c r="A2407" i="34"/>
  <c r="O2411" i="34"/>
  <c r="W2411" i="34"/>
  <c r="P2411" i="34"/>
  <c r="Q2411" i="34"/>
  <c r="U2411" i="34"/>
  <c r="Z2411" i="34"/>
  <c r="A2411" i="34"/>
  <c r="Z2396" i="34"/>
  <c r="O2396" i="34"/>
  <c r="W2396" i="34"/>
  <c r="P2396" i="34"/>
  <c r="Q2396" i="34"/>
  <c r="U2396" i="34"/>
  <c r="A2396" i="34"/>
  <c r="Z2400" i="34"/>
  <c r="O2400" i="34"/>
  <c r="W2400" i="34"/>
  <c r="P2400" i="34"/>
  <c r="Q2400" i="34"/>
  <c r="U2400" i="34"/>
  <c r="A2400" i="34"/>
  <c r="Z2384" i="34"/>
  <c r="O2384" i="34"/>
  <c r="W2384" i="34"/>
  <c r="P2384" i="34"/>
  <c r="Q2384" i="34"/>
  <c r="U2384" i="34"/>
  <c r="A2384" i="34"/>
  <c r="Q2365" i="34"/>
  <c r="U2365" i="34"/>
  <c r="Z2365" i="34"/>
  <c r="O2365" i="34"/>
  <c r="W2365" i="34"/>
  <c r="P2365" i="34"/>
  <c r="A2365" i="34"/>
  <c r="Q2369" i="34"/>
  <c r="U2369" i="34"/>
  <c r="Z2369" i="34"/>
  <c r="O2369" i="34"/>
  <c r="W2369" i="34"/>
  <c r="P2369" i="34"/>
  <c r="A2369" i="34"/>
  <c r="Q2373" i="34"/>
  <c r="U2373" i="34"/>
  <c r="Z2373" i="34"/>
  <c r="O2373" i="34"/>
  <c r="W2373" i="34"/>
  <c r="P2373" i="34"/>
  <c r="A2373" i="34"/>
  <c r="P2414" i="34"/>
  <c r="Q2414" i="34"/>
  <c r="U2414" i="34"/>
  <c r="Z2414" i="34"/>
  <c r="O2414" i="34"/>
  <c r="W2414" i="34"/>
  <c r="A2414" i="34"/>
  <c r="P2418" i="34"/>
  <c r="Q2418" i="34"/>
  <c r="U2418" i="34"/>
  <c r="Z2418" i="34"/>
  <c r="O2418" i="34"/>
  <c r="W2418" i="34"/>
  <c r="A2418" i="34"/>
  <c r="P2422" i="34"/>
  <c r="Q2422" i="34"/>
  <c r="U2422" i="34"/>
  <c r="Z2422" i="34"/>
  <c r="O2422" i="34"/>
  <c r="W2422" i="34"/>
  <c r="A2422" i="34"/>
  <c r="P2426" i="34"/>
  <c r="Q2426" i="34"/>
  <c r="U2426" i="34"/>
  <c r="Z2426" i="34"/>
  <c r="O2426" i="34"/>
  <c r="W2426" i="34"/>
  <c r="A2426" i="34"/>
  <c r="Q2389" i="34"/>
  <c r="U2389" i="34"/>
  <c r="Z2389" i="34"/>
  <c r="O2389" i="34"/>
  <c r="W2389" i="34"/>
  <c r="P2389" i="34"/>
  <c r="A2389" i="34"/>
  <c r="P2402" i="34"/>
  <c r="Q2402" i="34"/>
  <c r="U2402" i="34"/>
  <c r="Z2402" i="34"/>
  <c r="O2402" i="34"/>
  <c r="W2402" i="34"/>
  <c r="A2402" i="34"/>
  <c r="P2406" i="34"/>
  <c r="Q2406" i="34"/>
  <c r="U2406" i="34"/>
  <c r="Z2406" i="34"/>
  <c r="O2406" i="34"/>
  <c r="W2406" i="34"/>
  <c r="A2406" i="34"/>
  <c r="P2410" i="34"/>
  <c r="Q2410" i="34"/>
  <c r="U2410" i="34"/>
  <c r="Z2410" i="34"/>
  <c r="O2410" i="34"/>
  <c r="W2410" i="34"/>
  <c r="A2410" i="34"/>
  <c r="O2395" i="34"/>
  <c r="W2395" i="34"/>
  <c r="P2395" i="34"/>
  <c r="Q2395" i="34"/>
  <c r="U2395" i="34"/>
  <c r="Z2395" i="34"/>
  <c r="A2395" i="34"/>
  <c r="O2399" i="34"/>
  <c r="W2399" i="34"/>
  <c r="P2399" i="34"/>
  <c r="Q2399" i="34"/>
  <c r="U2399" i="34"/>
  <c r="Z2399" i="34"/>
  <c r="A2399" i="34"/>
  <c r="K407" i="55"/>
  <c r="K512" i="55"/>
  <c r="K302" i="55"/>
  <c r="K478" i="55"/>
  <c r="K731" i="55"/>
  <c r="K414" i="55"/>
  <c r="K59" i="55"/>
  <c r="K324" i="55"/>
  <c r="K609" i="55"/>
  <c r="K613" i="55"/>
  <c r="K409" i="55"/>
  <c r="K761" i="55"/>
  <c r="K418" i="55"/>
  <c r="K382" i="55"/>
  <c r="K498" i="55"/>
  <c r="K519" i="55"/>
  <c r="K619" i="55"/>
  <c r="K704" i="55"/>
  <c r="K608" i="55"/>
  <c r="K551" i="55"/>
  <c r="K590" i="55"/>
  <c r="K678" i="55"/>
  <c r="K668" i="55"/>
  <c r="K593" i="55"/>
  <c r="K295" i="55"/>
  <c r="K696" i="55"/>
  <c r="K333" i="55"/>
  <c r="A43" i="70" l="1"/>
  <c r="A44" i="70"/>
  <c r="A45" i="70"/>
  <c r="A46" i="70"/>
  <c r="A47" i="70"/>
  <c r="A48" i="70"/>
  <c r="A49" i="70"/>
  <c r="I774" i="55" a="1"/>
  <c r="I774" i="55" s="1"/>
  <c r="G774" i="55" a="1"/>
  <c r="G774" i="55" s="1"/>
  <c r="B774" i="55"/>
  <c r="A774" i="55" s="1"/>
  <c r="I779" i="55" a="1"/>
  <c r="I779" i="55" s="1"/>
  <c r="G779" i="55" a="1"/>
  <c r="G779" i="55" s="1"/>
  <c r="B779" i="55"/>
  <c r="A779" i="55" s="1"/>
  <c r="I771" i="55" a="1"/>
  <c r="I771" i="55" s="1"/>
  <c r="G771" i="55" a="1"/>
  <c r="G771" i="55" s="1"/>
  <c r="B771" i="55"/>
  <c r="A771" i="55" s="1"/>
  <c r="I778" i="55" a="1"/>
  <c r="I778" i="55" s="1"/>
  <c r="G778" i="55" a="1"/>
  <c r="G778" i="55" s="1"/>
  <c r="B778" i="55"/>
  <c r="A778" i="55" s="1"/>
  <c r="I275" i="55" a="1"/>
  <c r="I275" i="55" s="1"/>
  <c r="G275" i="55" a="1"/>
  <c r="G275" i="55" s="1"/>
  <c r="B275" i="55"/>
  <c r="A275" i="55" s="1"/>
  <c r="I254" i="55" a="1"/>
  <c r="I254" i="55" s="1"/>
  <c r="G254" i="55" a="1"/>
  <c r="G254" i="55" s="1"/>
  <c r="B254" i="55"/>
  <c r="A254" i="55" s="1"/>
  <c r="I686" i="55" a="1"/>
  <c r="I686" i="55" s="1"/>
  <c r="G686" i="55" a="1"/>
  <c r="G686" i="55" s="1"/>
  <c r="B686" i="55"/>
  <c r="A686" i="55" s="1"/>
  <c r="I700" i="55" a="1"/>
  <c r="I700" i="55" s="1"/>
  <c r="G700" i="55" a="1"/>
  <c r="G700" i="55" s="1"/>
  <c r="B700" i="55"/>
  <c r="A700" i="55" s="1"/>
  <c r="I614" i="55" a="1"/>
  <c r="I614" i="55" s="1"/>
  <c r="G614" i="55" a="1"/>
  <c r="G614" i="55" s="1"/>
  <c r="B614" i="55"/>
  <c r="A614" i="55" s="1"/>
  <c r="I766" i="55" a="1"/>
  <c r="I766" i="55" s="1"/>
  <c r="G766" i="55" a="1"/>
  <c r="G766" i="55" s="1"/>
  <c r="B766" i="55"/>
  <c r="A766" i="55" s="1"/>
  <c r="I780" i="55" a="1"/>
  <c r="I780" i="55" s="1"/>
  <c r="G780" i="55" a="1"/>
  <c r="G780" i="55" s="1"/>
  <c r="B780" i="55"/>
  <c r="A780" i="55" s="1"/>
  <c r="I769" i="55" a="1"/>
  <c r="I769" i="55" s="1"/>
  <c r="G769" i="55" a="1"/>
  <c r="G769" i="55" s="1"/>
  <c r="B769" i="55"/>
  <c r="A769" i="55" s="1"/>
  <c r="I782" i="55" a="1"/>
  <c r="I782" i="55" s="1"/>
  <c r="G782" i="55" a="1"/>
  <c r="G782" i="55" s="1"/>
  <c r="B782" i="55"/>
  <c r="A782" i="55" s="1"/>
  <c r="I764" i="55" a="1"/>
  <c r="I764" i="55" s="1"/>
  <c r="G764" i="55" a="1"/>
  <c r="G764" i="55" s="1"/>
  <c r="B764" i="55"/>
  <c r="A764" i="55" s="1"/>
  <c r="I768" i="55" a="1"/>
  <c r="I768" i="55" s="1"/>
  <c r="G768" i="55" a="1"/>
  <c r="G768" i="55" s="1"/>
  <c r="B768" i="55"/>
  <c r="A768" i="55" s="1"/>
  <c r="I763" i="55" a="1"/>
  <c r="I763" i="55" s="1"/>
  <c r="G763" i="55" a="1"/>
  <c r="G763" i="55" s="1"/>
  <c r="B763" i="55"/>
  <c r="A763" i="55" s="1"/>
  <c r="I776" i="55" a="1"/>
  <c r="I776" i="55" s="1"/>
  <c r="G776" i="55" a="1"/>
  <c r="G776" i="55" s="1"/>
  <c r="B776" i="55"/>
  <c r="A776" i="55" s="1"/>
  <c r="I777" i="55" a="1"/>
  <c r="I777" i="55" s="1"/>
  <c r="G777" i="55" a="1"/>
  <c r="G777" i="55" s="1"/>
  <c r="B777" i="55"/>
  <c r="A777" i="55" s="1"/>
  <c r="I767" i="55" a="1"/>
  <c r="I767" i="55" s="1"/>
  <c r="G767" i="55" a="1"/>
  <c r="G767" i="55" s="1"/>
  <c r="B767" i="55"/>
  <c r="A767" i="55" s="1"/>
  <c r="I762" i="55" a="1"/>
  <c r="I762" i="55" s="1"/>
  <c r="G762" i="55" a="1"/>
  <c r="G762" i="55" s="1"/>
  <c r="B762" i="55"/>
  <c r="A762" i="55" s="1"/>
  <c r="I770" i="55" a="1"/>
  <c r="I770" i="55" s="1"/>
  <c r="G770" i="55" a="1"/>
  <c r="G770" i="55" s="1"/>
  <c r="B770" i="55"/>
  <c r="A770" i="55" s="1"/>
  <c r="I781" i="55" a="1"/>
  <c r="I781" i="55" s="1"/>
  <c r="G781" i="55" a="1"/>
  <c r="G781" i="55" s="1"/>
  <c r="B781" i="55"/>
  <c r="A781" i="55" s="1"/>
  <c r="I775" i="55" a="1"/>
  <c r="I775" i="55" s="1"/>
  <c r="G775" i="55" a="1"/>
  <c r="G775" i="55" s="1"/>
  <c r="B775" i="55"/>
  <c r="A775" i="55" s="1"/>
  <c r="I773" i="55" a="1"/>
  <c r="I773" i="55" s="1"/>
  <c r="G773" i="55" a="1"/>
  <c r="G773" i="55" s="1"/>
  <c r="B773" i="55"/>
  <c r="A773" i="55" s="1"/>
  <c r="I772" i="55" a="1"/>
  <c r="I772" i="55" s="1"/>
  <c r="G772" i="55" a="1"/>
  <c r="G772" i="55" s="1"/>
  <c r="B772" i="55"/>
  <c r="A772" i="55" s="1"/>
  <c r="I491" i="55" a="1"/>
  <c r="I491" i="55" s="1"/>
  <c r="G491" i="55" a="1"/>
  <c r="G491" i="55" s="1"/>
  <c r="B491" i="55"/>
  <c r="A491" i="55" s="1"/>
  <c r="I765" i="55" a="1"/>
  <c r="I765" i="55" s="1"/>
  <c r="G765" i="55" a="1"/>
  <c r="G765" i="55" s="1"/>
  <c r="B765" i="55"/>
  <c r="A765" i="55" s="1"/>
  <c r="C2301" i="34"/>
  <c r="B2301" i="34" s="1"/>
  <c r="K1278" i="34"/>
  <c r="K1279" i="34"/>
  <c r="K1280" i="34"/>
  <c r="K1277" i="34"/>
  <c r="AB1278" i="34"/>
  <c r="C1278" i="34"/>
  <c r="B1278" i="34" s="1"/>
  <c r="AB1270" i="34"/>
  <c r="K1270" i="34"/>
  <c r="AB1269" i="34"/>
  <c r="K1269" i="34"/>
  <c r="AB1268" i="34"/>
  <c r="K1268" i="34"/>
  <c r="AB1267" i="34"/>
  <c r="K1267" i="34"/>
  <c r="AB1266" i="34"/>
  <c r="K1266" i="34"/>
  <c r="C1269" i="34"/>
  <c r="B1269" i="34" s="1"/>
  <c r="C1268" i="34"/>
  <c r="B1268" i="34" s="1"/>
  <c r="C1267" i="34"/>
  <c r="B1267" i="34" s="1"/>
  <c r="C1266" i="34"/>
  <c r="B1266" i="34" s="1"/>
  <c r="C1254" i="34"/>
  <c r="B1254" i="34" s="1"/>
  <c r="AB1277" i="34"/>
  <c r="C1277" i="34"/>
  <c r="B1277" i="34" s="1"/>
  <c r="C1271" i="34"/>
  <c r="B1271" i="34" s="1"/>
  <c r="C1270" i="34"/>
  <c r="B1270" i="34" s="1"/>
  <c r="Z1277" i="34" l="1"/>
  <c r="O1277" i="34"/>
  <c r="W1277" i="34"/>
  <c r="P1277" i="34"/>
  <c r="Q1277" i="34"/>
  <c r="U1277" i="34"/>
  <c r="A1277" i="34"/>
  <c r="P1267" i="34"/>
  <c r="Q1267" i="34"/>
  <c r="U1267" i="34"/>
  <c r="Z1267" i="34"/>
  <c r="O1267" i="34"/>
  <c r="W1267" i="34"/>
  <c r="A1267" i="34"/>
  <c r="O1268" i="34"/>
  <c r="W1268" i="34"/>
  <c r="P1268" i="34"/>
  <c r="Q1268" i="34"/>
  <c r="U1268" i="34"/>
  <c r="Z1268" i="34"/>
  <c r="A1268" i="34"/>
  <c r="Q1278" i="34"/>
  <c r="U1278" i="34"/>
  <c r="Z1278" i="34"/>
  <c r="O1278" i="34"/>
  <c r="W1278" i="34"/>
  <c r="P1278" i="34"/>
  <c r="A1278" i="34"/>
  <c r="Q1270" i="34"/>
  <c r="U1270" i="34"/>
  <c r="Z1270" i="34"/>
  <c r="O1270" i="34"/>
  <c r="W1270" i="34"/>
  <c r="P1270" i="34"/>
  <c r="A1270" i="34"/>
  <c r="Q1254" i="34"/>
  <c r="U1254" i="34"/>
  <c r="Z1254" i="34"/>
  <c r="O1254" i="34"/>
  <c r="W1254" i="34"/>
  <c r="P1254" i="34"/>
  <c r="A1254" i="34"/>
  <c r="Z1269" i="34"/>
  <c r="O1269" i="34"/>
  <c r="W1269" i="34"/>
  <c r="P1269" i="34"/>
  <c r="Q1269" i="34"/>
  <c r="U1269" i="34"/>
  <c r="A1269" i="34"/>
  <c r="P1271" i="34"/>
  <c r="Q1271" i="34"/>
  <c r="U1271" i="34"/>
  <c r="Z1271" i="34"/>
  <c r="O1271" i="34"/>
  <c r="W1271" i="34"/>
  <c r="A1271" i="34"/>
  <c r="Q1266" i="34"/>
  <c r="U1266" i="34"/>
  <c r="Z1266" i="34"/>
  <c r="O1266" i="34"/>
  <c r="W1266" i="34"/>
  <c r="P1266" i="34"/>
  <c r="A1266" i="34"/>
  <c r="Z2301" i="34"/>
  <c r="O2301" i="34"/>
  <c r="W2301" i="34"/>
  <c r="P2301" i="34"/>
  <c r="Q2301" i="34"/>
  <c r="U2301" i="34"/>
  <c r="A2301" i="34"/>
  <c r="K614" i="55"/>
  <c r="K700" i="55"/>
  <c r="K686" i="55"/>
  <c r="K254" i="55"/>
  <c r="K275" i="55"/>
  <c r="K778" i="55"/>
  <c r="K771" i="55"/>
  <c r="K779" i="55"/>
  <c r="K774" i="55"/>
  <c r="K777" i="55"/>
  <c r="K776" i="55"/>
  <c r="K763" i="55"/>
  <c r="K768" i="55"/>
  <c r="K764" i="55"/>
  <c r="K782" i="55"/>
  <c r="K769" i="55"/>
  <c r="K780" i="55"/>
  <c r="K766" i="55"/>
  <c r="K765" i="55"/>
  <c r="K491" i="55"/>
  <c r="K772" i="55"/>
  <c r="K773" i="55"/>
  <c r="K775" i="55"/>
  <c r="K781" i="55"/>
  <c r="K770" i="55"/>
  <c r="K762" i="55"/>
  <c r="K767" i="55"/>
  <c r="I389" i="55" a="1"/>
  <c r="I389" i="55" s="1"/>
  <c r="G389" i="55" a="1"/>
  <c r="G389" i="55" s="1"/>
  <c r="B389" i="55"/>
  <c r="A389" i="55" s="1"/>
  <c r="I309" i="55" a="1"/>
  <c r="I309" i="55" s="1"/>
  <c r="G309" i="55" a="1"/>
  <c r="G309" i="55" s="1"/>
  <c r="B309" i="55"/>
  <c r="A309" i="55" s="1"/>
  <c r="I387" i="55" a="1"/>
  <c r="I387" i="55" s="1"/>
  <c r="G387" i="55" a="1"/>
  <c r="G387" i="55" s="1"/>
  <c r="B387" i="55"/>
  <c r="A387" i="55" s="1"/>
  <c r="I706" i="55" a="1"/>
  <c r="I706" i="55" s="1"/>
  <c r="G706" i="55" a="1"/>
  <c r="G706" i="55" s="1"/>
  <c r="B706" i="55"/>
  <c r="A706" i="55" s="1"/>
  <c r="I489" i="55" a="1"/>
  <c r="I489" i="55" s="1"/>
  <c r="G489" i="55" a="1"/>
  <c r="G489" i="55" s="1"/>
  <c r="B489" i="55"/>
  <c r="A489" i="55" s="1"/>
  <c r="I45" i="55" a="1"/>
  <c r="I45" i="55" s="1"/>
  <c r="G45" i="55" a="1"/>
  <c r="G45" i="55" s="1"/>
  <c r="B45" i="55"/>
  <c r="A45" i="55" s="1"/>
  <c r="I71" i="55" a="1"/>
  <c r="I71" i="55" s="1"/>
  <c r="G71" i="55" a="1"/>
  <c r="G71" i="55" s="1"/>
  <c r="B71" i="55"/>
  <c r="A71" i="55" s="1"/>
  <c r="I20" i="55" a="1"/>
  <c r="I20" i="55" s="1"/>
  <c r="G20" i="55" a="1"/>
  <c r="G20" i="55" s="1"/>
  <c r="B20" i="55"/>
  <c r="A20" i="55" s="1"/>
  <c r="I21" i="55" a="1"/>
  <c r="I21" i="55" s="1"/>
  <c r="G21" i="55" a="1"/>
  <c r="G21" i="55" s="1"/>
  <c r="B21" i="55"/>
  <c r="A21" i="55" s="1"/>
  <c r="I52" i="55" a="1"/>
  <c r="I52" i="55" s="1"/>
  <c r="G52" i="55" a="1"/>
  <c r="G52" i="55" s="1"/>
  <c r="B52" i="55"/>
  <c r="A52" i="55" s="1"/>
  <c r="I73" i="55" a="1"/>
  <c r="I73" i="55" s="1"/>
  <c r="G73" i="55" a="1"/>
  <c r="G73" i="55" s="1"/>
  <c r="B73" i="55"/>
  <c r="A73" i="55" s="1"/>
  <c r="I32" i="55" a="1"/>
  <c r="I32" i="55" s="1"/>
  <c r="G32" i="55" a="1"/>
  <c r="G32" i="55" s="1"/>
  <c r="B32" i="55"/>
  <c r="A32" i="55" s="1"/>
  <c r="I88" i="55" a="1"/>
  <c r="I88" i="55" s="1"/>
  <c r="G88" i="55" a="1"/>
  <c r="G88" i="55" s="1"/>
  <c r="B88" i="55"/>
  <c r="A88" i="55" s="1"/>
  <c r="I22" i="55" a="1"/>
  <c r="I22" i="55" s="1"/>
  <c r="G22" i="55" a="1"/>
  <c r="G22" i="55" s="1"/>
  <c r="B22" i="55"/>
  <c r="A22" i="55" s="1"/>
  <c r="I31" i="55" a="1"/>
  <c r="I31" i="55" s="1"/>
  <c r="G31" i="55" a="1"/>
  <c r="G31" i="55" s="1"/>
  <c r="B31" i="55"/>
  <c r="A31" i="55" s="1"/>
  <c r="I82" i="55" a="1"/>
  <c r="I82" i="55" s="1"/>
  <c r="G82" i="55" a="1"/>
  <c r="G82" i="55" s="1"/>
  <c r="B82" i="55"/>
  <c r="A82" i="55" s="1"/>
  <c r="I83" i="55" a="1"/>
  <c r="I83" i="55" s="1"/>
  <c r="G83" i="55" a="1"/>
  <c r="G83" i="55" s="1"/>
  <c r="B83" i="55"/>
  <c r="A83" i="55" s="1"/>
  <c r="I87" i="55" a="1"/>
  <c r="I87" i="55" s="1"/>
  <c r="G87" i="55" a="1"/>
  <c r="G87" i="55" s="1"/>
  <c r="B87" i="55"/>
  <c r="A87" i="55" s="1"/>
  <c r="I30" i="55" a="1"/>
  <c r="I30" i="55" s="1"/>
  <c r="G30" i="55" a="1"/>
  <c r="G30" i="55" s="1"/>
  <c r="B30" i="55"/>
  <c r="A30" i="55" s="1"/>
  <c r="I66" i="55" a="1"/>
  <c r="I66" i="55" s="1"/>
  <c r="G66" i="55" a="1"/>
  <c r="G66" i="55" s="1"/>
  <c r="B66" i="55"/>
  <c r="A66" i="55" s="1"/>
  <c r="I81" i="55" a="1"/>
  <c r="I81" i="55" s="1"/>
  <c r="G81" i="55" a="1"/>
  <c r="G81" i="55" s="1"/>
  <c r="B81" i="55"/>
  <c r="A81" i="55" s="1"/>
  <c r="I65" i="55" a="1"/>
  <c r="I65" i="55" s="1"/>
  <c r="G65" i="55" a="1"/>
  <c r="G65" i="55" s="1"/>
  <c r="B65" i="55"/>
  <c r="A65" i="55" s="1"/>
  <c r="I251" i="55" a="1"/>
  <c r="I251" i="55" s="1"/>
  <c r="G251" i="55" a="1"/>
  <c r="G251" i="55" s="1"/>
  <c r="B251" i="55"/>
  <c r="A251" i="55" s="1"/>
  <c r="I72" i="55" a="1"/>
  <c r="I72" i="55" s="1"/>
  <c r="G72" i="55" a="1"/>
  <c r="G72" i="55" s="1"/>
  <c r="B72" i="55"/>
  <c r="A72" i="55" s="1"/>
  <c r="I44" i="55" a="1"/>
  <c r="I44" i="55" s="1"/>
  <c r="G44" i="55" a="1"/>
  <c r="G44" i="55" s="1"/>
  <c r="B44" i="55"/>
  <c r="A44" i="55" s="1"/>
  <c r="I42" i="55" a="1"/>
  <c r="I42" i="55" s="1"/>
  <c r="G42" i="55" a="1"/>
  <c r="G42" i="55" s="1"/>
  <c r="B42" i="55"/>
  <c r="A42" i="55" s="1"/>
  <c r="I28" i="55" a="1"/>
  <c r="I28" i="55" s="1"/>
  <c r="G28" i="55" a="1"/>
  <c r="G28" i="55" s="1"/>
  <c r="B28" i="55"/>
  <c r="A28" i="55" s="1"/>
  <c r="I27" i="55" a="1"/>
  <c r="I27" i="55" s="1"/>
  <c r="G27" i="55" a="1"/>
  <c r="G27" i="55" s="1"/>
  <c r="B27" i="55"/>
  <c r="A27" i="55" s="1"/>
  <c r="I29" i="55" a="1"/>
  <c r="I29" i="55" s="1"/>
  <c r="G29" i="55" a="1"/>
  <c r="G29" i="55" s="1"/>
  <c r="B29" i="55"/>
  <c r="A29" i="55" s="1"/>
  <c r="I24" i="55" a="1"/>
  <c r="I24" i="55" s="1"/>
  <c r="G24" i="55" a="1"/>
  <c r="G24" i="55" s="1"/>
  <c r="B24" i="55"/>
  <c r="A24" i="55" s="1"/>
  <c r="I41" i="55" a="1"/>
  <c r="I41" i="55" s="1"/>
  <c r="G41" i="55" a="1"/>
  <c r="G41" i="55" s="1"/>
  <c r="B41" i="55"/>
  <c r="A41" i="55" s="1"/>
  <c r="I68" i="55" a="1"/>
  <c r="I68" i="55" s="1"/>
  <c r="G68" i="55" a="1"/>
  <c r="G68" i="55" s="1"/>
  <c r="B68" i="55"/>
  <c r="A68" i="55" s="1"/>
  <c r="I261" i="55" a="1"/>
  <c r="I261" i="55" s="1"/>
  <c r="G261" i="55" a="1"/>
  <c r="G261" i="55" s="1"/>
  <c r="B261" i="55"/>
  <c r="A261" i="55" s="1"/>
  <c r="I257" i="55" a="1"/>
  <c r="I257" i="55" s="1"/>
  <c r="G257" i="55" a="1"/>
  <c r="G257" i="55" s="1"/>
  <c r="B257" i="55"/>
  <c r="A257" i="55" s="1"/>
  <c r="I244" i="55" a="1"/>
  <c r="I244" i="55" s="1"/>
  <c r="G244" i="55" a="1"/>
  <c r="G244" i="55" s="1"/>
  <c r="B244" i="55"/>
  <c r="A244" i="55" s="1"/>
  <c r="I259" i="55" a="1"/>
  <c r="I259" i="55" s="1"/>
  <c r="G259" i="55" a="1"/>
  <c r="G259" i="55" s="1"/>
  <c r="B259" i="55"/>
  <c r="A259" i="55" s="1"/>
  <c r="I258" i="55" a="1"/>
  <c r="I258" i="55" s="1"/>
  <c r="G258" i="55" a="1"/>
  <c r="G258" i="55" s="1"/>
  <c r="B258" i="55"/>
  <c r="A258" i="55" s="1"/>
  <c r="I241" i="55" a="1"/>
  <c r="I241" i="55" s="1"/>
  <c r="G241" i="55" a="1"/>
  <c r="G241" i="55" s="1"/>
  <c r="B241" i="55"/>
  <c r="A241" i="55" s="1"/>
  <c r="I246" i="55" a="1"/>
  <c r="I246" i="55" s="1"/>
  <c r="G246" i="55" a="1"/>
  <c r="G246" i="55" s="1"/>
  <c r="B246" i="55"/>
  <c r="A246" i="55" s="1"/>
  <c r="I248" i="55" a="1"/>
  <c r="I248" i="55" s="1"/>
  <c r="G248" i="55" a="1"/>
  <c r="G248" i="55" s="1"/>
  <c r="B248" i="55"/>
  <c r="A248" i="55" s="1"/>
  <c r="I247" i="55" a="1"/>
  <c r="I247" i="55" s="1"/>
  <c r="G247" i="55" a="1"/>
  <c r="G247" i="55" s="1"/>
  <c r="B247" i="55"/>
  <c r="A247" i="55" s="1"/>
  <c r="I249" i="55" a="1"/>
  <c r="I249" i="55" s="1"/>
  <c r="G249" i="55" a="1"/>
  <c r="G249" i="55" s="1"/>
  <c r="B249" i="55"/>
  <c r="A249" i="55" s="1"/>
  <c r="I245" i="55" a="1"/>
  <c r="I245" i="55" s="1"/>
  <c r="G245" i="55" a="1"/>
  <c r="G245" i="55" s="1"/>
  <c r="B245" i="55"/>
  <c r="A245" i="55" s="1"/>
  <c r="I250" i="55" a="1"/>
  <c r="I250" i="55" s="1"/>
  <c r="G250" i="55" a="1"/>
  <c r="G250" i="55" s="1"/>
  <c r="B250" i="55"/>
  <c r="A250" i="55" s="1"/>
  <c r="I369" i="55" a="1"/>
  <c r="I369" i="55" s="1"/>
  <c r="G369" i="55" a="1"/>
  <c r="G369" i="55" s="1"/>
  <c r="B369" i="55"/>
  <c r="A369" i="55" s="1"/>
  <c r="I748" i="55" a="1"/>
  <c r="I748" i="55" s="1"/>
  <c r="G748" i="55" a="1"/>
  <c r="G748" i="55" s="1"/>
  <c r="B748" i="55"/>
  <c r="A748" i="55" s="1"/>
  <c r="I329" i="55" a="1"/>
  <c r="I329" i="55" s="1"/>
  <c r="G329" i="55" a="1"/>
  <c r="G329" i="55" s="1"/>
  <c r="B329" i="55"/>
  <c r="A329" i="55" s="1"/>
  <c r="I650" i="55" a="1"/>
  <c r="I650" i="55" s="1"/>
  <c r="G650" i="55" a="1"/>
  <c r="G650" i="55" s="1"/>
  <c r="B650" i="55"/>
  <c r="A650" i="55" s="1"/>
  <c r="I454" i="55" a="1"/>
  <c r="I454" i="55" s="1"/>
  <c r="G454" i="55" a="1"/>
  <c r="G454" i="55" s="1"/>
  <c r="B454" i="55"/>
  <c r="A454" i="55" s="1"/>
  <c r="I490" i="55" a="1"/>
  <c r="I490" i="55" s="1"/>
  <c r="G490" i="55" a="1"/>
  <c r="G490" i="55" s="1"/>
  <c r="B490" i="55"/>
  <c r="A490" i="55" s="1"/>
  <c r="I279" i="55" a="1"/>
  <c r="I279" i="55" s="1"/>
  <c r="G279" i="55" a="1"/>
  <c r="G279" i="55" s="1"/>
  <c r="B279" i="55"/>
  <c r="A279" i="55" s="1"/>
  <c r="I281" i="55" a="1"/>
  <c r="I281" i="55" s="1"/>
  <c r="G281" i="55" a="1"/>
  <c r="G281" i="55" s="1"/>
  <c r="B281" i="55"/>
  <c r="A281" i="55" s="1"/>
  <c r="I436" i="55" a="1"/>
  <c r="I436" i="55" s="1"/>
  <c r="G436" i="55" a="1"/>
  <c r="G436" i="55" s="1"/>
  <c r="B436" i="55"/>
  <c r="A436" i="55" s="1"/>
  <c r="I260" i="55" a="1"/>
  <c r="I260" i="55" s="1"/>
  <c r="G260" i="55" a="1"/>
  <c r="G260" i="55" s="1"/>
  <c r="B260" i="55"/>
  <c r="A260" i="55" s="1"/>
  <c r="I256" i="55" a="1"/>
  <c r="I256" i="55" s="1"/>
  <c r="G256" i="55" a="1"/>
  <c r="G256" i="55" s="1"/>
  <c r="B256" i="55"/>
  <c r="A256" i="55" s="1"/>
  <c r="I242" i="55" a="1"/>
  <c r="I242" i="55" s="1"/>
  <c r="G242" i="55" a="1"/>
  <c r="G242" i="55" s="1"/>
  <c r="B242" i="55"/>
  <c r="A242" i="55" s="1"/>
  <c r="I17" i="55" a="1"/>
  <c r="I17" i="55" s="1"/>
  <c r="G17" i="55" a="1"/>
  <c r="G17" i="55" s="1"/>
  <c r="B17" i="55"/>
  <c r="A17" i="55" s="1"/>
  <c r="I477" i="55" a="1"/>
  <c r="I477" i="55" s="1"/>
  <c r="G477" i="55" a="1"/>
  <c r="G477" i="55" s="1"/>
  <c r="B477" i="55"/>
  <c r="A477" i="55" s="1"/>
  <c r="I443" i="55" a="1"/>
  <c r="I443" i="55" s="1"/>
  <c r="G443" i="55" a="1"/>
  <c r="G443" i="55" s="1"/>
  <c r="B443" i="55"/>
  <c r="A443" i="55" s="1"/>
  <c r="I429" i="55" a="1"/>
  <c r="I429" i="55" s="1"/>
  <c r="G429" i="55" a="1"/>
  <c r="G429" i="55" s="1"/>
  <c r="B429" i="55"/>
  <c r="A429" i="55" s="1"/>
  <c r="I15" i="55" a="1"/>
  <c r="I15" i="55" s="1"/>
  <c r="G15" i="55" a="1"/>
  <c r="G15" i="55" s="1"/>
  <c r="B15" i="55"/>
  <c r="A15" i="55" s="1"/>
  <c r="AB1154" i="34"/>
  <c r="AB1153" i="34"/>
  <c r="AB1152" i="34"/>
  <c r="AB1151" i="34"/>
  <c r="AB1150" i="34"/>
  <c r="AB1149" i="34"/>
  <c r="AB1148" i="34"/>
  <c r="AB1147" i="34"/>
  <c r="AB1146" i="34"/>
  <c r="AB1145" i="34"/>
  <c r="AB1144" i="34"/>
  <c r="AB1143" i="34"/>
  <c r="AB1142" i="34"/>
  <c r="AB1141" i="34"/>
  <c r="AB1140" i="34"/>
  <c r="AB1139" i="34"/>
  <c r="AB1138" i="34"/>
  <c r="AB1137" i="34"/>
  <c r="AB1136" i="34"/>
  <c r="AB1135" i="34"/>
  <c r="AB1134" i="34"/>
  <c r="AB1133" i="34"/>
  <c r="AB1132" i="34"/>
  <c r="AB1131" i="34"/>
  <c r="AB1130" i="34"/>
  <c r="AB1129" i="34"/>
  <c r="AB1128" i="34"/>
  <c r="AB1127" i="34"/>
  <c r="AB1126" i="34"/>
  <c r="AB1125" i="34"/>
  <c r="AB1124" i="34"/>
  <c r="AB1123" i="34"/>
  <c r="AB1122" i="34"/>
  <c r="AB1121" i="34"/>
  <c r="AB1120" i="34"/>
  <c r="AB1119" i="34"/>
  <c r="AB1118" i="34"/>
  <c r="AB1117" i="34"/>
  <c r="AB1116" i="34"/>
  <c r="AB1115" i="34"/>
  <c r="AB1114" i="34"/>
  <c r="AB1113" i="34"/>
  <c r="AB1112" i="34"/>
  <c r="AB1111" i="34"/>
  <c r="AB1110" i="34"/>
  <c r="AB1109" i="34"/>
  <c r="AB1108" i="34"/>
  <c r="AB1107" i="34"/>
  <c r="AB1106" i="34"/>
  <c r="AB1105" i="34"/>
  <c r="AB1104" i="34"/>
  <c r="AB1103" i="34"/>
  <c r="AB1102" i="34"/>
  <c r="AB1101" i="34"/>
  <c r="AB1100" i="34"/>
  <c r="AB1099" i="34"/>
  <c r="AB1098" i="34"/>
  <c r="AB1097" i="34"/>
  <c r="AB1096" i="34"/>
  <c r="AB1095" i="34"/>
  <c r="AB1094" i="34"/>
  <c r="AB1093" i="34"/>
  <c r="AB1092" i="34"/>
  <c r="AB1091" i="34"/>
  <c r="AB1090" i="34"/>
  <c r="AB1089" i="34"/>
  <c r="AB1088" i="34"/>
  <c r="AB1087" i="34"/>
  <c r="AB1086" i="34"/>
  <c r="AB1085" i="34"/>
  <c r="AB1084" i="34"/>
  <c r="AB1083" i="34"/>
  <c r="AB1082" i="34"/>
  <c r="AB1081" i="34"/>
  <c r="AB1080" i="34"/>
  <c r="AB1079" i="34"/>
  <c r="AB1078" i="34"/>
  <c r="AB1077" i="34"/>
  <c r="AB1076" i="34"/>
  <c r="AB1075" i="34"/>
  <c r="AB1074" i="34"/>
  <c r="AB1073" i="34"/>
  <c r="AB1072" i="34"/>
  <c r="AB1071" i="34"/>
  <c r="AB1070" i="34"/>
  <c r="AB1069" i="34"/>
  <c r="AB1068" i="34"/>
  <c r="AB1067" i="34"/>
  <c r="AB1066" i="34"/>
  <c r="AB1065" i="34"/>
  <c r="AB1064" i="34"/>
  <c r="AB1063" i="34"/>
  <c r="AB1062" i="34"/>
  <c r="AB1061" i="34"/>
  <c r="AB1060" i="34"/>
  <c r="AB1059" i="34"/>
  <c r="AB1058" i="34"/>
  <c r="AB1057" i="34"/>
  <c r="AB1056" i="34"/>
  <c r="AB1055" i="34"/>
  <c r="AB1054" i="34"/>
  <c r="AB1053" i="34"/>
  <c r="AB1052" i="34"/>
  <c r="AB1051" i="34"/>
  <c r="AB1050" i="34"/>
  <c r="AB1157" i="34"/>
  <c r="AB1156" i="34"/>
  <c r="AB1162" i="34"/>
  <c r="AB1161" i="34"/>
  <c r="AB1160" i="34"/>
  <c r="AB1159" i="34"/>
  <c r="AB1176" i="34"/>
  <c r="AB1175" i="34"/>
  <c r="AB1179" i="34"/>
  <c r="AB1178" i="34"/>
  <c r="AB1257" i="34"/>
  <c r="AB1256" i="34"/>
  <c r="AB1255" i="34"/>
  <c r="AB1260" i="34"/>
  <c r="AB1259" i="34"/>
  <c r="AB1264" i="34"/>
  <c r="AB1263" i="34"/>
  <c r="AB1262" i="34"/>
  <c r="AB1273" i="34"/>
  <c r="AB1272" i="34"/>
  <c r="AB1275" i="34"/>
  <c r="AB1282" i="34"/>
  <c r="AB1393" i="34"/>
  <c r="AB1392" i="34"/>
  <c r="AB1391" i="34"/>
  <c r="AB1390" i="34"/>
  <c r="AB1389" i="34"/>
  <c r="AB1388" i="34"/>
  <c r="AB1387" i="34"/>
  <c r="AB1386" i="34"/>
  <c r="AB1385" i="34"/>
  <c r="AB1384" i="34"/>
  <c r="AB1383" i="34"/>
  <c r="AB1382" i="34"/>
  <c r="AB1381" i="34"/>
  <c r="AB1380" i="34"/>
  <c r="AB1379" i="34"/>
  <c r="AB1378" i="34"/>
  <c r="AB1377" i="34"/>
  <c r="AB1376" i="34"/>
  <c r="AB1375" i="34"/>
  <c r="AB1374" i="34"/>
  <c r="AB1373" i="34"/>
  <c r="AB1372" i="34"/>
  <c r="AB1371" i="34"/>
  <c r="AB1370" i="34"/>
  <c r="AB1369" i="34"/>
  <c r="AB1368" i="34"/>
  <c r="AB1367" i="34"/>
  <c r="AB1366" i="34"/>
  <c r="AB1365" i="34"/>
  <c r="AB1364" i="34"/>
  <c r="AB1363" i="34"/>
  <c r="AB1187" i="34"/>
  <c r="AB1186" i="34"/>
  <c r="AB1185" i="34"/>
  <c r="AB1184" i="34"/>
  <c r="AB1183" i="34"/>
  <c r="AB1182" i="34"/>
  <c r="AB1181" i="34"/>
  <c r="AB1166" i="34"/>
  <c r="AB1165" i="34"/>
  <c r="AB1164" i="34"/>
  <c r="AB1232" i="34"/>
  <c r="K1232" i="34"/>
  <c r="C1232" i="34"/>
  <c r="B1232" i="34" s="1"/>
  <c r="AB1231" i="34"/>
  <c r="K1231" i="34"/>
  <c r="C1231" i="34"/>
  <c r="B1231" i="34" s="1"/>
  <c r="K2295" i="34"/>
  <c r="AB1210" i="34"/>
  <c r="K1210" i="34"/>
  <c r="C1210" i="34"/>
  <c r="B1210" i="34" s="1"/>
  <c r="AB1209" i="34"/>
  <c r="K1209" i="34"/>
  <c r="C1209" i="34"/>
  <c r="B1209" i="34" s="1"/>
  <c r="AB1208" i="34"/>
  <c r="K1208" i="34"/>
  <c r="C1208" i="34"/>
  <c r="B1208" i="34" s="1"/>
  <c r="AB1207" i="34"/>
  <c r="K1207" i="34"/>
  <c r="C1207" i="34"/>
  <c r="B1207" i="34" s="1"/>
  <c r="AB1206" i="34"/>
  <c r="K1206" i="34"/>
  <c r="C1206" i="34"/>
  <c r="B1206" i="34" s="1"/>
  <c r="AB1205" i="34"/>
  <c r="K1205" i="34"/>
  <c r="C1205" i="34"/>
  <c r="B1205" i="34" s="1"/>
  <c r="AB1204" i="34"/>
  <c r="K1204" i="34"/>
  <c r="C1204" i="34"/>
  <c r="B1204" i="34" s="1"/>
  <c r="AB1203" i="34"/>
  <c r="K1203" i="34"/>
  <c r="C1203" i="34"/>
  <c r="B1203" i="34" s="1"/>
  <c r="AB1202" i="34"/>
  <c r="K1202" i="34"/>
  <c r="C1202" i="34"/>
  <c r="B1202" i="34" s="1"/>
  <c r="AB1201" i="34"/>
  <c r="K1201" i="34"/>
  <c r="C1201" i="34"/>
  <c r="B1201" i="34" s="1"/>
  <c r="AB1200" i="34"/>
  <c r="K1200" i="34"/>
  <c r="C1200" i="34"/>
  <c r="B1200" i="34" s="1"/>
  <c r="AB1199" i="34"/>
  <c r="K1199" i="34"/>
  <c r="C1199" i="34"/>
  <c r="B1199" i="34" s="1"/>
  <c r="AB1198" i="34"/>
  <c r="K1198" i="34"/>
  <c r="C1198" i="34"/>
  <c r="B1198" i="34" s="1"/>
  <c r="AB1197" i="34"/>
  <c r="K1197" i="34"/>
  <c r="C1197" i="34"/>
  <c r="B1197" i="34" s="1"/>
  <c r="AB1196" i="34"/>
  <c r="K1196" i="34"/>
  <c r="C1196" i="34"/>
  <c r="B1196" i="34" s="1"/>
  <c r="AB1195" i="34"/>
  <c r="K1195" i="34"/>
  <c r="C1195" i="34"/>
  <c r="B1195" i="34" s="1"/>
  <c r="AB1194" i="34"/>
  <c r="K1194" i="34"/>
  <c r="C1194" i="34"/>
  <c r="B1194" i="34" s="1"/>
  <c r="AB1193" i="34"/>
  <c r="K1193" i="34"/>
  <c r="C1193" i="34"/>
  <c r="B1193" i="34" s="1"/>
  <c r="AB1192" i="34"/>
  <c r="K1192" i="34"/>
  <c r="C1192" i="34"/>
  <c r="B1192" i="34" s="1"/>
  <c r="AB1191" i="34"/>
  <c r="K1191" i="34"/>
  <c r="C1191" i="34"/>
  <c r="B1191" i="34" s="1"/>
  <c r="AB1220" i="34"/>
  <c r="K1220" i="34"/>
  <c r="C1220" i="34"/>
  <c r="B1220" i="34" s="1"/>
  <c r="AB1219" i="34"/>
  <c r="K1219" i="34"/>
  <c r="C1219" i="34"/>
  <c r="B1219" i="34" s="1"/>
  <c r="AB1218" i="34"/>
  <c r="K1218" i="34"/>
  <c r="C1218" i="34"/>
  <c r="B1218" i="34" s="1"/>
  <c r="AB1217" i="34"/>
  <c r="K1217" i="34"/>
  <c r="C1217" i="34"/>
  <c r="B1217" i="34" s="1"/>
  <c r="AB1216" i="34"/>
  <c r="K1216" i="34"/>
  <c r="C1216" i="34"/>
  <c r="B1216" i="34" s="1"/>
  <c r="AB1215" i="34"/>
  <c r="K1215" i="34"/>
  <c r="C1215" i="34"/>
  <c r="B1215" i="34" s="1"/>
  <c r="AB1214" i="34"/>
  <c r="K1214" i="34"/>
  <c r="C1214" i="34"/>
  <c r="B1214" i="34" s="1"/>
  <c r="AB1213" i="34"/>
  <c r="K1213" i="34"/>
  <c r="C1213" i="34"/>
  <c r="B1213" i="34" s="1"/>
  <c r="AB1212" i="34"/>
  <c r="K1212" i="34"/>
  <c r="C1212" i="34"/>
  <c r="B1212" i="34" s="1"/>
  <c r="AB1211" i="34"/>
  <c r="K1211" i="34"/>
  <c r="C1211" i="34"/>
  <c r="B1211" i="34" s="1"/>
  <c r="K1222" i="34"/>
  <c r="K1223" i="34"/>
  <c r="K1224" i="34"/>
  <c r="K1225" i="34"/>
  <c r="K1226" i="34"/>
  <c r="K1227" i="34"/>
  <c r="K1228" i="34"/>
  <c r="K1229" i="34"/>
  <c r="K1230" i="34"/>
  <c r="K1221" i="34"/>
  <c r="K1165" i="34"/>
  <c r="K1166" i="34"/>
  <c r="K1167" i="34"/>
  <c r="K1168" i="34"/>
  <c r="K1169" i="34"/>
  <c r="K1170" i="34"/>
  <c r="K1171" i="34"/>
  <c r="K1172" i="34"/>
  <c r="K1173" i="34"/>
  <c r="K1164" i="34"/>
  <c r="AB1167" i="34"/>
  <c r="AB1168" i="34"/>
  <c r="AB1169" i="34"/>
  <c r="AB1170" i="34"/>
  <c r="AB1171" i="34"/>
  <c r="AB1172" i="34"/>
  <c r="AB1173" i="34"/>
  <c r="AB1221" i="34"/>
  <c r="AB1222" i="34"/>
  <c r="AB1223" i="34"/>
  <c r="AB1224" i="34"/>
  <c r="AB1225" i="34"/>
  <c r="AB1226" i="34"/>
  <c r="AB1227" i="34"/>
  <c r="AB1228" i="34"/>
  <c r="AB1229" i="34"/>
  <c r="AB1230" i="34"/>
  <c r="AB1279" i="34"/>
  <c r="AB1280" i="34"/>
  <c r="K1182" i="34"/>
  <c r="K1183" i="34"/>
  <c r="K1184" i="34"/>
  <c r="K1185" i="34"/>
  <c r="K1186" i="34"/>
  <c r="K1187" i="34"/>
  <c r="K1181" i="34"/>
  <c r="C1165" i="34"/>
  <c r="B1165" i="34" s="1"/>
  <c r="C1164" i="34"/>
  <c r="B1164" i="34" s="1"/>
  <c r="C1236" i="34"/>
  <c r="B1236" i="34" s="1"/>
  <c r="C1188" i="34"/>
  <c r="B1188" i="34" s="1"/>
  <c r="C1187" i="34"/>
  <c r="B1187" i="34" s="1"/>
  <c r="C1186" i="34"/>
  <c r="B1186" i="34" s="1"/>
  <c r="C1185" i="34"/>
  <c r="B1185" i="34" s="1"/>
  <c r="C1184" i="34"/>
  <c r="B1184" i="34" s="1"/>
  <c r="C1183" i="34"/>
  <c r="B1183" i="34" s="1"/>
  <c r="C1182" i="34"/>
  <c r="B1182" i="34" s="1"/>
  <c r="C1222" i="34"/>
  <c r="B1222" i="34" s="1"/>
  <c r="C1221" i="34"/>
  <c r="B1221" i="34" s="1"/>
  <c r="C1174" i="34"/>
  <c r="B1174" i="34" s="1"/>
  <c r="C1173" i="34"/>
  <c r="B1173" i="34" s="1"/>
  <c r="C1172" i="34"/>
  <c r="B1172" i="34" s="1"/>
  <c r="C1171" i="34"/>
  <c r="B1171" i="34" s="1"/>
  <c r="C1170" i="34"/>
  <c r="B1170" i="34" s="1"/>
  <c r="C1169" i="34"/>
  <c r="B1169" i="34" s="1"/>
  <c r="C1168" i="34"/>
  <c r="B1168" i="34" s="1"/>
  <c r="C1167" i="34"/>
  <c r="B1167" i="34" s="1"/>
  <c r="C1166" i="34"/>
  <c r="B1166" i="34" s="1"/>
  <c r="C1227" i="34"/>
  <c r="B1227" i="34" s="1"/>
  <c r="C1226" i="34"/>
  <c r="B1226" i="34" s="1"/>
  <c r="C1225" i="34"/>
  <c r="B1225" i="34" s="1"/>
  <c r="C1224" i="34"/>
  <c r="B1224" i="34" s="1"/>
  <c r="C1223" i="34"/>
  <c r="B1223" i="34" s="1"/>
  <c r="C1181" i="34"/>
  <c r="B1181" i="34" s="1"/>
  <c r="C1230" i="34"/>
  <c r="B1230" i="34" s="1"/>
  <c r="C1229" i="34"/>
  <c r="B1229" i="34" s="1"/>
  <c r="C1228" i="34"/>
  <c r="B1228" i="34" s="1"/>
  <c r="Q1166" i="34" l="1"/>
  <c r="U1166" i="34"/>
  <c r="Z1166" i="34"/>
  <c r="O1166" i="34"/>
  <c r="W1166" i="34"/>
  <c r="P1166" i="34"/>
  <c r="A1166" i="34"/>
  <c r="O1192" i="34"/>
  <c r="W1192" i="34"/>
  <c r="P1192" i="34"/>
  <c r="Q1192" i="34"/>
  <c r="U1192" i="34"/>
  <c r="Z1192" i="34"/>
  <c r="A1192" i="34"/>
  <c r="O1196" i="34"/>
  <c r="W1196" i="34"/>
  <c r="P1196" i="34"/>
  <c r="Q1196" i="34"/>
  <c r="U1196" i="34"/>
  <c r="Z1196" i="34"/>
  <c r="A1196" i="34"/>
  <c r="O1200" i="34"/>
  <c r="W1200" i="34"/>
  <c r="P1200" i="34"/>
  <c r="Q1200" i="34"/>
  <c r="U1200" i="34"/>
  <c r="Z1200" i="34"/>
  <c r="A1200" i="34"/>
  <c r="O1204" i="34"/>
  <c r="W1204" i="34"/>
  <c r="P1204" i="34"/>
  <c r="Q1204" i="34"/>
  <c r="U1204" i="34"/>
  <c r="Z1204" i="34"/>
  <c r="A1204" i="34"/>
  <c r="O1208" i="34"/>
  <c r="W1208" i="34"/>
  <c r="P1208" i="34"/>
  <c r="Q1208" i="34"/>
  <c r="U1208" i="34"/>
  <c r="Z1208" i="34"/>
  <c r="A1208" i="34"/>
  <c r="Q1214" i="34"/>
  <c r="U1214" i="34"/>
  <c r="Z1214" i="34"/>
  <c r="O1214" i="34"/>
  <c r="W1214" i="34"/>
  <c r="P1214" i="34"/>
  <c r="A1214" i="34"/>
  <c r="Q1218" i="34"/>
  <c r="U1218" i="34"/>
  <c r="Z1218" i="34"/>
  <c r="P1218" i="34"/>
  <c r="W1218" i="34"/>
  <c r="O1218" i="34"/>
  <c r="A1218" i="34"/>
  <c r="Q1230" i="34"/>
  <c r="U1230" i="34"/>
  <c r="Z1230" i="34"/>
  <c r="O1230" i="34"/>
  <c r="W1230" i="34"/>
  <c r="P1230" i="34"/>
  <c r="A1230" i="34"/>
  <c r="P1171" i="34"/>
  <c r="Q1171" i="34"/>
  <c r="U1171" i="34"/>
  <c r="Z1171" i="34"/>
  <c r="O1171" i="34"/>
  <c r="W1171" i="34"/>
  <c r="A1171" i="34"/>
  <c r="Z1213" i="34"/>
  <c r="O1213" i="34"/>
  <c r="W1213" i="34"/>
  <c r="P1213" i="34"/>
  <c r="Q1213" i="34"/>
  <c r="U1213" i="34"/>
  <c r="A1213" i="34"/>
  <c r="P1199" i="34"/>
  <c r="Q1199" i="34"/>
  <c r="U1199" i="34"/>
  <c r="Z1199" i="34"/>
  <c r="O1199" i="34"/>
  <c r="W1199" i="34"/>
  <c r="A1199" i="34"/>
  <c r="P1207" i="34"/>
  <c r="Q1207" i="34"/>
  <c r="U1207" i="34"/>
  <c r="Z1207" i="34"/>
  <c r="O1207" i="34"/>
  <c r="W1207" i="34"/>
  <c r="A1207" i="34"/>
  <c r="O1232" i="34"/>
  <c r="W1232" i="34"/>
  <c r="P1232" i="34"/>
  <c r="Q1232" i="34"/>
  <c r="U1232" i="34"/>
  <c r="Z1232" i="34"/>
  <c r="A1232" i="34"/>
  <c r="Z1229" i="34"/>
  <c r="O1229" i="34"/>
  <c r="W1229" i="34"/>
  <c r="P1229" i="34"/>
  <c r="Q1229" i="34"/>
  <c r="U1229" i="34"/>
  <c r="A1229" i="34"/>
  <c r="O1224" i="34"/>
  <c r="W1224" i="34"/>
  <c r="P1224" i="34"/>
  <c r="Q1224" i="34"/>
  <c r="U1224" i="34"/>
  <c r="Z1224" i="34"/>
  <c r="A1224" i="34"/>
  <c r="Q1170" i="34"/>
  <c r="U1170" i="34"/>
  <c r="Z1170" i="34"/>
  <c r="O1170" i="34"/>
  <c r="W1170" i="34"/>
  <c r="P1170" i="34"/>
  <c r="A1170" i="34"/>
  <c r="Q1174" i="34"/>
  <c r="U1174" i="34"/>
  <c r="Z1174" i="34"/>
  <c r="O1174" i="34"/>
  <c r="W1174" i="34"/>
  <c r="P1174" i="34"/>
  <c r="A1174" i="34"/>
  <c r="P1183" i="34"/>
  <c r="Q1183" i="34"/>
  <c r="U1183" i="34"/>
  <c r="Z1183" i="34"/>
  <c r="O1183" i="34"/>
  <c r="W1183" i="34"/>
  <c r="A1183" i="34"/>
  <c r="P1187" i="34"/>
  <c r="Q1187" i="34"/>
  <c r="U1187" i="34"/>
  <c r="Z1187" i="34"/>
  <c r="O1187" i="34"/>
  <c r="W1187" i="34"/>
  <c r="A1187" i="34"/>
  <c r="Z1165" i="34"/>
  <c r="O1165" i="34"/>
  <c r="W1165" i="34"/>
  <c r="P1165" i="34"/>
  <c r="Q1165" i="34"/>
  <c r="U1165" i="34"/>
  <c r="A1165" i="34"/>
  <c r="Z1181" i="34"/>
  <c r="O1181" i="34"/>
  <c r="W1181" i="34"/>
  <c r="P1181" i="34"/>
  <c r="Q1181" i="34"/>
  <c r="U1181" i="34"/>
  <c r="A1181" i="34"/>
  <c r="Q1226" i="34"/>
  <c r="U1226" i="34"/>
  <c r="Z1226" i="34"/>
  <c r="O1226" i="34"/>
  <c r="W1226" i="34"/>
  <c r="P1226" i="34"/>
  <c r="A1226" i="34"/>
  <c r="O1168" i="34"/>
  <c r="W1168" i="34"/>
  <c r="P1168" i="34"/>
  <c r="Q1168" i="34"/>
  <c r="U1168" i="34"/>
  <c r="Z1168" i="34"/>
  <c r="A1168" i="34"/>
  <c r="O1172" i="34"/>
  <c r="W1172" i="34"/>
  <c r="P1172" i="34"/>
  <c r="Q1172" i="34"/>
  <c r="U1172" i="34"/>
  <c r="Z1172" i="34"/>
  <c r="A1172" i="34"/>
  <c r="Q1222" i="34"/>
  <c r="U1222" i="34"/>
  <c r="Z1222" i="34"/>
  <c r="O1222" i="34"/>
  <c r="W1222" i="34"/>
  <c r="P1222" i="34"/>
  <c r="A1222" i="34"/>
  <c r="Z1185" i="34"/>
  <c r="O1185" i="34"/>
  <c r="W1185" i="34"/>
  <c r="P1185" i="34"/>
  <c r="Q1185" i="34"/>
  <c r="U1185" i="34"/>
  <c r="A1185" i="34"/>
  <c r="O1236" i="34"/>
  <c r="W1236" i="34"/>
  <c r="P1236" i="34"/>
  <c r="Q1236" i="34"/>
  <c r="U1236" i="34"/>
  <c r="Z1236" i="34"/>
  <c r="A1236" i="34"/>
  <c r="O1212" i="34"/>
  <c r="W1212" i="34"/>
  <c r="P1212" i="34"/>
  <c r="Q1212" i="34"/>
  <c r="U1212" i="34"/>
  <c r="Z1212" i="34"/>
  <c r="A1212" i="34"/>
  <c r="O1220" i="34"/>
  <c r="W1220" i="34"/>
  <c r="P1220" i="34"/>
  <c r="Q1220" i="34"/>
  <c r="U1220" i="34"/>
  <c r="Z1220" i="34"/>
  <c r="A1220" i="34"/>
  <c r="Q1194" i="34"/>
  <c r="U1194" i="34"/>
  <c r="Z1194" i="34"/>
  <c r="O1194" i="34"/>
  <c r="W1194" i="34"/>
  <c r="P1194" i="34"/>
  <c r="A1194" i="34"/>
  <c r="Q1198" i="34"/>
  <c r="U1198" i="34"/>
  <c r="Z1198" i="34"/>
  <c r="O1198" i="34"/>
  <c r="W1198" i="34"/>
  <c r="P1198" i="34"/>
  <c r="A1198" i="34"/>
  <c r="P1231" i="34"/>
  <c r="Q1231" i="34"/>
  <c r="U1231" i="34"/>
  <c r="Z1231" i="34"/>
  <c r="O1231" i="34"/>
  <c r="W1231" i="34"/>
  <c r="A1231" i="34"/>
  <c r="Z1225" i="34"/>
  <c r="O1225" i="34"/>
  <c r="W1225" i="34"/>
  <c r="P1225" i="34"/>
  <c r="Q1225" i="34"/>
  <c r="U1225" i="34"/>
  <c r="A1225" i="34"/>
  <c r="P1167" i="34"/>
  <c r="Q1167" i="34"/>
  <c r="U1167" i="34"/>
  <c r="Z1167" i="34"/>
  <c r="O1167" i="34"/>
  <c r="W1167" i="34"/>
  <c r="A1167" i="34"/>
  <c r="O1221" i="34"/>
  <c r="Z1221" i="34"/>
  <c r="W1221" i="34"/>
  <c r="P1221" i="34"/>
  <c r="Q1221" i="34"/>
  <c r="U1221" i="34"/>
  <c r="A1221" i="34"/>
  <c r="O1184" i="34"/>
  <c r="W1184" i="34"/>
  <c r="P1184" i="34"/>
  <c r="Q1184" i="34"/>
  <c r="U1184" i="34"/>
  <c r="Z1184" i="34"/>
  <c r="A1184" i="34"/>
  <c r="O1188" i="34"/>
  <c r="W1188" i="34"/>
  <c r="P1188" i="34"/>
  <c r="Q1188" i="34"/>
  <c r="U1188" i="34"/>
  <c r="Z1188" i="34"/>
  <c r="A1188" i="34"/>
  <c r="Z1217" i="34"/>
  <c r="O1217" i="34"/>
  <c r="W1217" i="34"/>
  <c r="Q1217" i="34"/>
  <c r="U1217" i="34"/>
  <c r="P1217" i="34"/>
  <c r="A1217" i="34"/>
  <c r="P1191" i="34"/>
  <c r="Q1191" i="34"/>
  <c r="U1191" i="34"/>
  <c r="Z1191" i="34"/>
  <c r="O1191" i="34"/>
  <c r="W1191" i="34"/>
  <c r="A1191" i="34"/>
  <c r="P1195" i="34"/>
  <c r="Q1195" i="34"/>
  <c r="U1195" i="34"/>
  <c r="Z1195" i="34"/>
  <c r="O1195" i="34"/>
  <c r="W1195" i="34"/>
  <c r="A1195" i="34"/>
  <c r="P1203" i="34"/>
  <c r="Q1203" i="34"/>
  <c r="U1203" i="34"/>
  <c r="Z1203" i="34"/>
  <c r="O1203" i="34"/>
  <c r="W1203" i="34"/>
  <c r="A1203" i="34"/>
  <c r="O1216" i="34"/>
  <c r="W1216" i="34"/>
  <c r="P1216" i="34"/>
  <c r="Z1216" i="34"/>
  <c r="Q1216" i="34"/>
  <c r="U1216" i="34"/>
  <c r="A1216" i="34"/>
  <c r="Q1202" i="34"/>
  <c r="U1202" i="34"/>
  <c r="Z1202" i="34"/>
  <c r="O1202" i="34"/>
  <c r="W1202" i="34"/>
  <c r="P1202" i="34"/>
  <c r="A1202" i="34"/>
  <c r="Q1206" i="34"/>
  <c r="U1206" i="34"/>
  <c r="Z1206" i="34"/>
  <c r="O1206" i="34"/>
  <c r="W1206" i="34"/>
  <c r="P1206" i="34"/>
  <c r="A1206" i="34"/>
  <c r="Q1210" i="34"/>
  <c r="U1210" i="34"/>
  <c r="Z1210" i="34"/>
  <c r="O1210" i="34"/>
  <c r="W1210" i="34"/>
  <c r="P1210" i="34"/>
  <c r="A1210" i="34"/>
  <c r="O1228" i="34"/>
  <c r="W1228" i="34"/>
  <c r="P1228" i="34"/>
  <c r="Q1228" i="34"/>
  <c r="U1228" i="34"/>
  <c r="Z1228" i="34"/>
  <c r="A1228" i="34"/>
  <c r="P1223" i="34"/>
  <c r="Q1223" i="34"/>
  <c r="U1223" i="34"/>
  <c r="Z1223" i="34"/>
  <c r="O1223" i="34"/>
  <c r="W1223" i="34"/>
  <c r="A1223" i="34"/>
  <c r="P1227" i="34"/>
  <c r="Q1227" i="34"/>
  <c r="U1227" i="34"/>
  <c r="Z1227" i="34"/>
  <c r="O1227" i="34"/>
  <c r="W1227" i="34"/>
  <c r="A1227" i="34"/>
  <c r="Z1169" i="34"/>
  <c r="O1169" i="34"/>
  <c r="W1169" i="34"/>
  <c r="P1169" i="34"/>
  <c r="Q1169" i="34"/>
  <c r="U1169" i="34"/>
  <c r="A1169" i="34"/>
  <c r="Z1173" i="34"/>
  <c r="O1173" i="34"/>
  <c r="W1173" i="34"/>
  <c r="P1173" i="34"/>
  <c r="Q1173" i="34"/>
  <c r="U1173" i="34"/>
  <c r="A1173" i="34"/>
  <c r="Q1182" i="34"/>
  <c r="U1182" i="34"/>
  <c r="Z1182" i="34"/>
  <c r="O1182" i="34"/>
  <c r="W1182" i="34"/>
  <c r="P1182" i="34"/>
  <c r="A1182" i="34"/>
  <c r="Q1186" i="34"/>
  <c r="U1186" i="34"/>
  <c r="Z1186" i="34"/>
  <c r="O1186" i="34"/>
  <c r="W1186" i="34"/>
  <c r="P1186" i="34"/>
  <c r="A1186" i="34"/>
  <c r="O1164" i="34"/>
  <c r="W1164" i="34"/>
  <c r="P1164" i="34"/>
  <c r="Q1164" i="34"/>
  <c r="U1164" i="34"/>
  <c r="Z1164" i="34"/>
  <c r="A1164" i="34"/>
  <c r="P1211" i="34"/>
  <c r="Q1211" i="34"/>
  <c r="U1211" i="34"/>
  <c r="Z1211" i="34"/>
  <c r="O1211" i="34"/>
  <c r="W1211" i="34"/>
  <c r="A1211" i="34"/>
  <c r="P1215" i="34"/>
  <c r="Q1215" i="34"/>
  <c r="U1215" i="34"/>
  <c r="O1215" i="34"/>
  <c r="W1215" i="34"/>
  <c r="Z1215" i="34"/>
  <c r="A1215" i="34"/>
  <c r="P1219" i="34"/>
  <c r="Q1219" i="34"/>
  <c r="U1219" i="34"/>
  <c r="O1219" i="34"/>
  <c r="W1219" i="34"/>
  <c r="Z1219" i="34"/>
  <c r="A1219" i="34"/>
  <c r="Z1193" i="34"/>
  <c r="O1193" i="34"/>
  <c r="W1193" i="34"/>
  <c r="P1193" i="34"/>
  <c r="Q1193" i="34"/>
  <c r="U1193" i="34"/>
  <c r="A1193" i="34"/>
  <c r="Z1197" i="34"/>
  <c r="O1197" i="34"/>
  <c r="W1197" i="34"/>
  <c r="P1197" i="34"/>
  <c r="Q1197" i="34"/>
  <c r="U1197" i="34"/>
  <c r="A1197" i="34"/>
  <c r="Z1201" i="34"/>
  <c r="O1201" i="34"/>
  <c r="W1201" i="34"/>
  <c r="P1201" i="34"/>
  <c r="Q1201" i="34"/>
  <c r="U1201" i="34"/>
  <c r="A1201" i="34"/>
  <c r="Z1205" i="34"/>
  <c r="O1205" i="34"/>
  <c r="W1205" i="34"/>
  <c r="P1205" i="34"/>
  <c r="Q1205" i="34"/>
  <c r="U1205" i="34"/>
  <c r="A1205" i="34"/>
  <c r="Z1209" i="34"/>
  <c r="O1209" i="34"/>
  <c r="W1209" i="34"/>
  <c r="P1209" i="34"/>
  <c r="Q1209" i="34"/>
  <c r="U1209" i="34"/>
  <c r="A1209" i="34"/>
  <c r="AD1236" i="34"/>
  <c r="K489" i="55"/>
  <c r="K15" i="55"/>
  <c r="K429" i="55"/>
  <c r="K443" i="55"/>
  <c r="K477" i="55"/>
  <c r="K17" i="55"/>
  <c r="K242" i="55"/>
  <c r="K256" i="55"/>
  <c r="K260" i="55"/>
  <c r="K436" i="55"/>
  <c r="K281" i="55"/>
  <c r="K279" i="55"/>
  <c r="K490" i="55"/>
  <c r="K454" i="55"/>
  <c r="K82" i="55"/>
  <c r="K309" i="55"/>
  <c r="K389" i="55"/>
  <c r="K42" i="55"/>
  <c r="K65" i="55"/>
  <c r="K87" i="55"/>
  <c r="K22" i="55"/>
  <c r="K52" i="55"/>
  <c r="K706" i="55"/>
  <c r="K387" i="55"/>
  <c r="K68" i="55"/>
  <c r="K81" i="55"/>
  <c r="K72" i="55"/>
  <c r="K83" i="55"/>
  <c r="K88" i="55"/>
  <c r="K21" i="55"/>
  <c r="K71" i="55"/>
  <c r="K28" i="55"/>
  <c r="K251" i="55"/>
  <c r="K30" i="55"/>
  <c r="K44" i="55"/>
  <c r="K41" i="55"/>
  <c r="K66" i="55"/>
  <c r="K31" i="55"/>
  <c r="K73" i="55"/>
  <c r="K45" i="55"/>
  <c r="K20" i="55"/>
  <c r="K32" i="55"/>
  <c r="K29" i="55"/>
  <c r="K27" i="55"/>
  <c r="K24" i="55"/>
  <c r="K650" i="55"/>
  <c r="K329" i="55"/>
  <c r="K748" i="55"/>
  <c r="K369" i="55"/>
  <c r="K250" i="55"/>
  <c r="K245" i="55"/>
  <c r="K249" i="55"/>
  <c r="K247" i="55"/>
  <c r="K248" i="55"/>
  <c r="K246" i="55"/>
  <c r="K241" i="55"/>
  <c r="K258" i="55"/>
  <c r="K259" i="55"/>
  <c r="K244" i="55"/>
  <c r="K257" i="55"/>
  <c r="K261" i="55"/>
  <c r="I114" i="55" l="1" a="1"/>
  <c r="I114" i="55" s="1"/>
  <c r="G114" i="55" a="1"/>
  <c r="G114" i="55" s="1"/>
  <c r="B114" i="55"/>
  <c r="A114" i="55" s="1"/>
  <c r="I123" i="55" a="1"/>
  <c r="I123" i="55" s="1"/>
  <c r="G123" i="55" a="1"/>
  <c r="G123" i="55" s="1"/>
  <c r="B123" i="55"/>
  <c r="A123" i="55" s="1"/>
  <c r="I405" i="55" a="1"/>
  <c r="I405" i="55" s="1"/>
  <c r="G405" i="55" a="1"/>
  <c r="G405" i="55" s="1"/>
  <c r="B405" i="55"/>
  <c r="A405" i="55" s="1"/>
  <c r="I637" i="55" a="1"/>
  <c r="I637" i="55" s="1"/>
  <c r="G637" i="55" a="1"/>
  <c r="G637" i="55" s="1"/>
  <c r="B637" i="55"/>
  <c r="A637" i="55" s="1"/>
  <c r="I571" i="55" a="1"/>
  <c r="I571" i="55" s="1"/>
  <c r="G571" i="55" a="1"/>
  <c r="G571" i="55" s="1"/>
  <c r="B571" i="55"/>
  <c r="A571" i="55" s="1"/>
  <c r="I570" i="55" a="1"/>
  <c r="I570" i="55" s="1"/>
  <c r="G570" i="55" a="1"/>
  <c r="G570" i="55" s="1"/>
  <c r="B570" i="55"/>
  <c r="A570" i="55" s="1"/>
  <c r="I112" i="55" a="1"/>
  <c r="I112" i="55" s="1"/>
  <c r="G112" i="55" a="1"/>
  <c r="G112" i="55" s="1"/>
  <c r="B112" i="55"/>
  <c r="A112" i="55" s="1"/>
  <c r="I133" i="55" a="1"/>
  <c r="I133" i="55" s="1"/>
  <c r="G133" i="55" a="1"/>
  <c r="G133" i="55" s="1"/>
  <c r="B133" i="55"/>
  <c r="A133" i="55" s="1"/>
  <c r="I109" i="55" a="1"/>
  <c r="I109" i="55" s="1"/>
  <c r="G109" i="55" a="1"/>
  <c r="G109" i="55" s="1"/>
  <c r="B109" i="55"/>
  <c r="A109" i="55" s="1"/>
  <c r="I161" i="55" a="1"/>
  <c r="I161" i="55" s="1"/>
  <c r="G161" i="55" a="1"/>
  <c r="G161" i="55" s="1"/>
  <c r="B161" i="55"/>
  <c r="A161" i="55" s="1"/>
  <c r="I53" i="55" a="1"/>
  <c r="I53" i="55" s="1"/>
  <c r="G53" i="55" a="1"/>
  <c r="G53" i="55" s="1"/>
  <c r="B53" i="55"/>
  <c r="A53" i="55" s="1"/>
  <c r="I115" i="55" a="1"/>
  <c r="I115" i="55" s="1"/>
  <c r="G115" i="55" a="1"/>
  <c r="G115" i="55" s="1"/>
  <c r="B115" i="55"/>
  <c r="A115" i="55" s="1"/>
  <c r="I143" i="55" a="1"/>
  <c r="I143" i="55" s="1"/>
  <c r="G143" i="55" a="1"/>
  <c r="G143" i="55" s="1"/>
  <c r="B143" i="55"/>
  <c r="A143" i="55" s="1"/>
  <c r="I92" i="55" a="1"/>
  <c r="I92" i="55" s="1"/>
  <c r="G92" i="55" a="1"/>
  <c r="G92" i="55" s="1"/>
  <c r="B92" i="55"/>
  <c r="A92" i="55" s="1"/>
  <c r="I105" i="55" a="1"/>
  <c r="I105" i="55" s="1"/>
  <c r="G105" i="55" a="1"/>
  <c r="G105" i="55" s="1"/>
  <c r="B105" i="55"/>
  <c r="A105" i="55" s="1"/>
  <c r="I132" i="55" a="1"/>
  <c r="I132" i="55" s="1"/>
  <c r="G132" i="55" a="1"/>
  <c r="G132" i="55" s="1"/>
  <c r="B132" i="55"/>
  <c r="A132" i="55" s="1"/>
  <c r="I113" i="55" a="1"/>
  <c r="I113" i="55" s="1"/>
  <c r="G113" i="55" a="1"/>
  <c r="G113" i="55" s="1"/>
  <c r="B113" i="55"/>
  <c r="A113" i="55" s="1"/>
  <c r="I128" i="55" a="1"/>
  <c r="I128" i="55" s="1"/>
  <c r="G128" i="55" a="1"/>
  <c r="G128" i="55" s="1"/>
  <c r="B128" i="55"/>
  <c r="A128" i="55" s="1"/>
  <c r="I23" i="55" a="1"/>
  <c r="I23" i="55" s="1"/>
  <c r="G23" i="55" a="1"/>
  <c r="G23" i="55" s="1"/>
  <c r="B23" i="55"/>
  <c r="A23" i="55" s="1"/>
  <c r="I85" i="55" a="1"/>
  <c r="I85" i="55" s="1"/>
  <c r="G85" i="55" a="1"/>
  <c r="G85" i="55" s="1"/>
  <c r="B85" i="55"/>
  <c r="A85" i="55" s="1"/>
  <c r="I67" i="55" a="1"/>
  <c r="I67" i="55" s="1"/>
  <c r="G67" i="55" a="1"/>
  <c r="G67" i="55" s="1"/>
  <c r="B67" i="55"/>
  <c r="A67" i="55" s="1"/>
  <c r="I43" i="55" a="1"/>
  <c r="I43" i="55" s="1"/>
  <c r="G43" i="55" a="1"/>
  <c r="G43" i="55" s="1"/>
  <c r="B43" i="55"/>
  <c r="A43" i="55" s="1"/>
  <c r="AB2233" i="34"/>
  <c r="K2233" i="34"/>
  <c r="C2233" i="34"/>
  <c r="B2233" i="34" s="1"/>
  <c r="AB2232" i="34"/>
  <c r="K2232" i="34"/>
  <c r="C2232" i="34"/>
  <c r="B2232" i="34" s="1"/>
  <c r="AB2231" i="34"/>
  <c r="K2231" i="34"/>
  <c r="C2231" i="34"/>
  <c r="B2231" i="34" s="1"/>
  <c r="AB2230" i="34"/>
  <c r="K2230" i="34"/>
  <c r="C2230" i="34"/>
  <c r="B2230" i="34" s="1"/>
  <c r="AB2229" i="34"/>
  <c r="K2229" i="34"/>
  <c r="C2229" i="34"/>
  <c r="B2229" i="34" s="1"/>
  <c r="AB2228" i="34"/>
  <c r="K2228" i="34"/>
  <c r="C2228" i="34"/>
  <c r="B2228" i="34" s="1"/>
  <c r="AB2227" i="34"/>
  <c r="K2227" i="34"/>
  <c r="C2227" i="34"/>
  <c r="B2227" i="34" s="1"/>
  <c r="AB2226" i="34"/>
  <c r="K2226" i="34"/>
  <c r="C2226" i="34"/>
  <c r="B2226" i="34" s="1"/>
  <c r="AB2225" i="34"/>
  <c r="K2225" i="34"/>
  <c r="C2225" i="34"/>
  <c r="B2225" i="34" s="1"/>
  <c r="AB2224" i="34"/>
  <c r="K2224" i="34"/>
  <c r="C2224" i="34"/>
  <c r="B2224" i="34" s="1"/>
  <c r="AB2223" i="34"/>
  <c r="K2223" i="34"/>
  <c r="C2223" i="34"/>
  <c r="B2223" i="34" s="1"/>
  <c r="AB2222" i="34"/>
  <c r="K2222" i="34"/>
  <c r="C2222" i="34"/>
  <c r="B2222" i="34" s="1"/>
  <c r="AB2221" i="34"/>
  <c r="K2221" i="34"/>
  <c r="C2221" i="34"/>
  <c r="B2221" i="34" s="1"/>
  <c r="AB2220" i="34"/>
  <c r="K2220" i="34"/>
  <c r="C2220" i="34"/>
  <c r="B2220" i="34" s="1"/>
  <c r="AB2219" i="34"/>
  <c r="K2219" i="34"/>
  <c r="C2219" i="34"/>
  <c r="B2219" i="34" s="1"/>
  <c r="AB2218" i="34"/>
  <c r="K2218" i="34"/>
  <c r="C2218" i="34"/>
  <c r="B2218" i="34" s="1"/>
  <c r="AB2217" i="34"/>
  <c r="K2217" i="34"/>
  <c r="C2217" i="34"/>
  <c r="B2217" i="34" s="1"/>
  <c r="AB2216" i="34"/>
  <c r="K2216" i="34"/>
  <c r="C2216" i="34"/>
  <c r="B2216" i="34" s="1"/>
  <c r="AB2215" i="34"/>
  <c r="K2215" i="34"/>
  <c r="C2215" i="34"/>
  <c r="B2215" i="34" s="1"/>
  <c r="AB2214" i="34"/>
  <c r="K2214" i="34"/>
  <c r="C2214" i="34"/>
  <c r="B2214" i="34" s="1"/>
  <c r="AB2213" i="34"/>
  <c r="K2213" i="34"/>
  <c r="C2213" i="34"/>
  <c r="B2213" i="34" s="1"/>
  <c r="AB2212" i="34"/>
  <c r="K2212" i="34"/>
  <c r="C2212" i="34"/>
  <c r="B2212" i="34" s="1"/>
  <c r="AB2211" i="34"/>
  <c r="K2211" i="34"/>
  <c r="C2211" i="34"/>
  <c r="B2211" i="34" s="1"/>
  <c r="AB2210" i="34"/>
  <c r="K2210" i="34"/>
  <c r="C2210" i="34"/>
  <c r="B2210" i="34" s="1"/>
  <c r="AB2209" i="34"/>
  <c r="K2209" i="34"/>
  <c r="C2209" i="34"/>
  <c r="B2209" i="34" s="1"/>
  <c r="AB2208" i="34"/>
  <c r="K2208" i="34"/>
  <c r="C2208" i="34"/>
  <c r="B2208" i="34" s="1"/>
  <c r="AB2207" i="34"/>
  <c r="K2207" i="34"/>
  <c r="C2207" i="34"/>
  <c r="B2207" i="34" s="1"/>
  <c r="AB2206" i="34"/>
  <c r="K2206" i="34"/>
  <c r="C2206" i="34"/>
  <c r="B2206" i="34" s="1"/>
  <c r="AB2205" i="34"/>
  <c r="K2205" i="34"/>
  <c r="C2205" i="34"/>
  <c r="B2205" i="34" s="1"/>
  <c r="AB2204" i="34"/>
  <c r="K2204" i="34"/>
  <c r="C2204" i="34"/>
  <c r="B2204" i="34" s="1"/>
  <c r="AB2203" i="34"/>
  <c r="K2203" i="34"/>
  <c r="C2203" i="34"/>
  <c r="B2203" i="34" s="1"/>
  <c r="AB2202" i="34"/>
  <c r="K2202" i="34"/>
  <c r="C2202" i="34"/>
  <c r="B2202" i="34" s="1"/>
  <c r="AB2201" i="34"/>
  <c r="K2201" i="34"/>
  <c r="C2201" i="34"/>
  <c r="B2201" i="34" s="1"/>
  <c r="AB2200" i="34"/>
  <c r="K2200" i="34"/>
  <c r="C2200" i="34"/>
  <c r="B2200" i="34" s="1"/>
  <c r="AB2199" i="34"/>
  <c r="K2199" i="34"/>
  <c r="C2199" i="34"/>
  <c r="B2199" i="34" s="1"/>
  <c r="AB2198" i="34"/>
  <c r="K2198" i="34"/>
  <c r="C2198" i="34"/>
  <c r="B2198" i="34" s="1"/>
  <c r="AB2197" i="34"/>
  <c r="K2197" i="34"/>
  <c r="C2197" i="34"/>
  <c r="B2197" i="34" s="1"/>
  <c r="AB2196" i="34"/>
  <c r="K2196" i="34"/>
  <c r="C2196" i="34"/>
  <c r="B2196" i="34" s="1"/>
  <c r="AB2195" i="34"/>
  <c r="K2195" i="34"/>
  <c r="C2195" i="34"/>
  <c r="B2195" i="34" s="1"/>
  <c r="AB2194" i="34"/>
  <c r="K2194" i="34"/>
  <c r="C2194" i="34"/>
  <c r="B2194" i="34" s="1"/>
  <c r="AB2193" i="34"/>
  <c r="K2193" i="34"/>
  <c r="C2193" i="34"/>
  <c r="B2193" i="34" s="1"/>
  <c r="AB2192" i="34"/>
  <c r="K2192" i="34"/>
  <c r="C2192" i="34"/>
  <c r="B2192" i="34" s="1"/>
  <c r="AB2191" i="34"/>
  <c r="K2191" i="34"/>
  <c r="C2191" i="34"/>
  <c r="B2191" i="34" s="1"/>
  <c r="AB2190" i="34"/>
  <c r="K2190" i="34"/>
  <c r="C2190" i="34"/>
  <c r="B2190" i="34" s="1"/>
  <c r="AB2189" i="34"/>
  <c r="K2189" i="34"/>
  <c r="C2189" i="34"/>
  <c r="B2189" i="34" s="1"/>
  <c r="AB2188" i="34"/>
  <c r="K2188" i="34"/>
  <c r="C2188" i="34"/>
  <c r="B2188" i="34" s="1"/>
  <c r="AB2187" i="34"/>
  <c r="K2187" i="34"/>
  <c r="C2187" i="34"/>
  <c r="B2187" i="34" s="1"/>
  <c r="AB2186" i="34"/>
  <c r="K2186" i="34"/>
  <c r="C2186" i="34"/>
  <c r="B2186" i="34" s="1"/>
  <c r="AB2185" i="34"/>
  <c r="K2185" i="34"/>
  <c r="C2185" i="34"/>
  <c r="B2185" i="34" s="1"/>
  <c r="AB2184" i="34"/>
  <c r="K2184" i="34"/>
  <c r="C2184" i="34"/>
  <c r="B2184" i="34" s="1"/>
  <c r="AB2183" i="34"/>
  <c r="K2183" i="34"/>
  <c r="C2183" i="34"/>
  <c r="B2183" i="34" s="1"/>
  <c r="AB2182" i="34"/>
  <c r="K2182" i="34"/>
  <c r="C2182" i="34"/>
  <c r="B2182" i="34" s="1"/>
  <c r="AB2181" i="34"/>
  <c r="K2181" i="34"/>
  <c r="C2181" i="34"/>
  <c r="B2181" i="34" s="1"/>
  <c r="AB2180" i="34"/>
  <c r="K2180" i="34"/>
  <c r="C2180" i="34"/>
  <c r="B2180" i="34" s="1"/>
  <c r="AB2179" i="34"/>
  <c r="K2179" i="34"/>
  <c r="C2179" i="34"/>
  <c r="B2179" i="34" s="1"/>
  <c r="AB2178" i="34"/>
  <c r="K2178" i="34"/>
  <c r="C2178" i="34"/>
  <c r="B2178" i="34" s="1"/>
  <c r="AB2177" i="34"/>
  <c r="K2177" i="34"/>
  <c r="C2177" i="34"/>
  <c r="B2177" i="34" s="1"/>
  <c r="AB2176" i="34"/>
  <c r="K2176" i="34"/>
  <c r="C2176" i="34"/>
  <c r="B2176" i="34" s="1"/>
  <c r="AB2175" i="34"/>
  <c r="K2175" i="34"/>
  <c r="C2175" i="34"/>
  <c r="B2175" i="34" s="1"/>
  <c r="AB2174" i="34"/>
  <c r="K2174" i="34"/>
  <c r="C2174" i="34"/>
  <c r="B2174" i="34" s="1"/>
  <c r="AB2173" i="34"/>
  <c r="K2173" i="34"/>
  <c r="C2173" i="34"/>
  <c r="B2173" i="34" s="1"/>
  <c r="AB2172" i="34"/>
  <c r="K2172" i="34"/>
  <c r="C2172" i="34"/>
  <c r="B2172" i="34" s="1"/>
  <c r="AB2171" i="34"/>
  <c r="K2171" i="34"/>
  <c r="C2171" i="34"/>
  <c r="B2171" i="34" s="1"/>
  <c r="AB2170" i="34"/>
  <c r="K2170" i="34"/>
  <c r="C2170" i="34"/>
  <c r="B2170" i="34" s="1"/>
  <c r="AB2169" i="34"/>
  <c r="K2169" i="34"/>
  <c r="C2169" i="34"/>
  <c r="B2169" i="34" s="1"/>
  <c r="AB2168" i="34"/>
  <c r="K2168" i="34"/>
  <c r="C2168" i="34"/>
  <c r="B2168" i="34" s="1"/>
  <c r="AB2167" i="34"/>
  <c r="K2167" i="34"/>
  <c r="C2167" i="34"/>
  <c r="B2167" i="34" s="1"/>
  <c r="AB2166" i="34"/>
  <c r="K2166" i="34"/>
  <c r="C2166" i="34"/>
  <c r="B2166" i="34" s="1"/>
  <c r="AB2165" i="34"/>
  <c r="K2165" i="34"/>
  <c r="C2165" i="34"/>
  <c r="B2165" i="34" s="1"/>
  <c r="AB2164" i="34"/>
  <c r="K2164" i="34"/>
  <c r="C2164" i="34"/>
  <c r="B2164" i="34" s="1"/>
  <c r="AB2163" i="34"/>
  <c r="K2163" i="34"/>
  <c r="C2163" i="34"/>
  <c r="B2163" i="34" s="1"/>
  <c r="AB2162" i="34"/>
  <c r="K2162" i="34"/>
  <c r="C2162" i="34"/>
  <c r="B2162" i="34" s="1"/>
  <c r="AB2306" i="34"/>
  <c r="K2306" i="34"/>
  <c r="C2306" i="34"/>
  <c r="B2306" i="34" s="1"/>
  <c r="C2305" i="34"/>
  <c r="B2305" i="34" s="1"/>
  <c r="AB2304" i="34"/>
  <c r="K2304" i="34"/>
  <c r="C2304" i="34"/>
  <c r="B2304" i="34" s="1"/>
  <c r="AB2303" i="34"/>
  <c r="K2303" i="34"/>
  <c r="C2303" i="34"/>
  <c r="B2303" i="34" s="1"/>
  <c r="C2302" i="34"/>
  <c r="B2302" i="34" s="1"/>
  <c r="AB2300" i="34"/>
  <c r="K2300" i="34"/>
  <c r="C2300" i="34"/>
  <c r="B2300" i="34" s="1"/>
  <c r="C2299" i="34"/>
  <c r="B2299" i="34" s="1"/>
  <c r="AB2298" i="34"/>
  <c r="K2298" i="34"/>
  <c r="C2298" i="34"/>
  <c r="B2298" i="34" s="1"/>
  <c r="AB2297" i="34"/>
  <c r="K2297" i="34"/>
  <c r="C2297" i="34"/>
  <c r="B2297" i="34" s="1"/>
  <c r="C2296" i="34"/>
  <c r="B2296" i="34" s="1"/>
  <c r="AB2295" i="34"/>
  <c r="C2295" i="34"/>
  <c r="B2295" i="34" s="1"/>
  <c r="C2294" i="34"/>
  <c r="B2294" i="34" s="1"/>
  <c r="AB2293" i="34"/>
  <c r="K2293" i="34"/>
  <c r="C2293" i="34"/>
  <c r="B2293" i="34" s="1"/>
  <c r="AB2292" i="34"/>
  <c r="K2292" i="34"/>
  <c r="C2292" i="34"/>
  <c r="B2292" i="34" s="1"/>
  <c r="AB2291" i="34"/>
  <c r="K2291" i="34"/>
  <c r="C2291" i="34"/>
  <c r="B2291" i="34" s="1"/>
  <c r="AB2290" i="34"/>
  <c r="K2290" i="34"/>
  <c r="C2290" i="34"/>
  <c r="B2290" i="34" s="1"/>
  <c r="AB2289" i="34"/>
  <c r="K2289" i="34"/>
  <c r="C2289" i="34"/>
  <c r="B2289" i="34" s="1"/>
  <c r="AB2288" i="34"/>
  <c r="K2288" i="34"/>
  <c r="C2288" i="34"/>
  <c r="B2288" i="34" s="1"/>
  <c r="AB2287" i="34"/>
  <c r="K2287" i="34"/>
  <c r="C2287" i="34"/>
  <c r="B2287" i="34" s="1"/>
  <c r="AB2286" i="34"/>
  <c r="K2286" i="34"/>
  <c r="C2286" i="34"/>
  <c r="B2286" i="34" s="1"/>
  <c r="AB2285" i="34"/>
  <c r="K2285" i="34"/>
  <c r="C2285" i="34"/>
  <c r="B2285" i="34" s="1"/>
  <c r="AB2284" i="34"/>
  <c r="K2284" i="34"/>
  <c r="C2284" i="34"/>
  <c r="B2284" i="34" s="1"/>
  <c r="AB2283" i="34"/>
  <c r="K2283" i="34"/>
  <c r="C2283" i="34"/>
  <c r="B2283" i="34" s="1"/>
  <c r="AB2282" i="34"/>
  <c r="K2282" i="34"/>
  <c r="C2282" i="34"/>
  <c r="B2282" i="34" s="1"/>
  <c r="AB2281" i="34"/>
  <c r="K2281" i="34"/>
  <c r="C2281" i="34"/>
  <c r="B2281" i="34" s="1"/>
  <c r="AB2280" i="34"/>
  <c r="K2280" i="34"/>
  <c r="C2280" i="34"/>
  <c r="B2280" i="34" s="1"/>
  <c r="AB2279" i="34"/>
  <c r="K2279" i="34"/>
  <c r="C2279" i="34"/>
  <c r="B2279" i="34" s="1"/>
  <c r="AB2278" i="34"/>
  <c r="K2278" i="34"/>
  <c r="C2278" i="34"/>
  <c r="B2278" i="34" s="1"/>
  <c r="AB2277" i="34"/>
  <c r="K2277" i="34"/>
  <c r="C2277" i="34"/>
  <c r="B2277" i="34" s="1"/>
  <c r="AB2276" i="34"/>
  <c r="K2276" i="34"/>
  <c r="C2276" i="34"/>
  <c r="B2276" i="34" s="1"/>
  <c r="AB2275" i="34"/>
  <c r="K2275" i="34"/>
  <c r="C2275" i="34"/>
  <c r="B2275" i="34" s="1"/>
  <c r="AB2274" i="34"/>
  <c r="K2274" i="34"/>
  <c r="C2274" i="34"/>
  <c r="B2274" i="34" s="1"/>
  <c r="AB2273" i="34"/>
  <c r="K2273" i="34"/>
  <c r="C2273" i="34"/>
  <c r="B2273" i="34" s="1"/>
  <c r="AB2272" i="34"/>
  <c r="K2272" i="34"/>
  <c r="C2272" i="34"/>
  <c r="B2272" i="34" s="1"/>
  <c r="AB2271" i="34"/>
  <c r="K2271" i="34"/>
  <c r="C2271" i="34"/>
  <c r="B2271" i="34" s="1"/>
  <c r="AB2270" i="34"/>
  <c r="K2270" i="34"/>
  <c r="C2270" i="34"/>
  <c r="B2270" i="34" s="1"/>
  <c r="AB2269" i="34"/>
  <c r="K2269" i="34"/>
  <c r="C2269" i="34"/>
  <c r="B2269" i="34" s="1"/>
  <c r="AB2268" i="34"/>
  <c r="K2268" i="34"/>
  <c r="C2268" i="34"/>
  <c r="B2268" i="34" s="1"/>
  <c r="AB2267" i="34"/>
  <c r="K2267" i="34"/>
  <c r="C2267" i="34"/>
  <c r="B2267" i="34" s="1"/>
  <c r="AB2266" i="34"/>
  <c r="K2266" i="34"/>
  <c r="C2266" i="34"/>
  <c r="B2266" i="34" s="1"/>
  <c r="AB2265" i="34"/>
  <c r="K2265" i="34"/>
  <c r="C2265" i="34"/>
  <c r="B2265" i="34" s="1"/>
  <c r="AB2264" i="34"/>
  <c r="K2264" i="34"/>
  <c r="C2264" i="34"/>
  <c r="B2264" i="34" s="1"/>
  <c r="AB2263" i="34"/>
  <c r="K2263" i="34"/>
  <c r="C2263" i="34"/>
  <c r="B2263" i="34" s="1"/>
  <c r="AB2262" i="34"/>
  <c r="K2262" i="34"/>
  <c r="C2262" i="34"/>
  <c r="B2262" i="34" s="1"/>
  <c r="AB2261" i="34"/>
  <c r="K2261" i="34"/>
  <c r="C2261" i="34"/>
  <c r="B2261" i="34" s="1"/>
  <c r="AB2260" i="34"/>
  <c r="K2260" i="34"/>
  <c r="C2260" i="34"/>
  <c r="B2260" i="34" s="1"/>
  <c r="AB2259" i="34"/>
  <c r="K2259" i="34"/>
  <c r="C2259" i="34"/>
  <c r="B2259" i="34" s="1"/>
  <c r="AB2258" i="34"/>
  <c r="K2258" i="34"/>
  <c r="C2258" i="34"/>
  <c r="B2258" i="34" s="1"/>
  <c r="AB2257" i="34"/>
  <c r="K2257" i="34"/>
  <c r="C2257" i="34"/>
  <c r="B2257" i="34" s="1"/>
  <c r="AB2256" i="34"/>
  <c r="K2256" i="34"/>
  <c r="C2256" i="34"/>
  <c r="B2256" i="34" s="1"/>
  <c r="AB2255" i="34"/>
  <c r="K2255" i="34"/>
  <c r="C2255" i="34"/>
  <c r="B2255" i="34" s="1"/>
  <c r="AB2254" i="34"/>
  <c r="K2254" i="34"/>
  <c r="C2254" i="34"/>
  <c r="B2254" i="34" s="1"/>
  <c r="AB2253" i="34"/>
  <c r="K2253" i="34"/>
  <c r="C2253" i="34"/>
  <c r="B2253" i="34" s="1"/>
  <c r="AB2252" i="34"/>
  <c r="K2252" i="34"/>
  <c r="C2252" i="34"/>
  <c r="B2252" i="34" s="1"/>
  <c r="AB2251" i="34"/>
  <c r="K2251" i="34"/>
  <c r="C2251" i="34"/>
  <c r="B2251" i="34" s="1"/>
  <c r="AB2250" i="34"/>
  <c r="K2250" i="34"/>
  <c r="C2250" i="34"/>
  <c r="B2250" i="34" s="1"/>
  <c r="AB2249" i="34"/>
  <c r="K2249" i="34"/>
  <c r="C2249" i="34"/>
  <c r="B2249" i="34" s="1"/>
  <c r="AB2248" i="34"/>
  <c r="K2248" i="34"/>
  <c r="C2248" i="34"/>
  <c r="B2248" i="34" s="1"/>
  <c r="AB2247" i="34"/>
  <c r="K2247" i="34"/>
  <c r="C2247" i="34"/>
  <c r="B2247" i="34" s="1"/>
  <c r="AB2246" i="34"/>
  <c r="K2246" i="34"/>
  <c r="C2246" i="34"/>
  <c r="B2246" i="34" s="1"/>
  <c r="AB2245" i="34"/>
  <c r="K2245" i="34"/>
  <c r="C2245" i="34"/>
  <c r="B2245" i="34" s="1"/>
  <c r="AB2244" i="34"/>
  <c r="K2244" i="34"/>
  <c r="C2244" i="34"/>
  <c r="B2244" i="34" s="1"/>
  <c r="AB2243" i="34"/>
  <c r="K2243" i="34"/>
  <c r="C2243" i="34"/>
  <c r="B2243" i="34" s="1"/>
  <c r="AB2242" i="34"/>
  <c r="K2242" i="34"/>
  <c r="C2242" i="34"/>
  <c r="B2242" i="34" s="1"/>
  <c r="AB2241" i="34"/>
  <c r="K2241" i="34"/>
  <c r="C2241" i="34"/>
  <c r="B2241" i="34" s="1"/>
  <c r="AB2240" i="34"/>
  <c r="K2240" i="34"/>
  <c r="C2240" i="34"/>
  <c r="B2240" i="34" s="1"/>
  <c r="AB2239" i="34"/>
  <c r="K2239" i="34"/>
  <c r="C2239" i="34"/>
  <c r="B2239" i="34" s="1"/>
  <c r="AB2238" i="34"/>
  <c r="K2238" i="34"/>
  <c r="C2238" i="34"/>
  <c r="B2238" i="34" s="1"/>
  <c r="AB2237" i="34"/>
  <c r="K2237" i="34"/>
  <c r="C2237" i="34"/>
  <c r="B2237" i="34" s="1"/>
  <c r="AB2236" i="34"/>
  <c r="K2236" i="34"/>
  <c r="C2236" i="34"/>
  <c r="B2236" i="34" s="1"/>
  <c r="AB2235" i="34"/>
  <c r="K2235" i="34"/>
  <c r="C2235" i="34"/>
  <c r="B2235" i="34" s="1"/>
  <c r="AB2234" i="34"/>
  <c r="K2234" i="34"/>
  <c r="C2234" i="34"/>
  <c r="B2234" i="34" s="1"/>
  <c r="P2251" i="34" l="1"/>
  <c r="Q2251" i="34"/>
  <c r="U2251" i="34"/>
  <c r="Z2251" i="34"/>
  <c r="O2251" i="34"/>
  <c r="W2251" i="34"/>
  <c r="A2251" i="34"/>
  <c r="P2267" i="34"/>
  <c r="Q2267" i="34"/>
  <c r="U2267" i="34"/>
  <c r="Z2267" i="34"/>
  <c r="O2267" i="34"/>
  <c r="W2267" i="34"/>
  <c r="A2267" i="34"/>
  <c r="P2271" i="34"/>
  <c r="Q2271" i="34"/>
  <c r="U2271" i="34"/>
  <c r="Z2271" i="34"/>
  <c r="O2271" i="34"/>
  <c r="W2271" i="34"/>
  <c r="A2271" i="34"/>
  <c r="P2279" i="34"/>
  <c r="Q2279" i="34"/>
  <c r="U2279" i="34"/>
  <c r="Z2279" i="34"/>
  <c r="O2279" i="34"/>
  <c r="W2279" i="34"/>
  <c r="A2279" i="34"/>
  <c r="P2239" i="34"/>
  <c r="Q2239" i="34"/>
  <c r="U2239" i="34"/>
  <c r="Z2239" i="34"/>
  <c r="O2239" i="34"/>
  <c r="W2239" i="34"/>
  <c r="A2239" i="34"/>
  <c r="P2243" i="34"/>
  <c r="Q2243" i="34"/>
  <c r="U2243" i="34"/>
  <c r="Z2243" i="34"/>
  <c r="O2243" i="34"/>
  <c r="W2243" i="34"/>
  <c r="A2243" i="34"/>
  <c r="P2255" i="34"/>
  <c r="Q2255" i="34"/>
  <c r="U2255" i="34"/>
  <c r="Z2255" i="34"/>
  <c r="O2255" i="34"/>
  <c r="W2255" i="34"/>
  <c r="A2255" i="34"/>
  <c r="P2283" i="34"/>
  <c r="Q2283" i="34"/>
  <c r="U2283" i="34"/>
  <c r="Z2283" i="34"/>
  <c r="O2283" i="34"/>
  <c r="W2283" i="34"/>
  <c r="A2283" i="34"/>
  <c r="O2296" i="34"/>
  <c r="W2296" i="34"/>
  <c r="P2296" i="34"/>
  <c r="Q2296" i="34"/>
  <c r="U2296" i="34"/>
  <c r="Z2296" i="34"/>
  <c r="A2296" i="34"/>
  <c r="Q2298" i="34"/>
  <c r="U2298" i="34"/>
  <c r="Z2298" i="34"/>
  <c r="O2298" i="34"/>
  <c r="W2298" i="34"/>
  <c r="P2298" i="34"/>
  <c r="A2298" i="34"/>
  <c r="O2300" i="34"/>
  <c r="W2300" i="34"/>
  <c r="P2300" i="34"/>
  <c r="Q2300" i="34"/>
  <c r="U2300" i="34"/>
  <c r="Z2300" i="34"/>
  <c r="A2300" i="34"/>
  <c r="P2303" i="34"/>
  <c r="Q2303" i="34"/>
  <c r="U2303" i="34"/>
  <c r="Z2303" i="34"/>
  <c r="O2303" i="34"/>
  <c r="W2303" i="34"/>
  <c r="A2303" i="34"/>
  <c r="O2164" i="34"/>
  <c r="W2164" i="34"/>
  <c r="P2164" i="34"/>
  <c r="Q2164" i="34"/>
  <c r="U2164" i="34"/>
  <c r="Z2164" i="34"/>
  <c r="A2164" i="34"/>
  <c r="O2172" i="34"/>
  <c r="W2172" i="34"/>
  <c r="P2172" i="34"/>
  <c r="Q2172" i="34"/>
  <c r="U2172" i="34"/>
  <c r="Z2172" i="34"/>
  <c r="A2172" i="34"/>
  <c r="O2192" i="34"/>
  <c r="W2192" i="34"/>
  <c r="P2192" i="34"/>
  <c r="Q2192" i="34"/>
  <c r="U2192" i="34"/>
  <c r="Z2192" i="34"/>
  <c r="A2192" i="34"/>
  <c r="O2212" i="34"/>
  <c r="W2212" i="34"/>
  <c r="P2212" i="34"/>
  <c r="Q2212" i="34"/>
  <c r="U2212" i="34"/>
  <c r="Z2212" i="34"/>
  <c r="A2212" i="34"/>
  <c r="O2216" i="34"/>
  <c r="W2216" i="34"/>
  <c r="P2216" i="34"/>
  <c r="Q2216" i="34"/>
  <c r="U2216" i="34"/>
  <c r="Z2216" i="34"/>
  <c r="A2216" i="34"/>
  <c r="O2224" i="34"/>
  <c r="W2224" i="34"/>
  <c r="P2224" i="34"/>
  <c r="Q2224" i="34"/>
  <c r="U2224" i="34"/>
  <c r="Z2224" i="34"/>
  <c r="A2224" i="34"/>
  <c r="Q2238" i="34"/>
  <c r="U2238" i="34"/>
  <c r="Z2238" i="34"/>
  <c r="O2238" i="34"/>
  <c r="W2238" i="34"/>
  <c r="P2238" i="34"/>
  <c r="A2238" i="34"/>
  <c r="Q2254" i="34"/>
  <c r="U2254" i="34"/>
  <c r="Z2254" i="34"/>
  <c r="O2254" i="34"/>
  <c r="W2254" i="34"/>
  <c r="P2254" i="34"/>
  <c r="A2254" i="34"/>
  <c r="Q2266" i="34"/>
  <c r="U2266" i="34"/>
  <c r="Z2266" i="34"/>
  <c r="O2266" i="34"/>
  <c r="W2266" i="34"/>
  <c r="P2266" i="34"/>
  <c r="A2266" i="34"/>
  <c r="Q2274" i="34"/>
  <c r="U2274" i="34"/>
  <c r="Z2274" i="34"/>
  <c r="O2274" i="34"/>
  <c r="W2274" i="34"/>
  <c r="P2274" i="34"/>
  <c r="A2274" i="34"/>
  <c r="Q2278" i="34"/>
  <c r="U2278" i="34"/>
  <c r="Z2278" i="34"/>
  <c r="O2278" i="34"/>
  <c r="W2278" i="34"/>
  <c r="P2278" i="34"/>
  <c r="A2278" i="34"/>
  <c r="Q2282" i="34"/>
  <c r="U2282" i="34"/>
  <c r="Z2282" i="34"/>
  <c r="O2282" i="34"/>
  <c r="W2282" i="34"/>
  <c r="P2282" i="34"/>
  <c r="A2282" i="34"/>
  <c r="Q2286" i="34"/>
  <c r="U2286" i="34"/>
  <c r="Z2286" i="34"/>
  <c r="O2286" i="34"/>
  <c r="W2286" i="34"/>
  <c r="P2286" i="34"/>
  <c r="A2286" i="34"/>
  <c r="Q2290" i="34"/>
  <c r="U2290" i="34"/>
  <c r="Z2290" i="34"/>
  <c r="O2290" i="34"/>
  <c r="W2290" i="34"/>
  <c r="P2290" i="34"/>
  <c r="A2290" i="34"/>
  <c r="Q2294" i="34"/>
  <c r="U2294" i="34"/>
  <c r="Z2294" i="34"/>
  <c r="O2294" i="34"/>
  <c r="W2294" i="34"/>
  <c r="P2294" i="34"/>
  <c r="A2294" i="34"/>
  <c r="Z2297" i="34"/>
  <c r="O2297" i="34"/>
  <c r="W2297" i="34"/>
  <c r="P2297" i="34"/>
  <c r="Q2297" i="34"/>
  <c r="U2297" i="34"/>
  <c r="A2297" i="34"/>
  <c r="P2163" i="34"/>
  <c r="Q2163" i="34"/>
  <c r="U2163" i="34"/>
  <c r="Z2163" i="34"/>
  <c r="O2163" i="34"/>
  <c r="W2163" i="34"/>
  <c r="A2163" i="34"/>
  <c r="P2167" i="34"/>
  <c r="Q2167" i="34"/>
  <c r="U2167" i="34"/>
  <c r="Z2167" i="34"/>
  <c r="O2167" i="34"/>
  <c r="W2167" i="34"/>
  <c r="A2167" i="34"/>
  <c r="P2171" i="34"/>
  <c r="Q2171" i="34"/>
  <c r="U2171" i="34"/>
  <c r="Z2171" i="34"/>
  <c r="O2171" i="34"/>
  <c r="W2171" i="34"/>
  <c r="A2171" i="34"/>
  <c r="P2175" i="34"/>
  <c r="Q2175" i="34"/>
  <c r="U2175" i="34"/>
  <c r="Z2175" i="34"/>
  <c r="O2175" i="34"/>
  <c r="W2175" i="34"/>
  <c r="A2175" i="34"/>
  <c r="P2179" i="34"/>
  <c r="Q2179" i="34"/>
  <c r="U2179" i="34"/>
  <c r="Z2179" i="34"/>
  <c r="O2179" i="34"/>
  <c r="W2179" i="34"/>
  <c r="A2179" i="34"/>
  <c r="P2183" i="34"/>
  <c r="Q2183" i="34"/>
  <c r="U2183" i="34"/>
  <c r="Z2183" i="34"/>
  <c r="O2183" i="34"/>
  <c r="W2183" i="34"/>
  <c r="A2183" i="34"/>
  <c r="P2187" i="34"/>
  <c r="Q2187" i="34"/>
  <c r="U2187" i="34"/>
  <c r="Z2187" i="34"/>
  <c r="O2187" i="34"/>
  <c r="W2187" i="34"/>
  <c r="A2187" i="34"/>
  <c r="P2191" i="34"/>
  <c r="Q2191" i="34"/>
  <c r="U2191" i="34"/>
  <c r="Z2191" i="34"/>
  <c r="O2191" i="34"/>
  <c r="W2191" i="34"/>
  <c r="A2191" i="34"/>
  <c r="P2195" i="34"/>
  <c r="Q2195" i="34"/>
  <c r="U2195" i="34"/>
  <c r="Z2195" i="34"/>
  <c r="O2195" i="34"/>
  <c r="W2195" i="34"/>
  <c r="A2195" i="34"/>
  <c r="P2199" i="34"/>
  <c r="Q2199" i="34"/>
  <c r="U2199" i="34"/>
  <c r="Z2199" i="34"/>
  <c r="O2199" i="34"/>
  <c r="W2199" i="34"/>
  <c r="A2199" i="34"/>
  <c r="P2203" i="34"/>
  <c r="Q2203" i="34"/>
  <c r="U2203" i="34"/>
  <c r="Z2203" i="34"/>
  <c r="O2203" i="34"/>
  <c r="W2203" i="34"/>
  <c r="A2203" i="34"/>
  <c r="P2207" i="34"/>
  <c r="Q2207" i="34"/>
  <c r="U2207" i="34"/>
  <c r="Z2207" i="34"/>
  <c r="O2207" i="34"/>
  <c r="W2207" i="34"/>
  <c r="A2207" i="34"/>
  <c r="P2211" i="34"/>
  <c r="Q2211" i="34"/>
  <c r="U2211" i="34"/>
  <c r="Z2211" i="34"/>
  <c r="O2211" i="34"/>
  <c r="W2211" i="34"/>
  <c r="A2211" i="34"/>
  <c r="P2215" i="34"/>
  <c r="Q2215" i="34"/>
  <c r="U2215" i="34"/>
  <c r="Z2215" i="34"/>
  <c r="O2215" i="34"/>
  <c r="W2215" i="34"/>
  <c r="A2215" i="34"/>
  <c r="P2219" i="34"/>
  <c r="Q2219" i="34"/>
  <c r="U2219" i="34"/>
  <c r="Z2219" i="34"/>
  <c r="O2219" i="34"/>
  <c r="W2219" i="34"/>
  <c r="A2219" i="34"/>
  <c r="P2223" i="34"/>
  <c r="Q2223" i="34"/>
  <c r="U2223" i="34"/>
  <c r="Z2223" i="34"/>
  <c r="O2223" i="34"/>
  <c r="W2223" i="34"/>
  <c r="A2223" i="34"/>
  <c r="P2227" i="34"/>
  <c r="Q2227" i="34"/>
  <c r="U2227" i="34"/>
  <c r="Z2227" i="34"/>
  <c r="O2227" i="34"/>
  <c r="W2227" i="34"/>
  <c r="A2227" i="34"/>
  <c r="P2231" i="34"/>
  <c r="Q2231" i="34"/>
  <c r="U2231" i="34"/>
  <c r="Z2231" i="34"/>
  <c r="O2231" i="34"/>
  <c r="W2231" i="34"/>
  <c r="A2231" i="34"/>
  <c r="P2247" i="34"/>
  <c r="Q2247" i="34"/>
  <c r="U2247" i="34"/>
  <c r="Z2247" i="34"/>
  <c r="O2247" i="34"/>
  <c r="W2247" i="34"/>
  <c r="A2247" i="34"/>
  <c r="P2259" i="34"/>
  <c r="Q2259" i="34"/>
  <c r="U2259" i="34"/>
  <c r="Z2259" i="34"/>
  <c r="O2259" i="34"/>
  <c r="W2259" i="34"/>
  <c r="A2259" i="34"/>
  <c r="P2263" i="34"/>
  <c r="Q2263" i="34"/>
  <c r="U2263" i="34"/>
  <c r="Z2263" i="34"/>
  <c r="O2263" i="34"/>
  <c r="W2263" i="34"/>
  <c r="A2263" i="34"/>
  <c r="P2275" i="34"/>
  <c r="Q2275" i="34"/>
  <c r="U2275" i="34"/>
  <c r="Z2275" i="34"/>
  <c r="O2275" i="34"/>
  <c r="W2275" i="34"/>
  <c r="A2275" i="34"/>
  <c r="P2291" i="34"/>
  <c r="Q2291" i="34"/>
  <c r="U2291" i="34"/>
  <c r="Z2291" i="34"/>
  <c r="O2291" i="34"/>
  <c r="W2291" i="34"/>
  <c r="A2291" i="34"/>
  <c r="O2168" i="34"/>
  <c r="W2168" i="34"/>
  <c r="P2168" i="34"/>
  <c r="Q2168" i="34"/>
  <c r="U2168" i="34"/>
  <c r="Z2168" i="34"/>
  <c r="A2168" i="34"/>
  <c r="O2188" i="34"/>
  <c r="W2188" i="34"/>
  <c r="P2188" i="34"/>
  <c r="Q2188" i="34"/>
  <c r="U2188" i="34"/>
  <c r="Z2188" i="34"/>
  <c r="A2188" i="34"/>
  <c r="O2200" i="34"/>
  <c r="W2200" i="34"/>
  <c r="P2200" i="34"/>
  <c r="Q2200" i="34"/>
  <c r="U2200" i="34"/>
  <c r="Z2200" i="34"/>
  <c r="A2200" i="34"/>
  <c r="O2204" i="34"/>
  <c r="W2204" i="34"/>
  <c r="P2204" i="34"/>
  <c r="Q2204" i="34"/>
  <c r="U2204" i="34"/>
  <c r="Z2204" i="34"/>
  <c r="A2204" i="34"/>
  <c r="O2220" i="34"/>
  <c r="W2220" i="34"/>
  <c r="P2220" i="34"/>
  <c r="Q2220" i="34"/>
  <c r="U2220" i="34"/>
  <c r="Z2220" i="34"/>
  <c r="A2220" i="34"/>
  <c r="O2228" i="34"/>
  <c r="W2228" i="34"/>
  <c r="P2228" i="34"/>
  <c r="Q2228" i="34"/>
  <c r="U2228" i="34"/>
  <c r="Z2228" i="34"/>
  <c r="A2228" i="34"/>
  <c r="Q2246" i="34"/>
  <c r="U2246" i="34"/>
  <c r="Z2246" i="34"/>
  <c r="O2246" i="34"/>
  <c r="W2246" i="34"/>
  <c r="P2246" i="34"/>
  <c r="A2246" i="34"/>
  <c r="Q2250" i="34"/>
  <c r="U2250" i="34"/>
  <c r="Z2250" i="34"/>
  <c r="O2250" i="34"/>
  <c r="W2250" i="34"/>
  <c r="P2250" i="34"/>
  <c r="A2250" i="34"/>
  <c r="Q2258" i="34"/>
  <c r="U2258" i="34"/>
  <c r="Z2258" i="34"/>
  <c r="O2258" i="34"/>
  <c r="W2258" i="34"/>
  <c r="P2258" i="34"/>
  <c r="A2258" i="34"/>
  <c r="Z2237" i="34"/>
  <c r="O2237" i="34"/>
  <c r="W2237" i="34"/>
  <c r="P2237" i="34"/>
  <c r="Q2237" i="34"/>
  <c r="U2237" i="34"/>
  <c r="A2237" i="34"/>
  <c r="Z2245" i="34"/>
  <c r="O2245" i="34"/>
  <c r="W2245" i="34"/>
  <c r="P2245" i="34"/>
  <c r="Q2245" i="34"/>
  <c r="U2245" i="34"/>
  <c r="A2245" i="34"/>
  <c r="Z2249" i="34"/>
  <c r="O2249" i="34"/>
  <c r="W2249" i="34"/>
  <c r="P2249" i="34"/>
  <c r="Q2249" i="34"/>
  <c r="U2249" i="34"/>
  <c r="A2249" i="34"/>
  <c r="Z2257" i="34"/>
  <c r="O2257" i="34"/>
  <c r="W2257" i="34"/>
  <c r="P2257" i="34"/>
  <c r="Q2257" i="34"/>
  <c r="U2257" i="34"/>
  <c r="A2257" i="34"/>
  <c r="Z2269" i="34"/>
  <c r="O2269" i="34"/>
  <c r="W2269" i="34"/>
  <c r="P2269" i="34"/>
  <c r="Q2269" i="34"/>
  <c r="U2269" i="34"/>
  <c r="A2269" i="34"/>
  <c r="Z2281" i="34"/>
  <c r="O2281" i="34"/>
  <c r="W2281" i="34"/>
  <c r="P2281" i="34"/>
  <c r="Q2281" i="34"/>
  <c r="U2281" i="34"/>
  <c r="A2281" i="34"/>
  <c r="Z2285" i="34"/>
  <c r="O2285" i="34"/>
  <c r="W2285" i="34"/>
  <c r="P2285" i="34"/>
  <c r="Q2285" i="34"/>
  <c r="U2285" i="34"/>
  <c r="A2285" i="34"/>
  <c r="Z2293" i="34"/>
  <c r="O2293" i="34"/>
  <c r="W2293" i="34"/>
  <c r="P2293" i="34"/>
  <c r="Q2293" i="34"/>
  <c r="U2293" i="34"/>
  <c r="A2293" i="34"/>
  <c r="P2295" i="34"/>
  <c r="Q2295" i="34"/>
  <c r="U2295" i="34"/>
  <c r="Z2295" i="34"/>
  <c r="O2295" i="34"/>
  <c r="W2295" i="34"/>
  <c r="A2295" i="34"/>
  <c r="Z2305" i="34"/>
  <c r="O2305" i="34"/>
  <c r="W2305" i="34"/>
  <c r="P2305" i="34"/>
  <c r="Q2305" i="34"/>
  <c r="U2305" i="34"/>
  <c r="A2305" i="34"/>
  <c r="Q2162" i="34"/>
  <c r="U2162" i="34"/>
  <c r="Z2162" i="34"/>
  <c r="O2162" i="34"/>
  <c r="W2162" i="34"/>
  <c r="P2162" i="34"/>
  <c r="A2162" i="34"/>
  <c r="Q2166" i="34"/>
  <c r="U2166" i="34"/>
  <c r="Z2166" i="34"/>
  <c r="O2166" i="34"/>
  <c r="W2166" i="34"/>
  <c r="P2166" i="34"/>
  <c r="A2166" i="34"/>
  <c r="Q2170" i="34"/>
  <c r="U2170" i="34"/>
  <c r="Z2170" i="34"/>
  <c r="O2170" i="34"/>
  <c r="W2170" i="34"/>
  <c r="P2170" i="34"/>
  <c r="A2170" i="34"/>
  <c r="Q2174" i="34"/>
  <c r="U2174" i="34"/>
  <c r="Z2174" i="34"/>
  <c r="O2174" i="34"/>
  <c r="W2174" i="34"/>
  <c r="P2174" i="34"/>
  <c r="A2174" i="34"/>
  <c r="Q2178" i="34"/>
  <c r="U2178" i="34"/>
  <c r="Z2178" i="34"/>
  <c r="O2178" i="34"/>
  <c r="W2178" i="34"/>
  <c r="P2178" i="34"/>
  <c r="A2178" i="34"/>
  <c r="Q2182" i="34"/>
  <c r="U2182" i="34"/>
  <c r="Z2182" i="34"/>
  <c r="O2182" i="34"/>
  <c r="W2182" i="34"/>
  <c r="P2182" i="34"/>
  <c r="A2182" i="34"/>
  <c r="Q2186" i="34"/>
  <c r="U2186" i="34"/>
  <c r="Z2186" i="34"/>
  <c r="O2186" i="34"/>
  <c r="W2186" i="34"/>
  <c r="P2186" i="34"/>
  <c r="A2186" i="34"/>
  <c r="Q2190" i="34"/>
  <c r="U2190" i="34"/>
  <c r="Z2190" i="34"/>
  <c r="O2190" i="34"/>
  <c r="W2190" i="34"/>
  <c r="P2190" i="34"/>
  <c r="A2190" i="34"/>
  <c r="Q2194" i="34"/>
  <c r="U2194" i="34"/>
  <c r="Z2194" i="34"/>
  <c r="O2194" i="34"/>
  <c r="W2194" i="34"/>
  <c r="P2194" i="34"/>
  <c r="A2194" i="34"/>
  <c r="Q2198" i="34"/>
  <c r="U2198" i="34"/>
  <c r="Z2198" i="34"/>
  <c r="O2198" i="34"/>
  <c r="W2198" i="34"/>
  <c r="P2198" i="34"/>
  <c r="A2198" i="34"/>
  <c r="Q2202" i="34"/>
  <c r="U2202" i="34"/>
  <c r="Z2202" i="34"/>
  <c r="O2202" i="34"/>
  <c r="W2202" i="34"/>
  <c r="P2202" i="34"/>
  <c r="A2202" i="34"/>
  <c r="Q2206" i="34"/>
  <c r="U2206" i="34"/>
  <c r="Z2206" i="34"/>
  <c r="O2206" i="34"/>
  <c r="W2206" i="34"/>
  <c r="P2206" i="34"/>
  <c r="A2206" i="34"/>
  <c r="Q2210" i="34"/>
  <c r="U2210" i="34"/>
  <c r="Z2210" i="34"/>
  <c r="O2210" i="34"/>
  <c r="W2210" i="34"/>
  <c r="P2210" i="34"/>
  <c r="A2210" i="34"/>
  <c r="Q2214" i="34"/>
  <c r="U2214" i="34"/>
  <c r="Z2214" i="34"/>
  <c r="O2214" i="34"/>
  <c r="W2214" i="34"/>
  <c r="P2214" i="34"/>
  <c r="A2214" i="34"/>
  <c r="Q2218" i="34"/>
  <c r="U2218" i="34"/>
  <c r="Z2218" i="34"/>
  <c r="O2218" i="34"/>
  <c r="W2218" i="34"/>
  <c r="P2218" i="34"/>
  <c r="A2218" i="34"/>
  <c r="Q2222" i="34"/>
  <c r="U2222" i="34"/>
  <c r="Z2222" i="34"/>
  <c r="O2222" i="34"/>
  <c r="W2222" i="34"/>
  <c r="P2222" i="34"/>
  <c r="A2222" i="34"/>
  <c r="Q2226" i="34"/>
  <c r="U2226" i="34"/>
  <c r="Z2226" i="34"/>
  <c r="O2226" i="34"/>
  <c r="W2226" i="34"/>
  <c r="P2226" i="34"/>
  <c r="A2226" i="34"/>
  <c r="Q2230" i="34"/>
  <c r="U2230" i="34"/>
  <c r="Z2230" i="34"/>
  <c r="O2230" i="34"/>
  <c r="W2230" i="34"/>
  <c r="P2230" i="34"/>
  <c r="A2230" i="34"/>
  <c r="P2235" i="34"/>
  <c r="Q2235" i="34"/>
  <c r="U2235" i="34"/>
  <c r="Z2235" i="34"/>
  <c r="O2235" i="34"/>
  <c r="W2235" i="34"/>
  <c r="A2235" i="34"/>
  <c r="P2287" i="34"/>
  <c r="Q2287" i="34"/>
  <c r="U2287" i="34"/>
  <c r="Z2287" i="34"/>
  <c r="O2287" i="34"/>
  <c r="W2287" i="34"/>
  <c r="A2287" i="34"/>
  <c r="O2176" i="34"/>
  <c r="W2176" i="34"/>
  <c r="P2176" i="34"/>
  <c r="Q2176" i="34"/>
  <c r="U2176" i="34"/>
  <c r="Z2176" i="34"/>
  <c r="A2176" i="34"/>
  <c r="O2180" i="34"/>
  <c r="W2180" i="34"/>
  <c r="P2180" i="34"/>
  <c r="Q2180" i="34"/>
  <c r="U2180" i="34"/>
  <c r="Z2180" i="34"/>
  <c r="A2180" i="34"/>
  <c r="O2184" i="34"/>
  <c r="W2184" i="34"/>
  <c r="P2184" i="34"/>
  <c r="Q2184" i="34"/>
  <c r="U2184" i="34"/>
  <c r="Z2184" i="34"/>
  <c r="A2184" i="34"/>
  <c r="O2196" i="34"/>
  <c r="W2196" i="34"/>
  <c r="P2196" i="34"/>
  <c r="Q2196" i="34"/>
  <c r="U2196" i="34"/>
  <c r="Z2196" i="34"/>
  <c r="A2196" i="34"/>
  <c r="O2208" i="34"/>
  <c r="W2208" i="34"/>
  <c r="P2208" i="34"/>
  <c r="Q2208" i="34"/>
  <c r="U2208" i="34"/>
  <c r="Z2208" i="34"/>
  <c r="A2208" i="34"/>
  <c r="O2232" i="34"/>
  <c r="W2232" i="34"/>
  <c r="P2232" i="34"/>
  <c r="Q2232" i="34"/>
  <c r="U2232" i="34"/>
  <c r="Z2232" i="34"/>
  <c r="A2232" i="34"/>
  <c r="Q2234" i="34"/>
  <c r="U2234" i="34"/>
  <c r="Z2234" i="34"/>
  <c r="O2234" i="34"/>
  <c r="W2234" i="34"/>
  <c r="P2234" i="34"/>
  <c r="A2234" i="34"/>
  <c r="Q2242" i="34"/>
  <c r="U2242" i="34"/>
  <c r="Z2242" i="34"/>
  <c r="O2242" i="34"/>
  <c r="W2242" i="34"/>
  <c r="P2242" i="34"/>
  <c r="A2242" i="34"/>
  <c r="Q2262" i="34"/>
  <c r="U2262" i="34"/>
  <c r="Z2262" i="34"/>
  <c r="O2262" i="34"/>
  <c r="W2262" i="34"/>
  <c r="P2262" i="34"/>
  <c r="A2262" i="34"/>
  <c r="Q2270" i="34"/>
  <c r="U2270" i="34"/>
  <c r="Z2270" i="34"/>
  <c r="O2270" i="34"/>
  <c r="W2270" i="34"/>
  <c r="P2270" i="34"/>
  <c r="A2270" i="34"/>
  <c r="Z2241" i="34"/>
  <c r="O2241" i="34"/>
  <c r="W2241" i="34"/>
  <c r="P2241" i="34"/>
  <c r="Q2241" i="34"/>
  <c r="U2241" i="34"/>
  <c r="A2241" i="34"/>
  <c r="Z2253" i="34"/>
  <c r="O2253" i="34"/>
  <c r="W2253" i="34"/>
  <c r="P2253" i="34"/>
  <c r="Q2253" i="34"/>
  <c r="U2253" i="34"/>
  <c r="A2253" i="34"/>
  <c r="Z2261" i="34"/>
  <c r="O2261" i="34"/>
  <c r="W2261" i="34"/>
  <c r="P2261" i="34"/>
  <c r="Q2261" i="34"/>
  <c r="U2261" i="34"/>
  <c r="A2261" i="34"/>
  <c r="Z2265" i="34"/>
  <c r="O2265" i="34"/>
  <c r="W2265" i="34"/>
  <c r="P2265" i="34"/>
  <c r="Q2265" i="34"/>
  <c r="U2265" i="34"/>
  <c r="A2265" i="34"/>
  <c r="Z2273" i="34"/>
  <c r="O2273" i="34"/>
  <c r="W2273" i="34"/>
  <c r="P2273" i="34"/>
  <c r="Q2273" i="34"/>
  <c r="U2273" i="34"/>
  <c r="A2273" i="34"/>
  <c r="Z2277" i="34"/>
  <c r="O2277" i="34"/>
  <c r="W2277" i="34"/>
  <c r="P2277" i="34"/>
  <c r="Q2277" i="34"/>
  <c r="U2277" i="34"/>
  <c r="A2277" i="34"/>
  <c r="Z2289" i="34"/>
  <c r="O2289" i="34"/>
  <c r="W2289" i="34"/>
  <c r="P2289" i="34"/>
  <c r="Q2289" i="34"/>
  <c r="U2289" i="34"/>
  <c r="A2289" i="34"/>
  <c r="O2236" i="34"/>
  <c r="W2236" i="34"/>
  <c r="P2236" i="34"/>
  <c r="Q2236" i="34"/>
  <c r="U2236" i="34"/>
  <c r="Z2236" i="34"/>
  <c r="A2236" i="34"/>
  <c r="O2240" i="34"/>
  <c r="W2240" i="34"/>
  <c r="P2240" i="34"/>
  <c r="Q2240" i="34"/>
  <c r="U2240" i="34"/>
  <c r="Z2240" i="34"/>
  <c r="A2240" i="34"/>
  <c r="O2244" i="34"/>
  <c r="W2244" i="34"/>
  <c r="P2244" i="34"/>
  <c r="Q2244" i="34"/>
  <c r="U2244" i="34"/>
  <c r="Z2244" i="34"/>
  <c r="A2244" i="34"/>
  <c r="O2248" i="34"/>
  <c r="W2248" i="34"/>
  <c r="P2248" i="34"/>
  <c r="Q2248" i="34"/>
  <c r="U2248" i="34"/>
  <c r="Z2248" i="34"/>
  <c r="A2248" i="34"/>
  <c r="O2252" i="34"/>
  <c r="W2252" i="34"/>
  <c r="P2252" i="34"/>
  <c r="Q2252" i="34"/>
  <c r="U2252" i="34"/>
  <c r="Z2252" i="34"/>
  <c r="A2252" i="34"/>
  <c r="O2256" i="34"/>
  <c r="W2256" i="34"/>
  <c r="P2256" i="34"/>
  <c r="Q2256" i="34"/>
  <c r="U2256" i="34"/>
  <c r="Z2256" i="34"/>
  <c r="A2256" i="34"/>
  <c r="O2260" i="34"/>
  <c r="W2260" i="34"/>
  <c r="P2260" i="34"/>
  <c r="Q2260" i="34"/>
  <c r="U2260" i="34"/>
  <c r="Z2260" i="34"/>
  <c r="A2260" i="34"/>
  <c r="O2264" i="34"/>
  <c r="W2264" i="34"/>
  <c r="P2264" i="34"/>
  <c r="Q2264" i="34"/>
  <c r="U2264" i="34"/>
  <c r="Z2264" i="34"/>
  <c r="A2264" i="34"/>
  <c r="O2268" i="34"/>
  <c r="W2268" i="34"/>
  <c r="P2268" i="34"/>
  <c r="Q2268" i="34"/>
  <c r="U2268" i="34"/>
  <c r="Z2268" i="34"/>
  <c r="A2268" i="34"/>
  <c r="O2272" i="34"/>
  <c r="W2272" i="34"/>
  <c r="P2272" i="34"/>
  <c r="Q2272" i="34"/>
  <c r="U2272" i="34"/>
  <c r="Z2272" i="34"/>
  <c r="A2272" i="34"/>
  <c r="O2276" i="34"/>
  <c r="W2276" i="34"/>
  <c r="P2276" i="34"/>
  <c r="Q2276" i="34"/>
  <c r="U2276" i="34"/>
  <c r="Z2276" i="34"/>
  <c r="A2276" i="34"/>
  <c r="O2280" i="34"/>
  <c r="W2280" i="34"/>
  <c r="P2280" i="34"/>
  <c r="Q2280" i="34"/>
  <c r="U2280" i="34"/>
  <c r="Z2280" i="34"/>
  <c r="A2280" i="34"/>
  <c r="O2284" i="34"/>
  <c r="W2284" i="34"/>
  <c r="P2284" i="34"/>
  <c r="Q2284" i="34"/>
  <c r="U2284" i="34"/>
  <c r="Z2284" i="34"/>
  <c r="A2284" i="34"/>
  <c r="O2288" i="34"/>
  <c r="W2288" i="34"/>
  <c r="P2288" i="34"/>
  <c r="Q2288" i="34"/>
  <c r="U2288" i="34"/>
  <c r="Z2288" i="34"/>
  <c r="A2288" i="34"/>
  <c r="O2292" i="34"/>
  <c r="W2292" i="34"/>
  <c r="P2292" i="34"/>
  <c r="Q2292" i="34"/>
  <c r="U2292" i="34"/>
  <c r="Z2292" i="34"/>
  <c r="A2292" i="34"/>
  <c r="P2299" i="34"/>
  <c r="Q2299" i="34"/>
  <c r="U2299" i="34"/>
  <c r="Z2299" i="34"/>
  <c r="O2299" i="34"/>
  <c r="W2299" i="34"/>
  <c r="A2299" i="34"/>
  <c r="Q2302" i="34"/>
  <c r="U2302" i="34"/>
  <c r="Z2302" i="34"/>
  <c r="O2302" i="34"/>
  <c r="W2302" i="34"/>
  <c r="P2302" i="34"/>
  <c r="A2302" i="34"/>
  <c r="O2304" i="34"/>
  <c r="W2304" i="34"/>
  <c r="P2304" i="34"/>
  <c r="Q2304" i="34"/>
  <c r="U2304" i="34"/>
  <c r="Z2304" i="34"/>
  <c r="A2304" i="34"/>
  <c r="Q2306" i="34"/>
  <c r="U2306" i="34"/>
  <c r="Z2306" i="34"/>
  <c r="O2306" i="34"/>
  <c r="W2306" i="34"/>
  <c r="P2306" i="34"/>
  <c r="A2306" i="34"/>
  <c r="Z2165" i="34"/>
  <c r="O2165" i="34"/>
  <c r="W2165" i="34"/>
  <c r="P2165" i="34"/>
  <c r="Q2165" i="34"/>
  <c r="U2165" i="34"/>
  <c r="A2165" i="34"/>
  <c r="Z2169" i="34"/>
  <c r="O2169" i="34"/>
  <c r="W2169" i="34"/>
  <c r="P2169" i="34"/>
  <c r="Q2169" i="34"/>
  <c r="U2169" i="34"/>
  <c r="A2169" i="34"/>
  <c r="Z2173" i="34"/>
  <c r="O2173" i="34"/>
  <c r="W2173" i="34"/>
  <c r="P2173" i="34"/>
  <c r="Q2173" i="34"/>
  <c r="U2173" i="34"/>
  <c r="A2173" i="34"/>
  <c r="Z2177" i="34"/>
  <c r="O2177" i="34"/>
  <c r="W2177" i="34"/>
  <c r="P2177" i="34"/>
  <c r="Q2177" i="34"/>
  <c r="U2177" i="34"/>
  <c r="A2177" i="34"/>
  <c r="Z2181" i="34"/>
  <c r="O2181" i="34"/>
  <c r="W2181" i="34"/>
  <c r="P2181" i="34"/>
  <c r="Q2181" i="34"/>
  <c r="U2181" i="34"/>
  <c r="A2181" i="34"/>
  <c r="Z2185" i="34"/>
  <c r="O2185" i="34"/>
  <c r="W2185" i="34"/>
  <c r="P2185" i="34"/>
  <c r="Q2185" i="34"/>
  <c r="U2185" i="34"/>
  <c r="A2185" i="34"/>
  <c r="Z2189" i="34"/>
  <c r="O2189" i="34"/>
  <c r="W2189" i="34"/>
  <c r="P2189" i="34"/>
  <c r="Q2189" i="34"/>
  <c r="U2189" i="34"/>
  <c r="A2189" i="34"/>
  <c r="Z2193" i="34"/>
  <c r="O2193" i="34"/>
  <c r="W2193" i="34"/>
  <c r="P2193" i="34"/>
  <c r="Q2193" i="34"/>
  <c r="U2193" i="34"/>
  <c r="A2193" i="34"/>
  <c r="Z2197" i="34"/>
  <c r="O2197" i="34"/>
  <c r="W2197" i="34"/>
  <c r="P2197" i="34"/>
  <c r="Q2197" i="34"/>
  <c r="U2197" i="34"/>
  <c r="A2197" i="34"/>
  <c r="Z2201" i="34"/>
  <c r="O2201" i="34"/>
  <c r="W2201" i="34"/>
  <c r="P2201" i="34"/>
  <c r="Q2201" i="34"/>
  <c r="U2201" i="34"/>
  <c r="A2201" i="34"/>
  <c r="Z2205" i="34"/>
  <c r="O2205" i="34"/>
  <c r="W2205" i="34"/>
  <c r="P2205" i="34"/>
  <c r="Q2205" i="34"/>
  <c r="U2205" i="34"/>
  <c r="A2205" i="34"/>
  <c r="Z2209" i="34"/>
  <c r="O2209" i="34"/>
  <c r="W2209" i="34"/>
  <c r="P2209" i="34"/>
  <c r="Q2209" i="34"/>
  <c r="U2209" i="34"/>
  <c r="A2209" i="34"/>
  <c r="Z2213" i="34"/>
  <c r="O2213" i="34"/>
  <c r="W2213" i="34"/>
  <c r="P2213" i="34"/>
  <c r="Q2213" i="34"/>
  <c r="U2213" i="34"/>
  <c r="A2213" i="34"/>
  <c r="Z2217" i="34"/>
  <c r="O2217" i="34"/>
  <c r="W2217" i="34"/>
  <c r="P2217" i="34"/>
  <c r="Q2217" i="34"/>
  <c r="U2217" i="34"/>
  <c r="A2217" i="34"/>
  <c r="Z2221" i="34"/>
  <c r="O2221" i="34"/>
  <c r="W2221" i="34"/>
  <c r="P2221" i="34"/>
  <c r="Q2221" i="34"/>
  <c r="U2221" i="34"/>
  <c r="A2221" i="34"/>
  <c r="Z2225" i="34"/>
  <c r="O2225" i="34"/>
  <c r="W2225" i="34"/>
  <c r="P2225" i="34"/>
  <c r="Q2225" i="34"/>
  <c r="U2225" i="34"/>
  <c r="A2225" i="34"/>
  <c r="Z2229" i="34"/>
  <c r="O2229" i="34"/>
  <c r="W2229" i="34"/>
  <c r="P2229" i="34"/>
  <c r="Q2229" i="34"/>
  <c r="U2229" i="34"/>
  <c r="A2229" i="34"/>
  <c r="Z2233" i="34"/>
  <c r="O2233" i="34"/>
  <c r="W2233" i="34"/>
  <c r="P2233" i="34"/>
  <c r="Q2233" i="34"/>
  <c r="U2233" i="34"/>
  <c r="A2233" i="34"/>
  <c r="K43" i="55"/>
  <c r="K67" i="55"/>
  <c r="K85" i="55"/>
  <c r="K23" i="55"/>
  <c r="K128" i="55"/>
  <c r="K113" i="55"/>
  <c r="K132" i="55"/>
  <c r="K105" i="55"/>
  <c r="K92" i="55"/>
  <c r="K143" i="55"/>
  <c r="K115" i="55"/>
  <c r="K53" i="55"/>
  <c r="K161" i="55"/>
  <c r="K109" i="55"/>
  <c r="K133" i="55"/>
  <c r="K112" i="55"/>
  <c r="K570" i="55"/>
  <c r="K571" i="55"/>
  <c r="K637" i="55"/>
  <c r="K405" i="55"/>
  <c r="K123" i="55"/>
  <c r="K114" i="55"/>
  <c r="AB2308" i="34" l="1"/>
  <c r="K2308" i="34"/>
  <c r="C2308" i="34"/>
  <c r="B2308" i="34" s="1"/>
  <c r="AB2307" i="34"/>
  <c r="K2307" i="34"/>
  <c r="C2307" i="34"/>
  <c r="B2307" i="34" s="1"/>
  <c r="C2161" i="34"/>
  <c r="B2161" i="34" s="1"/>
  <c r="AB2160" i="34"/>
  <c r="K2160" i="34"/>
  <c r="C2160" i="34"/>
  <c r="B2160" i="34" s="1"/>
  <c r="C2159" i="34"/>
  <c r="B2159" i="34" s="1"/>
  <c r="AB2158" i="34"/>
  <c r="K2158" i="34"/>
  <c r="C2158" i="34"/>
  <c r="B2158" i="34" s="1"/>
  <c r="AB2157" i="34"/>
  <c r="K2157" i="34"/>
  <c r="C2157" i="34"/>
  <c r="B2157" i="34" s="1"/>
  <c r="AB2156" i="34"/>
  <c r="K2156" i="34"/>
  <c r="C2156" i="34"/>
  <c r="B2156" i="34" s="1"/>
  <c r="AB2155" i="34"/>
  <c r="K2155" i="34"/>
  <c r="C2155" i="34"/>
  <c r="B2155" i="34" s="1"/>
  <c r="C2154" i="34"/>
  <c r="B2154" i="34" s="1"/>
  <c r="C2153" i="34"/>
  <c r="B2153" i="34" s="1"/>
  <c r="C2152" i="34"/>
  <c r="B2152" i="34" s="1"/>
  <c r="AB2151" i="34"/>
  <c r="K2151" i="34"/>
  <c r="C2151" i="34"/>
  <c r="B2151" i="34" s="1"/>
  <c r="C2150" i="34"/>
  <c r="B2150" i="34" s="1"/>
  <c r="AB2149" i="34"/>
  <c r="K2149" i="34"/>
  <c r="C2149" i="34"/>
  <c r="B2149" i="34" s="1"/>
  <c r="C2148" i="34"/>
  <c r="B2148" i="34" s="1"/>
  <c r="AB2147" i="34"/>
  <c r="K2147" i="34"/>
  <c r="C2147" i="34"/>
  <c r="B2147" i="34" s="1"/>
  <c r="AB2326" i="34"/>
  <c r="K2326" i="34"/>
  <c r="C2326" i="34"/>
  <c r="B2326" i="34" s="1"/>
  <c r="AB2325" i="34"/>
  <c r="K2325" i="34"/>
  <c r="C2325" i="34"/>
  <c r="B2325" i="34" s="1"/>
  <c r="AB2324" i="34"/>
  <c r="K2324" i="34"/>
  <c r="C2324" i="34"/>
  <c r="B2324" i="34" s="1"/>
  <c r="AB2323" i="34"/>
  <c r="K2323" i="34"/>
  <c r="C2323" i="34"/>
  <c r="B2323" i="34" s="1"/>
  <c r="AB2322" i="34"/>
  <c r="K2322" i="34"/>
  <c r="C2322" i="34"/>
  <c r="B2322" i="34" s="1"/>
  <c r="AB2321" i="34"/>
  <c r="K2321" i="34"/>
  <c r="C2321" i="34"/>
  <c r="B2321" i="34" s="1"/>
  <c r="AB2320" i="34"/>
  <c r="K2320" i="34"/>
  <c r="C2320" i="34"/>
  <c r="B2320" i="34" s="1"/>
  <c r="C2319" i="34"/>
  <c r="B2319" i="34" s="1"/>
  <c r="AB2318" i="34"/>
  <c r="K2318" i="34"/>
  <c r="C2318" i="34"/>
  <c r="B2318" i="34" s="1"/>
  <c r="AB2317" i="34"/>
  <c r="K2317" i="34"/>
  <c r="C2317" i="34"/>
  <c r="B2317" i="34" s="1"/>
  <c r="C2316" i="34"/>
  <c r="B2316" i="34" s="1"/>
  <c r="AB2315" i="34"/>
  <c r="K2315" i="34"/>
  <c r="C2315" i="34"/>
  <c r="B2315" i="34" s="1"/>
  <c r="AB2314" i="34"/>
  <c r="K2314" i="34"/>
  <c r="C2314" i="34"/>
  <c r="B2314" i="34" s="1"/>
  <c r="AB2313" i="34"/>
  <c r="K2313" i="34"/>
  <c r="C2313" i="34"/>
  <c r="B2313" i="34" s="1"/>
  <c r="AB2312" i="34"/>
  <c r="K2312" i="34"/>
  <c r="C2312" i="34"/>
  <c r="B2312" i="34" s="1"/>
  <c r="AB2311" i="34"/>
  <c r="K2311" i="34"/>
  <c r="C2311" i="34"/>
  <c r="B2311" i="34" s="1"/>
  <c r="AB2310" i="34"/>
  <c r="K2310" i="34"/>
  <c r="C2310" i="34"/>
  <c r="B2310" i="34" s="1"/>
  <c r="C2309" i="34"/>
  <c r="B2309" i="34" s="1"/>
  <c r="AB2343" i="34"/>
  <c r="K2343" i="34"/>
  <c r="C2343" i="34"/>
  <c r="B2343" i="34" s="1"/>
  <c r="C2342" i="34"/>
  <c r="B2342" i="34" s="1"/>
  <c r="AB2341" i="34"/>
  <c r="K2341" i="34"/>
  <c r="C2341" i="34"/>
  <c r="B2341" i="34" s="1"/>
  <c r="C2340" i="34"/>
  <c r="B2340" i="34" s="1"/>
  <c r="AB2339" i="34"/>
  <c r="K2339" i="34"/>
  <c r="C2339" i="34"/>
  <c r="B2339" i="34" s="1"/>
  <c r="AB2338" i="34"/>
  <c r="K2338" i="34"/>
  <c r="C2338" i="34"/>
  <c r="B2338" i="34" s="1"/>
  <c r="AB2337" i="34"/>
  <c r="K2337" i="34"/>
  <c r="C2337" i="34"/>
  <c r="B2337" i="34" s="1"/>
  <c r="C2336" i="34"/>
  <c r="B2336" i="34" s="1"/>
  <c r="AB2335" i="34"/>
  <c r="K2335" i="34"/>
  <c r="C2335" i="34"/>
  <c r="B2335" i="34" s="1"/>
  <c r="AB2334" i="34"/>
  <c r="K2334" i="34"/>
  <c r="C2334" i="34"/>
  <c r="B2334" i="34" s="1"/>
  <c r="AB2333" i="34"/>
  <c r="K2333" i="34"/>
  <c r="C2333" i="34"/>
  <c r="B2333" i="34" s="1"/>
  <c r="AB2332" i="34"/>
  <c r="K2332" i="34"/>
  <c r="C2332" i="34"/>
  <c r="B2332" i="34" s="1"/>
  <c r="C2331" i="34"/>
  <c r="B2331" i="34" s="1"/>
  <c r="AB2330" i="34"/>
  <c r="K2330" i="34"/>
  <c r="C2330" i="34"/>
  <c r="B2330" i="34" s="1"/>
  <c r="C2329" i="34"/>
  <c r="B2329" i="34" s="1"/>
  <c r="AB2328" i="34"/>
  <c r="K2328" i="34"/>
  <c r="C2328" i="34"/>
  <c r="B2328" i="34" s="1"/>
  <c r="AB2327" i="34"/>
  <c r="K2327" i="34"/>
  <c r="C2327" i="34"/>
  <c r="B2327" i="34" s="1"/>
  <c r="C2361" i="34"/>
  <c r="B2361" i="34" s="1"/>
  <c r="AB2360" i="34"/>
  <c r="K2360" i="34"/>
  <c r="C2360" i="34"/>
  <c r="B2360" i="34" s="1"/>
  <c r="C2359" i="34"/>
  <c r="B2359" i="34" s="1"/>
  <c r="C2358" i="34"/>
  <c r="B2358" i="34" s="1"/>
  <c r="C2357" i="34"/>
  <c r="B2357" i="34" s="1"/>
  <c r="AB2356" i="34"/>
  <c r="K2356" i="34"/>
  <c r="C2356" i="34"/>
  <c r="B2356" i="34" s="1"/>
  <c r="C2355" i="34"/>
  <c r="B2355" i="34" s="1"/>
  <c r="AB2354" i="34"/>
  <c r="K2354" i="34"/>
  <c r="C2354" i="34"/>
  <c r="B2354" i="34" s="1"/>
  <c r="C2353" i="34"/>
  <c r="B2353" i="34" s="1"/>
  <c r="AB2352" i="34"/>
  <c r="K2352" i="34"/>
  <c r="C2352" i="34"/>
  <c r="B2352" i="34" s="1"/>
  <c r="AB2351" i="34"/>
  <c r="K2351" i="34"/>
  <c r="C2351" i="34"/>
  <c r="B2351" i="34" s="1"/>
  <c r="AB2350" i="34"/>
  <c r="K2350" i="34"/>
  <c r="C2350" i="34"/>
  <c r="B2350" i="34" s="1"/>
  <c r="AB2349" i="34"/>
  <c r="K2349" i="34"/>
  <c r="C2349" i="34"/>
  <c r="B2349" i="34" s="1"/>
  <c r="C2348" i="34"/>
  <c r="B2348" i="34" s="1"/>
  <c r="AB2347" i="34"/>
  <c r="K2347" i="34"/>
  <c r="C2347" i="34"/>
  <c r="B2347" i="34" s="1"/>
  <c r="C2346" i="34"/>
  <c r="B2346" i="34" s="1"/>
  <c r="AB2345" i="34"/>
  <c r="K2345" i="34"/>
  <c r="C2345" i="34"/>
  <c r="B2345" i="34" s="1"/>
  <c r="C2344" i="34"/>
  <c r="B2344" i="34" s="1"/>
  <c r="AB2431" i="34"/>
  <c r="K2431" i="34"/>
  <c r="C2431" i="34"/>
  <c r="B2431" i="34" s="1"/>
  <c r="AB2430" i="34"/>
  <c r="K2430" i="34"/>
  <c r="C2430" i="34"/>
  <c r="B2430" i="34" s="1"/>
  <c r="AB2429" i="34"/>
  <c r="K2429" i="34"/>
  <c r="C2429" i="34"/>
  <c r="B2429" i="34" s="1"/>
  <c r="AB2428" i="34"/>
  <c r="K2428" i="34"/>
  <c r="C2428" i="34"/>
  <c r="B2428" i="34" s="1"/>
  <c r="C2386" i="34"/>
  <c r="B2386" i="34" s="1"/>
  <c r="AB2376" i="34"/>
  <c r="C2376" i="34"/>
  <c r="B2376" i="34" s="1"/>
  <c r="AB2437" i="34"/>
  <c r="K2437" i="34"/>
  <c r="C2437" i="34"/>
  <c r="B2437" i="34" s="1"/>
  <c r="AB2436" i="34"/>
  <c r="K2436" i="34"/>
  <c r="C2436" i="34"/>
  <c r="B2436" i="34" s="1"/>
  <c r="AB2435" i="34"/>
  <c r="K2435" i="34"/>
  <c r="C2435" i="34"/>
  <c r="B2435" i="34" s="1"/>
  <c r="AB2434" i="34"/>
  <c r="K2434" i="34"/>
  <c r="C2434" i="34"/>
  <c r="B2434" i="34" s="1"/>
  <c r="AB2433" i="34"/>
  <c r="K2433" i="34"/>
  <c r="C2433" i="34"/>
  <c r="B2433" i="34" s="1"/>
  <c r="AB2432" i="34"/>
  <c r="K2432" i="34"/>
  <c r="C2432" i="34"/>
  <c r="B2432" i="34" s="1"/>
  <c r="I316" i="55" a="1"/>
  <c r="I316" i="55" s="1"/>
  <c r="G316" i="55" a="1"/>
  <c r="G316" i="55" s="1"/>
  <c r="B316" i="55"/>
  <c r="A316" i="55" s="1"/>
  <c r="I518" i="55" a="1"/>
  <c r="I518" i="55" s="1"/>
  <c r="G518" i="55" a="1"/>
  <c r="G518" i="55" s="1"/>
  <c r="B518" i="55"/>
  <c r="A518" i="55" s="1"/>
  <c r="I285" i="55" a="1"/>
  <c r="I285" i="55" s="1"/>
  <c r="G285" i="55" a="1"/>
  <c r="G285" i="55" s="1"/>
  <c r="B285" i="55"/>
  <c r="A285" i="55" s="1"/>
  <c r="I745" i="55" a="1"/>
  <c r="I745" i="55" s="1"/>
  <c r="G745" i="55" a="1"/>
  <c r="G745" i="55" s="1"/>
  <c r="B745" i="55"/>
  <c r="A745" i="55" s="1"/>
  <c r="I581" i="55" a="1"/>
  <c r="I581" i="55" s="1"/>
  <c r="G581" i="55" a="1"/>
  <c r="G581" i="55" s="1"/>
  <c r="B581" i="55"/>
  <c r="A581" i="55" s="1"/>
  <c r="I735" i="55" a="1"/>
  <c r="I735" i="55" s="1"/>
  <c r="G735" i="55" a="1"/>
  <c r="G735" i="55" s="1"/>
  <c r="B735" i="55"/>
  <c r="A735" i="55" s="1"/>
  <c r="I760" i="55" a="1"/>
  <c r="I760" i="55" s="1"/>
  <c r="G760" i="55" a="1"/>
  <c r="G760" i="55" s="1"/>
  <c r="B760" i="55"/>
  <c r="A760" i="55" s="1"/>
  <c r="I701" i="55" a="1"/>
  <c r="I701" i="55" s="1"/>
  <c r="G701" i="55" a="1"/>
  <c r="G701" i="55" s="1"/>
  <c r="B701" i="55"/>
  <c r="A701" i="55" s="1"/>
  <c r="I348" i="55" a="1"/>
  <c r="I348" i="55" s="1"/>
  <c r="G348" i="55" a="1"/>
  <c r="G348" i="55" s="1"/>
  <c r="B348" i="55"/>
  <c r="A348" i="55" s="1"/>
  <c r="I544" i="55" a="1"/>
  <c r="I544" i="55" s="1"/>
  <c r="G544" i="55" a="1"/>
  <c r="G544" i="55" s="1"/>
  <c r="B544" i="55"/>
  <c r="A544" i="55" s="1"/>
  <c r="I14" i="55" a="1"/>
  <c r="I14" i="55" s="1"/>
  <c r="G14" i="55" a="1"/>
  <c r="G14" i="55" s="1"/>
  <c r="B14" i="55"/>
  <c r="A14" i="55" s="1"/>
  <c r="I99" i="55" a="1"/>
  <c r="I99" i="55" s="1"/>
  <c r="G99" i="55" a="1"/>
  <c r="G99" i="55" s="1"/>
  <c r="B99" i="55"/>
  <c r="A99" i="55" s="1"/>
  <c r="I655" i="55" a="1"/>
  <c r="I655" i="55" s="1"/>
  <c r="G655" i="55" a="1"/>
  <c r="G655" i="55" s="1"/>
  <c r="B655" i="55"/>
  <c r="A655" i="55" s="1"/>
  <c r="I292" i="55" a="1"/>
  <c r="I292" i="55" s="1"/>
  <c r="G292" i="55" a="1"/>
  <c r="G292" i="55" s="1"/>
  <c r="B292" i="55"/>
  <c r="A292" i="55" s="1"/>
  <c r="I645" i="55" a="1"/>
  <c r="I645" i="55" s="1"/>
  <c r="G645" i="55" a="1"/>
  <c r="G645" i="55" s="1"/>
  <c r="B645" i="55"/>
  <c r="A645" i="55" s="1"/>
  <c r="I577" i="55" a="1"/>
  <c r="I577" i="55" s="1"/>
  <c r="G577" i="55" a="1"/>
  <c r="G577" i="55" s="1"/>
  <c r="B577" i="55"/>
  <c r="A577" i="55" s="1"/>
  <c r="I582" i="55" a="1"/>
  <c r="I582" i="55" s="1"/>
  <c r="G582" i="55" a="1"/>
  <c r="G582" i="55" s="1"/>
  <c r="B582" i="55"/>
  <c r="A582" i="55" s="1"/>
  <c r="I482" i="55" a="1"/>
  <c r="I482" i="55" s="1"/>
  <c r="G482" i="55" a="1"/>
  <c r="G482" i="55" s="1"/>
  <c r="B482" i="55"/>
  <c r="A482" i="55" s="1"/>
  <c r="A38" i="70"/>
  <c r="A39" i="70"/>
  <c r="A40" i="70"/>
  <c r="A41" i="70"/>
  <c r="A42" i="70"/>
  <c r="C2134" i="34"/>
  <c r="B2134" i="34" s="1"/>
  <c r="AB2143" i="34"/>
  <c r="K2143" i="34"/>
  <c r="C2143" i="34"/>
  <c r="B2143" i="34" s="1"/>
  <c r="AB2142" i="34"/>
  <c r="K2142" i="34"/>
  <c r="C2142" i="34"/>
  <c r="B2142" i="34" s="1"/>
  <c r="AB2141" i="34"/>
  <c r="K2141" i="34"/>
  <c r="C2141" i="34"/>
  <c r="B2141" i="34" s="1"/>
  <c r="AB2140" i="34"/>
  <c r="K2140" i="34"/>
  <c r="C2140" i="34"/>
  <c r="B2140" i="34" s="1"/>
  <c r="C2139" i="34"/>
  <c r="B2139" i="34" s="1"/>
  <c r="AB2138" i="34"/>
  <c r="K2138" i="34"/>
  <c r="C2138" i="34"/>
  <c r="B2138" i="34" s="1"/>
  <c r="AB2137" i="34"/>
  <c r="K2137" i="34"/>
  <c r="C2137" i="34"/>
  <c r="B2137" i="34" s="1"/>
  <c r="AB2136" i="34"/>
  <c r="K2136" i="34"/>
  <c r="C2136" i="34"/>
  <c r="B2136" i="34" s="1"/>
  <c r="AB2135" i="34"/>
  <c r="K2135" i="34"/>
  <c r="C2135" i="34"/>
  <c r="B2135" i="34" s="1"/>
  <c r="C2146" i="34"/>
  <c r="B2146" i="34" s="1"/>
  <c r="AB2145" i="34"/>
  <c r="K2145" i="34"/>
  <c r="C2145" i="34"/>
  <c r="B2145" i="34" s="1"/>
  <c r="C2144" i="34"/>
  <c r="B2144" i="34" s="1"/>
  <c r="AB2440" i="34"/>
  <c r="K2440" i="34"/>
  <c r="C2440" i="34"/>
  <c r="B2440" i="34" s="1"/>
  <c r="AB2439" i="34"/>
  <c r="K2439" i="34"/>
  <c r="C2439" i="34"/>
  <c r="B2439" i="34" s="1"/>
  <c r="AB2438" i="34"/>
  <c r="K2438" i="34"/>
  <c r="C2438" i="34"/>
  <c r="B2438" i="34" s="1"/>
  <c r="K2132" i="34"/>
  <c r="C2441" i="34"/>
  <c r="B2441" i="34" s="1"/>
  <c r="C2133" i="34"/>
  <c r="B2133" i="34" s="1"/>
  <c r="AB2132" i="34"/>
  <c r="C2132" i="34"/>
  <c r="B2132" i="34" s="1"/>
  <c r="C1394" i="34"/>
  <c r="B1394" i="34" s="1"/>
  <c r="K1393" i="34"/>
  <c r="C1393" i="34"/>
  <c r="B1393" i="34" s="1"/>
  <c r="K1392" i="34"/>
  <c r="C1392" i="34"/>
  <c r="B1392" i="34" s="1"/>
  <c r="K1391" i="34"/>
  <c r="C1391" i="34"/>
  <c r="B1391" i="34" s="1"/>
  <c r="K1390" i="34"/>
  <c r="C1390" i="34"/>
  <c r="B1390" i="34" s="1"/>
  <c r="K1389" i="34"/>
  <c r="C1389" i="34"/>
  <c r="B1389" i="34" s="1"/>
  <c r="K1388" i="34"/>
  <c r="C1388" i="34"/>
  <c r="B1388" i="34" s="1"/>
  <c r="K1387" i="34"/>
  <c r="C1387" i="34"/>
  <c r="B1387" i="34" s="1"/>
  <c r="K1386" i="34"/>
  <c r="C1386" i="34"/>
  <c r="B1386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77" i="34"/>
  <c r="C1377" i="34"/>
  <c r="B1377" i="34" s="1"/>
  <c r="K1376" i="34"/>
  <c r="C1376" i="34"/>
  <c r="B1376" i="34" s="1"/>
  <c r="K1375" i="34"/>
  <c r="C1375" i="34"/>
  <c r="B1375" i="34" s="1"/>
  <c r="K1374" i="34"/>
  <c r="C1374" i="34"/>
  <c r="B1374" i="34" s="1"/>
  <c r="K1373" i="34"/>
  <c r="C1373" i="34"/>
  <c r="B1373" i="34" s="1"/>
  <c r="K1364" i="34"/>
  <c r="K1365" i="34"/>
  <c r="K1366" i="34"/>
  <c r="K1367" i="34"/>
  <c r="K1368" i="34"/>
  <c r="K1369" i="34"/>
  <c r="K1370" i="34"/>
  <c r="K1371" i="34"/>
  <c r="K1372" i="34"/>
  <c r="K1363" i="34"/>
  <c r="K1282" i="34"/>
  <c r="K1275" i="34"/>
  <c r="K1273" i="34"/>
  <c r="K1272" i="34"/>
  <c r="K1264" i="34"/>
  <c r="K1263" i="34"/>
  <c r="K1262" i="34"/>
  <c r="C1273" i="34"/>
  <c r="B1273" i="34" s="1"/>
  <c r="C1272" i="34"/>
  <c r="B1272" i="34" s="1"/>
  <c r="C1265" i="34"/>
  <c r="B1265" i="34" s="1"/>
  <c r="C1264" i="34"/>
  <c r="B1264" i="34" s="1"/>
  <c r="C1263" i="34"/>
  <c r="B1263" i="34" s="1"/>
  <c r="C1262" i="34"/>
  <c r="B1262" i="34" s="1"/>
  <c r="C1363" i="34"/>
  <c r="B1363" i="34" s="1"/>
  <c r="C1283" i="34"/>
  <c r="B1283" i="34" s="1"/>
  <c r="C1282" i="34"/>
  <c r="B1282" i="34" s="1"/>
  <c r="C1276" i="34"/>
  <c r="B1276" i="34" s="1"/>
  <c r="C1275" i="34"/>
  <c r="B1275" i="34" s="1"/>
  <c r="C1274" i="34"/>
  <c r="B1274" i="34" s="1"/>
  <c r="C1369" i="34"/>
  <c r="B1369" i="34" s="1"/>
  <c r="C1368" i="34"/>
  <c r="B1368" i="34" s="1"/>
  <c r="C1367" i="34"/>
  <c r="B1367" i="34" s="1"/>
  <c r="C1366" i="34"/>
  <c r="B1366" i="34" s="1"/>
  <c r="C1365" i="34"/>
  <c r="B1365" i="34" s="1"/>
  <c r="C1364" i="34"/>
  <c r="B1364" i="34" s="1"/>
  <c r="K1260" i="34"/>
  <c r="K1259" i="34"/>
  <c r="K1255" i="34"/>
  <c r="K1257" i="34"/>
  <c r="K1256" i="34"/>
  <c r="K1179" i="34"/>
  <c r="K1178" i="34"/>
  <c r="Z1365" i="34" l="1"/>
  <c r="O1365" i="34"/>
  <c r="W1365" i="34"/>
  <c r="P1365" i="34"/>
  <c r="Q1365" i="34"/>
  <c r="U1365" i="34"/>
  <c r="A1365" i="34"/>
  <c r="Z1369" i="34"/>
  <c r="O1369" i="34"/>
  <c r="W1369" i="34"/>
  <c r="P1369" i="34"/>
  <c r="Q1369" i="34"/>
  <c r="U1369" i="34"/>
  <c r="A1369" i="34"/>
  <c r="Q1282" i="34"/>
  <c r="U1282" i="34"/>
  <c r="Z1282" i="34"/>
  <c r="O1282" i="34"/>
  <c r="W1282" i="34"/>
  <c r="P1282" i="34"/>
  <c r="A1282" i="34"/>
  <c r="P1263" i="34"/>
  <c r="Q1263" i="34"/>
  <c r="U1263" i="34"/>
  <c r="Z1263" i="34"/>
  <c r="O1263" i="34"/>
  <c r="W1263" i="34"/>
  <c r="A1263" i="34"/>
  <c r="Z1273" i="34"/>
  <c r="O1273" i="34"/>
  <c r="W1273" i="34"/>
  <c r="P1273" i="34"/>
  <c r="Q1273" i="34"/>
  <c r="U1273" i="34"/>
  <c r="A1273" i="34"/>
  <c r="Q1374" i="34"/>
  <c r="U1374" i="34"/>
  <c r="Z1374" i="34"/>
  <c r="O1374" i="34"/>
  <c r="W1374" i="34"/>
  <c r="P1374" i="34"/>
  <c r="A1374" i="34"/>
  <c r="O1376" i="34"/>
  <c r="W1376" i="34"/>
  <c r="P1376" i="34"/>
  <c r="Q1376" i="34"/>
  <c r="U1376" i="34"/>
  <c r="Z1376" i="34"/>
  <c r="A1376" i="34"/>
  <c r="Q1378" i="34"/>
  <c r="U1378" i="34"/>
  <c r="Z1378" i="34"/>
  <c r="O1378" i="34"/>
  <c r="W1378" i="34"/>
  <c r="P1378" i="34"/>
  <c r="A1378" i="34"/>
  <c r="O1380" i="34"/>
  <c r="W1380" i="34"/>
  <c r="P1380" i="34"/>
  <c r="Q1380" i="34"/>
  <c r="U1380" i="34"/>
  <c r="Z1380" i="34"/>
  <c r="A1380" i="34"/>
  <c r="Q1382" i="34"/>
  <c r="U1382" i="34"/>
  <c r="Z1382" i="34"/>
  <c r="O1382" i="34"/>
  <c r="W1382" i="34"/>
  <c r="P1382" i="34"/>
  <c r="A1382" i="34"/>
  <c r="O1384" i="34"/>
  <c r="W1384" i="34"/>
  <c r="P1384" i="34"/>
  <c r="Q1384" i="34"/>
  <c r="U1384" i="34"/>
  <c r="Z1384" i="34"/>
  <c r="A1384" i="34"/>
  <c r="Q1386" i="34"/>
  <c r="U1386" i="34"/>
  <c r="Z1386" i="34"/>
  <c r="O1386" i="34"/>
  <c r="W1386" i="34"/>
  <c r="P1386" i="34"/>
  <c r="A1386" i="34"/>
  <c r="O1388" i="34"/>
  <c r="W1388" i="34"/>
  <c r="P1388" i="34"/>
  <c r="Q1388" i="34"/>
  <c r="U1388" i="34"/>
  <c r="Z1388" i="34"/>
  <c r="A1388" i="34"/>
  <c r="Q1390" i="34"/>
  <c r="U1390" i="34"/>
  <c r="Z1390" i="34"/>
  <c r="O1390" i="34"/>
  <c r="W1390" i="34"/>
  <c r="P1390" i="34"/>
  <c r="A1390" i="34"/>
  <c r="O1392" i="34"/>
  <c r="W1392" i="34"/>
  <c r="P1392" i="34"/>
  <c r="Q1392" i="34"/>
  <c r="U1392" i="34"/>
  <c r="Z1392" i="34"/>
  <c r="A1392" i="34"/>
  <c r="Q1394" i="34"/>
  <c r="U1394" i="34"/>
  <c r="Z1394" i="34"/>
  <c r="O1394" i="34"/>
  <c r="W1394" i="34"/>
  <c r="P1394" i="34"/>
  <c r="A1394" i="34"/>
  <c r="Q2441" i="34"/>
  <c r="U2441" i="34"/>
  <c r="Z2441" i="34"/>
  <c r="O2441" i="34"/>
  <c r="W2441" i="34"/>
  <c r="P2441" i="34"/>
  <c r="A2441" i="34"/>
  <c r="Z2440" i="34"/>
  <c r="O2440" i="34"/>
  <c r="W2440" i="34"/>
  <c r="P2440" i="34"/>
  <c r="Q2440" i="34"/>
  <c r="U2440" i="34"/>
  <c r="A2440" i="34"/>
  <c r="Z2145" i="34"/>
  <c r="O2145" i="34"/>
  <c r="W2145" i="34"/>
  <c r="P2145" i="34"/>
  <c r="Q2145" i="34"/>
  <c r="U2145" i="34"/>
  <c r="A2145" i="34"/>
  <c r="P2135" i="34"/>
  <c r="Q2135" i="34"/>
  <c r="U2135" i="34"/>
  <c r="Z2135" i="34"/>
  <c r="O2135" i="34"/>
  <c r="W2135" i="34"/>
  <c r="A2135" i="34"/>
  <c r="P2139" i="34"/>
  <c r="Q2139" i="34"/>
  <c r="U2139" i="34"/>
  <c r="Z2139" i="34"/>
  <c r="O2139" i="34"/>
  <c r="W2139" i="34"/>
  <c r="A2139" i="34"/>
  <c r="Z2141" i="34"/>
  <c r="O2141" i="34"/>
  <c r="W2141" i="34"/>
  <c r="P2141" i="34"/>
  <c r="Q2141" i="34"/>
  <c r="U2141" i="34"/>
  <c r="A2141" i="34"/>
  <c r="Q2433" i="34"/>
  <c r="U2433" i="34"/>
  <c r="Z2433" i="34"/>
  <c r="O2433" i="34"/>
  <c r="W2433" i="34"/>
  <c r="P2433" i="34"/>
  <c r="A2433" i="34"/>
  <c r="Q2437" i="34"/>
  <c r="U2437" i="34"/>
  <c r="Z2437" i="34"/>
  <c r="O2437" i="34"/>
  <c r="W2437" i="34"/>
  <c r="P2437" i="34"/>
  <c r="A2437" i="34"/>
  <c r="P2430" i="34"/>
  <c r="Q2430" i="34"/>
  <c r="U2430" i="34"/>
  <c r="Z2430" i="34"/>
  <c r="O2430" i="34"/>
  <c r="W2430" i="34"/>
  <c r="A2430" i="34"/>
  <c r="O2352" i="34"/>
  <c r="W2352" i="34"/>
  <c r="P2352" i="34"/>
  <c r="Z2352" i="34"/>
  <c r="Q2352" i="34"/>
  <c r="U2352" i="34"/>
  <c r="A2352" i="34"/>
  <c r="Q2354" i="34"/>
  <c r="U2354" i="34"/>
  <c r="O2354" i="34"/>
  <c r="P2354" i="34"/>
  <c r="Z2354" i="34"/>
  <c r="W2354" i="34"/>
  <c r="A2354" i="34"/>
  <c r="Z2356" i="34"/>
  <c r="O2356" i="34"/>
  <c r="W2356" i="34"/>
  <c r="P2356" i="34"/>
  <c r="Q2356" i="34"/>
  <c r="U2356" i="34"/>
  <c r="A2356" i="34"/>
  <c r="P2358" i="34"/>
  <c r="Q2358" i="34"/>
  <c r="U2358" i="34"/>
  <c r="Z2358" i="34"/>
  <c r="O2358" i="34"/>
  <c r="W2358" i="34"/>
  <c r="A2358" i="34"/>
  <c r="Z2329" i="34"/>
  <c r="O2329" i="34"/>
  <c r="W2329" i="34"/>
  <c r="Q2329" i="34"/>
  <c r="U2329" i="34"/>
  <c r="P2329" i="34"/>
  <c r="A2329" i="34"/>
  <c r="P2331" i="34"/>
  <c r="Q2331" i="34"/>
  <c r="U2331" i="34"/>
  <c r="O2331" i="34"/>
  <c r="W2331" i="34"/>
  <c r="Z2331" i="34"/>
  <c r="A2331" i="34"/>
  <c r="Z2333" i="34"/>
  <c r="O2333" i="34"/>
  <c r="W2333" i="34"/>
  <c r="Q2333" i="34"/>
  <c r="U2333" i="34"/>
  <c r="P2333" i="34"/>
  <c r="A2333" i="34"/>
  <c r="P2339" i="34"/>
  <c r="Q2339" i="34"/>
  <c r="U2339" i="34"/>
  <c r="O2339" i="34"/>
  <c r="W2339" i="34"/>
  <c r="Z2339" i="34"/>
  <c r="A2339" i="34"/>
  <c r="Z2341" i="34"/>
  <c r="O2341" i="34"/>
  <c r="W2341" i="34"/>
  <c r="Q2341" i="34"/>
  <c r="U2341" i="34"/>
  <c r="P2341" i="34"/>
  <c r="A2341" i="34"/>
  <c r="P2343" i="34"/>
  <c r="Q2343" i="34"/>
  <c r="U2343" i="34"/>
  <c r="O2343" i="34"/>
  <c r="W2343" i="34"/>
  <c r="Z2343" i="34"/>
  <c r="A2343" i="34"/>
  <c r="Q2310" i="34"/>
  <c r="U2310" i="34"/>
  <c r="Z2310" i="34"/>
  <c r="O2310" i="34"/>
  <c r="W2310" i="34"/>
  <c r="P2310" i="34"/>
  <c r="A2310" i="34"/>
  <c r="Q2314" i="34"/>
  <c r="U2314" i="34"/>
  <c r="Z2314" i="34"/>
  <c r="O2314" i="34"/>
  <c r="W2314" i="34"/>
  <c r="P2314" i="34"/>
  <c r="A2314" i="34"/>
  <c r="Q2322" i="34"/>
  <c r="U2322" i="34"/>
  <c r="Z2322" i="34"/>
  <c r="O2322" i="34"/>
  <c r="W2322" i="34"/>
  <c r="P2322" i="34"/>
  <c r="A2322" i="34"/>
  <c r="Q2326" i="34"/>
  <c r="U2326" i="34"/>
  <c r="Z2326" i="34"/>
  <c r="P2326" i="34"/>
  <c r="W2326" i="34"/>
  <c r="O2326" i="34"/>
  <c r="A2326" i="34"/>
  <c r="Q2154" i="34"/>
  <c r="U2154" i="34"/>
  <c r="Z2154" i="34"/>
  <c r="O2154" i="34"/>
  <c r="W2154" i="34"/>
  <c r="P2154" i="34"/>
  <c r="A2154" i="34"/>
  <c r="O2156" i="34"/>
  <c r="W2156" i="34"/>
  <c r="P2156" i="34"/>
  <c r="Q2156" i="34"/>
  <c r="U2156" i="34"/>
  <c r="Z2156" i="34"/>
  <c r="A2156" i="34"/>
  <c r="Z2432" i="34"/>
  <c r="O2432" i="34"/>
  <c r="W2432" i="34"/>
  <c r="P2432" i="34"/>
  <c r="Q2432" i="34"/>
  <c r="U2432" i="34"/>
  <c r="A2432" i="34"/>
  <c r="Z2436" i="34"/>
  <c r="O2436" i="34"/>
  <c r="W2436" i="34"/>
  <c r="P2436" i="34"/>
  <c r="Q2436" i="34"/>
  <c r="U2436" i="34"/>
  <c r="A2436" i="34"/>
  <c r="P2386" i="34"/>
  <c r="Q2386" i="34"/>
  <c r="U2386" i="34"/>
  <c r="Z2386" i="34"/>
  <c r="O2386" i="34"/>
  <c r="W2386" i="34"/>
  <c r="A2386" i="34"/>
  <c r="Q2429" i="34"/>
  <c r="U2429" i="34"/>
  <c r="Z2429" i="34"/>
  <c r="O2429" i="34"/>
  <c r="W2429" i="34"/>
  <c r="P2429" i="34"/>
  <c r="A2429" i="34"/>
  <c r="P2351" i="34"/>
  <c r="Q2351" i="34"/>
  <c r="U2351" i="34"/>
  <c r="O2351" i="34"/>
  <c r="W2351" i="34"/>
  <c r="Z2351" i="34"/>
  <c r="A2351" i="34"/>
  <c r="O2359" i="34"/>
  <c r="W2359" i="34"/>
  <c r="P2359" i="34"/>
  <c r="Q2359" i="34"/>
  <c r="U2359" i="34"/>
  <c r="Z2359" i="34"/>
  <c r="A2359" i="34"/>
  <c r="Q2361" i="34"/>
  <c r="U2361" i="34"/>
  <c r="Z2361" i="34"/>
  <c r="O2361" i="34"/>
  <c r="W2361" i="34"/>
  <c r="P2361" i="34"/>
  <c r="A2361" i="34"/>
  <c r="O2328" i="34"/>
  <c r="W2328" i="34"/>
  <c r="P2328" i="34"/>
  <c r="Z2328" i="34"/>
  <c r="Q2328" i="34"/>
  <c r="U2328" i="34"/>
  <c r="A2328" i="34"/>
  <c r="Q2330" i="34"/>
  <c r="U2330" i="34"/>
  <c r="Z2330" i="34"/>
  <c r="P2330" i="34"/>
  <c r="O2330" i="34"/>
  <c r="W2330" i="34"/>
  <c r="A2330" i="34"/>
  <c r="O2332" i="34"/>
  <c r="W2332" i="34"/>
  <c r="P2332" i="34"/>
  <c r="Z2332" i="34"/>
  <c r="Q2332" i="34"/>
  <c r="U2332" i="34"/>
  <c r="A2332" i="34"/>
  <c r="O2336" i="34"/>
  <c r="W2336" i="34"/>
  <c r="P2336" i="34"/>
  <c r="Z2336" i="34"/>
  <c r="Q2336" i="34"/>
  <c r="U2336" i="34"/>
  <c r="A2336" i="34"/>
  <c r="Q2338" i="34"/>
  <c r="U2338" i="34"/>
  <c r="Z2338" i="34"/>
  <c r="P2338" i="34"/>
  <c r="O2338" i="34"/>
  <c r="W2338" i="34"/>
  <c r="A2338" i="34"/>
  <c r="Z2313" i="34"/>
  <c r="O2313" i="34"/>
  <c r="W2313" i="34"/>
  <c r="P2313" i="34"/>
  <c r="Q2313" i="34"/>
  <c r="U2313" i="34"/>
  <c r="A2313" i="34"/>
  <c r="P2319" i="34"/>
  <c r="Q2319" i="34"/>
  <c r="U2319" i="34"/>
  <c r="Z2319" i="34"/>
  <c r="O2319" i="34"/>
  <c r="W2319" i="34"/>
  <c r="A2319" i="34"/>
  <c r="Z2321" i="34"/>
  <c r="O2321" i="34"/>
  <c r="W2321" i="34"/>
  <c r="P2321" i="34"/>
  <c r="Q2321" i="34"/>
  <c r="U2321" i="34"/>
  <c r="A2321" i="34"/>
  <c r="Z2325" i="34"/>
  <c r="O2325" i="34"/>
  <c r="W2325" i="34"/>
  <c r="Q2325" i="34"/>
  <c r="U2325" i="34"/>
  <c r="P2325" i="34"/>
  <c r="A2325" i="34"/>
  <c r="P2155" i="34"/>
  <c r="Q2155" i="34"/>
  <c r="U2155" i="34"/>
  <c r="Z2155" i="34"/>
  <c r="O2155" i="34"/>
  <c r="W2155" i="34"/>
  <c r="A2155" i="34"/>
  <c r="P2159" i="34"/>
  <c r="Q2159" i="34"/>
  <c r="U2159" i="34"/>
  <c r="Z2159" i="34"/>
  <c r="O2159" i="34"/>
  <c r="W2159" i="34"/>
  <c r="A2159" i="34"/>
  <c r="Z2161" i="34"/>
  <c r="O2161" i="34"/>
  <c r="W2161" i="34"/>
  <c r="P2161" i="34"/>
  <c r="Q2161" i="34"/>
  <c r="U2161" i="34"/>
  <c r="A2161" i="34"/>
  <c r="O2308" i="34"/>
  <c r="W2308" i="34"/>
  <c r="P2308" i="34"/>
  <c r="Q2308" i="34"/>
  <c r="U2308" i="34"/>
  <c r="Z2308" i="34"/>
  <c r="A2308" i="34"/>
  <c r="P1367" i="34"/>
  <c r="Q1367" i="34"/>
  <c r="U1367" i="34"/>
  <c r="Z1367" i="34"/>
  <c r="O1367" i="34"/>
  <c r="W1367" i="34"/>
  <c r="A1367" i="34"/>
  <c r="P1275" i="34"/>
  <c r="Q1275" i="34"/>
  <c r="U1275" i="34"/>
  <c r="Z1275" i="34"/>
  <c r="O1275" i="34"/>
  <c r="W1275" i="34"/>
  <c r="A1275" i="34"/>
  <c r="P1363" i="34"/>
  <c r="Q1363" i="34"/>
  <c r="U1363" i="34"/>
  <c r="Z1363" i="34"/>
  <c r="O1363" i="34"/>
  <c r="W1363" i="34"/>
  <c r="A1363" i="34"/>
  <c r="Z1265" i="34"/>
  <c r="O1265" i="34"/>
  <c r="W1265" i="34"/>
  <c r="P1265" i="34"/>
  <c r="Q1265" i="34"/>
  <c r="U1265" i="34"/>
  <c r="A1265" i="34"/>
  <c r="Z1373" i="34"/>
  <c r="O1373" i="34"/>
  <c r="W1373" i="34"/>
  <c r="P1373" i="34"/>
  <c r="Q1373" i="34"/>
  <c r="U1373" i="34"/>
  <c r="A1373" i="34"/>
  <c r="P1375" i="34"/>
  <c r="Q1375" i="34"/>
  <c r="U1375" i="34"/>
  <c r="Z1375" i="34"/>
  <c r="O1375" i="34"/>
  <c r="W1375" i="34"/>
  <c r="A1375" i="34"/>
  <c r="Z1377" i="34"/>
  <c r="O1377" i="34"/>
  <c r="W1377" i="34"/>
  <c r="P1377" i="34"/>
  <c r="Q1377" i="34"/>
  <c r="U1377" i="34"/>
  <c r="A1377" i="34"/>
  <c r="P1379" i="34"/>
  <c r="Q1379" i="34"/>
  <c r="U1379" i="34"/>
  <c r="Z1379" i="34"/>
  <c r="O1379" i="34"/>
  <c r="W1379" i="34"/>
  <c r="A1379" i="34"/>
  <c r="Z1381" i="34"/>
  <c r="O1381" i="34"/>
  <c r="W1381" i="34"/>
  <c r="P1381" i="34"/>
  <c r="Q1381" i="34"/>
  <c r="U1381" i="34"/>
  <c r="A1381" i="34"/>
  <c r="P1383" i="34"/>
  <c r="Q1383" i="34"/>
  <c r="U1383" i="34"/>
  <c r="Z1383" i="34"/>
  <c r="O1383" i="34"/>
  <c r="W1383" i="34"/>
  <c r="A1383" i="34"/>
  <c r="Z1385" i="34"/>
  <c r="O1385" i="34"/>
  <c r="W1385" i="34"/>
  <c r="P1385" i="34"/>
  <c r="Q1385" i="34"/>
  <c r="U1385" i="34"/>
  <c r="A1385" i="34"/>
  <c r="P1387" i="34"/>
  <c r="Q1387" i="34"/>
  <c r="U1387" i="34"/>
  <c r="Z1387" i="34"/>
  <c r="O1387" i="34"/>
  <c r="W1387" i="34"/>
  <c r="A1387" i="34"/>
  <c r="Z1389" i="34"/>
  <c r="O1389" i="34"/>
  <c r="W1389" i="34"/>
  <c r="P1389" i="34"/>
  <c r="Q1389" i="34"/>
  <c r="U1389" i="34"/>
  <c r="A1389" i="34"/>
  <c r="P1391" i="34"/>
  <c r="Q1391" i="34"/>
  <c r="U1391" i="34"/>
  <c r="Z1391" i="34"/>
  <c r="O1391" i="34"/>
  <c r="W1391" i="34"/>
  <c r="A1391" i="34"/>
  <c r="Z1393" i="34"/>
  <c r="O1393" i="34"/>
  <c r="W1393" i="34"/>
  <c r="P1393" i="34"/>
  <c r="Q1393" i="34"/>
  <c r="U1393" i="34"/>
  <c r="A1393" i="34"/>
  <c r="P2438" i="34"/>
  <c r="Q2438" i="34"/>
  <c r="U2438" i="34"/>
  <c r="Z2438" i="34"/>
  <c r="O2438" i="34"/>
  <c r="W2438" i="34"/>
  <c r="A2438" i="34"/>
  <c r="Z2137" i="34"/>
  <c r="O2137" i="34"/>
  <c r="W2137" i="34"/>
  <c r="P2137" i="34"/>
  <c r="Q2137" i="34"/>
  <c r="U2137" i="34"/>
  <c r="A2137" i="34"/>
  <c r="P2143" i="34"/>
  <c r="Q2143" i="34"/>
  <c r="U2143" i="34"/>
  <c r="Z2143" i="34"/>
  <c r="O2143" i="34"/>
  <c r="W2143" i="34"/>
  <c r="A2143" i="34"/>
  <c r="O2435" i="34"/>
  <c r="W2435" i="34"/>
  <c r="P2435" i="34"/>
  <c r="Q2435" i="34"/>
  <c r="U2435" i="34"/>
  <c r="Z2435" i="34"/>
  <c r="A2435" i="34"/>
  <c r="Z2428" i="34"/>
  <c r="O2428" i="34"/>
  <c r="W2428" i="34"/>
  <c r="P2428" i="34"/>
  <c r="Q2428" i="34"/>
  <c r="U2428" i="34"/>
  <c r="A2428" i="34"/>
  <c r="O2344" i="34"/>
  <c r="W2344" i="34"/>
  <c r="P2344" i="34"/>
  <c r="Z2344" i="34"/>
  <c r="Q2344" i="34"/>
  <c r="U2344" i="34"/>
  <c r="A2344" i="34"/>
  <c r="Q2346" i="34"/>
  <c r="U2346" i="34"/>
  <c r="Z2346" i="34"/>
  <c r="P2346" i="34"/>
  <c r="O2346" i="34"/>
  <c r="W2346" i="34"/>
  <c r="A2346" i="34"/>
  <c r="O2348" i="34"/>
  <c r="W2348" i="34"/>
  <c r="P2348" i="34"/>
  <c r="Z2348" i="34"/>
  <c r="Q2348" i="34"/>
  <c r="U2348" i="34"/>
  <c r="A2348" i="34"/>
  <c r="Q2350" i="34"/>
  <c r="U2350" i="34"/>
  <c r="Z2350" i="34"/>
  <c r="P2350" i="34"/>
  <c r="W2350" i="34"/>
  <c r="O2350" i="34"/>
  <c r="A2350" i="34"/>
  <c r="Z2360" i="34"/>
  <c r="O2360" i="34"/>
  <c r="W2360" i="34"/>
  <c r="P2360" i="34"/>
  <c r="Q2360" i="34"/>
  <c r="U2360" i="34"/>
  <c r="A2360" i="34"/>
  <c r="P2327" i="34"/>
  <c r="Q2327" i="34"/>
  <c r="U2327" i="34"/>
  <c r="O2327" i="34"/>
  <c r="W2327" i="34"/>
  <c r="Z2327" i="34"/>
  <c r="A2327" i="34"/>
  <c r="P2335" i="34"/>
  <c r="Q2335" i="34"/>
  <c r="U2335" i="34"/>
  <c r="O2335" i="34"/>
  <c r="W2335" i="34"/>
  <c r="Z2335" i="34"/>
  <c r="A2335" i="34"/>
  <c r="Z2337" i="34"/>
  <c r="O2337" i="34"/>
  <c r="W2337" i="34"/>
  <c r="Q2337" i="34"/>
  <c r="U2337" i="34"/>
  <c r="P2337" i="34"/>
  <c r="A2337" i="34"/>
  <c r="O2312" i="34"/>
  <c r="W2312" i="34"/>
  <c r="P2312" i="34"/>
  <c r="Q2312" i="34"/>
  <c r="U2312" i="34"/>
  <c r="Z2312" i="34"/>
  <c r="A2312" i="34"/>
  <c r="O2316" i="34"/>
  <c r="W2316" i="34"/>
  <c r="P2316" i="34"/>
  <c r="Q2316" i="34"/>
  <c r="U2316" i="34"/>
  <c r="Z2316" i="34"/>
  <c r="A2316" i="34"/>
  <c r="Q2318" i="34"/>
  <c r="U2318" i="34"/>
  <c r="Z2318" i="34"/>
  <c r="O2318" i="34"/>
  <c r="W2318" i="34"/>
  <c r="P2318" i="34"/>
  <c r="A2318" i="34"/>
  <c r="O2320" i="34"/>
  <c r="W2320" i="34"/>
  <c r="P2320" i="34"/>
  <c r="Q2320" i="34"/>
  <c r="U2320" i="34"/>
  <c r="Z2320" i="34"/>
  <c r="A2320" i="34"/>
  <c r="O2324" i="34"/>
  <c r="W2324" i="34"/>
  <c r="P2324" i="34"/>
  <c r="Z2324" i="34"/>
  <c r="Q2324" i="34"/>
  <c r="U2324" i="34"/>
  <c r="A2324" i="34"/>
  <c r="O2148" i="34"/>
  <c r="W2148" i="34"/>
  <c r="P2148" i="34"/>
  <c r="Q2148" i="34"/>
  <c r="U2148" i="34"/>
  <c r="Z2148" i="34"/>
  <c r="A2148" i="34"/>
  <c r="Q2150" i="34"/>
  <c r="U2150" i="34"/>
  <c r="Z2150" i="34"/>
  <c r="O2150" i="34"/>
  <c r="W2150" i="34"/>
  <c r="P2150" i="34"/>
  <c r="A2150" i="34"/>
  <c r="O2152" i="34"/>
  <c r="W2152" i="34"/>
  <c r="P2152" i="34"/>
  <c r="Q2152" i="34"/>
  <c r="U2152" i="34"/>
  <c r="Z2152" i="34"/>
  <c r="A2152" i="34"/>
  <c r="Q2158" i="34"/>
  <c r="U2158" i="34"/>
  <c r="Z2158" i="34"/>
  <c r="O2158" i="34"/>
  <c r="W2158" i="34"/>
  <c r="P2158" i="34"/>
  <c r="A2158" i="34"/>
  <c r="O2160" i="34"/>
  <c r="W2160" i="34"/>
  <c r="P2160" i="34"/>
  <c r="Q2160" i="34"/>
  <c r="U2160" i="34"/>
  <c r="Z2160" i="34"/>
  <c r="A2160" i="34"/>
  <c r="P2307" i="34"/>
  <c r="Q2307" i="34"/>
  <c r="U2307" i="34"/>
  <c r="Z2307" i="34"/>
  <c r="O2307" i="34"/>
  <c r="W2307" i="34"/>
  <c r="A2307" i="34"/>
  <c r="Q1366" i="34"/>
  <c r="U1366" i="34"/>
  <c r="Z1366" i="34"/>
  <c r="O1366" i="34"/>
  <c r="W1366" i="34"/>
  <c r="P1366" i="34"/>
  <c r="A1366" i="34"/>
  <c r="Q1274" i="34"/>
  <c r="U1274" i="34"/>
  <c r="Z1274" i="34"/>
  <c r="O1274" i="34"/>
  <c r="W1274" i="34"/>
  <c r="P1274" i="34"/>
  <c r="A1274" i="34"/>
  <c r="P1283" i="34"/>
  <c r="Q1283" i="34"/>
  <c r="U1283" i="34"/>
  <c r="Z1283" i="34"/>
  <c r="O1283" i="34"/>
  <c r="W1283" i="34"/>
  <c r="A1283" i="34"/>
  <c r="O1264" i="34"/>
  <c r="W1264" i="34"/>
  <c r="P1264" i="34"/>
  <c r="Q1264" i="34"/>
  <c r="U1264" i="34"/>
  <c r="Z1264" i="34"/>
  <c r="A1264" i="34"/>
  <c r="O2132" i="34"/>
  <c r="W2132" i="34"/>
  <c r="P2132" i="34"/>
  <c r="Q2132" i="34"/>
  <c r="U2132" i="34"/>
  <c r="Z2132" i="34"/>
  <c r="A2132" i="34"/>
  <c r="O2439" i="34"/>
  <c r="W2439" i="34"/>
  <c r="P2439" i="34"/>
  <c r="Q2439" i="34"/>
  <c r="U2439" i="34"/>
  <c r="Z2439" i="34"/>
  <c r="A2439" i="34"/>
  <c r="Q2138" i="34"/>
  <c r="U2138" i="34"/>
  <c r="Z2138" i="34"/>
  <c r="O2138" i="34"/>
  <c r="W2138" i="34"/>
  <c r="P2138" i="34"/>
  <c r="A2138" i="34"/>
  <c r="O2140" i="34"/>
  <c r="W2140" i="34"/>
  <c r="P2140" i="34"/>
  <c r="Q2140" i="34"/>
  <c r="U2140" i="34"/>
  <c r="Z2140" i="34"/>
  <c r="A2140" i="34"/>
  <c r="Q2134" i="34"/>
  <c r="U2134" i="34"/>
  <c r="Z2134" i="34"/>
  <c r="O2134" i="34"/>
  <c r="W2134" i="34"/>
  <c r="P2134" i="34"/>
  <c r="A2134" i="34"/>
  <c r="O1364" i="34"/>
  <c r="W1364" i="34"/>
  <c r="P1364" i="34"/>
  <c r="Q1364" i="34"/>
  <c r="U1364" i="34"/>
  <c r="Z1364" i="34"/>
  <c r="A1364" i="34"/>
  <c r="O1368" i="34"/>
  <c r="W1368" i="34"/>
  <c r="P1368" i="34"/>
  <c r="Q1368" i="34"/>
  <c r="U1368" i="34"/>
  <c r="Z1368" i="34"/>
  <c r="A1368" i="34"/>
  <c r="O1276" i="34"/>
  <c r="W1276" i="34"/>
  <c r="P1276" i="34"/>
  <c r="Q1276" i="34"/>
  <c r="U1276" i="34"/>
  <c r="Z1276" i="34"/>
  <c r="A1276" i="34"/>
  <c r="Q1262" i="34"/>
  <c r="U1262" i="34"/>
  <c r="Z1262" i="34"/>
  <c r="O1262" i="34"/>
  <c r="W1262" i="34"/>
  <c r="P1262" i="34"/>
  <c r="A1262" i="34"/>
  <c r="O1272" i="34"/>
  <c r="W1272" i="34"/>
  <c r="P1272" i="34"/>
  <c r="Q1272" i="34"/>
  <c r="U1272" i="34"/>
  <c r="Z1272" i="34"/>
  <c r="A1272" i="34"/>
  <c r="Z2133" i="34"/>
  <c r="O2133" i="34"/>
  <c r="W2133" i="34"/>
  <c r="P2133" i="34"/>
  <c r="Q2133" i="34"/>
  <c r="U2133" i="34"/>
  <c r="A2133" i="34"/>
  <c r="O2144" i="34"/>
  <c r="W2144" i="34"/>
  <c r="P2144" i="34"/>
  <c r="Q2144" i="34"/>
  <c r="U2144" i="34"/>
  <c r="Z2144" i="34"/>
  <c r="A2144" i="34"/>
  <c r="Q2146" i="34"/>
  <c r="U2146" i="34"/>
  <c r="Z2146" i="34"/>
  <c r="O2146" i="34"/>
  <c r="W2146" i="34"/>
  <c r="P2146" i="34"/>
  <c r="A2146" i="34"/>
  <c r="O2136" i="34"/>
  <c r="W2136" i="34"/>
  <c r="P2136" i="34"/>
  <c r="Q2136" i="34"/>
  <c r="U2136" i="34"/>
  <c r="Z2136" i="34"/>
  <c r="A2136" i="34"/>
  <c r="Q2142" i="34"/>
  <c r="U2142" i="34"/>
  <c r="Z2142" i="34"/>
  <c r="O2142" i="34"/>
  <c r="W2142" i="34"/>
  <c r="P2142" i="34"/>
  <c r="A2142" i="34"/>
  <c r="P2434" i="34"/>
  <c r="Q2434" i="34"/>
  <c r="U2434" i="34"/>
  <c r="Z2434" i="34"/>
  <c r="O2434" i="34"/>
  <c r="W2434" i="34"/>
  <c r="A2434" i="34"/>
  <c r="Z2376" i="34"/>
  <c r="O2376" i="34"/>
  <c r="W2376" i="34"/>
  <c r="P2376" i="34"/>
  <c r="Q2376" i="34"/>
  <c r="U2376" i="34"/>
  <c r="A2376" i="34"/>
  <c r="O2431" i="34"/>
  <c r="W2431" i="34"/>
  <c r="P2431" i="34"/>
  <c r="Q2431" i="34"/>
  <c r="U2431" i="34"/>
  <c r="Z2431" i="34"/>
  <c r="A2431" i="34"/>
  <c r="Z2345" i="34"/>
  <c r="O2345" i="34"/>
  <c r="W2345" i="34"/>
  <c r="Q2345" i="34"/>
  <c r="U2345" i="34"/>
  <c r="P2345" i="34"/>
  <c r="A2345" i="34"/>
  <c r="P2347" i="34"/>
  <c r="Q2347" i="34"/>
  <c r="U2347" i="34"/>
  <c r="O2347" i="34"/>
  <c r="W2347" i="34"/>
  <c r="Z2347" i="34"/>
  <c r="A2347" i="34"/>
  <c r="Z2349" i="34"/>
  <c r="O2349" i="34"/>
  <c r="W2349" i="34"/>
  <c r="Q2349" i="34"/>
  <c r="U2349" i="34"/>
  <c r="P2349" i="34"/>
  <c r="A2349" i="34"/>
  <c r="Z2353" i="34"/>
  <c r="O2353" i="34"/>
  <c r="W2353" i="34"/>
  <c r="Q2353" i="34"/>
  <c r="U2353" i="34"/>
  <c r="P2353" i="34"/>
  <c r="A2353" i="34"/>
  <c r="O2355" i="34"/>
  <c r="W2355" i="34"/>
  <c r="P2355" i="34"/>
  <c r="Q2355" i="34"/>
  <c r="U2355" i="34"/>
  <c r="Z2355" i="34"/>
  <c r="A2355" i="34"/>
  <c r="Q2357" i="34"/>
  <c r="U2357" i="34"/>
  <c r="Z2357" i="34"/>
  <c r="O2357" i="34"/>
  <c r="W2357" i="34"/>
  <c r="P2357" i="34"/>
  <c r="A2357" i="34"/>
  <c r="Q2334" i="34"/>
  <c r="U2334" i="34"/>
  <c r="Z2334" i="34"/>
  <c r="P2334" i="34"/>
  <c r="W2334" i="34"/>
  <c r="O2334" i="34"/>
  <c r="A2334" i="34"/>
  <c r="O2340" i="34"/>
  <c r="W2340" i="34"/>
  <c r="P2340" i="34"/>
  <c r="Z2340" i="34"/>
  <c r="Q2340" i="34"/>
  <c r="U2340" i="34"/>
  <c r="A2340" i="34"/>
  <c r="Q2342" i="34"/>
  <c r="U2342" i="34"/>
  <c r="Z2342" i="34"/>
  <c r="P2342" i="34"/>
  <c r="W2342" i="34"/>
  <c r="O2342" i="34"/>
  <c r="A2342" i="34"/>
  <c r="Z2309" i="34"/>
  <c r="O2309" i="34"/>
  <c r="W2309" i="34"/>
  <c r="P2309" i="34"/>
  <c r="Q2309" i="34"/>
  <c r="U2309" i="34"/>
  <c r="A2309" i="34"/>
  <c r="P2311" i="34"/>
  <c r="Q2311" i="34"/>
  <c r="U2311" i="34"/>
  <c r="Z2311" i="34"/>
  <c r="O2311" i="34"/>
  <c r="W2311" i="34"/>
  <c r="A2311" i="34"/>
  <c r="P2315" i="34"/>
  <c r="Q2315" i="34"/>
  <c r="U2315" i="34"/>
  <c r="Z2315" i="34"/>
  <c r="O2315" i="34"/>
  <c r="W2315" i="34"/>
  <c r="A2315" i="34"/>
  <c r="Z2317" i="34"/>
  <c r="O2317" i="34"/>
  <c r="W2317" i="34"/>
  <c r="P2317" i="34"/>
  <c r="Q2317" i="34"/>
  <c r="U2317" i="34"/>
  <c r="A2317" i="34"/>
  <c r="P2323" i="34"/>
  <c r="Q2323" i="34"/>
  <c r="U2323" i="34"/>
  <c r="O2323" i="34"/>
  <c r="W2323" i="34"/>
  <c r="Z2323" i="34"/>
  <c r="A2323" i="34"/>
  <c r="P2147" i="34"/>
  <c r="Q2147" i="34"/>
  <c r="U2147" i="34"/>
  <c r="Z2147" i="34"/>
  <c r="O2147" i="34"/>
  <c r="W2147" i="34"/>
  <c r="A2147" i="34"/>
  <c r="Z2149" i="34"/>
  <c r="O2149" i="34"/>
  <c r="W2149" i="34"/>
  <c r="P2149" i="34"/>
  <c r="Q2149" i="34"/>
  <c r="U2149" i="34"/>
  <c r="A2149" i="34"/>
  <c r="P2151" i="34"/>
  <c r="Q2151" i="34"/>
  <c r="U2151" i="34"/>
  <c r="Z2151" i="34"/>
  <c r="O2151" i="34"/>
  <c r="W2151" i="34"/>
  <c r="A2151" i="34"/>
  <c r="Z2153" i="34"/>
  <c r="O2153" i="34"/>
  <c r="W2153" i="34"/>
  <c r="P2153" i="34"/>
  <c r="Q2153" i="34"/>
  <c r="U2153" i="34"/>
  <c r="A2153" i="34"/>
  <c r="Z2157" i="34"/>
  <c r="O2157" i="34"/>
  <c r="W2157" i="34"/>
  <c r="P2157" i="34"/>
  <c r="Q2157" i="34"/>
  <c r="U2157" i="34"/>
  <c r="A2157" i="34"/>
  <c r="K760" i="55"/>
  <c r="K544" i="55"/>
  <c r="K701" i="55"/>
  <c r="K745" i="55"/>
  <c r="K348" i="55"/>
  <c r="K482" i="55"/>
  <c r="K582" i="55"/>
  <c r="K577" i="55"/>
  <c r="K645" i="55"/>
  <c r="K292" i="55"/>
  <c r="K655" i="55"/>
  <c r="K14" i="55"/>
  <c r="K99" i="55"/>
  <c r="K581" i="55"/>
  <c r="K285" i="55"/>
  <c r="K518" i="55"/>
  <c r="K316" i="55"/>
  <c r="K735" i="55"/>
  <c r="K1176" i="34"/>
  <c r="K1175" i="34"/>
  <c r="K1160" i="34"/>
  <c r="K1161" i="34"/>
  <c r="K1162" i="34"/>
  <c r="K1159" i="34"/>
  <c r="C1255" i="34"/>
  <c r="B1255" i="34" s="1"/>
  <c r="C1180" i="34"/>
  <c r="B1180" i="34" s="1"/>
  <c r="C1179" i="34"/>
  <c r="B1179" i="34" s="1"/>
  <c r="C1178" i="34"/>
  <c r="B1178" i="34" s="1"/>
  <c r="C1177" i="34"/>
  <c r="B1177" i="34" s="1"/>
  <c r="C1176" i="34"/>
  <c r="B1176" i="34" s="1"/>
  <c r="C1175" i="34"/>
  <c r="B1175" i="34" s="1"/>
  <c r="C1163" i="34"/>
  <c r="B1163" i="34" s="1"/>
  <c r="C1162" i="34"/>
  <c r="B1162" i="34" s="1"/>
  <c r="C1161" i="34"/>
  <c r="B1161" i="34" s="1"/>
  <c r="C1160" i="34"/>
  <c r="B1160" i="34" s="1"/>
  <c r="C1159" i="34"/>
  <c r="B1159" i="34" s="1"/>
  <c r="C1259" i="34"/>
  <c r="B1259" i="34" s="1"/>
  <c r="C1258" i="34"/>
  <c r="B1258" i="34" s="1"/>
  <c r="C1257" i="34"/>
  <c r="B1257" i="34" s="1"/>
  <c r="C1256" i="34"/>
  <c r="B1256" i="34" s="1"/>
  <c r="C1371" i="34"/>
  <c r="B1371" i="34" s="1"/>
  <c r="C1370" i="34"/>
  <c r="B1370" i="34" s="1"/>
  <c r="C1261" i="34"/>
  <c r="B1261" i="34" s="1"/>
  <c r="C1260" i="34"/>
  <c r="B1260" i="34" s="1"/>
  <c r="K464" i="34"/>
  <c r="K463" i="34"/>
  <c r="K462" i="34"/>
  <c r="K461" i="34"/>
  <c r="C464" i="34"/>
  <c r="B464" i="34" s="1"/>
  <c r="C463" i="34"/>
  <c r="B463" i="34" s="1"/>
  <c r="C466" i="34"/>
  <c r="B466" i="34" s="1"/>
  <c r="C465" i="34"/>
  <c r="B465" i="34" s="1"/>
  <c r="C468" i="34"/>
  <c r="B468" i="34" s="1"/>
  <c r="C467" i="34"/>
  <c r="B467" i="34" s="1"/>
  <c r="C470" i="34"/>
  <c r="B470" i="34" s="1"/>
  <c r="C469" i="34"/>
  <c r="B469" i="34" s="1"/>
  <c r="C1279" i="34"/>
  <c r="B1279" i="34" s="1"/>
  <c r="C1372" i="34"/>
  <c r="B1372" i="34" s="1"/>
  <c r="N12" i="34"/>
  <c r="R12" i="34"/>
  <c r="S12" i="34"/>
  <c r="T12" i="34"/>
  <c r="X12" i="34"/>
  <c r="Y12" i="34"/>
  <c r="K1022" i="34"/>
  <c r="K1023" i="34"/>
  <c r="K1024" i="34"/>
  <c r="K1021" i="34"/>
  <c r="AB1022" i="34"/>
  <c r="C1022" i="34"/>
  <c r="B1022" i="34" s="1"/>
  <c r="AB1021" i="34"/>
  <c r="C1021" i="34"/>
  <c r="B1021" i="34" s="1"/>
  <c r="AB1023" i="34"/>
  <c r="C1023" i="34"/>
  <c r="B1023" i="34" s="1"/>
  <c r="P1279" i="34" l="1"/>
  <c r="Q1279" i="34"/>
  <c r="U1279" i="34"/>
  <c r="Z1279" i="34"/>
  <c r="O1279" i="34"/>
  <c r="W1279" i="34"/>
  <c r="A1279" i="34"/>
  <c r="Q468" i="34"/>
  <c r="U468" i="34"/>
  <c r="Z468" i="34"/>
  <c r="O468" i="34"/>
  <c r="W468" i="34"/>
  <c r="P468" i="34"/>
  <c r="A468" i="34"/>
  <c r="Q464" i="34"/>
  <c r="U464" i="34"/>
  <c r="Z464" i="34"/>
  <c r="O464" i="34"/>
  <c r="W464" i="34"/>
  <c r="P464" i="34"/>
  <c r="A464" i="34"/>
  <c r="P1371" i="34"/>
  <c r="Q1371" i="34"/>
  <c r="U1371" i="34"/>
  <c r="Z1371" i="34"/>
  <c r="O1371" i="34"/>
  <c r="W1371" i="34"/>
  <c r="A1371" i="34"/>
  <c r="P1259" i="34"/>
  <c r="Q1259" i="34"/>
  <c r="U1259" i="34"/>
  <c r="Z1259" i="34"/>
  <c r="O1259" i="34"/>
  <c r="W1259" i="34"/>
  <c r="A1259" i="34"/>
  <c r="Q1162" i="34"/>
  <c r="U1162" i="34"/>
  <c r="Z1162" i="34"/>
  <c r="O1162" i="34"/>
  <c r="W1162" i="34"/>
  <c r="P1162" i="34"/>
  <c r="A1162" i="34"/>
  <c r="Z1177" i="34"/>
  <c r="O1177" i="34"/>
  <c r="W1177" i="34"/>
  <c r="P1177" i="34"/>
  <c r="Q1177" i="34"/>
  <c r="U1177" i="34"/>
  <c r="A1177" i="34"/>
  <c r="P1255" i="34"/>
  <c r="Q1255" i="34"/>
  <c r="U1255" i="34"/>
  <c r="Z1255" i="34"/>
  <c r="O1255" i="34"/>
  <c r="W1255" i="34"/>
  <c r="A1255" i="34"/>
  <c r="P1023" i="34"/>
  <c r="Q1023" i="34"/>
  <c r="U1023" i="34"/>
  <c r="Z1023" i="34"/>
  <c r="O1023" i="34"/>
  <c r="W1023" i="34"/>
  <c r="A1023" i="34"/>
  <c r="Q1022" i="34"/>
  <c r="U1022" i="34"/>
  <c r="Z1022" i="34"/>
  <c r="O1022" i="34"/>
  <c r="W1022" i="34"/>
  <c r="P1022" i="34"/>
  <c r="A1022" i="34"/>
  <c r="O1372" i="34"/>
  <c r="W1372" i="34"/>
  <c r="P1372" i="34"/>
  <c r="Q1372" i="34"/>
  <c r="U1372" i="34"/>
  <c r="Z1372" i="34"/>
  <c r="A1372" i="34"/>
  <c r="Z1021" i="34"/>
  <c r="O1021" i="34"/>
  <c r="W1021" i="34"/>
  <c r="P1021" i="34"/>
  <c r="Q1021" i="34"/>
  <c r="U1021" i="34"/>
  <c r="A1021" i="34"/>
  <c r="P469" i="34"/>
  <c r="Q469" i="34"/>
  <c r="U469" i="34"/>
  <c r="Z469" i="34"/>
  <c r="O469" i="34"/>
  <c r="W469" i="34"/>
  <c r="A469" i="34"/>
  <c r="P465" i="34"/>
  <c r="Q465" i="34"/>
  <c r="U465" i="34"/>
  <c r="Z465" i="34"/>
  <c r="O465" i="34"/>
  <c r="W465" i="34"/>
  <c r="A465" i="34"/>
  <c r="O1260" i="34"/>
  <c r="W1260" i="34"/>
  <c r="P1260" i="34"/>
  <c r="Q1260" i="34"/>
  <c r="U1260" i="34"/>
  <c r="Z1260" i="34"/>
  <c r="A1260" i="34"/>
  <c r="O1256" i="34"/>
  <c r="W1256" i="34"/>
  <c r="P1256" i="34"/>
  <c r="Q1256" i="34"/>
  <c r="U1256" i="34"/>
  <c r="Z1256" i="34"/>
  <c r="A1256" i="34"/>
  <c r="P1159" i="34"/>
  <c r="Q1159" i="34"/>
  <c r="U1159" i="34"/>
  <c r="Z1159" i="34"/>
  <c r="O1159" i="34"/>
  <c r="W1159" i="34"/>
  <c r="A1159" i="34"/>
  <c r="P1163" i="34"/>
  <c r="Q1163" i="34"/>
  <c r="U1163" i="34"/>
  <c r="Z1163" i="34"/>
  <c r="O1163" i="34"/>
  <c r="W1163" i="34"/>
  <c r="A1163" i="34"/>
  <c r="Q1178" i="34"/>
  <c r="U1178" i="34"/>
  <c r="Z1178" i="34"/>
  <c r="O1178" i="34"/>
  <c r="W1178" i="34"/>
  <c r="P1178" i="34"/>
  <c r="A1178" i="34"/>
  <c r="O470" i="34"/>
  <c r="W470" i="34"/>
  <c r="P470" i="34"/>
  <c r="Q470" i="34"/>
  <c r="U470" i="34"/>
  <c r="Z470" i="34"/>
  <c r="A470" i="34"/>
  <c r="O466" i="34"/>
  <c r="W466" i="34"/>
  <c r="P466" i="34"/>
  <c r="Q466" i="34"/>
  <c r="U466" i="34"/>
  <c r="Z466" i="34"/>
  <c r="A466" i="34"/>
  <c r="Z1261" i="34"/>
  <c r="O1261" i="34"/>
  <c r="W1261" i="34"/>
  <c r="P1261" i="34"/>
  <c r="Q1261" i="34"/>
  <c r="U1261" i="34"/>
  <c r="A1261" i="34"/>
  <c r="Z1257" i="34"/>
  <c r="O1257" i="34"/>
  <c r="W1257" i="34"/>
  <c r="P1257" i="34"/>
  <c r="Q1257" i="34"/>
  <c r="U1257" i="34"/>
  <c r="A1257" i="34"/>
  <c r="O1160" i="34"/>
  <c r="W1160" i="34"/>
  <c r="P1160" i="34"/>
  <c r="Q1160" i="34"/>
  <c r="U1160" i="34"/>
  <c r="Z1160" i="34"/>
  <c r="A1160" i="34"/>
  <c r="P1175" i="34"/>
  <c r="Q1175" i="34"/>
  <c r="U1175" i="34"/>
  <c r="Z1175" i="34"/>
  <c r="O1175" i="34"/>
  <c r="W1175" i="34"/>
  <c r="A1175" i="34"/>
  <c r="P1179" i="34"/>
  <c r="Q1179" i="34"/>
  <c r="U1179" i="34"/>
  <c r="Z1179" i="34"/>
  <c r="O1179" i="34"/>
  <c r="W1179" i="34"/>
  <c r="A1179" i="34"/>
  <c r="Z467" i="34"/>
  <c r="O467" i="34"/>
  <c r="W467" i="34"/>
  <c r="P467" i="34"/>
  <c r="Q467" i="34"/>
  <c r="U467" i="34"/>
  <c r="A467" i="34"/>
  <c r="Z463" i="34"/>
  <c r="O463" i="34"/>
  <c r="W463" i="34"/>
  <c r="P463" i="34"/>
  <c r="Q463" i="34"/>
  <c r="U463" i="34"/>
  <c r="A463" i="34"/>
  <c r="Q1370" i="34"/>
  <c r="U1370" i="34"/>
  <c r="Z1370" i="34"/>
  <c r="O1370" i="34"/>
  <c r="W1370" i="34"/>
  <c r="P1370" i="34"/>
  <c r="A1370" i="34"/>
  <c r="Q1258" i="34"/>
  <c r="U1258" i="34"/>
  <c r="Z1258" i="34"/>
  <c r="O1258" i="34"/>
  <c r="W1258" i="34"/>
  <c r="P1258" i="34"/>
  <c r="A1258" i="34"/>
  <c r="Z1161" i="34"/>
  <c r="O1161" i="34"/>
  <c r="W1161" i="34"/>
  <c r="P1161" i="34"/>
  <c r="Q1161" i="34"/>
  <c r="U1161" i="34"/>
  <c r="A1161" i="34"/>
  <c r="O1176" i="34"/>
  <c r="W1176" i="34"/>
  <c r="P1176" i="34"/>
  <c r="Q1176" i="34"/>
  <c r="U1176" i="34"/>
  <c r="Z1176" i="34"/>
  <c r="A1176" i="34"/>
  <c r="O1180" i="34"/>
  <c r="W1180" i="34"/>
  <c r="P1180" i="34"/>
  <c r="Q1180" i="34"/>
  <c r="U1180" i="34"/>
  <c r="Z1180" i="34"/>
  <c r="A1180" i="34"/>
  <c r="C275" i="34"/>
  <c r="B275" i="34" s="1"/>
  <c r="C274" i="34"/>
  <c r="B274" i="34" s="1"/>
  <c r="C279" i="34"/>
  <c r="B279" i="34" s="1"/>
  <c r="C280" i="34"/>
  <c r="C281" i="34"/>
  <c r="C282" i="34"/>
  <c r="C283" i="34"/>
  <c r="C284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1280" i="34"/>
  <c r="C1281" i="34"/>
  <c r="C3977" i="34"/>
  <c r="C3978" i="34"/>
  <c r="C3979" i="34"/>
  <c r="C3980" i="34"/>
  <c r="C3981" i="34"/>
  <c r="C3982" i="34"/>
  <c r="C3983" i="34"/>
  <c r="C3984" i="34"/>
  <c r="C3985" i="34"/>
  <c r="C3986" i="34"/>
  <c r="C3987" i="34"/>
  <c r="C3988" i="34"/>
  <c r="C3989" i="34"/>
  <c r="C3990" i="34"/>
  <c r="C3991" i="34"/>
  <c r="C263" i="34"/>
  <c r="B263" i="34" s="1"/>
  <c r="C259" i="34"/>
  <c r="B259" i="34" s="1"/>
  <c r="C257" i="34"/>
  <c r="B257" i="34" s="1"/>
  <c r="C251" i="34"/>
  <c r="B251" i="34" s="1"/>
  <c r="C243" i="34"/>
  <c r="C244" i="34"/>
  <c r="C245" i="34"/>
  <c r="C246" i="34"/>
  <c r="C247" i="34"/>
  <c r="C248" i="34"/>
  <c r="C249" i="34"/>
  <c r="C250" i="34"/>
  <c r="C252" i="34"/>
  <c r="C253" i="34"/>
  <c r="C254" i="34"/>
  <c r="C255" i="34"/>
  <c r="C256" i="34"/>
  <c r="C258" i="34"/>
  <c r="C260" i="34"/>
  <c r="C261" i="34"/>
  <c r="C262" i="34"/>
  <c r="C264" i="34"/>
  <c r="C265" i="34"/>
  <c r="C266" i="34"/>
  <c r="C267" i="34"/>
  <c r="C268" i="34"/>
  <c r="C269" i="34"/>
  <c r="C270" i="34"/>
  <c r="C271" i="34"/>
  <c r="C272" i="34"/>
  <c r="C273" i="34"/>
  <c r="C276" i="34"/>
  <c r="C277" i="34"/>
  <c r="C278" i="34"/>
  <c r="C231" i="34"/>
  <c r="B231" i="34" s="1"/>
  <c r="C230" i="34"/>
  <c r="B230" i="34" s="1"/>
  <c r="C236" i="34"/>
  <c r="B236" i="34" s="1"/>
  <c r="C234" i="34"/>
  <c r="B234" i="34" s="1"/>
  <c r="C229" i="34"/>
  <c r="C232" i="34"/>
  <c r="C233" i="34"/>
  <c r="C235" i="34"/>
  <c r="C237" i="34"/>
  <c r="C238" i="34"/>
  <c r="C239" i="34"/>
  <c r="C240" i="34"/>
  <c r="C241" i="34"/>
  <c r="C242" i="34"/>
  <c r="C214" i="34"/>
  <c r="B214" i="34" s="1"/>
  <c r="C211" i="34"/>
  <c r="B211" i="34" s="1"/>
  <c r="C201" i="34"/>
  <c r="C202" i="34"/>
  <c r="C203" i="34"/>
  <c r="C204" i="34"/>
  <c r="C205" i="34"/>
  <c r="C206" i="34"/>
  <c r="C207" i="34"/>
  <c r="C208" i="34"/>
  <c r="C209" i="34"/>
  <c r="C210" i="34"/>
  <c r="C212" i="34"/>
  <c r="C213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158" i="34"/>
  <c r="B158" i="34" s="1"/>
  <c r="C157" i="34"/>
  <c r="B157" i="34" s="1"/>
  <c r="C374" i="34"/>
  <c r="B374" i="34" s="1"/>
  <c r="C373" i="34"/>
  <c r="B373" i="34" s="1"/>
  <c r="C372" i="34"/>
  <c r="B372" i="34" s="1"/>
  <c r="K371" i="34"/>
  <c r="K373" i="34" s="1"/>
  <c r="C371" i="34"/>
  <c r="B371" i="34" s="1"/>
  <c r="K370" i="34"/>
  <c r="K372" i="34" s="1"/>
  <c r="C370" i="34"/>
  <c r="B370" i="34" s="1"/>
  <c r="K369" i="34"/>
  <c r="C369" i="34"/>
  <c r="B369" i="34" s="1"/>
  <c r="K368" i="34"/>
  <c r="C368" i="34"/>
  <c r="B368" i="34" s="1"/>
  <c r="K367" i="34"/>
  <c r="C367" i="34"/>
  <c r="B367" i="34" s="1"/>
  <c r="K366" i="34"/>
  <c r="C366" i="34"/>
  <c r="B366" i="34" s="1"/>
  <c r="K365" i="34"/>
  <c r="C365" i="34"/>
  <c r="B365" i="34" s="1"/>
  <c r="K364" i="34"/>
  <c r="C364" i="34"/>
  <c r="B364" i="34" s="1"/>
  <c r="K363" i="34"/>
  <c r="C363" i="34"/>
  <c r="B363" i="34" s="1"/>
  <c r="K362" i="34"/>
  <c r="C362" i="34"/>
  <c r="B362" i="34" s="1"/>
  <c r="K361" i="34"/>
  <c r="C361" i="34"/>
  <c r="B361" i="34" s="1"/>
  <c r="C360" i="34"/>
  <c r="B360" i="34" s="1"/>
  <c r="C359" i="34"/>
  <c r="B359" i="34" s="1"/>
  <c r="C358" i="34"/>
  <c r="B358" i="34" s="1"/>
  <c r="C357" i="34"/>
  <c r="B357" i="34" s="1"/>
  <c r="C356" i="34"/>
  <c r="B356" i="34" s="1"/>
  <c r="K355" i="34"/>
  <c r="K357" i="34" s="1"/>
  <c r="C355" i="34"/>
  <c r="B355" i="34" s="1"/>
  <c r="K354" i="34"/>
  <c r="K356" i="34" s="1"/>
  <c r="C354" i="34"/>
  <c r="B354" i="34" s="1"/>
  <c r="K353" i="34"/>
  <c r="C353" i="34"/>
  <c r="B353" i="34" s="1"/>
  <c r="K352" i="34"/>
  <c r="C352" i="34"/>
  <c r="B352" i="34" s="1"/>
  <c r="K351" i="34"/>
  <c r="C351" i="34"/>
  <c r="B351" i="34" s="1"/>
  <c r="K350" i="34"/>
  <c r="C350" i="34"/>
  <c r="B350" i="34" s="1"/>
  <c r="K349" i="34"/>
  <c r="C349" i="34"/>
  <c r="B349" i="34" s="1"/>
  <c r="K348" i="34"/>
  <c r="C348" i="34"/>
  <c r="B348" i="34" s="1"/>
  <c r="K347" i="34"/>
  <c r="C347" i="34"/>
  <c r="B347" i="34" s="1"/>
  <c r="K346" i="34"/>
  <c r="C346" i="34"/>
  <c r="B346" i="34" s="1"/>
  <c r="K345" i="34"/>
  <c r="C345" i="34"/>
  <c r="B345" i="34" s="1"/>
  <c r="C344" i="34"/>
  <c r="B344" i="34" s="1"/>
  <c r="C343" i="34"/>
  <c r="B343" i="34" s="1"/>
  <c r="K296" i="34"/>
  <c r="C296" i="34"/>
  <c r="B296" i="34" s="1"/>
  <c r="C295" i="34"/>
  <c r="B295" i="34" s="1"/>
  <c r="C294" i="34"/>
  <c r="B294" i="34" s="1"/>
  <c r="P343" i="34" l="1"/>
  <c r="Q343" i="34"/>
  <c r="U343" i="34"/>
  <c r="Z343" i="34"/>
  <c r="O343" i="34"/>
  <c r="W343" i="34"/>
  <c r="A343" i="34"/>
  <c r="Q346" i="34"/>
  <c r="U346" i="34"/>
  <c r="Z346" i="34"/>
  <c r="O346" i="34"/>
  <c r="W346" i="34"/>
  <c r="P346" i="34"/>
  <c r="A346" i="34"/>
  <c r="O348" i="34"/>
  <c r="W348" i="34"/>
  <c r="P348" i="34"/>
  <c r="Q348" i="34"/>
  <c r="U348" i="34"/>
  <c r="Z348" i="34"/>
  <c r="A348" i="34"/>
  <c r="Q350" i="34"/>
  <c r="U350" i="34"/>
  <c r="Z350" i="34"/>
  <c r="O350" i="34"/>
  <c r="W350" i="34"/>
  <c r="P350" i="34"/>
  <c r="A350" i="34"/>
  <c r="O352" i="34"/>
  <c r="W352" i="34"/>
  <c r="P352" i="34"/>
  <c r="Q352" i="34"/>
  <c r="U352" i="34"/>
  <c r="Z352" i="34"/>
  <c r="A352" i="34"/>
  <c r="Q354" i="34"/>
  <c r="U354" i="34"/>
  <c r="Z354" i="34"/>
  <c r="O354" i="34"/>
  <c r="W354" i="34"/>
  <c r="P354" i="34"/>
  <c r="A354" i="34"/>
  <c r="O356" i="34"/>
  <c r="W356" i="34"/>
  <c r="P356" i="34"/>
  <c r="Q356" i="34"/>
  <c r="U356" i="34"/>
  <c r="Z356" i="34"/>
  <c r="A356" i="34"/>
  <c r="O360" i="34"/>
  <c r="W360" i="34"/>
  <c r="P360" i="34"/>
  <c r="Q360" i="34"/>
  <c r="U360" i="34"/>
  <c r="Z360" i="34"/>
  <c r="A360" i="34"/>
  <c r="Z373" i="34"/>
  <c r="O373" i="34"/>
  <c r="W373" i="34"/>
  <c r="P373" i="34"/>
  <c r="Q373" i="34"/>
  <c r="U373" i="34"/>
  <c r="A373" i="34"/>
  <c r="R230" i="34"/>
  <c r="Z230" i="34"/>
  <c r="O230" i="34"/>
  <c r="S230" i="34"/>
  <c r="W230" i="34"/>
  <c r="P230" i="34"/>
  <c r="T230" i="34"/>
  <c r="Q230" i="34"/>
  <c r="U230" i="34"/>
  <c r="A230" i="34"/>
  <c r="R251" i="34"/>
  <c r="Z251" i="34"/>
  <c r="O251" i="34"/>
  <c r="S251" i="34"/>
  <c r="W251" i="34"/>
  <c r="P251" i="34"/>
  <c r="T251" i="34"/>
  <c r="Q251" i="34"/>
  <c r="U251" i="34"/>
  <c r="A251" i="34"/>
  <c r="R275" i="34"/>
  <c r="Z275" i="34"/>
  <c r="O275" i="34"/>
  <c r="S275" i="34"/>
  <c r="W275" i="34"/>
  <c r="P275" i="34"/>
  <c r="T275" i="34"/>
  <c r="Q275" i="34"/>
  <c r="U275" i="34"/>
  <c r="A275" i="34"/>
  <c r="O294" i="34"/>
  <c r="W294" i="34"/>
  <c r="P294" i="34"/>
  <c r="Q294" i="34"/>
  <c r="U294" i="34"/>
  <c r="Z294" i="34"/>
  <c r="A294" i="34"/>
  <c r="Z295" i="34"/>
  <c r="O295" i="34"/>
  <c r="W295" i="34"/>
  <c r="P295" i="34"/>
  <c r="Q295" i="34"/>
  <c r="U295" i="34"/>
  <c r="A295" i="34"/>
  <c r="O344" i="34"/>
  <c r="W344" i="34"/>
  <c r="P344" i="34"/>
  <c r="Q344" i="34"/>
  <c r="U344" i="34"/>
  <c r="Z344" i="34"/>
  <c r="A344" i="34"/>
  <c r="Z357" i="34"/>
  <c r="O357" i="34"/>
  <c r="W357" i="34"/>
  <c r="P357" i="34"/>
  <c r="Q357" i="34"/>
  <c r="U357" i="34"/>
  <c r="A357" i="34"/>
  <c r="Z361" i="34"/>
  <c r="O361" i="34"/>
  <c r="W361" i="34"/>
  <c r="P361" i="34"/>
  <c r="Q361" i="34"/>
  <c r="U361" i="34"/>
  <c r="A361" i="34"/>
  <c r="P363" i="34"/>
  <c r="Q363" i="34"/>
  <c r="U363" i="34"/>
  <c r="Z363" i="34"/>
  <c r="O363" i="34"/>
  <c r="W363" i="34"/>
  <c r="A363" i="34"/>
  <c r="Z365" i="34"/>
  <c r="O365" i="34"/>
  <c r="W365" i="34"/>
  <c r="P365" i="34"/>
  <c r="Q365" i="34"/>
  <c r="U365" i="34"/>
  <c r="A365" i="34"/>
  <c r="P367" i="34"/>
  <c r="Q367" i="34"/>
  <c r="U367" i="34"/>
  <c r="Z367" i="34"/>
  <c r="O367" i="34"/>
  <c r="W367" i="34"/>
  <c r="A367" i="34"/>
  <c r="Z369" i="34"/>
  <c r="O369" i="34"/>
  <c r="W369" i="34"/>
  <c r="P369" i="34"/>
  <c r="Q369" i="34"/>
  <c r="U369" i="34"/>
  <c r="A369" i="34"/>
  <c r="P371" i="34"/>
  <c r="Q371" i="34"/>
  <c r="U371" i="34"/>
  <c r="Z371" i="34"/>
  <c r="O371" i="34"/>
  <c r="W371" i="34"/>
  <c r="A371" i="34"/>
  <c r="Q374" i="34"/>
  <c r="U374" i="34"/>
  <c r="Z374" i="34"/>
  <c r="O374" i="34"/>
  <c r="W374" i="34"/>
  <c r="P374" i="34"/>
  <c r="A374" i="34"/>
  <c r="Q231" i="34"/>
  <c r="U231" i="34"/>
  <c r="R231" i="34"/>
  <c r="Z231" i="34"/>
  <c r="O231" i="34"/>
  <c r="S231" i="34"/>
  <c r="W231" i="34"/>
  <c r="P231" i="34"/>
  <c r="T231" i="34"/>
  <c r="A231" i="34"/>
  <c r="P257" i="34"/>
  <c r="T257" i="34"/>
  <c r="Q257" i="34"/>
  <c r="U257" i="34"/>
  <c r="R257" i="34"/>
  <c r="Z257" i="34"/>
  <c r="O257" i="34"/>
  <c r="S257" i="34"/>
  <c r="W257" i="34"/>
  <c r="A257" i="34"/>
  <c r="Z345" i="34"/>
  <c r="O345" i="34"/>
  <c r="W345" i="34"/>
  <c r="P345" i="34"/>
  <c r="Q345" i="34"/>
  <c r="U345" i="34"/>
  <c r="A345" i="34"/>
  <c r="P347" i="34"/>
  <c r="Q347" i="34"/>
  <c r="U347" i="34"/>
  <c r="Z347" i="34"/>
  <c r="O347" i="34"/>
  <c r="W347" i="34"/>
  <c r="A347" i="34"/>
  <c r="Z349" i="34"/>
  <c r="O349" i="34"/>
  <c r="W349" i="34"/>
  <c r="P349" i="34"/>
  <c r="Q349" i="34"/>
  <c r="U349" i="34"/>
  <c r="A349" i="34"/>
  <c r="P351" i="34"/>
  <c r="Q351" i="34"/>
  <c r="U351" i="34"/>
  <c r="Z351" i="34"/>
  <c r="O351" i="34"/>
  <c r="W351" i="34"/>
  <c r="A351" i="34"/>
  <c r="Z353" i="34"/>
  <c r="O353" i="34"/>
  <c r="W353" i="34"/>
  <c r="P353" i="34"/>
  <c r="Q353" i="34"/>
  <c r="U353" i="34"/>
  <c r="A353" i="34"/>
  <c r="P355" i="34"/>
  <c r="Q355" i="34"/>
  <c r="U355" i="34"/>
  <c r="Z355" i="34"/>
  <c r="O355" i="34"/>
  <c r="W355" i="34"/>
  <c r="A355" i="34"/>
  <c r="Q358" i="34"/>
  <c r="U358" i="34"/>
  <c r="Z358" i="34"/>
  <c r="O358" i="34"/>
  <c r="W358" i="34"/>
  <c r="P358" i="34"/>
  <c r="A358" i="34"/>
  <c r="Q157" i="34"/>
  <c r="U157" i="34"/>
  <c r="R157" i="34"/>
  <c r="Z157" i="34"/>
  <c r="O157" i="34"/>
  <c r="S157" i="34"/>
  <c r="W157" i="34"/>
  <c r="P157" i="34"/>
  <c r="T157" i="34"/>
  <c r="A157" i="34"/>
  <c r="Q211" i="34"/>
  <c r="U211" i="34"/>
  <c r="R211" i="34"/>
  <c r="Z211" i="34"/>
  <c r="O211" i="34"/>
  <c r="S211" i="34"/>
  <c r="W211" i="34"/>
  <c r="P211" i="34"/>
  <c r="T211" i="34"/>
  <c r="A211" i="34"/>
  <c r="R234" i="34"/>
  <c r="Z234" i="34"/>
  <c r="O234" i="34"/>
  <c r="S234" i="34"/>
  <c r="W234" i="34"/>
  <c r="P234" i="34"/>
  <c r="T234" i="34"/>
  <c r="Q234" i="34"/>
  <c r="U234" i="34"/>
  <c r="A234" i="34"/>
  <c r="R259" i="34"/>
  <c r="Z259" i="34"/>
  <c r="O259" i="34"/>
  <c r="S259" i="34"/>
  <c r="W259" i="34"/>
  <c r="P259" i="34"/>
  <c r="T259" i="34"/>
  <c r="Q259" i="34"/>
  <c r="U259" i="34"/>
  <c r="A259" i="34"/>
  <c r="R279" i="34"/>
  <c r="Z279" i="34"/>
  <c r="O279" i="34"/>
  <c r="S279" i="34"/>
  <c r="W279" i="34"/>
  <c r="P279" i="34"/>
  <c r="T279" i="34"/>
  <c r="Q279" i="34"/>
  <c r="U279" i="34"/>
  <c r="A279" i="34"/>
  <c r="Q296" i="34"/>
  <c r="U296" i="34"/>
  <c r="Z296" i="34"/>
  <c r="O296" i="34"/>
  <c r="W296" i="34"/>
  <c r="P296" i="34"/>
  <c r="A296" i="34"/>
  <c r="P359" i="34"/>
  <c r="Q359" i="34"/>
  <c r="U359" i="34"/>
  <c r="Z359" i="34"/>
  <c r="O359" i="34"/>
  <c r="W359" i="34"/>
  <c r="A359" i="34"/>
  <c r="Q362" i="34"/>
  <c r="U362" i="34"/>
  <c r="Z362" i="34"/>
  <c r="O362" i="34"/>
  <c r="W362" i="34"/>
  <c r="P362" i="34"/>
  <c r="A362" i="34"/>
  <c r="O364" i="34"/>
  <c r="W364" i="34"/>
  <c r="P364" i="34"/>
  <c r="Q364" i="34"/>
  <c r="U364" i="34"/>
  <c r="Z364" i="34"/>
  <c r="A364" i="34"/>
  <c r="Q366" i="34"/>
  <c r="U366" i="34"/>
  <c r="Z366" i="34"/>
  <c r="O366" i="34"/>
  <c r="W366" i="34"/>
  <c r="P366" i="34"/>
  <c r="A366" i="34"/>
  <c r="O368" i="34"/>
  <c r="W368" i="34"/>
  <c r="P368" i="34"/>
  <c r="Q368" i="34"/>
  <c r="U368" i="34"/>
  <c r="Z368" i="34"/>
  <c r="A368" i="34"/>
  <c r="Q370" i="34"/>
  <c r="U370" i="34"/>
  <c r="Z370" i="34"/>
  <c r="O370" i="34"/>
  <c r="W370" i="34"/>
  <c r="P370" i="34"/>
  <c r="A370" i="34"/>
  <c r="O372" i="34"/>
  <c r="W372" i="34"/>
  <c r="P372" i="34"/>
  <c r="Q372" i="34"/>
  <c r="U372" i="34"/>
  <c r="Z372" i="34"/>
  <c r="A372" i="34"/>
  <c r="P158" i="34"/>
  <c r="T158" i="34"/>
  <c r="Q158" i="34"/>
  <c r="U158" i="34"/>
  <c r="R158" i="34"/>
  <c r="Z158" i="34"/>
  <c r="O158" i="34"/>
  <c r="S158" i="34"/>
  <c r="W158" i="34"/>
  <c r="A158" i="34"/>
  <c r="R214" i="34"/>
  <c r="Z214" i="34"/>
  <c r="O214" i="34"/>
  <c r="S214" i="34"/>
  <c r="W214" i="34"/>
  <c r="P214" i="34"/>
  <c r="T214" i="34"/>
  <c r="Q214" i="34"/>
  <c r="U214" i="34"/>
  <c r="A214" i="34"/>
  <c r="P236" i="34"/>
  <c r="T236" i="34"/>
  <c r="Q236" i="34"/>
  <c r="U236" i="34"/>
  <c r="R236" i="34"/>
  <c r="Z236" i="34"/>
  <c r="O236" i="34"/>
  <c r="S236" i="34"/>
  <c r="W236" i="34"/>
  <c r="A236" i="34"/>
  <c r="R263" i="34"/>
  <c r="Z263" i="34"/>
  <c r="O263" i="34"/>
  <c r="S263" i="34"/>
  <c r="W263" i="34"/>
  <c r="P263" i="34"/>
  <c r="T263" i="34"/>
  <c r="Q263" i="34"/>
  <c r="U263" i="34"/>
  <c r="A263" i="34"/>
  <c r="O274" i="34"/>
  <c r="S274" i="34"/>
  <c r="W274" i="34"/>
  <c r="P274" i="34"/>
  <c r="T274" i="34"/>
  <c r="Q274" i="34"/>
  <c r="U274" i="34"/>
  <c r="R274" i="34"/>
  <c r="Z274" i="34"/>
  <c r="A274" i="34"/>
  <c r="C342" i="34"/>
  <c r="B342" i="34" s="1"/>
  <c r="C341" i="34"/>
  <c r="B341" i="34" s="1"/>
  <c r="C340" i="34"/>
  <c r="B340" i="34" s="1"/>
  <c r="K339" i="34"/>
  <c r="K341" i="34" s="1"/>
  <c r="C339" i="34"/>
  <c r="B339" i="34" s="1"/>
  <c r="K338" i="34"/>
  <c r="K340" i="34" s="1"/>
  <c r="C338" i="34"/>
  <c r="B338" i="34" s="1"/>
  <c r="K337" i="34"/>
  <c r="C337" i="34"/>
  <c r="B337" i="34" s="1"/>
  <c r="K336" i="34"/>
  <c r="C336" i="34"/>
  <c r="B336" i="34" s="1"/>
  <c r="K335" i="34"/>
  <c r="C335" i="34"/>
  <c r="B335" i="34" s="1"/>
  <c r="K334" i="34"/>
  <c r="C334" i="34"/>
  <c r="B334" i="34" s="1"/>
  <c r="K333" i="34"/>
  <c r="C333" i="34"/>
  <c r="B333" i="34" s="1"/>
  <c r="K332" i="34"/>
  <c r="C332" i="34"/>
  <c r="B332" i="34" s="1"/>
  <c r="K331" i="34"/>
  <c r="C331" i="34"/>
  <c r="B331" i="34" s="1"/>
  <c r="K330" i="34"/>
  <c r="C330" i="34"/>
  <c r="B330" i="34" s="1"/>
  <c r="K329" i="34"/>
  <c r="C329" i="34"/>
  <c r="B329" i="34" s="1"/>
  <c r="C328" i="34"/>
  <c r="B328" i="34" s="1"/>
  <c r="C327" i="34"/>
  <c r="B327" i="34" s="1"/>
  <c r="K287" i="34"/>
  <c r="C287" i="34"/>
  <c r="B287" i="34" s="1"/>
  <c r="C286" i="34"/>
  <c r="B286" i="34" s="1"/>
  <c r="C285" i="34"/>
  <c r="B285" i="34" s="1"/>
  <c r="K290" i="34"/>
  <c r="C290" i="34"/>
  <c r="B290" i="34" s="1"/>
  <c r="C289" i="34"/>
  <c r="B289" i="34" s="1"/>
  <c r="C288" i="34"/>
  <c r="B288" i="34" s="1"/>
  <c r="K293" i="34"/>
  <c r="C293" i="34"/>
  <c r="B293" i="34" s="1"/>
  <c r="C292" i="34"/>
  <c r="B292" i="34" s="1"/>
  <c r="C291" i="34"/>
  <c r="B291" i="34" s="1"/>
  <c r="C156" i="34"/>
  <c r="B156" i="34" s="1"/>
  <c r="C311" i="34"/>
  <c r="B311" i="34" s="1"/>
  <c r="C310" i="34"/>
  <c r="B310" i="34" s="1"/>
  <c r="K309" i="34"/>
  <c r="K311" i="34" s="1"/>
  <c r="C309" i="34"/>
  <c r="B309" i="34" s="1"/>
  <c r="K308" i="34"/>
  <c r="K310" i="34" s="1"/>
  <c r="C308" i="34"/>
  <c r="B308" i="34" s="1"/>
  <c r="K307" i="34"/>
  <c r="C307" i="34"/>
  <c r="B307" i="34" s="1"/>
  <c r="K306" i="34"/>
  <c r="C306" i="34"/>
  <c r="B306" i="34" s="1"/>
  <c r="K305" i="34"/>
  <c r="C305" i="34"/>
  <c r="B305" i="34" s="1"/>
  <c r="K304" i="34"/>
  <c r="C304" i="34"/>
  <c r="B304" i="34" s="1"/>
  <c r="K303" i="34"/>
  <c r="C303" i="34"/>
  <c r="B303" i="34" s="1"/>
  <c r="K302" i="34"/>
  <c r="C302" i="34"/>
  <c r="B302" i="34" s="1"/>
  <c r="K301" i="34"/>
  <c r="C301" i="34"/>
  <c r="B301" i="34" s="1"/>
  <c r="K300" i="34"/>
  <c r="C300" i="34"/>
  <c r="B300" i="34" s="1"/>
  <c r="K299" i="34"/>
  <c r="C299" i="34"/>
  <c r="B299" i="34" s="1"/>
  <c r="C298" i="34"/>
  <c r="B298" i="34" s="1"/>
  <c r="C297" i="34"/>
  <c r="B297" i="34" s="1"/>
  <c r="K318" i="34"/>
  <c r="K317" i="34"/>
  <c r="K316" i="34"/>
  <c r="K315" i="34"/>
  <c r="K314" i="34"/>
  <c r="C314" i="34"/>
  <c r="C315" i="34"/>
  <c r="B315" i="34" s="1"/>
  <c r="C316" i="34"/>
  <c r="B316" i="34" s="1"/>
  <c r="C317" i="34"/>
  <c r="B317" i="34" s="1"/>
  <c r="C318" i="34"/>
  <c r="B318" i="34" s="1"/>
  <c r="C319" i="34"/>
  <c r="B319" i="34" s="1"/>
  <c r="C320" i="34"/>
  <c r="B320" i="34" s="1"/>
  <c r="C321" i="34"/>
  <c r="B321" i="34" s="1"/>
  <c r="C322" i="34"/>
  <c r="B322" i="34" s="1"/>
  <c r="C323" i="34"/>
  <c r="B323" i="34" s="1"/>
  <c r="C324" i="34"/>
  <c r="B324" i="34" s="1"/>
  <c r="C325" i="34"/>
  <c r="B325" i="34" s="1"/>
  <c r="C326" i="34"/>
  <c r="B326" i="34" s="1"/>
  <c r="K324" i="34"/>
  <c r="K326" i="34" s="1"/>
  <c r="K323" i="34"/>
  <c r="K325" i="34" s="1"/>
  <c r="K322" i="34"/>
  <c r="K321" i="34"/>
  <c r="K320" i="34"/>
  <c r="K319" i="34"/>
  <c r="C375" i="34"/>
  <c r="C376" i="34"/>
  <c r="C377" i="34"/>
  <c r="Z287" i="34" l="1"/>
  <c r="O287" i="34"/>
  <c r="W287" i="34"/>
  <c r="P287" i="34"/>
  <c r="Q287" i="34"/>
  <c r="U287" i="34"/>
  <c r="A287" i="34"/>
  <c r="Z333" i="34"/>
  <c r="O333" i="34"/>
  <c r="W333" i="34"/>
  <c r="P333" i="34"/>
  <c r="Q333" i="34"/>
  <c r="U333" i="34"/>
  <c r="A333" i="34"/>
  <c r="Q342" i="34"/>
  <c r="U342" i="34"/>
  <c r="Z342" i="34"/>
  <c r="O342" i="34"/>
  <c r="W342" i="34"/>
  <c r="P342" i="34"/>
  <c r="A342" i="34"/>
  <c r="Z323" i="34"/>
  <c r="O323" i="34"/>
  <c r="W323" i="34"/>
  <c r="P323" i="34"/>
  <c r="Q323" i="34"/>
  <c r="U323" i="34"/>
  <c r="A323" i="34"/>
  <c r="O298" i="34"/>
  <c r="W298" i="34"/>
  <c r="P298" i="34"/>
  <c r="Q298" i="34"/>
  <c r="U298" i="34"/>
  <c r="Z298" i="34"/>
  <c r="A298" i="34"/>
  <c r="P293" i="34"/>
  <c r="Q293" i="34"/>
  <c r="U293" i="34"/>
  <c r="Z293" i="34"/>
  <c r="O293" i="34"/>
  <c r="W293" i="34"/>
  <c r="A293" i="34"/>
  <c r="P331" i="34"/>
  <c r="Q331" i="34"/>
  <c r="U331" i="34"/>
  <c r="Z331" i="34"/>
  <c r="O331" i="34"/>
  <c r="W331" i="34"/>
  <c r="A331" i="34"/>
  <c r="P335" i="34"/>
  <c r="Q335" i="34"/>
  <c r="U335" i="34"/>
  <c r="Z335" i="34"/>
  <c r="O335" i="34"/>
  <c r="W335" i="34"/>
  <c r="A335" i="34"/>
  <c r="O326" i="34"/>
  <c r="W326" i="34"/>
  <c r="P326" i="34"/>
  <c r="Q326" i="34"/>
  <c r="U326" i="34"/>
  <c r="Z326" i="34"/>
  <c r="A326" i="34"/>
  <c r="O318" i="34"/>
  <c r="W318" i="34"/>
  <c r="P318" i="34"/>
  <c r="Q318" i="34"/>
  <c r="U318" i="34"/>
  <c r="Z318" i="34"/>
  <c r="A318" i="34"/>
  <c r="Z299" i="34"/>
  <c r="O299" i="34"/>
  <c r="W299" i="34"/>
  <c r="P299" i="34"/>
  <c r="Q299" i="34"/>
  <c r="U299" i="34"/>
  <c r="A299" i="34"/>
  <c r="P301" i="34"/>
  <c r="Q301" i="34"/>
  <c r="U301" i="34"/>
  <c r="Z301" i="34"/>
  <c r="O301" i="34"/>
  <c r="W301" i="34"/>
  <c r="A301" i="34"/>
  <c r="Z303" i="34"/>
  <c r="O303" i="34"/>
  <c r="W303" i="34"/>
  <c r="P303" i="34"/>
  <c r="Q303" i="34"/>
  <c r="U303" i="34"/>
  <c r="A303" i="34"/>
  <c r="P305" i="34"/>
  <c r="Q305" i="34"/>
  <c r="U305" i="34"/>
  <c r="Z305" i="34"/>
  <c r="O305" i="34"/>
  <c r="W305" i="34"/>
  <c r="A305" i="34"/>
  <c r="Z307" i="34"/>
  <c r="O307" i="34"/>
  <c r="W307" i="34"/>
  <c r="P307" i="34"/>
  <c r="Q307" i="34"/>
  <c r="U307" i="34"/>
  <c r="A307" i="34"/>
  <c r="P309" i="34"/>
  <c r="Q309" i="34"/>
  <c r="U309" i="34"/>
  <c r="Z309" i="34"/>
  <c r="O309" i="34"/>
  <c r="W309" i="34"/>
  <c r="A309" i="34"/>
  <c r="R156" i="34"/>
  <c r="Z156" i="34"/>
  <c r="O156" i="34"/>
  <c r="S156" i="34"/>
  <c r="W156" i="34"/>
  <c r="P156" i="34"/>
  <c r="T156" i="34"/>
  <c r="Q156" i="34"/>
  <c r="U156" i="34"/>
  <c r="A156" i="34"/>
  <c r="Z319" i="34"/>
  <c r="O319" i="34"/>
  <c r="W319" i="34"/>
  <c r="P319" i="34"/>
  <c r="Q319" i="34"/>
  <c r="U319" i="34"/>
  <c r="A319" i="34"/>
  <c r="Z311" i="34"/>
  <c r="O311" i="34"/>
  <c r="W311" i="34"/>
  <c r="P311" i="34"/>
  <c r="Q311" i="34"/>
  <c r="U311" i="34"/>
  <c r="A311" i="34"/>
  <c r="O290" i="34"/>
  <c r="W290" i="34"/>
  <c r="P290" i="34"/>
  <c r="Q290" i="34"/>
  <c r="U290" i="34"/>
  <c r="Z290" i="34"/>
  <c r="A290" i="34"/>
  <c r="P339" i="34"/>
  <c r="Q339" i="34"/>
  <c r="U339" i="34"/>
  <c r="Z339" i="34"/>
  <c r="O339" i="34"/>
  <c r="W339" i="34"/>
  <c r="A339" i="34"/>
  <c r="P325" i="34"/>
  <c r="Q325" i="34"/>
  <c r="U325" i="34"/>
  <c r="Z325" i="34"/>
  <c r="O325" i="34"/>
  <c r="W325" i="34"/>
  <c r="A325" i="34"/>
  <c r="P321" i="34"/>
  <c r="Q321" i="34"/>
  <c r="U321" i="34"/>
  <c r="Z321" i="34"/>
  <c r="O321" i="34"/>
  <c r="W321" i="34"/>
  <c r="A321" i="34"/>
  <c r="P317" i="34"/>
  <c r="Q317" i="34"/>
  <c r="U317" i="34"/>
  <c r="Z317" i="34"/>
  <c r="O317" i="34"/>
  <c r="W317" i="34"/>
  <c r="A317" i="34"/>
  <c r="Z291" i="34"/>
  <c r="O291" i="34"/>
  <c r="W291" i="34"/>
  <c r="P291" i="34"/>
  <c r="Q291" i="34"/>
  <c r="U291" i="34"/>
  <c r="A291" i="34"/>
  <c r="Q288" i="34"/>
  <c r="U288" i="34"/>
  <c r="Z288" i="34"/>
  <c r="O288" i="34"/>
  <c r="W288" i="34"/>
  <c r="P288" i="34"/>
  <c r="A288" i="34"/>
  <c r="P285" i="34"/>
  <c r="Q285" i="34"/>
  <c r="U285" i="34"/>
  <c r="Z285" i="34"/>
  <c r="O285" i="34"/>
  <c r="W285" i="34"/>
  <c r="A285" i="34"/>
  <c r="Z327" i="34"/>
  <c r="P327" i="34"/>
  <c r="Q327" i="34"/>
  <c r="U327" i="34"/>
  <c r="O327" i="34"/>
  <c r="W327" i="34"/>
  <c r="A327" i="34"/>
  <c r="O330" i="34"/>
  <c r="Q330" i="34"/>
  <c r="U330" i="34"/>
  <c r="Z330" i="34"/>
  <c r="W330" i="34"/>
  <c r="P330" i="34"/>
  <c r="A330" i="34"/>
  <c r="O332" i="34"/>
  <c r="W332" i="34"/>
  <c r="P332" i="34"/>
  <c r="Q332" i="34"/>
  <c r="U332" i="34"/>
  <c r="Z332" i="34"/>
  <c r="A332" i="34"/>
  <c r="Q334" i="34"/>
  <c r="U334" i="34"/>
  <c r="Z334" i="34"/>
  <c r="O334" i="34"/>
  <c r="W334" i="34"/>
  <c r="P334" i="34"/>
  <c r="A334" i="34"/>
  <c r="O336" i="34"/>
  <c r="W336" i="34"/>
  <c r="P336" i="34"/>
  <c r="Q336" i="34"/>
  <c r="U336" i="34"/>
  <c r="Z336" i="34"/>
  <c r="A336" i="34"/>
  <c r="Q338" i="34"/>
  <c r="U338" i="34"/>
  <c r="Z338" i="34"/>
  <c r="O338" i="34"/>
  <c r="W338" i="34"/>
  <c r="P338" i="34"/>
  <c r="A338" i="34"/>
  <c r="O340" i="34"/>
  <c r="W340" i="34"/>
  <c r="P340" i="34"/>
  <c r="Q340" i="34"/>
  <c r="U340" i="34"/>
  <c r="Z340" i="34"/>
  <c r="A340" i="34"/>
  <c r="Z315" i="34"/>
  <c r="O315" i="34"/>
  <c r="W315" i="34"/>
  <c r="P315" i="34"/>
  <c r="Q315" i="34"/>
  <c r="U315" i="34"/>
  <c r="A315" i="34"/>
  <c r="P329" i="34"/>
  <c r="O329" i="34"/>
  <c r="W329" i="34"/>
  <c r="Q329" i="34"/>
  <c r="U329" i="34"/>
  <c r="Z329" i="34"/>
  <c r="A329" i="34"/>
  <c r="Z337" i="34"/>
  <c r="O337" i="34"/>
  <c r="W337" i="34"/>
  <c r="P337" i="34"/>
  <c r="Q337" i="34"/>
  <c r="U337" i="34"/>
  <c r="A337" i="34"/>
  <c r="O322" i="34"/>
  <c r="W322" i="34"/>
  <c r="P322" i="34"/>
  <c r="Q322" i="34"/>
  <c r="U322" i="34"/>
  <c r="Z322" i="34"/>
  <c r="A322" i="34"/>
  <c r="Q324" i="34"/>
  <c r="U324" i="34"/>
  <c r="Z324" i="34"/>
  <c r="O324" i="34"/>
  <c r="W324" i="34"/>
  <c r="P324" i="34"/>
  <c r="A324" i="34"/>
  <c r="Q320" i="34"/>
  <c r="U320" i="34"/>
  <c r="Z320" i="34"/>
  <c r="O320" i="34"/>
  <c r="W320" i="34"/>
  <c r="P320" i="34"/>
  <c r="A320" i="34"/>
  <c r="Q316" i="34"/>
  <c r="U316" i="34"/>
  <c r="Z316" i="34"/>
  <c r="O316" i="34"/>
  <c r="W316" i="34"/>
  <c r="P316" i="34"/>
  <c r="A316" i="34"/>
  <c r="P297" i="34"/>
  <c r="Q297" i="34"/>
  <c r="U297" i="34"/>
  <c r="Z297" i="34"/>
  <c r="O297" i="34"/>
  <c r="W297" i="34"/>
  <c r="A297" i="34"/>
  <c r="Q300" i="34"/>
  <c r="U300" i="34"/>
  <c r="Z300" i="34"/>
  <c r="O300" i="34"/>
  <c r="W300" i="34"/>
  <c r="P300" i="34"/>
  <c r="A300" i="34"/>
  <c r="O302" i="34"/>
  <c r="W302" i="34"/>
  <c r="P302" i="34"/>
  <c r="Q302" i="34"/>
  <c r="U302" i="34"/>
  <c r="Z302" i="34"/>
  <c r="A302" i="34"/>
  <c r="Q304" i="34"/>
  <c r="U304" i="34"/>
  <c r="Z304" i="34"/>
  <c r="O304" i="34"/>
  <c r="W304" i="34"/>
  <c r="P304" i="34"/>
  <c r="A304" i="34"/>
  <c r="O306" i="34"/>
  <c r="W306" i="34"/>
  <c r="P306" i="34"/>
  <c r="Q306" i="34"/>
  <c r="U306" i="34"/>
  <c r="Z306" i="34"/>
  <c r="A306" i="34"/>
  <c r="Q308" i="34"/>
  <c r="U308" i="34"/>
  <c r="Z308" i="34"/>
  <c r="O308" i="34"/>
  <c r="W308" i="34"/>
  <c r="P308" i="34"/>
  <c r="A308" i="34"/>
  <c r="O310" i="34"/>
  <c r="W310" i="34"/>
  <c r="P310" i="34"/>
  <c r="Q310" i="34"/>
  <c r="U310" i="34"/>
  <c r="Z310" i="34"/>
  <c r="A310" i="34"/>
  <c r="Q292" i="34"/>
  <c r="U292" i="34"/>
  <c r="Z292" i="34"/>
  <c r="O292" i="34"/>
  <c r="W292" i="34"/>
  <c r="P292" i="34"/>
  <c r="A292" i="34"/>
  <c r="P289" i="34"/>
  <c r="Q289" i="34"/>
  <c r="U289" i="34"/>
  <c r="Z289" i="34"/>
  <c r="O289" i="34"/>
  <c r="W289" i="34"/>
  <c r="A289" i="34"/>
  <c r="O286" i="34"/>
  <c r="W286" i="34"/>
  <c r="P286" i="34"/>
  <c r="Q286" i="34"/>
  <c r="U286" i="34"/>
  <c r="Z286" i="34"/>
  <c r="A286" i="34"/>
  <c r="Q328" i="34"/>
  <c r="U328" i="34"/>
  <c r="P328" i="34"/>
  <c r="W328" i="34"/>
  <c r="O328" i="34"/>
  <c r="Z328" i="34"/>
  <c r="A328" i="34"/>
  <c r="Z341" i="34"/>
  <c r="O341" i="34"/>
  <c r="W341" i="34"/>
  <c r="P341" i="34"/>
  <c r="Q341" i="34"/>
  <c r="U341" i="34"/>
  <c r="A341" i="34"/>
  <c r="B314" i="34"/>
  <c r="C313" i="34"/>
  <c r="B313" i="34" s="1"/>
  <c r="C312" i="34"/>
  <c r="B312" i="34" s="1"/>
  <c r="P313" i="34" l="1"/>
  <c r="Q313" i="34"/>
  <c r="U313" i="34"/>
  <c r="Z313" i="34"/>
  <c r="O313" i="34"/>
  <c r="W313" i="34"/>
  <c r="A313" i="34"/>
  <c r="O314" i="34"/>
  <c r="W314" i="34"/>
  <c r="P314" i="34"/>
  <c r="Q314" i="34"/>
  <c r="U314" i="34"/>
  <c r="Z314" i="34"/>
  <c r="A314" i="34"/>
  <c r="Q312" i="34"/>
  <c r="U312" i="34"/>
  <c r="Z312" i="34"/>
  <c r="O312" i="34"/>
  <c r="W312" i="34"/>
  <c r="P312" i="34"/>
  <c r="A312" i="34"/>
  <c r="C3820" i="34"/>
  <c r="K3820" i="34"/>
  <c r="C3821" i="34"/>
  <c r="K3821" i="34"/>
  <c r="C3822" i="34"/>
  <c r="K3822" i="34"/>
  <c r="C3823" i="34"/>
  <c r="K3823" i="34"/>
  <c r="C3824" i="34"/>
  <c r="K3824" i="34"/>
  <c r="C3825" i="34"/>
  <c r="K3825" i="34"/>
  <c r="C3827" i="34"/>
  <c r="K3827" i="34"/>
  <c r="C3828" i="34"/>
  <c r="K3828" i="34"/>
  <c r="C3829" i="34"/>
  <c r="K3829" i="34"/>
  <c r="C3830" i="34"/>
  <c r="K3830" i="34"/>
  <c r="C3831" i="34"/>
  <c r="K3831" i="34"/>
  <c r="C3832" i="34"/>
  <c r="K3832" i="34"/>
  <c r="C3833" i="34"/>
  <c r="K3833" i="34"/>
  <c r="C3834" i="34"/>
  <c r="K3834" i="34"/>
  <c r="C3835" i="34"/>
  <c r="K3835" i="34"/>
  <c r="C3836" i="34"/>
  <c r="K3836" i="34"/>
  <c r="C3837" i="34"/>
  <c r="K3837" i="34"/>
  <c r="C3838" i="34"/>
  <c r="K3838" i="34"/>
  <c r="C3839" i="34"/>
  <c r="K3839" i="34"/>
  <c r="C3840" i="34"/>
  <c r="K3840" i="34"/>
  <c r="C3841" i="34"/>
  <c r="K3841" i="34"/>
  <c r="C3842" i="34"/>
  <c r="K3842" i="34"/>
  <c r="C3843" i="34"/>
  <c r="K3843" i="34"/>
  <c r="C3844" i="34"/>
  <c r="K3844" i="34"/>
  <c r="C3845" i="34"/>
  <c r="K3845" i="34"/>
  <c r="C3846" i="34"/>
  <c r="K3846" i="34"/>
  <c r="C3847" i="34"/>
  <c r="K3847" i="34"/>
  <c r="C3848" i="34"/>
  <c r="K3848" i="34"/>
  <c r="C3849" i="34"/>
  <c r="K3849" i="34"/>
  <c r="C3850" i="34"/>
  <c r="K3850" i="34"/>
  <c r="C3851" i="34"/>
  <c r="K3851" i="34"/>
  <c r="C3852" i="34"/>
  <c r="K3852" i="34"/>
  <c r="C3853" i="34"/>
  <c r="K3853" i="34"/>
  <c r="C3854" i="34"/>
  <c r="K3854" i="34"/>
  <c r="C3855" i="34"/>
  <c r="K3855" i="34"/>
  <c r="C3856" i="34"/>
  <c r="K3856" i="34"/>
  <c r="C3857" i="34"/>
  <c r="K3857" i="34"/>
  <c r="C3858" i="34"/>
  <c r="K3858" i="34"/>
  <c r="C3859" i="34"/>
  <c r="K3859" i="34"/>
  <c r="C3860" i="34"/>
  <c r="K3860" i="34"/>
  <c r="C3861" i="34"/>
  <c r="K3861" i="34"/>
  <c r="C3862" i="34"/>
  <c r="K3862" i="34"/>
  <c r="C3863" i="34"/>
  <c r="K3863" i="34"/>
  <c r="C3864" i="34"/>
  <c r="K3864" i="34"/>
  <c r="C3865" i="34"/>
  <c r="K3865" i="34"/>
  <c r="C3866" i="34"/>
  <c r="K3866" i="34"/>
  <c r="C3867" i="34"/>
  <c r="K3867" i="34"/>
  <c r="C3868" i="34"/>
  <c r="K3868" i="34"/>
  <c r="C3869" i="34"/>
  <c r="K3869" i="34"/>
  <c r="C3870" i="34"/>
  <c r="K3870" i="34"/>
  <c r="C3871" i="34"/>
  <c r="K3871" i="34"/>
  <c r="C3872" i="34"/>
  <c r="K3872" i="34"/>
  <c r="C3873" i="34"/>
  <c r="K3873" i="34"/>
  <c r="C3874" i="34"/>
  <c r="K3874" i="34"/>
  <c r="C3875" i="34"/>
  <c r="K3875" i="34"/>
  <c r="C3876" i="34"/>
  <c r="K3876" i="34"/>
  <c r="C3877" i="34"/>
  <c r="K3877" i="34"/>
  <c r="C3878" i="34"/>
  <c r="K3878" i="34"/>
  <c r="C3879" i="34"/>
  <c r="K3879" i="34"/>
  <c r="C3880" i="34"/>
  <c r="K3880" i="34"/>
  <c r="C3881" i="34"/>
  <c r="K3881" i="34"/>
  <c r="C3882" i="34"/>
  <c r="K3882" i="34"/>
  <c r="C3883" i="34"/>
  <c r="K3883" i="34"/>
  <c r="C3884" i="34"/>
  <c r="K3884" i="34"/>
  <c r="C3885" i="34"/>
  <c r="K3885" i="34"/>
  <c r="C3886" i="34"/>
  <c r="K3886" i="34"/>
  <c r="C3887" i="34"/>
  <c r="K3887" i="34"/>
  <c r="C3888" i="34"/>
  <c r="K3888" i="34"/>
  <c r="C3889" i="34"/>
  <c r="K3889" i="34"/>
  <c r="C3890" i="34"/>
  <c r="K3890" i="34"/>
  <c r="C3891" i="34"/>
  <c r="K3891" i="34"/>
  <c r="C3892" i="34"/>
  <c r="K3892" i="34"/>
  <c r="C3893" i="34"/>
  <c r="K3893" i="34"/>
  <c r="C3894" i="34"/>
  <c r="K3894" i="34"/>
  <c r="C3895" i="34"/>
  <c r="K3895" i="34"/>
  <c r="C3896" i="34"/>
  <c r="K3896" i="34"/>
  <c r="C3897" i="34"/>
  <c r="K3897" i="34"/>
  <c r="C3898" i="34"/>
  <c r="K3898" i="34"/>
  <c r="C3899" i="34"/>
  <c r="K3899" i="34"/>
  <c r="C3900" i="34"/>
  <c r="K3900" i="34"/>
  <c r="C3901" i="34"/>
  <c r="K3901" i="34"/>
  <c r="C3902" i="34"/>
  <c r="K3902" i="34"/>
  <c r="C3903" i="34"/>
  <c r="K3903" i="34"/>
  <c r="C3904" i="34"/>
  <c r="K3904" i="34"/>
  <c r="C3905" i="34"/>
  <c r="K3905" i="34"/>
  <c r="C3906" i="34"/>
  <c r="K3906" i="34"/>
  <c r="C3907" i="34"/>
  <c r="K3907" i="34"/>
  <c r="C3908" i="34"/>
  <c r="K3908" i="34"/>
  <c r="C3909" i="34"/>
  <c r="K3909" i="34"/>
  <c r="C3910" i="34"/>
  <c r="K3910" i="34"/>
  <c r="C3911" i="34"/>
  <c r="K3911" i="34"/>
  <c r="C3912" i="34"/>
  <c r="K3912" i="34"/>
  <c r="C3913" i="34"/>
  <c r="K3913" i="34"/>
  <c r="C3914" i="34"/>
  <c r="K3914" i="34"/>
  <c r="C3915" i="34"/>
  <c r="K3915" i="34"/>
  <c r="C3916" i="34"/>
  <c r="K3916" i="34"/>
  <c r="C3917" i="34"/>
  <c r="K3917" i="34"/>
  <c r="C3918" i="34"/>
  <c r="K3918" i="34"/>
  <c r="C3919" i="34"/>
  <c r="K3919" i="34"/>
  <c r="C3920" i="34"/>
  <c r="K3920" i="34"/>
  <c r="C3921" i="34"/>
  <c r="K3921" i="34"/>
  <c r="C3922" i="34"/>
  <c r="K3922" i="34"/>
  <c r="C3923" i="34"/>
  <c r="K3923" i="34"/>
  <c r="C3924" i="34"/>
  <c r="K3924" i="34"/>
  <c r="C3925" i="34"/>
  <c r="K3925" i="34"/>
  <c r="C3926" i="34"/>
  <c r="K3926" i="34"/>
  <c r="C3927" i="34"/>
  <c r="K3927" i="34"/>
  <c r="C3928" i="34"/>
  <c r="K3928" i="34"/>
  <c r="C3929" i="34"/>
  <c r="K3929" i="34"/>
  <c r="C3930" i="34"/>
  <c r="K3930" i="34"/>
  <c r="C3931" i="34"/>
  <c r="K3931" i="34"/>
  <c r="C3932" i="34"/>
  <c r="K3932" i="34"/>
  <c r="C3933" i="34"/>
  <c r="K3933" i="34"/>
  <c r="C3934" i="34"/>
  <c r="K3934" i="34"/>
  <c r="C3935" i="34"/>
  <c r="K3935" i="34"/>
  <c r="C3936" i="34"/>
  <c r="K3936" i="34"/>
  <c r="C3937" i="34"/>
  <c r="K3937" i="34"/>
  <c r="C3938" i="34"/>
  <c r="K3938" i="34"/>
  <c r="C3939" i="34"/>
  <c r="K3939" i="34"/>
  <c r="C3940" i="34"/>
  <c r="K3940" i="34"/>
  <c r="C3941" i="34"/>
  <c r="K3941" i="34"/>
  <c r="C3942" i="34"/>
  <c r="K3942" i="34"/>
  <c r="C3943" i="34"/>
  <c r="K3943" i="34"/>
  <c r="C3944" i="34"/>
  <c r="K3944" i="34"/>
  <c r="C3945" i="34"/>
  <c r="K3945" i="34"/>
  <c r="C3946" i="34"/>
  <c r="K3946" i="34"/>
  <c r="C3947" i="34"/>
  <c r="K3947" i="34"/>
  <c r="C3948" i="34"/>
  <c r="K3948" i="34"/>
  <c r="C3949" i="34"/>
  <c r="K3949" i="34"/>
  <c r="C3950" i="34"/>
  <c r="K3950" i="34"/>
  <c r="C3951" i="34"/>
  <c r="K3951" i="34"/>
  <c r="C3952" i="34"/>
  <c r="K3952" i="34"/>
  <c r="C3953" i="34"/>
  <c r="K3953" i="34"/>
  <c r="C3954" i="34"/>
  <c r="K3954" i="34"/>
  <c r="C3955" i="34"/>
  <c r="K3955" i="34"/>
  <c r="C3956" i="34"/>
  <c r="K3956" i="34"/>
  <c r="C3957" i="34"/>
  <c r="K3957" i="34"/>
  <c r="C3958" i="34"/>
  <c r="K3958" i="34"/>
  <c r="C3959" i="34"/>
  <c r="K3959" i="34"/>
  <c r="C3960" i="34"/>
  <c r="K3960" i="34"/>
  <c r="C3961" i="34"/>
  <c r="K3961" i="34"/>
  <c r="C3962" i="34"/>
  <c r="K3962" i="34"/>
  <c r="C3963" i="34"/>
  <c r="K3963" i="34"/>
  <c r="C3964" i="34"/>
  <c r="K3964" i="34"/>
  <c r="C3965" i="34"/>
  <c r="K3965" i="34"/>
  <c r="C3966" i="34"/>
  <c r="K3966" i="34"/>
  <c r="C3967" i="34"/>
  <c r="K3967" i="34"/>
  <c r="C3968" i="34"/>
  <c r="K3968" i="34"/>
  <c r="C3969" i="34"/>
  <c r="K3969" i="34"/>
  <c r="C3970" i="34"/>
  <c r="K3970" i="34"/>
  <c r="C3971" i="34"/>
  <c r="K3971" i="34"/>
  <c r="C3972" i="34"/>
  <c r="K3972" i="34"/>
  <c r="C3973" i="34"/>
  <c r="K3973" i="34"/>
  <c r="C3974" i="34"/>
  <c r="K3974" i="34"/>
  <c r="C3975" i="34"/>
  <c r="K3975" i="34"/>
  <c r="C3976" i="34"/>
  <c r="K3976" i="34"/>
  <c r="C3764" i="34"/>
  <c r="C3765" i="34"/>
  <c r="C3766" i="34"/>
  <c r="C3767" i="34"/>
  <c r="C3768" i="34"/>
  <c r="C3769" i="34"/>
  <c r="C3770" i="34"/>
  <c r="C3771" i="34"/>
  <c r="C3772" i="34"/>
  <c r="C3773" i="34"/>
  <c r="C3774" i="34"/>
  <c r="C3775" i="34"/>
  <c r="C3776" i="34"/>
  <c r="C3777" i="34"/>
  <c r="C3778" i="34"/>
  <c r="C3779" i="34"/>
  <c r="C3780" i="34"/>
  <c r="C3781" i="34"/>
  <c r="C3782" i="34"/>
  <c r="C3783" i="34"/>
  <c r="C3784" i="34"/>
  <c r="C3785" i="34"/>
  <c r="C3786" i="34"/>
  <c r="C3787" i="34"/>
  <c r="C3788" i="34"/>
  <c r="C3789" i="34"/>
  <c r="C3790" i="34"/>
  <c r="C3791" i="34"/>
  <c r="C3792" i="34"/>
  <c r="C3793" i="34"/>
  <c r="C3794" i="34"/>
  <c r="C3795" i="34"/>
  <c r="C3796" i="34"/>
  <c r="C3797" i="34"/>
  <c r="C3798" i="34"/>
  <c r="C3799" i="34"/>
  <c r="C3800" i="34"/>
  <c r="C3801" i="34"/>
  <c r="C3804" i="34"/>
  <c r="C3805" i="34"/>
  <c r="C3806" i="34"/>
  <c r="C3807" i="34"/>
  <c r="C3808" i="34"/>
  <c r="C3809" i="34"/>
  <c r="C3810" i="34"/>
  <c r="C3811" i="34"/>
  <c r="C3812" i="34"/>
  <c r="C3813" i="34"/>
  <c r="C3814" i="34"/>
  <c r="C3815" i="34"/>
  <c r="C3816" i="34"/>
  <c r="C3817" i="34"/>
  <c r="C3819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2" i="34"/>
  <c r="K3573" i="34"/>
  <c r="K3574" i="34"/>
  <c r="K3575" i="34"/>
  <c r="K3576" i="34"/>
  <c r="K3577" i="34"/>
  <c r="K3578" i="34"/>
  <c r="K3579" i="34"/>
  <c r="K3580" i="34"/>
  <c r="K3581" i="34"/>
  <c r="K3582" i="34"/>
  <c r="K3583" i="34"/>
  <c r="K3584" i="34"/>
  <c r="K3585" i="34"/>
  <c r="K3586" i="34"/>
  <c r="K3587" i="34"/>
  <c r="K3588" i="34"/>
  <c r="K3589" i="34"/>
  <c r="K3590" i="34"/>
  <c r="K3591" i="34"/>
  <c r="K3592" i="34"/>
  <c r="K3593" i="34"/>
  <c r="K3594" i="34"/>
  <c r="K3595" i="34"/>
  <c r="K3596" i="34"/>
  <c r="K3597" i="34"/>
  <c r="K3598" i="34"/>
  <c r="K3599" i="34"/>
  <c r="K3600" i="34"/>
  <c r="K3601" i="34"/>
  <c r="K3602" i="34"/>
  <c r="K3603" i="34"/>
  <c r="K3604" i="34"/>
  <c r="K3605" i="34"/>
  <c r="K3606" i="34"/>
  <c r="K3607" i="34"/>
  <c r="K3608" i="34"/>
  <c r="K3609" i="34"/>
  <c r="K3610" i="34"/>
  <c r="K3611" i="34"/>
  <c r="K3612" i="34"/>
  <c r="C3612" i="34"/>
  <c r="B3612" i="34" s="1"/>
  <c r="C3611" i="34"/>
  <c r="B3611" i="34" s="1"/>
  <c r="C3610" i="34"/>
  <c r="B3610" i="34" s="1"/>
  <c r="C3609" i="34"/>
  <c r="B3609" i="34" s="1"/>
  <c r="C3608" i="34"/>
  <c r="B3608" i="34" s="1"/>
  <c r="C3607" i="34"/>
  <c r="B3607" i="34" s="1"/>
  <c r="C3606" i="34"/>
  <c r="B3606" i="34" s="1"/>
  <c r="C3605" i="34"/>
  <c r="B3605" i="34" s="1"/>
  <c r="C3604" i="34"/>
  <c r="B3604" i="34" s="1"/>
  <c r="C3603" i="34"/>
  <c r="B3603" i="34" s="1"/>
  <c r="C3602" i="34"/>
  <c r="B3602" i="34" s="1"/>
  <c r="C3601" i="34"/>
  <c r="B3601" i="34" s="1"/>
  <c r="C3600" i="34"/>
  <c r="B3600" i="34" s="1"/>
  <c r="C3599" i="34"/>
  <c r="B3599" i="34" s="1"/>
  <c r="C3598" i="34"/>
  <c r="B3598" i="34" s="1"/>
  <c r="C3597" i="34"/>
  <c r="B3597" i="34" s="1"/>
  <c r="C3596" i="34"/>
  <c r="B3596" i="34" s="1"/>
  <c r="C3595" i="34"/>
  <c r="B3595" i="34" s="1"/>
  <c r="C3594" i="34"/>
  <c r="B3594" i="34" s="1"/>
  <c r="C3593" i="34"/>
  <c r="B3593" i="34" s="1"/>
  <c r="C3592" i="34"/>
  <c r="B3592" i="34" s="1"/>
  <c r="C3591" i="34"/>
  <c r="B3591" i="34" s="1"/>
  <c r="C3590" i="34"/>
  <c r="B3590" i="34" s="1"/>
  <c r="C3589" i="34"/>
  <c r="B3589" i="34" s="1"/>
  <c r="C3588" i="34"/>
  <c r="B3588" i="34" s="1"/>
  <c r="C3587" i="34"/>
  <c r="B3587" i="34" s="1"/>
  <c r="C3586" i="34"/>
  <c r="B3586" i="34" s="1"/>
  <c r="C3585" i="34"/>
  <c r="B3585" i="34" s="1"/>
  <c r="C3584" i="34"/>
  <c r="B3584" i="34" s="1"/>
  <c r="C3583" i="34"/>
  <c r="B3583" i="34" s="1"/>
  <c r="C3582" i="34"/>
  <c r="B3582" i="34" s="1"/>
  <c r="C3581" i="34"/>
  <c r="B3581" i="34" s="1"/>
  <c r="C3580" i="34"/>
  <c r="B3580" i="34" s="1"/>
  <c r="C3579" i="34"/>
  <c r="B3579" i="34" s="1"/>
  <c r="C3578" i="34"/>
  <c r="B3578" i="34" s="1"/>
  <c r="C3577" i="34"/>
  <c r="B3577" i="34" s="1"/>
  <c r="C3576" i="34"/>
  <c r="B3576" i="34" s="1"/>
  <c r="C3575" i="34"/>
  <c r="B3575" i="34" s="1"/>
  <c r="C3574" i="34"/>
  <c r="B3574" i="34" s="1"/>
  <c r="C3573" i="34"/>
  <c r="B3573" i="34" s="1"/>
  <c r="C3572" i="34"/>
  <c r="B3572" i="34" s="1"/>
  <c r="C3571" i="34"/>
  <c r="B3571" i="34" s="1"/>
  <c r="C3570" i="34"/>
  <c r="B3570" i="34" s="1"/>
  <c r="C3569" i="34"/>
  <c r="B3569" i="34" s="1"/>
  <c r="C3568" i="34"/>
  <c r="B3568" i="34" s="1"/>
  <c r="C3567" i="34"/>
  <c r="B3567" i="34" s="1"/>
  <c r="C3566" i="34"/>
  <c r="B3566" i="34" s="1"/>
  <c r="C3565" i="34"/>
  <c r="B3565" i="34" s="1"/>
  <c r="C3564" i="34"/>
  <c r="B3564" i="34" s="1"/>
  <c r="C3563" i="34"/>
  <c r="B3563" i="34" s="1"/>
  <c r="C3562" i="34"/>
  <c r="B3562" i="34" s="1"/>
  <c r="C3561" i="34"/>
  <c r="B3561" i="34" s="1"/>
  <c r="C3560" i="34"/>
  <c r="B3560" i="34" s="1"/>
  <c r="C3559" i="34"/>
  <c r="B3559" i="34" s="1"/>
  <c r="C3558" i="34"/>
  <c r="B3558" i="34" s="1"/>
  <c r="C3557" i="34"/>
  <c r="B3557" i="34" s="1"/>
  <c r="C3556" i="34"/>
  <c r="B3556" i="34" s="1"/>
  <c r="C3555" i="34"/>
  <c r="B3555" i="34" s="1"/>
  <c r="C3554" i="34"/>
  <c r="B3554" i="34" s="1"/>
  <c r="C3553" i="34"/>
  <c r="B3553" i="34" s="1"/>
  <c r="C3552" i="34"/>
  <c r="B3552" i="34" s="1"/>
  <c r="C3551" i="34"/>
  <c r="B3551" i="34" s="1"/>
  <c r="C3550" i="34"/>
  <c r="B3550" i="34" s="1"/>
  <c r="C3549" i="34"/>
  <c r="B3549" i="34" s="1"/>
  <c r="C3548" i="34"/>
  <c r="B3548" i="34" s="1"/>
  <c r="C3547" i="34"/>
  <c r="B3547" i="34" s="1"/>
  <c r="K3112" i="34"/>
  <c r="C3112" i="34"/>
  <c r="B3112" i="34" s="1"/>
  <c r="K3111" i="34"/>
  <c r="C3111" i="34"/>
  <c r="B3111" i="34" s="1"/>
  <c r="K3110" i="34"/>
  <c r="C3110" i="34"/>
  <c r="B3110" i="34" s="1"/>
  <c r="K3109" i="34"/>
  <c r="C3109" i="34"/>
  <c r="B3109" i="34" s="1"/>
  <c r="K3108" i="34"/>
  <c r="C3108" i="34"/>
  <c r="B3108" i="34" s="1"/>
  <c r="K3107" i="34"/>
  <c r="C3107" i="34"/>
  <c r="B3107" i="34" s="1"/>
  <c r="K3106" i="34"/>
  <c r="C3106" i="34"/>
  <c r="B3106" i="34" s="1"/>
  <c r="K3105" i="34"/>
  <c r="C3105" i="34"/>
  <c r="B3105" i="34" s="1"/>
  <c r="K3104" i="34"/>
  <c r="C3104" i="34"/>
  <c r="B3104" i="34" s="1"/>
  <c r="K3103" i="34"/>
  <c r="C3103" i="34"/>
  <c r="B3103" i="34" s="1"/>
  <c r="K3102" i="34"/>
  <c r="C3102" i="34"/>
  <c r="B3102" i="34" s="1"/>
  <c r="K3101" i="34"/>
  <c r="C3101" i="34"/>
  <c r="B3101" i="34" s="1"/>
  <c r="K3100" i="34"/>
  <c r="C3100" i="34"/>
  <c r="B3100" i="34" s="1"/>
  <c r="K3099" i="34"/>
  <c r="C3099" i="34"/>
  <c r="B3099" i="34" s="1"/>
  <c r="K3098" i="34"/>
  <c r="C3098" i="34"/>
  <c r="B3098" i="34" s="1"/>
  <c r="K3097" i="34"/>
  <c r="C3097" i="34"/>
  <c r="B3097" i="34" s="1"/>
  <c r="K3096" i="34"/>
  <c r="C3096" i="34"/>
  <c r="B3096" i="34" s="1"/>
  <c r="K3095" i="34"/>
  <c r="C3095" i="34"/>
  <c r="B3095" i="34" s="1"/>
  <c r="K3094" i="34"/>
  <c r="C3094" i="34"/>
  <c r="B3094" i="34" s="1"/>
  <c r="K3093" i="34"/>
  <c r="C3093" i="34"/>
  <c r="B3093" i="34" s="1"/>
  <c r="K3092" i="34"/>
  <c r="C3092" i="34"/>
  <c r="B3092" i="34" s="1"/>
  <c r="K3091" i="34"/>
  <c r="C3091" i="34"/>
  <c r="B3091" i="34" s="1"/>
  <c r="K3090" i="34"/>
  <c r="C3090" i="34"/>
  <c r="B3090" i="34" s="1"/>
  <c r="K3089" i="34"/>
  <c r="C3089" i="34"/>
  <c r="B3089" i="34" s="1"/>
  <c r="K3088" i="34"/>
  <c r="C3088" i="34"/>
  <c r="B3088" i="34" s="1"/>
  <c r="K3087" i="34"/>
  <c r="C3087" i="34"/>
  <c r="B3087" i="34" s="1"/>
  <c r="K3086" i="34"/>
  <c r="C3086" i="34"/>
  <c r="B3086" i="34" s="1"/>
  <c r="K3085" i="34"/>
  <c r="C3085" i="34"/>
  <c r="B3085" i="34" s="1"/>
  <c r="K3084" i="34"/>
  <c r="C3084" i="34"/>
  <c r="B3084" i="34" s="1"/>
  <c r="K3083" i="34"/>
  <c r="C3083" i="34"/>
  <c r="B3083" i="34" s="1"/>
  <c r="K3082" i="34"/>
  <c r="C3082" i="34"/>
  <c r="B3082" i="34" s="1"/>
  <c r="K3081" i="34"/>
  <c r="C3081" i="34"/>
  <c r="B3081" i="34" s="1"/>
  <c r="K3080" i="34"/>
  <c r="C3080" i="34"/>
  <c r="B3080" i="34" s="1"/>
  <c r="K3079" i="34"/>
  <c r="C3079" i="34"/>
  <c r="B3079" i="34" s="1"/>
  <c r="K3078" i="34"/>
  <c r="C3078" i="34"/>
  <c r="B3078" i="34" s="1"/>
  <c r="K3077" i="34"/>
  <c r="C3077" i="34"/>
  <c r="B3077" i="34" s="1"/>
  <c r="K3076" i="34"/>
  <c r="C3076" i="34"/>
  <c r="B3076" i="34" s="1"/>
  <c r="K3075" i="34"/>
  <c r="C3075" i="34"/>
  <c r="B3075" i="34" s="1"/>
  <c r="K3150" i="34"/>
  <c r="C3150" i="34"/>
  <c r="B3150" i="34" s="1"/>
  <c r="K3149" i="34"/>
  <c r="C3149" i="34"/>
  <c r="B3149" i="34" s="1"/>
  <c r="K3148" i="34"/>
  <c r="C3148" i="34"/>
  <c r="B3148" i="34" s="1"/>
  <c r="K3147" i="34"/>
  <c r="C3147" i="34"/>
  <c r="B3147" i="34" s="1"/>
  <c r="K3146" i="34"/>
  <c r="C3146" i="34"/>
  <c r="B3146" i="34" s="1"/>
  <c r="K3145" i="34"/>
  <c r="C3145" i="34"/>
  <c r="B3145" i="34" s="1"/>
  <c r="K3144" i="34"/>
  <c r="C3144" i="34"/>
  <c r="B3144" i="34" s="1"/>
  <c r="K3143" i="34"/>
  <c r="C3143" i="34"/>
  <c r="B3143" i="34" s="1"/>
  <c r="K3142" i="34"/>
  <c r="C3142" i="34"/>
  <c r="B3142" i="34" s="1"/>
  <c r="K3141" i="34"/>
  <c r="C3141" i="34"/>
  <c r="B3141" i="34" s="1"/>
  <c r="K3140" i="34"/>
  <c r="C3140" i="34"/>
  <c r="B3140" i="34" s="1"/>
  <c r="K3139" i="34"/>
  <c r="C3139" i="34"/>
  <c r="B3139" i="34" s="1"/>
  <c r="K3138" i="34"/>
  <c r="C3138" i="34"/>
  <c r="B3138" i="34" s="1"/>
  <c r="K3137" i="34"/>
  <c r="C3137" i="34"/>
  <c r="B3137" i="34" s="1"/>
  <c r="K3136" i="34"/>
  <c r="C3136" i="34"/>
  <c r="B3136" i="34" s="1"/>
  <c r="K3135" i="34"/>
  <c r="C3135" i="34"/>
  <c r="B3135" i="34" s="1"/>
  <c r="K3134" i="34"/>
  <c r="C3134" i="34"/>
  <c r="B3134" i="34" s="1"/>
  <c r="K3133" i="34"/>
  <c r="C3133" i="34"/>
  <c r="B3133" i="34" s="1"/>
  <c r="K3132" i="34"/>
  <c r="C3132" i="34"/>
  <c r="B3132" i="34" s="1"/>
  <c r="K3131" i="34"/>
  <c r="C3131" i="34"/>
  <c r="B3131" i="34" s="1"/>
  <c r="K3130" i="34"/>
  <c r="C3130" i="34"/>
  <c r="B3130" i="34" s="1"/>
  <c r="K3129" i="34"/>
  <c r="C3129" i="34"/>
  <c r="B3129" i="34" s="1"/>
  <c r="K3128" i="34"/>
  <c r="C3128" i="34"/>
  <c r="B3128" i="34" s="1"/>
  <c r="K3127" i="34"/>
  <c r="C3127" i="34"/>
  <c r="B3127" i="34" s="1"/>
  <c r="K3126" i="34"/>
  <c r="C3126" i="34"/>
  <c r="B3126" i="34" s="1"/>
  <c r="K3125" i="34"/>
  <c r="C3125" i="34"/>
  <c r="B3125" i="34" s="1"/>
  <c r="K3124" i="34"/>
  <c r="C3124" i="34"/>
  <c r="B3124" i="34" s="1"/>
  <c r="K3123" i="34"/>
  <c r="C3123" i="34"/>
  <c r="B3123" i="34" s="1"/>
  <c r="K3122" i="34"/>
  <c r="C3122" i="34"/>
  <c r="B3122" i="34" s="1"/>
  <c r="K3121" i="34"/>
  <c r="C3121" i="34"/>
  <c r="B3121" i="34" s="1"/>
  <c r="K3120" i="34"/>
  <c r="C3120" i="34"/>
  <c r="B3120" i="34" s="1"/>
  <c r="K3119" i="34"/>
  <c r="C3119" i="34"/>
  <c r="B3119" i="34" s="1"/>
  <c r="K3118" i="34"/>
  <c r="C3118" i="34"/>
  <c r="B3118" i="34" s="1"/>
  <c r="K3117" i="34"/>
  <c r="C3117" i="34"/>
  <c r="B3117" i="34" s="1"/>
  <c r="K3116" i="34"/>
  <c r="C3116" i="34"/>
  <c r="B3116" i="34" s="1"/>
  <c r="K3115" i="34"/>
  <c r="C3115" i="34"/>
  <c r="B3115" i="34" s="1"/>
  <c r="K3114" i="34"/>
  <c r="C3114" i="34"/>
  <c r="B3114" i="34" s="1"/>
  <c r="K3113" i="34"/>
  <c r="C3113" i="34"/>
  <c r="B3113" i="34" s="1"/>
  <c r="K3074" i="34"/>
  <c r="C3074" i="34"/>
  <c r="B3074" i="34" s="1"/>
  <c r="K3073" i="34"/>
  <c r="C3073" i="34"/>
  <c r="B3073" i="34" s="1"/>
  <c r="K3072" i="34"/>
  <c r="C3072" i="34"/>
  <c r="B3072" i="34" s="1"/>
  <c r="K3071" i="34"/>
  <c r="C3071" i="34"/>
  <c r="B3071" i="34" s="1"/>
  <c r="K3070" i="34"/>
  <c r="C3070" i="34"/>
  <c r="B3070" i="34" s="1"/>
  <c r="K3069" i="34"/>
  <c r="C3069" i="34"/>
  <c r="B3069" i="34" s="1"/>
  <c r="K3068" i="34"/>
  <c r="C3068" i="34"/>
  <c r="B3068" i="34" s="1"/>
  <c r="K3067" i="34"/>
  <c r="C3067" i="34"/>
  <c r="B3067" i="34" s="1"/>
  <c r="K3066" i="34"/>
  <c r="C3066" i="34"/>
  <c r="B3066" i="34" s="1"/>
  <c r="K3065" i="34"/>
  <c r="C3065" i="34"/>
  <c r="B3065" i="34" s="1"/>
  <c r="K3064" i="34"/>
  <c r="C3064" i="34"/>
  <c r="B3064" i="34" s="1"/>
  <c r="K3063" i="34"/>
  <c r="C3063" i="34"/>
  <c r="B3063" i="34" s="1"/>
  <c r="K3062" i="34"/>
  <c r="C3062" i="34"/>
  <c r="B3062" i="34" s="1"/>
  <c r="K3061" i="34"/>
  <c r="C3061" i="34"/>
  <c r="B3061" i="34" s="1"/>
  <c r="K3060" i="34"/>
  <c r="C3060" i="34"/>
  <c r="B3060" i="34" s="1"/>
  <c r="K3059" i="34"/>
  <c r="C3059" i="34"/>
  <c r="B3059" i="34" s="1"/>
  <c r="K3058" i="34"/>
  <c r="C3058" i="34"/>
  <c r="B3058" i="34" s="1"/>
  <c r="K3057" i="34"/>
  <c r="C3057" i="34"/>
  <c r="B3057" i="34" s="1"/>
  <c r="K3056" i="34"/>
  <c r="C3056" i="34"/>
  <c r="B3056" i="34" s="1"/>
  <c r="K3055" i="34"/>
  <c r="C3055" i="34"/>
  <c r="B3055" i="34" s="1"/>
  <c r="K3054" i="34"/>
  <c r="C3054" i="34"/>
  <c r="B3054" i="34" s="1"/>
  <c r="K3053" i="34"/>
  <c r="C3053" i="34"/>
  <c r="B3053" i="34" s="1"/>
  <c r="K3052" i="34"/>
  <c r="C3052" i="34"/>
  <c r="B3052" i="34" s="1"/>
  <c r="K3051" i="34"/>
  <c r="C3051" i="34"/>
  <c r="B3051" i="34" s="1"/>
  <c r="K3050" i="34"/>
  <c r="C3050" i="34"/>
  <c r="B3050" i="34" s="1"/>
  <c r="K3049" i="34"/>
  <c r="C3049" i="34"/>
  <c r="B3049" i="34" s="1"/>
  <c r="K3048" i="34"/>
  <c r="C3048" i="34"/>
  <c r="B3048" i="34" s="1"/>
  <c r="K3047" i="34"/>
  <c r="C3047" i="34"/>
  <c r="B3047" i="34" s="1"/>
  <c r="K3046" i="34"/>
  <c r="C3046" i="34"/>
  <c r="B3046" i="34" s="1"/>
  <c r="K3045" i="34"/>
  <c r="C3045" i="34"/>
  <c r="B3045" i="34" s="1"/>
  <c r="K3044" i="34"/>
  <c r="C3044" i="34"/>
  <c r="B3044" i="34" s="1"/>
  <c r="K3043" i="34"/>
  <c r="C3043" i="34"/>
  <c r="B3043" i="34" s="1"/>
  <c r="K3042" i="34"/>
  <c r="C3042" i="34"/>
  <c r="B3042" i="34" s="1"/>
  <c r="K3041" i="34"/>
  <c r="C3041" i="34"/>
  <c r="B3041" i="34" s="1"/>
  <c r="K3040" i="34"/>
  <c r="C3040" i="34"/>
  <c r="B3040" i="34" s="1"/>
  <c r="K3039" i="34"/>
  <c r="C3039" i="34"/>
  <c r="B3039" i="34" s="1"/>
  <c r="K3038" i="34"/>
  <c r="C3038" i="34"/>
  <c r="B3038" i="34" s="1"/>
  <c r="K3037" i="34"/>
  <c r="C3037" i="34"/>
  <c r="B3037" i="34" s="1"/>
  <c r="K3011" i="34"/>
  <c r="C3011" i="34"/>
  <c r="B3011" i="34" s="1"/>
  <c r="K3010" i="34"/>
  <c r="C3010" i="34"/>
  <c r="B3010" i="34" s="1"/>
  <c r="K3009" i="34"/>
  <c r="C3009" i="34"/>
  <c r="B3009" i="34" s="1"/>
  <c r="K3008" i="34"/>
  <c r="C3008" i="34"/>
  <c r="B3008" i="34" s="1"/>
  <c r="K3007" i="34"/>
  <c r="C3007" i="34"/>
  <c r="B3007" i="34" s="1"/>
  <c r="K3006" i="34"/>
  <c r="C3006" i="34"/>
  <c r="B3006" i="34" s="1"/>
  <c r="K3005" i="34"/>
  <c r="C3005" i="34"/>
  <c r="B3005" i="34" s="1"/>
  <c r="K3004" i="34"/>
  <c r="C3004" i="34"/>
  <c r="B3004" i="34" s="1"/>
  <c r="K3003" i="34"/>
  <c r="C3003" i="34"/>
  <c r="B3003" i="34" s="1"/>
  <c r="K3002" i="34"/>
  <c r="C3002" i="34"/>
  <c r="B3002" i="34" s="1"/>
  <c r="K3001" i="34"/>
  <c r="C3001" i="34"/>
  <c r="B3001" i="34" s="1"/>
  <c r="K3000" i="34"/>
  <c r="C3000" i="34"/>
  <c r="B3000" i="34" s="1"/>
  <c r="K2999" i="34"/>
  <c r="C2999" i="34"/>
  <c r="B2999" i="34" s="1"/>
  <c r="K2998" i="34"/>
  <c r="C2998" i="34"/>
  <c r="B2998" i="34" s="1"/>
  <c r="K2997" i="34"/>
  <c r="C2997" i="34"/>
  <c r="B2997" i="34" s="1"/>
  <c r="K2996" i="34"/>
  <c r="C2996" i="34"/>
  <c r="B2996" i="34" s="1"/>
  <c r="K2995" i="34"/>
  <c r="C2995" i="34"/>
  <c r="B2995" i="34" s="1"/>
  <c r="K2994" i="34"/>
  <c r="C2994" i="34"/>
  <c r="B2994" i="34" s="1"/>
  <c r="K2993" i="34"/>
  <c r="C2993" i="34"/>
  <c r="B2993" i="34" s="1"/>
  <c r="K2992" i="34"/>
  <c r="C2992" i="34"/>
  <c r="B2992" i="34" s="1"/>
  <c r="K2991" i="34"/>
  <c r="C2991" i="34"/>
  <c r="B2991" i="34" s="1"/>
  <c r="K2990" i="34"/>
  <c r="C2990" i="34"/>
  <c r="B2990" i="34" s="1"/>
  <c r="K2989" i="34"/>
  <c r="C2989" i="34"/>
  <c r="B2989" i="34" s="1"/>
  <c r="K2988" i="34"/>
  <c r="C2988" i="34"/>
  <c r="B2988" i="34" s="1"/>
  <c r="K2987" i="34"/>
  <c r="C2987" i="34"/>
  <c r="B2987" i="34" s="1"/>
  <c r="K2986" i="34"/>
  <c r="C2986" i="34"/>
  <c r="B2986" i="34" s="1"/>
  <c r="K2985" i="34"/>
  <c r="C2985" i="34"/>
  <c r="B2985" i="34" s="1"/>
  <c r="K2984" i="34"/>
  <c r="C2984" i="34"/>
  <c r="B2984" i="34" s="1"/>
  <c r="K2983" i="34"/>
  <c r="C2983" i="34"/>
  <c r="B2983" i="34" s="1"/>
  <c r="K2982" i="34"/>
  <c r="C2982" i="34"/>
  <c r="B2982" i="34" s="1"/>
  <c r="K3036" i="34"/>
  <c r="C3036" i="34"/>
  <c r="B3036" i="34" s="1"/>
  <c r="K3035" i="34"/>
  <c r="C3035" i="34"/>
  <c r="B3035" i="34" s="1"/>
  <c r="K3034" i="34"/>
  <c r="C3034" i="34"/>
  <c r="B3034" i="34" s="1"/>
  <c r="K3033" i="34"/>
  <c r="C3033" i="34"/>
  <c r="B3033" i="34" s="1"/>
  <c r="K3032" i="34"/>
  <c r="C3032" i="34"/>
  <c r="B3032" i="34" s="1"/>
  <c r="K3031" i="34"/>
  <c r="C3031" i="34"/>
  <c r="B3031" i="34" s="1"/>
  <c r="K3030" i="34"/>
  <c r="C3030" i="34"/>
  <c r="B3030" i="34" s="1"/>
  <c r="K3029" i="34"/>
  <c r="C3029" i="34"/>
  <c r="B3029" i="34" s="1"/>
  <c r="K3028" i="34"/>
  <c r="C3028" i="34"/>
  <c r="B3028" i="34" s="1"/>
  <c r="K3027" i="34"/>
  <c r="C3027" i="34"/>
  <c r="B3027" i="34" s="1"/>
  <c r="K3026" i="34"/>
  <c r="C3026" i="34"/>
  <c r="B3026" i="34" s="1"/>
  <c r="K3025" i="34"/>
  <c r="C3025" i="34"/>
  <c r="B3025" i="34" s="1"/>
  <c r="K3024" i="34"/>
  <c r="C3024" i="34"/>
  <c r="B3024" i="34" s="1"/>
  <c r="K3023" i="34"/>
  <c r="C3023" i="34"/>
  <c r="B3023" i="34" s="1"/>
  <c r="K3022" i="34"/>
  <c r="C3022" i="34"/>
  <c r="B3022" i="34" s="1"/>
  <c r="K3021" i="34"/>
  <c r="C3021" i="34"/>
  <c r="B3021" i="34" s="1"/>
  <c r="K3020" i="34"/>
  <c r="C3020" i="34"/>
  <c r="B3020" i="34" s="1"/>
  <c r="K3019" i="34"/>
  <c r="C3019" i="34"/>
  <c r="B3019" i="34" s="1"/>
  <c r="K3018" i="34"/>
  <c r="C3018" i="34"/>
  <c r="B3018" i="34" s="1"/>
  <c r="K3017" i="34"/>
  <c r="C3017" i="34"/>
  <c r="B3017" i="34" s="1"/>
  <c r="K3016" i="34"/>
  <c r="C3016" i="34"/>
  <c r="B3016" i="34" s="1"/>
  <c r="K3015" i="34"/>
  <c r="C3015" i="34"/>
  <c r="B3015" i="34" s="1"/>
  <c r="K3014" i="34"/>
  <c r="C3014" i="34"/>
  <c r="B3014" i="34" s="1"/>
  <c r="K3013" i="34"/>
  <c r="C3013" i="34"/>
  <c r="B3013" i="34" s="1"/>
  <c r="K3012" i="34"/>
  <c r="C3012" i="34"/>
  <c r="B3012" i="34" s="1"/>
  <c r="D140" i="60"/>
  <c r="O547" i="79"/>
  <c r="O487" i="79"/>
  <c r="O486" i="79"/>
  <c r="O472" i="79"/>
  <c r="O471" i="79"/>
  <c r="O470" i="79"/>
  <c r="O469" i="79"/>
  <c r="O463" i="79"/>
  <c r="O460" i="79"/>
  <c r="O459" i="79"/>
  <c r="O454" i="79"/>
  <c r="O441" i="79"/>
  <c r="O426" i="79"/>
  <c r="O424" i="79"/>
  <c r="O404" i="79"/>
  <c r="O403" i="79"/>
  <c r="O402" i="79"/>
  <c r="O394" i="79"/>
  <c r="O329" i="79"/>
  <c r="O291" i="79"/>
  <c r="O288" i="79"/>
  <c r="O287" i="79"/>
  <c r="O285" i="79"/>
  <c r="O284" i="79"/>
  <c r="O281" i="79"/>
  <c r="O278" i="79"/>
  <c r="O277" i="79"/>
  <c r="O276" i="79"/>
  <c r="O273" i="79"/>
  <c r="O255" i="79"/>
  <c r="O250" i="79"/>
  <c r="O248" i="79"/>
  <c r="O209" i="79"/>
  <c r="O208" i="79"/>
  <c r="O207" i="79"/>
  <c r="O199" i="79"/>
  <c r="O198" i="79"/>
  <c r="O196" i="79"/>
  <c r="O193" i="79"/>
  <c r="O183" i="79"/>
  <c r="O181" i="79"/>
  <c r="O177" i="79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N137" i="60"/>
  <c r="N138" i="60"/>
  <c r="Q138" i="60"/>
  <c r="C138" i="60" s="1"/>
  <c r="K3794" i="34"/>
  <c r="K3795" i="34"/>
  <c r="K3796" i="34"/>
  <c r="K3797" i="34"/>
  <c r="K3798" i="34"/>
  <c r="K3799" i="34"/>
  <c r="K3800" i="34"/>
  <c r="K3801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3817" i="34"/>
  <c r="K3819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59" i="34"/>
  <c r="K3760" i="34"/>
  <c r="K3761" i="34"/>
  <c r="K3762" i="34"/>
  <c r="K3763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Q3012" i="34" l="1"/>
  <c r="U3012" i="34"/>
  <c r="Z3012" i="34"/>
  <c r="O3012" i="34"/>
  <c r="W3012" i="34"/>
  <c r="P3012" i="34"/>
  <c r="A3012" i="34"/>
  <c r="O3014" i="34"/>
  <c r="W3014" i="34"/>
  <c r="P3014" i="34"/>
  <c r="Q3014" i="34"/>
  <c r="U3014" i="34"/>
  <c r="Z3014" i="34"/>
  <c r="A3014" i="34"/>
  <c r="Q3016" i="34"/>
  <c r="U3016" i="34"/>
  <c r="Z3016" i="34"/>
  <c r="O3016" i="34"/>
  <c r="W3016" i="34"/>
  <c r="P3016" i="34"/>
  <c r="A3016" i="34"/>
  <c r="O3018" i="34"/>
  <c r="W3018" i="34"/>
  <c r="P3018" i="34"/>
  <c r="Q3018" i="34"/>
  <c r="U3018" i="34"/>
  <c r="Z3018" i="34"/>
  <c r="A3018" i="34"/>
  <c r="Q3020" i="34"/>
  <c r="U3020" i="34"/>
  <c r="Z3020" i="34"/>
  <c r="O3020" i="34"/>
  <c r="W3020" i="34"/>
  <c r="P3020" i="34"/>
  <c r="A3020" i="34"/>
  <c r="O3022" i="34"/>
  <c r="W3022" i="34"/>
  <c r="P3022" i="34"/>
  <c r="Q3022" i="34"/>
  <c r="U3022" i="34"/>
  <c r="Z3022" i="34"/>
  <c r="A3022" i="34"/>
  <c r="Q3024" i="34"/>
  <c r="U3024" i="34"/>
  <c r="Z3024" i="34"/>
  <c r="O3024" i="34"/>
  <c r="W3024" i="34"/>
  <c r="P3024" i="34"/>
  <c r="A3024" i="34"/>
  <c r="O3026" i="34"/>
  <c r="W3026" i="34"/>
  <c r="P3026" i="34"/>
  <c r="Q3026" i="34"/>
  <c r="U3026" i="34"/>
  <c r="Z3026" i="34"/>
  <c r="A3026" i="34"/>
  <c r="Q3028" i="34"/>
  <c r="U3028" i="34"/>
  <c r="Z3028" i="34"/>
  <c r="O3028" i="34"/>
  <c r="W3028" i="34"/>
  <c r="P3028" i="34"/>
  <c r="A3028" i="34"/>
  <c r="O3030" i="34"/>
  <c r="W3030" i="34"/>
  <c r="P3030" i="34"/>
  <c r="Q3030" i="34"/>
  <c r="U3030" i="34"/>
  <c r="Z3030" i="34"/>
  <c r="A3030" i="34"/>
  <c r="Q3032" i="34"/>
  <c r="U3032" i="34"/>
  <c r="Z3032" i="34"/>
  <c r="O3032" i="34"/>
  <c r="W3032" i="34"/>
  <c r="P3032" i="34"/>
  <c r="A3032" i="34"/>
  <c r="O3034" i="34"/>
  <c r="W3034" i="34"/>
  <c r="P3034" i="34"/>
  <c r="Q3034" i="34"/>
  <c r="U3034" i="34"/>
  <c r="Z3034" i="34"/>
  <c r="A3034" i="34"/>
  <c r="Q3036" i="34"/>
  <c r="U3036" i="34"/>
  <c r="Z3036" i="34"/>
  <c r="O3036" i="34"/>
  <c r="W3036" i="34"/>
  <c r="P3036" i="34"/>
  <c r="A3036" i="34"/>
  <c r="Z2983" i="34"/>
  <c r="O2983" i="34"/>
  <c r="W2983" i="34"/>
  <c r="P2983" i="34"/>
  <c r="Q2983" i="34"/>
  <c r="U2983" i="34"/>
  <c r="A2983" i="34"/>
  <c r="P2985" i="34"/>
  <c r="Q2985" i="34"/>
  <c r="U2985" i="34"/>
  <c r="Z2985" i="34"/>
  <c r="O2985" i="34"/>
  <c r="W2985" i="34"/>
  <c r="A2985" i="34"/>
  <c r="Z2987" i="34"/>
  <c r="O2987" i="34"/>
  <c r="W2987" i="34"/>
  <c r="P2987" i="34"/>
  <c r="Q2987" i="34"/>
  <c r="U2987" i="34"/>
  <c r="A2987" i="34"/>
  <c r="P2989" i="34"/>
  <c r="Q2989" i="34"/>
  <c r="U2989" i="34"/>
  <c r="Z2989" i="34"/>
  <c r="O2989" i="34"/>
  <c r="W2989" i="34"/>
  <c r="A2989" i="34"/>
  <c r="Z2991" i="34"/>
  <c r="O2991" i="34"/>
  <c r="W2991" i="34"/>
  <c r="P2991" i="34"/>
  <c r="Q2991" i="34"/>
  <c r="U2991" i="34"/>
  <c r="A2991" i="34"/>
  <c r="P2993" i="34"/>
  <c r="Q2993" i="34"/>
  <c r="U2993" i="34"/>
  <c r="Z2993" i="34"/>
  <c r="O2993" i="34"/>
  <c r="W2993" i="34"/>
  <c r="A2993" i="34"/>
  <c r="Z2995" i="34"/>
  <c r="O2995" i="34"/>
  <c r="W2995" i="34"/>
  <c r="P2995" i="34"/>
  <c r="Q2995" i="34"/>
  <c r="U2995" i="34"/>
  <c r="A2995" i="34"/>
  <c r="P2997" i="34"/>
  <c r="Q2997" i="34"/>
  <c r="U2997" i="34"/>
  <c r="Z2997" i="34"/>
  <c r="O2997" i="34"/>
  <c r="W2997" i="34"/>
  <c r="A2997" i="34"/>
  <c r="Z2999" i="34"/>
  <c r="O2999" i="34"/>
  <c r="W2999" i="34"/>
  <c r="P2999" i="34"/>
  <c r="Q2999" i="34"/>
  <c r="U2999" i="34"/>
  <c r="A2999" i="34"/>
  <c r="P3001" i="34"/>
  <c r="Q3001" i="34"/>
  <c r="U3001" i="34"/>
  <c r="Z3001" i="34"/>
  <c r="O3001" i="34"/>
  <c r="W3001" i="34"/>
  <c r="A3001" i="34"/>
  <c r="Z3003" i="34"/>
  <c r="O3003" i="34"/>
  <c r="W3003" i="34"/>
  <c r="P3003" i="34"/>
  <c r="Q3003" i="34"/>
  <c r="U3003" i="34"/>
  <c r="A3003" i="34"/>
  <c r="P3005" i="34"/>
  <c r="Q3005" i="34"/>
  <c r="U3005" i="34"/>
  <c r="Z3005" i="34"/>
  <c r="O3005" i="34"/>
  <c r="W3005" i="34"/>
  <c r="A3005" i="34"/>
  <c r="Z3007" i="34"/>
  <c r="O3007" i="34"/>
  <c r="W3007" i="34"/>
  <c r="P3007" i="34"/>
  <c r="Q3007" i="34"/>
  <c r="U3007" i="34"/>
  <c r="A3007" i="34"/>
  <c r="P3009" i="34"/>
  <c r="Q3009" i="34"/>
  <c r="U3009" i="34"/>
  <c r="Z3009" i="34"/>
  <c r="O3009" i="34"/>
  <c r="W3009" i="34"/>
  <c r="A3009" i="34"/>
  <c r="Z3011" i="34"/>
  <c r="O3011" i="34"/>
  <c r="W3011" i="34"/>
  <c r="P3011" i="34"/>
  <c r="Q3011" i="34"/>
  <c r="U3011" i="34"/>
  <c r="A3011" i="34"/>
  <c r="O3038" i="34"/>
  <c r="W3038" i="34"/>
  <c r="P3038" i="34"/>
  <c r="Q3038" i="34"/>
  <c r="U3038" i="34"/>
  <c r="Z3038" i="34"/>
  <c r="A3038" i="34"/>
  <c r="Q3040" i="34"/>
  <c r="U3040" i="34"/>
  <c r="Z3040" i="34"/>
  <c r="O3040" i="34"/>
  <c r="W3040" i="34"/>
  <c r="P3040" i="34"/>
  <c r="A3040" i="34"/>
  <c r="O3042" i="34"/>
  <c r="W3042" i="34"/>
  <c r="P3042" i="34"/>
  <c r="Q3042" i="34"/>
  <c r="U3042" i="34"/>
  <c r="Z3042" i="34"/>
  <c r="A3042" i="34"/>
  <c r="Q3044" i="34"/>
  <c r="U3044" i="34"/>
  <c r="Z3044" i="34"/>
  <c r="O3044" i="34"/>
  <c r="W3044" i="34"/>
  <c r="P3044" i="34"/>
  <c r="A3044" i="34"/>
  <c r="O3046" i="34"/>
  <c r="W3046" i="34"/>
  <c r="P3046" i="34"/>
  <c r="Q3046" i="34"/>
  <c r="U3046" i="34"/>
  <c r="Z3046" i="34"/>
  <c r="A3046" i="34"/>
  <c r="Q3048" i="34"/>
  <c r="U3048" i="34"/>
  <c r="Z3048" i="34"/>
  <c r="O3048" i="34"/>
  <c r="W3048" i="34"/>
  <c r="P3048" i="34"/>
  <c r="A3048" i="34"/>
  <c r="O3050" i="34"/>
  <c r="W3050" i="34"/>
  <c r="P3050" i="34"/>
  <c r="Q3050" i="34"/>
  <c r="U3050" i="34"/>
  <c r="Z3050" i="34"/>
  <c r="A3050" i="34"/>
  <c r="Q3052" i="34"/>
  <c r="U3052" i="34"/>
  <c r="Z3052" i="34"/>
  <c r="O3052" i="34"/>
  <c r="W3052" i="34"/>
  <c r="P3052" i="34"/>
  <c r="A3052" i="34"/>
  <c r="O3054" i="34"/>
  <c r="W3054" i="34"/>
  <c r="P3054" i="34"/>
  <c r="Q3054" i="34"/>
  <c r="U3054" i="34"/>
  <c r="Z3054" i="34"/>
  <c r="A3054" i="34"/>
  <c r="Q3056" i="34"/>
  <c r="U3056" i="34"/>
  <c r="Z3056" i="34"/>
  <c r="O3056" i="34"/>
  <c r="W3056" i="34"/>
  <c r="P3056" i="34"/>
  <c r="A3056" i="34"/>
  <c r="O3058" i="34"/>
  <c r="W3058" i="34"/>
  <c r="P3058" i="34"/>
  <c r="Q3058" i="34"/>
  <c r="U3058" i="34"/>
  <c r="Z3058" i="34"/>
  <c r="A3058" i="34"/>
  <c r="Q3060" i="34"/>
  <c r="U3060" i="34"/>
  <c r="Z3060" i="34"/>
  <c r="O3060" i="34"/>
  <c r="W3060" i="34"/>
  <c r="P3060" i="34"/>
  <c r="A3060" i="34"/>
  <c r="O3062" i="34"/>
  <c r="W3062" i="34"/>
  <c r="P3062" i="34"/>
  <c r="Q3062" i="34"/>
  <c r="U3062" i="34"/>
  <c r="Z3062" i="34"/>
  <c r="A3062" i="34"/>
  <c r="Q3064" i="34"/>
  <c r="U3064" i="34"/>
  <c r="Z3064" i="34"/>
  <c r="O3064" i="34"/>
  <c r="W3064" i="34"/>
  <c r="P3064" i="34"/>
  <c r="A3064" i="34"/>
  <c r="O3066" i="34"/>
  <c r="W3066" i="34"/>
  <c r="P3066" i="34"/>
  <c r="Q3066" i="34"/>
  <c r="U3066" i="34"/>
  <c r="Z3066" i="34"/>
  <c r="A3066" i="34"/>
  <c r="Q3068" i="34"/>
  <c r="U3068" i="34"/>
  <c r="Z3068" i="34"/>
  <c r="O3068" i="34"/>
  <c r="W3068" i="34"/>
  <c r="P3068" i="34"/>
  <c r="A3068" i="34"/>
  <c r="O3070" i="34"/>
  <c r="W3070" i="34"/>
  <c r="P3070" i="34"/>
  <c r="Q3070" i="34"/>
  <c r="U3070" i="34"/>
  <c r="Z3070" i="34"/>
  <c r="A3070" i="34"/>
  <c r="Q3072" i="34"/>
  <c r="U3072" i="34"/>
  <c r="Z3072" i="34"/>
  <c r="O3072" i="34"/>
  <c r="W3072" i="34"/>
  <c r="P3072" i="34"/>
  <c r="A3072" i="34"/>
  <c r="O3074" i="34"/>
  <c r="W3074" i="34"/>
  <c r="P3074" i="34"/>
  <c r="Q3074" i="34"/>
  <c r="U3074" i="34"/>
  <c r="Z3074" i="34"/>
  <c r="A3074" i="34"/>
  <c r="O3114" i="34"/>
  <c r="W3114" i="34"/>
  <c r="P3114" i="34"/>
  <c r="Q3114" i="34"/>
  <c r="U3114" i="34"/>
  <c r="Z3114" i="34"/>
  <c r="A3114" i="34"/>
  <c r="Q3116" i="34"/>
  <c r="U3116" i="34"/>
  <c r="Z3116" i="34"/>
  <c r="O3116" i="34"/>
  <c r="W3116" i="34"/>
  <c r="P3116" i="34"/>
  <c r="A3116" i="34"/>
  <c r="O3118" i="34"/>
  <c r="W3118" i="34"/>
  <c r="P3118" i="34"/>
  <c r="Q3118" i="34"/>
  <c r="U3118" i="34"/>
  <c r="Z3118" i="34"/>
  <c r="A3118" i="34"/>
  <c r="Q3120" i="34"/>
  <c r="U3120" i="34"/>
  <c r="Z3120" i="34"/>
  <c r="O3120" i="34"/>
  <c r="W3120" i="34"/>
  <c r="P3120" i="34"/>
  <c r="A3120" i="34"/>
  <c r="O3122" i="34"/>
  <c r="W3122" i="34"/>
  <c r="P3122" i="34"/>
  <c r="Q3122" i="34"/>
  <c r="U3122" i="34"/>
  <c r="Z3122" i="34"/>
  <c r="A3122" i="34"/>
  <c r="Q3124" i="34"/>
  <c r="U3124" i="34"/>
  <c r="Z3124" i="34"/>
  <c r="O3124" i="34"/>
  <c r="W3124" i="34"/>
  <c r="P3124" i="34"/>
  <c r="A3124" i="34"/>
  <c r="O3126" i="34"/>
  <c r="W3126" i="34"/>
  <c r="P3126" i="34"/>
  <c r="Q3126" i="34"/>
  <c r="U3126" i="34"/>
  <c r="Z3126" i="34"/>
  <c r="A3126" i="34"/>
  <c r="Q3128" i="34"/>
  <c r="U3128" i="34"/>
  <c r="Z3128" i="34"/>
  <c r="O3128" i="34"/>
  <c r="W3128" i="34"/>
  <c r="P3128" i="34"/>
  <c r="A3128" i="34"/>
  <c r="O3130" i="34"/>
  <c r="W3130" i="34"/>
  <c r="P3130" i="34"/>
  <c r="Q3130" i="34"/>
  <c r="U3130" i="34"/>
  <c r="Z3130" i="34"/>
  <c r="A3130" i="34"/>
  <c r="Q3132" i="34"/>
  <c r="U3132" i="34"/>
  <c r="Z3132" i="34"/>
  <c r="O3132" i="34"/>
  <c r="W3132" i="34"/>
  <c r="P3132" i="34"/>
  <c r="A3132" i="34"/>
  <c r="O3134" i="34"/>
  <c r="W3134" i="34"/>
  <c r="P3134" i="34"/>
  <c r="Q3134" i="34"/>
  <c r="U3134" i="34"/>
  <c r="Z3134" i="34"/>
  <c r="A3134" i="34"/>
  <c r="Q3136" i="34"/>
  <c r="U3136" i="34"/>
  <c r="Z3136" i="34"/>
  <c r="O3136" i="34"/>
  <c r="W3136" i="34"/>
  <c r="P3136" i="34"/>
  <c r="A3136" i="34"/>
  <c r="O3138" i="34"/>
  <c r="W3138" i="34"/>
  <c r="P3138" i="34"/>
  <c r="Q3138" i="34"/>
  <c r="U3138" i="34"/>
  <c r="Z3138" i="34"/>
  <c r="A3138" i="34"/>
  <c r="Q3140" i="34"/>
  <c r="U3140" i="34"/>
  <c r="Z3140" i="34"/>
  <c r="O3140" i="34"/>
  <c r="W3140" i="34"/>
  <c r="P3140" i="34"/>
  <c r="A3140" i="34"/>
  <c r="O3142" i="34"/>
  <c r="W3142" i="34"/>
  <c r="P3142" i="34"/>
  <c r="Q3142" i="34"/>
  <c r="U3142" i="34"/>
  <c r="Z3142" i="34"/>
  <c r="A3142" i="34"/>
  <c r="Q3144" i="34"/>
  <c r="U3144" i="34"/>
  <c r="Z3144" i="34"/>
  <c r="O3144" i="34"/>
  <c r="W3144" i="34"/>
  <c r="P3144" i="34"/>
  <c r="A3144" i="34"/>
  <c r="O3146" i="34"/>
  <c r="W3146" i="34"/>
  <c r="P3146" i="34"/>
  <c r="Q3146" i="34"/>
  <c r="U3146" i="34"/>
  <c r="Z3146" i="34"/>
  <c r="A3146" i="34"/>
  <c r="Q3148" i="34"/>
  <c r="U3148" i="34"/>
  <c r="Z3148" i="34"/>
  <c r="O3148" i="34"/>
  <c r="W3148" i="34"/>
  <c r="P3148" i="34"/>
  <c r="A3148" i="34"/>
  <c r="O3150" i="34"/>
  <c r="W3150" i="34"/>
  <c r="P3150" i="34"/>
  <c r="Q3150" i="34"/>
  <c r="U3150" i="34"/>
  <c r="Z3150" i="34"/>
  <c r="A3150" i="34"/>
  <c r="Q3076" i="34"/>
  <c r="U3076" i="34"/>
  <c r="Z3076" i="34"/>
  <c r="O3076" i="34"/>
  <c r="W3076" i="34"/>
  <c r="P3076" i="34"/>
  <c r="A3076" i="34"/>
  <c r="O3078" i="34"/>
  <c r="W3078" i="34"/>
  <c r="P3078" i="34"/>
  <c r="Q3078" i="34"/>
  <c r="U3078" i="34"/>
  <c r="Z3078" i="34"/>
  <c r="A3078" i="34"/>
  <c r="Q3080" i="34"/>
  <c r="U3080" i="34"/>
  <c r="Z3080" i="34"/>
  <c r="O3080" i="34"/>
  <c r="W3080" i="34"/>
  <c r="P3080" i="34"/>
  <c r="A3080" i="34"/>
  <c r="O3082" i="34"/>
  <c r="W3082" i="34"/>
  <c r="P3082" i="34"/>
  <c r="Q3082" i="34"/>
  <c r="U3082" i="34"/>
  <c r="Z3082" i="34"/>
  <c r="A3082" i="34"/>
  <c r="Q3084" i="34"/>
  <c r="U3084" i="34"/>
  <c r="Z3084" i="34"/>
  <c r="O3084" i="34"/>
  <c r="W3084" i="34"/>
  <c r="P3084" i="34"/>
  <c r="A3084" i="34"/>
  <c r="O3086" i="34"/>
  <c r="W3086" i="34"/>
  <c r="P3086" i="34"/>
  <c r="Q3086" i="34"/>
  <c r="U3086" i="34"/>
  <c r="Z3086" i="34"/>
  <c r="A3086" i="34"/>
  <c r="Q3088" i="34"/>
  <c r="U3088" i="34"/>
  <c r="Z3088" i="34"/>
  <c r="O3088" i="34"/>
  <c r="W3088" i="34"/>
  <c r="P3088" i="34"/>
  <c r="A3088" i="34"/>
  <c r="O3090" i="34"/>
  <c r="W3090" i="34"/>
  <c r="P3090" i="34"/>
  <c r="Q3090" i="34"/>
  <c r="U3090" i="34"/>
  <c r="Z3090" i="34"/>
  <c r="A3090" i="34"/>
  <c r="Q3092" i="34"/>
  <c r="U3092" i="34"/>
  <c r="Z3092" i="34"/>
  <c r="O3092" i="34"/>
  <c r="W3092" i="34"/>
  <c r="P3092" i="34"/>
  <c r="A3092" i="34"/>
  <c r="O3094" i="34"/>
  <c r="W3094" i="34"/>
  <c r="P3094" i="34"/>
  <c r="Q3094" i="34"/>
  <c r="U3094" i="34"/>
  <c r="Z3094" i="34"/>
  <c r="A3094" i="34"/>
  <c r="Q3096" i="34"/>
  <c r="U3096" i="34"/>
  <c r="Z3096" i="34"/>
  <c r="O3096" i="34"/>
  <c r="W3096" i="34"/>
  <c r="P3096" i="34"/>
  <c r="A3096" i="34"/>
  <c r="O3098" i="34"/>
  <c r="W3098" i="34"/>
  <c r="P3098" i="34"/>
  <c r="Q3098" i="34"/>
  <c r="U3098" i="34"/>
  <c r="Z3098" i="34"/>
  <c r="A3098" i="34"/>
  <c r="Q3100" i="34"/>
  <c r="U3100" i="34"/>
  <c r="Z3100" i="34"/>
  <c r="O3100" i="34"/>
  <c r="W3100" i="34"/>
  <c r="P3100" i="34"/>
  <c r="A3100" i="34"/>
  <c r="O3102" i="34"/>
  <c r="W3102" i="34"/>
  <c r="P3102" i="34"/>
  <c r="Q3102" i="34"/>
  <c r="U3102" i="34"/>
  <c r="Z3102" i="34"/>
  <c r="A3102" i="34"/>
  <c r="Q3104" i="34"/>
  <c r="U3104" i="34"/>
  <c r="Z3104" i="34"/>
  <c r="O3104" i="34"/>
  <c r="W3104" i="34"/>
  <c r="P3104" i="34"/>
  <c r="A3104" i="34"/>
  <c r="O3106" i="34"/>
  <c r="W3106" i="34"/>
  <c r="P3106" i="34"/>
  <c r="Q3106" i="34"/>
  <c r="U3106" i="34"/>
  <c r="Z3106" i="34"/>
  <c r="A3106" i="34"/>
  <c r="Q3108" i="34"/>
  <c r="U3108" i="34"/>
  <c r="Z3108" i="34"/>
  <c r="O3108" i="34"/>
  <c r="W3108" i="34"/>
  <c r="P3108" i="34"/>
  <c r="A3108" i="34"/>
  <c r="O3110" i="34"/>
  <c r="W3110" i="34"/>
  <c r="P3110" i="34"/>
  <c r="Q3110" i="34"/>
  <c r="U3110" i="34"/>
  <c r="Z3110" i="34"/>
  <c r="A3110" i="34"/>
  <c r="Q3112" i="34"/>
  <c r="U3112" i="34"/>
  <c r="Z3112" i="34"/>
  <c r="O3112" i="34"/>
  <c r="W3112" i="34"/>
  <c r="P3112" i="34"/>
  <c r="A3112" i="34"/>
  <c r="Z3549" i="34"/>
  <c r="O3549" i="34"/>
  <c r="W3549" i="34"/>
  <c r="P3549" i="34"/>
  <c r="Q3549" i="34"/>
  <c r="U3549" i="34"/>
  <c r="A3549" i="34"/>
  <c r="Z3553" i="34"/>
  <c r="O3553" i="34"/>
  <c r="W3553" i="34"/>
  <c r="P3553" i="34"/>
  <c r="Q3553" i="34"/>
  <c r="U3553" i="34"/>
  <c r="A3553" i="34"/>
  <c r="Z3557" i="34"/>
  <c r="O3557" i="34"/>
  <c r="W3557" i="34"/>
  <c r="P3557" i="34"/>
  <c r="Q3557" i="34"/>
  <c r="U3557" i="34"/>
  <c r="A3557" i="34"/>
  <c r="Z3561" i="34"/>
  <c r="O3561" i="34"/>
  <c r="W3561" i="34"/>
  <c r="P3561" i="34"/>
  <c r="Q3561" i="34"/>
  <c r="U3561" i="34"/>
  <c r="A3561" i="34"/>
  <c r="Z3565" i="34"/>
  <c r="O3565" i="34"/>
  <c r="W3565" i="34"/>
  <c r="P3565" i="34"/>
  <c r="Q3565" i="34"/>
  <c r="U3565" i="34"/>
  <c r="A3565" i="34"/>
  <c r="Z3569" i="34"/>
  <c r="O3569" i="34"/>
  <c r="W3569" i="34"/>
  <c r="P3569" i="34"/>
  <c r="Q3569" i="34"/>
  <c r="U3569" i="34"/>
  <c r="A3569" i="34"/>
  <c r="Z3573" i="34"/>
  <c r="O3573" i="34"/>
  <c r="W3573" i="34"/>
  <c r="P3573" i="34"/>
  <c r="Q3573" i="34"/>
  <c r="U3573" i="34"/>
  <c r="A3573" i="34"/>
  <c r="Z3577" i="34"/>
  <c r="O3577" i="34"/>
  <c r="W3577" i="34"/>
  <c r="P3577" i="34"/>
  <c r="Q3577" i="34"/>
  <c r="U3577" i="34"/>
  <c r="A3577" i="34"/>
  <c r="Z3581" i="34"/>
  <c r="O3581" i="34"/>
  <c r="W3581" i="34"/>
  <c r="P3581" i="34"/>
  <c r="Q3581" i="34"/>
  <c r="U3581" i="34"/>
  <c r="A3581" i="34"/>
  <c r="Z3585" i="34"/>
  <c r="O3585" i="34"/>
  <c r="W3585" i="34"/>
  <c r="P3585" i="34"/>
  <c r="Q3585" i="34"/>
  <c r="U3585" i="34"/>
  <c r="A3585" i="34"/>
  <c r="Z3589" i="34"/>
  <c r="O3589" i="34"/>
  <c r="W3589" i="34"/>
  <c r="P3589" i="34"/>
  <c r="Q3589" i="34"/>
  <c r="U3589" i="34"/>
  <c r="A3589" i="34"/>
  <c r="Z3593" i="34"/>
  <c r="O3593" i="34"/>
  <c r="W3593" i="34"/>
  <c r="P3593" i="34"/>
  <c r="Q3593" i="34"/>
  <c r="U3593" i="34"/>
  <c r="A3593" i="34"/>
  <c r="Z3597" i="34"/>
  <c r="O3597" i="34"/>
  <c r="W3597" i="34"/>
  <c r="P3597" i="34"/>
  <c r="Q3597" i="34"/>
  <c r="U3597" i="34"/>
  <c r="A3597" i="34"/>
  <c r="Z3601" i="34"/>
  <c r="O3601" i="34"/>
  <c r="W3601" i="34"/>
  <c r="P3601" i="34"/>
  <c r="Q3601" i="34"/>
  <c r="U3601" i="34"/>
  <c r="A3601" i="34"/>
  <c r="Z3605" i="34"/>
  <c r="O3605" i="34"/>
  <c r="W3605" i="34"/>
  <c r="P3605" i="34"/>
  <c r="Q3605" i="34"/>
  <c r="U3605" i="34"/>
  <c r="A3605" i="34"/>
  <c r="Z3609" i="34"/>
  <c r="O3609" i="34"/>
  <c r="W3609" i="34"/>
  <c r="P3609" i="34"/>
  <c r="Q3609" i="34"/>
  <c r="U3609" i="34"/>
  <c r="A3609" i="34"/>
  <c r="Q3550" i="34"/>
  <c r="U3550" i="34"/>
  <c r="Z3550" i="34"/>
  <c r="O3550" i="34"/>
  <c r="W3550" i="34"/>
  <c r="P3550" i="34"/>
  <c r="A3550" i="34"/>
  <c r="Q3554" i="34"/>
  <c r="U3554" i="34"/>
  <c r="Z3554" i="34"/>
  <c r="O3554" i="34"/>
  <c r="W3554" i="34"/>
  <c r="P3554" i="34"/>
  <c r="A3554" i="34"/>
  <c r="Q3558" i="34"/>
  <c r="U3558" i="34"/>
  <c r="Z3558" i="34"/>
  <c r="O3558" i="34"/>
  <c r="W3558" i="34"/>
  <c r="P3558" i="34"/>
  <c r="A3558" i="34"/>
  <c r="Q3562" i="34"/>
  <c r="U3562" i="34"/>
  <c r="Z3562" i="34"/>
  <c r="O3562" i="34"/>
  <c r="W3562" i="34"/>
  <c r="P3562" i="34"/>
  <c r="A3562" i="34"/>
  <c r="Q3566" i="34"/>
  <c r="U3566" i="34"/>
  <c r="Z3566" i="34"/>
  <c r="O3566" i="34"/>
  <c r="W3566" i="34"/>
  <c r="P3566" i="34"/>
  <c r="A3566" i="34"/>
  <c r="Q3570" i="34"/>
  <c r="U3570" i="34"/>
  <c r="Z3570" i="34"/>
  <c r="O3570" i="34"/>
  <c r="W3570" i="34"/>
  <c r="P3570" i="34"/>
  <c r="A3570" i="34"/>
  <c r="Q3574" i="34"/>
  <c r="U3574" i="34"/>
  <c r="Z3574" i="34"/>
  <c r="O3574" i="34"/>
  <c r="W3574" i="34"/>
  <c r="P3574" i="34"/>
  <c r="A3574" i="34"/>
  <c r="Q3578" i="34"/>
  <c r="U3578" i="34"/>
  <c r="Z3578" i="34"/>
  <c r="O3578" i="34"/>
  <c r="W3578" i="34"/>
  <c r="P3578" i="34"/>
  <c r="A3578" i="34"/>
  <c r="Q3582" i="34"/>
  <c r="U3582" i="34"/>
  <c r="Z3582" i="34"/>
  <c r="O3582" i="34"/>
  <c r="W3582" i="34"/>
  <c r="P3582" i="34"/>
  <c r="A3582" i="34"/>
  <c r="Q3586" i="34"/>
  <c r="U3586" i="34"/>
  <c r="Z3586" i="34"/>
  <c r="O3586" i="34"/>
  <c r="W3586" i="34"/>
  <c r="P3586" i="34"/>
  <c r="A3586" i="34"/>
  <c r="Q3590" i="34"/>
  <c r="U3590" i="34"/>
  <c r="Z3590" i="34"/>
  <c r="O3590" i="34"/>
  <c r="W3590" i="34"/>
  <c r="P3590" i="34"/>
  <c r="A3590" i="34"/>
  <c r="Q3594" i="34"/>
  <c r="U3594" i="34"/>
  <c r="Z3594" i="34"/>
  <c r="O3594" i="34"/>
  <c r="W3594" i="34"/>
  <c r="P3594" i="34"/>
  <c r="A3594" i="34"/>
  <c r="Q3598" i="34"/>
  <c r="U3598" i="34"/>
  <c r="Z3598" i="34"/>
  <c r="O3598" i="34"/>
  <c r="W3598" i="34"/>
  <c r="P3598" i="34"/>
  <c r="A3598" i="34"/>
  <c r="Q3602" i="34"/>
  <c r="U3602" i="34"/>
  <c r="Z3602" i="34"/>
  <c r="O3602" i="34"/>
  <c r="W3602" i="34"/>
  <c r="P3602" i="34"/>
  <c r="A3602" i="34"/>
  <c r="Q3606" i="34"/>
  <c r="U3606" i="34"/>
  <c r="Z3606" i="34"/>
  <c r="O3606" i="34"/>
  <c r="W3606" i="34"/>
  <c r="P3606" i="34"/>
  <c r="A3606" i="34"/>
  <c r="Q3610" i="34"/>
  <c r="U3610" i="34"/>
  <c r="Z3610" i="34"/>
  <c r="O3610" i="34"/>
  <c r="W3610" i="34"/>
  <c r="P3610" i="34"/>
  <c r="A3610" i="34"/>
  <c r="P3013" i="34"/>
  <c r="Q3013" i="34"/>
  <c r="U3013" i="34"/>
  <c r="Z3013" i="34"/>
  <c r="O3013" i="34"/>
  <c r="W3013" i="34"/>
  <c r="A3013" i="34"/>
  <c r="Z3015" i="34"/>
  <c r="O3015" i="34"/>
  <c r="W3015" i="34"/>
  <c r="P3015" i="34"/>
  <c r="Q3015" i="34"/>
  <c r="U3015" i="34"/>
  <c r="A3015" i="34"/>
  <c r="P3017" i="34"/>
  <c r="Q3017" i="34"/>
  <c r="U3017" i="34"/>
  <c r="Z3017" i="34"/>
  <c r="O3017" i="34"/>
  <c r="W3017" i="34"/>
  <c r="A3017" i="34"/>
  <c r="Z3019" i="34"/>
  <c r="O3019" i="34"/>
  <c r="W3019" i="34"/>
  <c r="P3019" i="34"/>
  <c r="Q3019" i="34"/>
  <c r="U3019" i="34"/>
  <c r="A3019" i="34"/>
  <c r="P3021" i="34"/>
  <c r="Q3021" i="34"/>
  <c r="U3021" i="34"/>
  <c r="Z3021" i="34"/>
  <c r="O3021" i="34"/>
  <c r="W3021" i="34"/>
  <c r="A3021" i="34"/>
  <c r="Z3023" i="34"/>
  <c r="O3023" i="34"/>
  <c r="W3023" i="34"/>
  <c r="P3023" i="34"/>
  <c r="Q3023" i="34"/>
  <c r="U3023" i="34"/>
  <c r="A3023" i="34"/>
  <c r="P3025" i="34"/>
  <c r="Q3025" i="34"/>
  <c r="U3025" i="34"/>
  <c r="Z3025" i="34"/>
  <c r="O3025" i="34"/>
  <c r="W3025" i="34"/>
  <c r="A3025" i="34"/>
  <c r="Z3027" i="34"/>
  <c r="O3027" i="34"/>
  <c r="W3027" i="34"/>
  <c r="P3027" i="34"/>
  <c r="Q3027" i="34"/>
  <c r="U3027" i="34"/>
  <c r="A3027" i="34"/>
  <c r="P3029" i="34"/>
  <c r="Q3029" i="34"/>
  <c r="U3029" i="34"/>
  <c r="Z3029" i="34"/>
  <c r="O3029" i="34"/>
  <c r="W3029" i="34"/>
  <c r="A3029" i="34"/>
  <c r="Z3031" i="34"/>
  <c r="O3031" i="34"/>
  <c r="W3031" i="34"/>
  <c r="P3031" i="34"/>
  <c r="Q3031" i="34"/>
  <c r="U3031" i="34"/>
  <c r="A3031" i="34"/>
  <c r="P3033" i="34"/>
  <c r="Q3033" i="34"/>
  <c r="U3033" i="34"/>
  <c r="Z3033" i="34"/>
  <c r="O3033" i="34"/>
  <c r="W3033" i="34"/>
  <c r="A3033" i="34"/>
  <c r="Z3035" i="34"/>
  <c r="O3035" i="34"/>
  <c r="W3035" i="34"/>
  <c r="P3035" i="34"/>
  <c r="Q3035" i="34"/>
  <c r="U3035" i="34"/>
  <c r="A3035" i="34"/>
  <c r="O2982" i="34"/>
  <c r="W2982" i="34"/>
  <c r="P2982" i="34"/>
  <c r="Q2982" i="34"/>
  <c r="U2982" i="34"/>
  <c r="Z2982" i="34"/>
  <c r="A2982" i="34"/>
  <c r="Q2984" i="34"/>
  <c r="U2984" i="34"/>
  <c r="Z2984" i="34"/>
  <c r="O2984" i="34"/>
  <c r="W2984" i="34"/>
  <c r="P2984" i="34"/>
  <c r="A2984" i="34"/>
  <c r="O2986" i="34"/>
  <c r="W2986" i="34"/>
  <c r="P2986" i="34"/>
  <c r="Q2986" i="34"/>
  <c r="U2986" i="34"/>
  <c r="Z2986" i="34"/>
  <c r="A2986" i="34"/>
  <c r="Q2988" i="34"/>
  <c r="U2988" i="34"/>
  <c r="Z2988" i="34"/>
  <c r="O2988" i="34"/>
  <c r="W2988" i="34"/>
  <c r="P2988" i="34"/>
  <c r="A2988" i="34"/>
  <c r="O2990" i="34"/>
  <c r="W2990" i="34"/>
  <c r="P2990" i="34"/>
  <c r="Q2990" i="34"/>
  <c r="U2990" i="34"/>
  <c r="Z2990" i="34"/>
  <c r="A2990" i="34"/>
  <c r="Q2992" i="34"/>
  <c r="U2992" i="34"/>
  <c r="Z2992" i="34"/>
  <c r="O2992" i="34"/>
  <c r="W2992" i="34"/>
  <c r="P2992" i="34"/>
  <c r="A2992" i="34"/>
  <c r="O2994" i="34"/>
  <c r="W2994" i="34"/>
  <c r="P2994" i="34"/>
  <c r="Q2994" i="34"/>
  <c r="U2994" i="34"/>
  <c r="Z2994" i="34"/>
  <c r="A2994" i="34"/>
  <c r="Q2996" i="34"/>
  <c r="U2996" i="34"/>
  <c r="Z2996" i="34"/>
  <c r="O2996" i="34"/>
  <c r="W2996" i="34"/>
  <c r="P2996" i="34"/>
  <c r="A2996" i="34"/>
  <c r="O2998" i="34"/>
  <c r="W2998" i="34"/>
  <c r="P2998" i="34"/>
  <c r="Q2998" i="34"/>
  <c r="U2998" i="34"/>
  <c r="Z2998" i="34"/>
  <c r="A2998" i="34"/>
  <c r="Q3000" i="34"/>
  <c r="U3000" i="34"/>
  <c r="Z3000" i="34"/>
  <c r="O3000" i="34"/>
  <c r="W3000" i="34"/>
  <c r="P3000" i="34"/>
  <c r="A3000" i="34"/>
  <c r="O3002" i="34"/>
  <c r="W3002" i="34"/>
  <c r="P3002" i="34"/>
  <c r="Q3002" i="34"/>
  <c r="U3002" i="34"/>
  <c r="Z3002" i="34"/>
  <c r="A3002" i="34"/>
  <c r="Q3004" i="34"/>
  <c r="U3004" i="34"/>
  <c r="Z3004" i="34"/>
  <c r="O3004" i="34"/>
  <c r="W3004" i="34"/>
  <c r="P3004" i="34"/>
  <c r="A3004" i="34"/>
  <c r="O3006" i="34"/>
  <c r="W3006" i="34"/>
  <c r="P3006" i="34"/>
  <c r="Q3006" i="34"/>
  <c r="U3006" i="34"/>
  <c r="Z3006" i="34"/>
  <c r="A3006" i="34"/>
  <c r="Q3008" i="34"/>
  <c r="U3008" i="34"/>
  <c r="Z3008" i="34"/>
  <c r="O3008" i="34"/>
  <c r="W3008" i="34"/>
  <c r="P3008" i="34"/>
  <c r="A3008" i="34"/>
  <c r="O3010" i="34"/>
  <c r="W3010" i="34"/>
  <c r="P3010" i="34"/>
  <c r="Q3010" i="34"/>
  <c r="U3010" i="34"/>
  <c r="Z3010" i="34"/>
  <c r="A3010" i="34"/>
  <c r="P3037" i="34"/>
  <c r="Q3037" i="34"/>
  <c r="U3037" i="34"/>
  <c r="Z3037" i="34"/>
  <c r="O3037" i="34"/>
  <c r="W3037" i="34"/>
  <c r="A3037" i="34"/>
  <c r="Z3039" i="34"/>
  <c r="O3039" i="34"/>
  <c r="W3039" i="34"/>
  <c r="P3039" i="34"/>
  <c r="Q3039" i="34"/>
  <c r="U3039" i="34"/>
  <c r="A3039" i="34"/>
  <c r="P3041" i="34"/>
  <c r="Q3041" i="34"/>
  <c r="U3041" i="34"/>
  <c r="Z3041" i="34"/>
  <c r="O3041" i="34"/>
  <c r="W3041" i="34"/>
  <c r="A3041" i="34"/>
  <c r="Z3043" i="34"/>
  <c r="O3043" i="34"/>
  <c r="W3043" i="34"/>
  <c r="P3043" i="34"/>
  <c r="Q3043" i="34"/>
  <c r="U3043" i="34"/>
  <c r="A3043" i="34"/>
  <c r="P3045" i="34"/>
  <c r="Q3045" i="34"/>
  <c r="U3045" i="34"/>
  <c r="Z3045" i="34"/>
  <c r="O3045" i="34"/>
  <c r="W3045" i="34"/>
  <c r="A3045" i="34"/>
  <c r="Z3047" i="34"/>
  <c r="O3047" i="34"/>
  <c r="W3047" i="34"/>
  <c r="P3047" i="34"/>
  <c r="Q3047" i="34"/>
  <c r="U3047" i="34"/>
  <c r="A3047" i="34"/>
  <c r="P3049" i="34"/>
  <c r="Q3049" i="34"/>
  <c r="U3049" i="34"/>
  <c r="Z3049" i="34"/>
  <c r="O3049" i="34"/>
  <c r="W3049" i="34"/>
  <c r="A3049" i="34"/>
  <c r="Z3051" i="34"/>
  <c r="O3051" i="34"/>
  <c r="W3051" i="34"/>
  <c r="P3051" i="34"/>
  <c r="Q3051" i="34"/>
  <c r="U3051" i="34"/>
  <c r="A3051" i="34"/>
  <c r="P3053" i="34"/>
  <c r="Q3053" i="34"/>
  <c r="U3053" i="34"/>
  <c r="Z3053" i="34"/>
  <c r="O3053" i="34"/>
  <c r="W3053" i="34"/>
  <c r="A3053" i="34"/>
  <c r="Z3055" i="34"/>
  <c r="O3055" i="34"/>
  <c r="W3055" i="34"/>
  <c r="P3055" i="34"/>
  <c r="Q3055" i="34"/>
  <c r="U3055" i="34"/>
  <c r="A3055" i="34"/>
  <c r="P3057" i="34"/>
  <c r="Q3057" i="34"/>
  <c r="U3057" i="34"/>
  <c r="Z3057" i="34"/>
  <c r="O3057" i="34"/>
  <c r="W3057" i="34"/>
  <c r="A3057" i="34"/>
  <c r="Z3059" i="34"/>
  <c r="O3059" i="34"/>
  <c r="W3059" i="34"/>
  <c r="P3059" i="34"/>
  <c r="Q3059" i="34"/>
  <c r="U3059" i="34"/>
  <c r="A3059" i="34"/>
  <c r="P3061" i="34"/>
  <c r="Q3061" i="34"/>
  <c r="U3061" i="34"/>
  <c r="Z3061" i="34"/>
  <c r="O3061" i="34"/>
  <c r="W3061" i="34"/>
  <c r="A3061" i="34"/>
  <c r="Z3063" i="34"/>
  <c r="O3063" i="34"/>
  <c r="W3063" i="34"/>
  <c r="P3063" i="34"/>
  <c r="Q3063" i="34"/>
  <c r="U3063" i="34"/>
  <c r="A3063" i="34"/>
  <c r="P3065" i="34"/>
  <c r="Q3065" i="34"/>
  <c r="U3065" i="34"/>
  <c r="Z3065" i="34"/>
  <c r="O3065" i="34"/>
  <c r="W3065" i="34"/>
  <c r="A3065" i="34"/>
  <c r="Z3067" i="34"/>
  <c r="O3067" i="34"/>
  <c r="W3067" i="34"/>
  <c r="P3067" i="34"/>
  <c r="Q3067" i="34"/>
  <c r="U3067" i="34"/>
  <c r="A3067" i="34"/>
  <c r="P3069" i="34"/>
  <c r="Q3069" i="34"/>
  <c r="U3069" i="34"/>
  <c r="Z3069" i="34"/>
  <c r="O3069" i="34"/>
  <c r="W3069" i="34"/>
  <c r="A3069" i="34"/>
  <c r="Z3071" i="34"/>
  <c r="O3071" i="34"/>
  <c r="W3071" i="34"/>
  <c r="P3071" i="34"/>
  <c r="Q3071" i="34"/>
  <c r="U3071" i="34"/>
  <c r="A3071" i="34"/>
  <c r="P3073" i="34"/>
  <c r="Q3073" i="34"/>
  <c r="U3073" i="34"/>
  <c r="Z3073" i="34"/>
  <c r="O3073" i="34"/>
  <c r="W3073" i="34"/>
  <c r="A3073" i="34"/>
  <c r="P3113" i="34"/>
  <c r="Q3113" i="34"/>
  <c r="U3113" i="34"/>
  <c r="Z3113" i="34"/>
  <c r="O3113" i="34"/>
  <c r="W3113" i="34"/>
  <c r="A3113" i="34"/>
  <c r="Z3115" i="34"/>
  <c r="O3115" i="34"/>
  <c r="W3115" i="34"/>
  <c r="P3115" i="34"/>
  <c r="Q3115" i="34"/>
  <c r="U3115" i="34"/>
  <c r="A3115" i="34"/>
  <c r="P3117" i="34"/>
  <c r="Q3117" i="34"/>
  <c r="U3117" i="34"/>
  <c r="Z3117" i="34"/>
  <c r="O3117" i="34"/>
  <c r="W3117" i="34"/>
  <c r="A3117" i="34"/>
  <c r="Z3119" i="34"/>
  <c r="O3119" i="34"/>
  <c r="W3119" i="34"/>
  <c r="P3119" i="34"/>
  <c r="Q3119" i="34"/>
  <c r="U3119" i="34"/>
  <c r="A3119" i="34"/>
  <c r="P3121" i="34"/>
  <c r="Q3121" i="34"/>
  <c r="U3121" i="34"/>
  <c r="Z3121" i="34"/>
  <c r="O3121" i="34"/>
  <c r="W3121" i="34"/>
  <c r="A3121" i="34"/>
  <c r="Z3123" i="34"/>
  <c r="O3123" i="34"/>
  <c r="W3123" i="34"/>
  <c r="P3123" i="34"/>
  <c r="Q3123" i="34"/>
  <c r="U3123" i="34"/>
  <c r="A3123" i="34"/>
  <c r="P3125" i="34"/>
  <c r="Q3125" i="34"/>
  <c r="U3125" i="34"/>
  <c r="Z3125" i="34"/>
  <c r="O3125" i="34"/>
  <c r="W3125" i="34"/>
  <c r="A3125" i="34"/>
  <c r="Z3127" i="34"/>
  <c r="O3127" i="34"/>
  <c r="W3127" i="34"/>
  <c r="P3127" i="34"/>
  <c r="Q3127" i="34"/>
  <c r="U3127" i="34"/>
  <c r="A3127" i="34"/>
  <c r="P3129" i="34"/>
  <c r="Q3129" i="34"/>
  <c r="U3129" i="34"/>
  <c r="Z3129" i="34"/>
  <c r="O3129" i="34"/>
  <c r="W3129" i="34"/>
  <c r="A3129" i="34"/>
  <c r="Z3131" i="34"/>
  <c r="O3131" i="34"/>
  <c r="W3131" i="34"/>
  <c r="P3131" i="34"/>
  <c r="Q3131" i="34"/>
  <c r="U3131" i="34"/>
  <c r="A3131" i="34"/>
  <c r="P3133" i="34"/>
  <c r="Q3133" i="34"/>
  <c r="U3133" i="34"/>
  <c r="Z3133" i="34"/>
  <c r="O3133" i="34"/>
  <c r="W3133" i="34"/>
  <c r="A3133" i="34"/>
  <c r="Z3135" i="34"/>
  <c r="O3135" i="34"/>
  <c r="W3135" i="34"/>
  <c r="P3135" i="34"/>
  <c r="Q3135" i="34"/>
  <c r="U3135" i="34"/>
  <c r="A3135" i="34"/>
  <c r="P3137" i="34"/>
  <c r="Q3137" i="34"/>
  <c r="U3137" i="34"/>
  <c r="Z3137" i="34"/>
  <c r="O3137" i="34"/>
  <c r="W3137" i="34"/>
  <c r="A3137" i="34"/>
  <c r="Z3139" i="34"/>
  <c r="O3139" i="34"/>
  <c r="W3139" i="34"/>
  <c r="P3139" i="34"/>
  <c r="Q3139" i="34"/>
  <c r="U3139" i="34"/>
  <c r="A3139" i="34"/>
  <c r="P3141" i="34"/>
  <c r="Q3141" i="34"/>
  <c r="U3141" i="34"/>
  <c r="Z3141" i="34"/>
  <c r="O3141" i="34"/>
  <c r="W3141" i="34"/>
  <c r="A3141" i="34"/>
  <c r="Z3143" i="34"/>
  <c r="O3143" i="34"/>
  <c r="W3143" i="34"/>
  <c r="P3143" i="34"/>
  <c r="Q3143" i="34"/>
  <c r="U3143" i="34"/>
  <c r="A3143" i="34"/>
  <c r="P3145" i="34"/>
  <c r="Q3145" i="34"/>
  <c r="U3145" i="34"/>
  <c r="Z3145" i="34"/>
  <c r="O3145" i="34"/>
  <c r="W3145" i="34"/>
  <c r="A3145" i="34"/>
  <c r="Z3147" i="34"/>
  <c r="O3147" i="34"/>
  <c r="W3147" i="34"/>
  <c r="P3147" i="34"/>
  <c r="Q3147" i="34"/>
  <c r="U3147" i="34"/>
  <c r="A3147" i="34"/>
  <c r="P3149" i="34"/>
  <c r="Q3149" i="34"/>
  <c r="U3149" i="34"/>
  <c r="Z3149" i="34"/>
  <c r="O3149" i="34"/>
  <c r="W3149" i="34"/>
  <c r="A3149" i="34"/>
  <c r="Z3075" i="34"/>
  <c r="O3075" i="34"/>
  <c r="W3075" i="34"/>
  <c r="P3075" i="34"/>
  <c r="Q3075" i="34"/>
  <c r="U3075" i="34"/>
  <c r="A3075" i="34"/>
  <c r="P3077" i="34"/>
  <c r="Q3077" i="34"/>
  <c r="U3077" i="34"/>
  <c r="Z3077" i="34"/>
  <c r="O3077" i="34"/>
  <c r="W3077" i="34"/>
  <c r="A3077" i="34"/>
  <c r="Z3079" i="34"/>
  <c r="O3079" i="34"/>
  <c r="W3079" i="34"/>
  <c r="P3079" i="34"/>
  <c r="Q3079" i="34"/>
  <c r="U3079" i="34"/>
  <c r="A3079" i="34"/>
  <c r="P3081" i="34"/>
  <c r="Q3081" i="34"/>
  <c r="U3081" i="34"/>
  <c r="Z3081" i="34"/>
  <c r="O3081" i="34"/>
  <c r="W3081" i="34"/>
  <c r="A3081" i="34"/>
  <c r="Z3083" i="34"/>
  <c r="O3083" i="34"/>
  <c r="W3083" i="34"/>
  <c r="P3083" i="34"/>
  <c r="Q3083" i="34"/>
  <c r="U3083" i="34"/>
  <c r="A3083" i="34"/>
  <c r="P3085" i="34"/>
  <c r="Q3085" i="34"/>
  <c r="U3085" i="34"/>
  <c r="Z3085" i="34"/>
  <c r="O3085" i="34"/>
  <c r="W3085" i="34"/>
  <c r="A3085" i="34"/>
  <c r="Z3087" i="34"/>
  <c r="O3087" i="34"/>
  <c r="W3087" i="34"/>
  <c r="P3087" i="34"/>
  <c r="Q3087" i="34"/>
  <c r="U3087" i="34"/>
  <c r="A3087" i="34"/>
  <c r="P3089" i="34"/>
  <c r="Q3089" i="34"/>
  <c r="U3089" i="34"/>
  <c r="Z3089" i="34"/>
  <c r="O3089" i="34"/>
  <c r="W3089" i="34"/>
  <c r="A3089" i="34"/>
  <c r="Z3091" i="34"/>
  <c r="O3091" i="34"/>
  <c r="W3091" i="34"/>
  <c r="P3091" i="34"/>
  <c r="Q3091" i="34"/>
  <c r="U3091" i="34"/>
  <c r="A3091" i="34"/>
  <c r="P3093" i="34"/>
  <c r="Q3093" i="34"/>
  <c r="U3093" i="34"/>
  <c r="Z3093" i="34"/>
  <c r="O3093" i="34"/>
  <c r="W3093" i="34"/>
  <c r="A3093" i="34"/>
  <c r="Z3095" i="34"/>
  <c r="O3095" i="34"/>
  <c r="W3095" i="34"/>
  <c r="P3095" i="34"/>
  <c r="Q3095" i="34"/>
  <c r="U3095" i="34"/>
  <c r="A3095" i="34"/>
  <c r="P3097" i="34"/>
  <c r="Q3097" i="34"/>
  <c r="U3097" i="34"/>
  <c r="Z3097" i="34"/>
  <c r="O3097" i="34"/>
  <c r="W3097" i="34"/>
  <c r="A3097" i="34"/>
  <c r="Z3099" i="34"/>
  <c r="O3099" i="34"/>
  <c r="W3099" i="34"/>
  <c r="P3099" i="34"/>
  <c r="Q3099" i="34"/>
  <c r="U3099" i="34"/>
  <c r="A3099" i="34"/>
  <c r="P3101" i="34"/>
  <c r="Q3101" i="34"/>
  <c r="U3101" i="34"/>
  <c r="Z3101" i="34"/>
  <c r="O3101" i="34"/>
  <c r="W3101" i="34"/>
  <c r="A3101" i="34"/>
  <c r="Z3103" i="34"/>
  <c r="O3103" i="34"/>
  <c r="W3103" i="34"/>
  <c r="P3103" i="34"/>
  <c r="Q3103" i="34"/>
  <c r="U3103" i="34"/>
  <c r="A3103" i="34"/>
  <c r="P3105" i="34"/>
  <c r="Q3105" i="34"/>
  <c r="U3105" i="34"/>
  <c r="Z3105" i="34"/>
  <c r="O3105" i="34"/>
  <c r="W3105" i="34"/>
  <c r="A3105" i="34"/>
  <c r="Z3107" i="34"/>
  <c r="O3107" i="34"/>
  <c r="W3107" i="34"/>
  <c r="P3107" i="34"/>
  <c r="Q3107" i="34"/>
  <c r="U3107" i="34"/>
  <c r="A3107" i="34"/>
  <c r="P3109" i="34"/>
  <c r="Q3109" i="34"/>
  <c r="U3109" i="34"/>
  <c r="Z3109" i="34"/>
  <c r="O3109" i="34"/>
  <c r="W3109" i="34"/>
  <c r="A3109" i="34"/>
  <c r="Z3111" i="34"/>
  <c r="O3111" i="34"/>
  <c r="W3111" i="34"/>
  <c r="P3111" i="34"/>
  <c r="Q3111" i="34"/>
  <c r="U3111" i="34"/>
  <c r="A3111" i="34"/>
  <c r="P3547" i="34"/>
  <c r="Q3547" i="34"/>
  <c r="U3547" i="34"/>
  <c r="Z3547" i="34"/>
  <c r="O3547" i="34"/>
  <c r="W3547" i="34"/>
  <c r="A3547" i="34"/>
  <c r="P3551" i="34"/>
  <c r="Q3551" i="34"/>
  <c r="U3551" i="34"/>
  <c r="Z3551" i="34"/>
  <c r="O3551" i="34"/>
  <c r="W3551" i="34"/>
  <c r="A3551" i="34"/>
  <c r="P3555" i="34"/>
  <c r="Q3555" i="34"/>
  <c r="U3555" i="34"/>
  <c r="Z3555" i="34"/>
  <c r="O3555" i="34"/>
  <c r="W3555" i="34"/>
  <c r="A3555" i="34"/>
  <c r="P3559" i="34"/>
  <c r="Q3559" i="34"/>
  <c r="U3559" i="34"/>
  <c r="Z3559" i="34"/>
  <c r="O3559" i="34"/>
  <c r="W3559" i="34"/>
  <c r="A3559" i="34"/>
  <c r="P3563" i="34"/>
  <c r="Q3563" i="34"/>
  <c r="U3563" i="34"/>
  <c r="Z3563" i="34"/>
  <c r="O3563" i="34"/>
  <c r="W3563" i="34"/>
  <c r="A3563" i="34"/>
  <c r="P3567" i="34"/>
  <c r="Q3567" i="34"/>
  <c r="U3567" i="34"/>
  <c r="Z3567" i="34"/>
  <c r="O3567" i="34"/>
  <c r="W3567" i="34"/>
  <c r="A3567" i="34"/>
  <c r="P3571" i="34"/>
  <c r="Q3571" i="34"/>
  <c r="U3571" i="34"/>
  <c r="Z3571" i="34"/>
  <c r="O3571" i="34"/>
  <c r="W3571" i="34"/>
  <c r="A3571" i="34"/>
  <c r="P3575" i="34"/>
  <c r="Q3575" i="34"/>
  <c r="U3575" i="34"/>
  <c r="Z3575" i="34"/>
  <c r="O3575" i="34"/>
  <c r="W3575" i="34"/>
  <c r="A3575" i="34"/>
  <c r="P3579" i="34"/>
  <c r="Q3579" i="34"/>
  <c r="U3579" i="34"/>
  <c r="Z3579" i="34"/>
  <c r="O3579" i="34"/>
  <c r="W3579" i="34"/>
  <c r="A3579" i="34"/>
  <c r="P3583" i="34"/>
  <c r="Q3583" i="34"/>
  <c r="U3583" i="34"/>
  <c r="Z3583" i="34"/>
  <c r="O3583" i="34"/>
  <c r="W3583" i="34"/>
  <c r="A3583" i="34"/>
  <c r="P3587" i="34"/>
  <c r="Q3587" i="34"/>
  <c r="U3587" i="34"/>
  <c r="Z3587" i="34"/>
  <c r="O3587" i="34"/>
  <c r="W3587" i="34"/>
  <c r="A3587" i="34"/>
  <c r="P3591" i="34"/>
  <c r="Q3591" i="34"/>
  <c r="U3591" i="34"/>
  <c r="Z3591" i="34"/>
  <c r="O3591" i="34"/>
  <c r="W3591" i="34"/>
  <c r="A3591" i="34"/>
  <c r="P3595" i="34"/>
  <c r="Q3595" i="34"/>
  <c r="U3595" i="34"/>
  <c r="Z3595" i="34"/>
  <c r="O3595" i="34"/>
  <c r="W3595" i="34"/>
  <c r="A3595" i="34"/>
  <c r="P3599" i="34"/>
  <c r="Q3599" i="34"/>
  <c r="U3599" i="34"/>
  <c r="Z3599" i="34"/>
  <c r="O3599" i="34"/>
  <c r="W3599" i="34"/>
  <c r="A3599" i="34"/>
  <c r="P3603" i="34"/>
  <c r="Q3603" i="34"/>
  <c r="U3603" i="34"/>
  <c r="Z3603" i="34"/>
  <c r="O3603" i="34"/>
  <c r="W3603" i="34"/>
  <c r="A3603" i="34"/>
  <c r="P3607" i="34"/>
  <c r="Q3607" i="34"/>
  <c r="U3607" i="34"/>
  <c r="Z3607" i="34"/>
  <c r="O3607" i="34"/>
  <c r="W3607" i="34"/>
  <c r="A3607" i="34"/>
  <c r="P3611" i="34"/>
  <c r="Q3611" i="34"/>
  <c r="U3611" i="34"/>
  <c r="Z3611" i="34"/>
  <c r="O3611" i="34"/>
  <c r="W3611" i="34"/>
  <c r="A3611" i="34"/>
  <c r="O3548" i="34"/>
  <c r="W3548" i="34"/>
  <c r="P3548" i="34"/>
  <c r="Q3548" i="34"/>
  <c r="U3548" i="34"/>
  <c r="Z3548" i="34"/>
  <c r="A3548" i="34"/>
  <c r="O3552" i="34"/>
  <c r="W3552" i="34"/>
  <c r="P3552" i="34"/>
  <c r="Q3552" i="34"/>
  <c r="U3552" i="34"/>
  <c r="Z3552" i="34"/>
  <c r="A3552" i="34"/>
  <c r="O3556" i="34"/>
  <c r="W3556" i="34"/>
  <c r="P3556" i="34"/>
  <c r="Q3556" i="34"/>
  <c r="U3556" i="34"/>
  <c r="Z3556" i="34"/>
  <c r="A3556" i="34"/>
  <c r="O3560" i="34"/>
  <c r="W3560" i="34"/>
  <c r="P3560" i="34"/>
  <c r="Q3560" i="34"/>
  <c r="U3560" i="34"/>
  <c r="Z3560" i="34"/>
  <c r="A3560" i="34"/>
  <c r="O3564" i="34"/>
  <c r="W3564" i="34"/>
  <c r="P3564" i="34"/>
  <c r="Q3564" i="34"/>
  <c r="U3564" i="34"/>
  <c r="Z3564" i="34"/>
  <c r="A3564" i="34"/>
  <c r="O3568" i="34"/>
  <c r="W3568" i="34"/>
  <c r="P3568" i="34"/>
  <c r="Q3568" i="34"/>
  <c r="U3568" i="34"/>
  <c r="Z3568" i="34"/>
  <c r="A3568" i="34"/>
  <c r="O3572" i="34"/>
  <c r="W3572" i="34"/>
  <c r="P3572" i="34"/>
  <c r="Q3572" i="34"/>
  <c r="U3572" i="34"/>
  <c r="Z3572" i="34"/>
  <c r="A3572" i="34"/>
  <c r="O3576" i="34"/>
  <c r="W3576" i="34"/>
  <c r="P3576" i="34"/>
  <c r="Q3576" i="34"/>
  <c r="U3576" i="34"/>
  <c r="Z3576" i="34"/>
  <c r="A3576" i="34"/>
  <c r="O3580" i="34"/>
  <c r="W3580" i="34"/>
  <c r="P3580" i="34"/>
  <c r="Q3580" i="34"/>
  <c r="U3580" i="34"/>
  <c r="Z3580" i="34"/>
  <c r="A3580" i="34"/>
  <c r="O3584" i="34"/>
  <c r="W3584" i="34"/>
  <c r="P3584" i="34"/>
  <c r="Q3584" i="34"/>
  <c r="U3584" i="34"/>
  <c r="Z3584" i="34"/>
  <c r="A3584" i="34"/>
  <c r="O3588" i="34"/>
  <c r="W3588" i="34"/>
  <c r="P3588" i="34"/>
  <c r="Q3588" i="34"/>
  <c r="U3588" i="34"/>
  <c r="Z3588" i="34"/>
  <c r="A3588" i="34"/>
  <c r="O3592" i="34"/>
  <c r="W3592" i="34"/>
  <c r="P3592" i="34"/>
  <c r="Q3592" i="34"/>
  <c r="U3592" i="34"/>
  <c r="Z3592" i="34"/>
  <c r="A3592" i="34"/>
  <c r="O3596" i="34"/>
  <c r="W3596" i="34"/>
  <c r="P3596" i="34"/>
  <c r="Q3596" i="34"/>
  <c r="U3596" i="34"/>
  <c r="Z3596" i="34"/>
  <c r="A3596" i="34"/>
  <c r="O3600" i="34"/>
  <c r="W3600" i="34"/>
  <c r="P3600" i="34"/>
  <c r="Q3600" i="34"/>
  <c r="U3600" i="34"/>
  <c r="Z3600" i="34"/>
  <c r="A3600" i="34"/>
  <c r="O3604" i="34"/>
  <c r="W3604" i="34"/>
  <c r="P3604" i="34"/>
  <c r="Q3604" i="34"/>
  <c r="U3604" i="34"/>
  <c r="Z3604" i="34"/>
  <c r="A3604" i="34"/>
  <c r="O3608" i="34"/>
  <c r="W3608" i="34"/>
  <c r="P3608" i="34"/>
  <c r="Q3608" i="34"/>
  <c r="U3608" i="34"/>
  <c r="Z3608" i="34"/>
  <c r="A3608" i="34"/>
  <c r="O3612" i="34"/>
  <c r="W3612" i="34"/>
  <c r="P3612" i="34"/>
  <c r="Q3612" i="34"/>
  <c r="U3612" i="34"/>
  <c r="Z3612" i="34"/>
  <c r="A3612" i="34"/>
  <c r="Q79" i="60"/>
  <c r="C79" i="60" s="1"/>
  <c r="Q89" i="60"/>
  <c r="C89" i="60" s="1"/>
  <c r="Q95" i="60"/>
  <c r="C95" i="60" s="1"/>
  <c r="T70" i="60"/>
  <c r="T72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7" i="60"/>
  <c r="T88" i="60"/>
  <c r="T89" i="60"/>
  <c r="T90" i="60"/>
  <c r="T91" i="60"/>
  <c r="T92" i="60"/>
  <c r="T93" i="60"/>
  <c r="T95" i="60"/>
  <c r="T96" i="60"/>
  <c r="T69" i="60"/>
  <c r="K2974" i="34"/>
  <c r="C2974" i="34"/>
  <c r="B2974" i="34" s="1"/>
  <c r="K2973" i="34"/>
  <c r="C2973" i="34"/>
  <c r="B2973" i="34" s="1"/>
  <c r="K2972" i="34"/>
  <c r="C2972" i="34"/>
  <c r="B2972" i="34" s="1"/>
  <c r="K2971" i="34"/>
  <c r="C2971" i="34"/>
  <c r="B2971" i="34" s="1"/>
  <c r="K2970" i="34"/>
  <c r="C2970" i="34"/>
  <c r="B2970" i="34" s="1"/>
  <c r="K2969" i="34"/>
  <c r="C2969" i="34"/>
  <c r="B2969" i="34" s="1"/>
  <c r="K2968" i="34"/>
  <c r="C2968" i="34"/>
  <c r="B2968" i="34" s="1"/>
  <c r="K2967" i="34"/>
  <c r="C2967" i="34"/>
  <c r="B2967" i="34" s="1"/>
  <c r="K2966" i="34"/>
  <c r="C2966" i="34"/>
  <c r="B2966" i="34" s="1"/>
  <c r="K2965" i="34"/>
  <c r="C2965" i="34"/>
  <c r="B2965" i="34" s="1"/>
  <c r="K2964" i="34"/>
  <c r="C2964" i="34"/>
  <c r="B2964" i="34" s="1"/>
  <c r="K2981" i="34"/>
  <c r="C2981" i="34"/>
  <c r="B2981" i="34" s="1"/>
  <c r="K2980" i="34"/>
  <c r="C2980" i="34"/>
  <c r="B2980" i="34" s="1"/>
  <c r="K2979" i="34"/>
  <c r="C2979" i="34"/>
  <c r="B2979" i="34" s="1"/>
  <c r="K2978" i="34"/>
  <c r="C2978" i="34"/>
  <c r="B2978" i="34" s="1"/>
  <c r="K2977" i="34"/>
  <c r="C2977" i="34"/>
  <c r="B2977" i="34" s="1"/>
  <c r="K2976" i="34"/>
  <c r="C2976" i="34"/>
  <c r="B2976" i="34" s="1"/>
  <c r="K2975" i="34"/>
  <c r="C2975" i="34"/>
  <c r="B2975" i="34" s="1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N70" i="60"/>
  <c r="N72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7" i="60"/>
  <c r="N88" i="60"/>
  <c r="N89" i="60"/>
  <c r="N90" i="60"/>
  <c r="N91" i="60"/>
  <c r="N92" i="60"/>
  <c r="N93" i="60"/>
  <c r="N95" i="60"/>
  <c r="N96" i="60"/>
  <c r="N69" i="60"/>
  <c r="Q88" i="60"/>
  <c r="C88" i="60" s="1"/>
  <c r="Q87" i="60"/>
  <c r="C87" i="60" s="1"/>
  <c r="Q85" i="60"/>
  <c r="C85" i="60" s="1"/>
  <c r="Q84" i="60"/>
  <c r="C84" i="60" s="1"/>
  <c r="Q83" i="60"/>
  <c r="C83" i="60" s="1"/>
  <c r="Q82" i="60"/>
  <c r="C82" i="60" s="1"/>
  <c r="Q81" i="60"/>
  <c r="C81" i="60" s="1"/>
  <c r="Q80" i="60"/>
  <c r="C80" i="60" s="1"/>
  <c r="Q78" i="60"/>
  <c r="C78" i="60" s="1"/>
  <c r="Q77" i="60"/>
  <c r="C77" i="60" s="1"/>
  <c r="Q76" i="60"/>
  <c r="C76" i="60" s="1"/>
  <c r="Q101" i="60"/>
  <c r="C101" i="60" s="1"/>
  <c r="Q100" i="60"/>
  <c r="C100" i="60" s="1"/>
  <c r="Q99" i="60"/>
  <c r="C99" i="60" s="1"/>
  <c r="Q98" i="60"/>
  <c r="C98" i="60" s="1"/>
  <c r="Q97" i="60"/>
  <c r="C97" i="60" s="1"/>
  <c r="Q96" i="60"/>
  <c r="C96" i="60" s="1"/>
  <c r="Q93" i="60"/>
  <c r="Q92" i="60"/>
  <c r="C92" i="60" s="1"/>
  <c r="Q91" i="60"/>
  <c r="C91" i="60" s="1"/>
  <c r="Q90" i="60"/>
  <c r="C90" i="60" s="1"/>
  <c r="Q113" i="60"/>
  <c r="C113" i="60" s="1"/>
  <c r="Q112" i="60"/>
  <c r="C112" i="60" s="1"/>
  <c r="Q111" i="60"/>
  <c r="C111" i="60" s="1"/>
  <c r="Q110" i="60"/>
  <c r="C110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25" i="60"/>
  <c r="C125" i="60" s="1"/>
  <c r="Q124" i="60"/>
  <c r="C124" i="60" s="1"/>
  <c r="Q123" i="60"/>
  <c r="C123" i="60" s="1"/>
  <c r="Q122" i="60"/>
  <c r="C122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A69" i="60"/>
  <c r="Z2975" i="34" l="1"/>
  <c r="O2975" i="34"/>
  <c r="W2975" i="34"/>
  <c r="P2975" i="34"/>
  <c r="Q2975" i="34"/>
  <c r="U2975" i="34"/>
  <c r="A2975" i="34"/>
  <c r="P2977" i="34"/>
  <c r="Q2977" i="34"/>
  <c r="U2977" i="34"/>
  <c r="Z2977" i="34"/>
  <c r="O2977" i="34"/>
  <c r="W2977" i="34"/>
  <c r="A2977" i="34"/>
  <c r="Z2979" i="34"/>
  <c r="O2979" i="34"/>
  <c r="W2979" i="34"/>
  <c r="P2979" i="34"/>
  <c r="Q2979" i="34"/>
  <c r="U2979" i="34"/>
  <c r="A2979" i="34"/>
  <c r="P2981" i="34"/>
  <c r="Q2981" i="34"/>
  <c r="U2981" i="34"/>
  <c r="Z2981" i="34"/>
  <c r="O2981" i="34"/>
  <c r="W2981" i="34"/>
  <c r="A2981" i="34"/>
  <c r="P2965" i="34"/>
  <c r="Q2965" i="34"/>
  <c r="U2965" i="34"/>
  <c r="Z2965" i="34"/>
  <c r="O2965" i="34"/>
  <c r="W2965" i="34"/>
  <c r="A2965" i="34"/>
  <c r="Z2967" i="34"/>
  <c r="O2967" i="34"/>
  <c r="W2967" i="34"/>
  <c r="P2967" i="34"/>
  <c r="Q2967" i="34"/>
  <c r="U2967" i="34"/>
  <c r="A2967" i="34"/>
  <c r="P2969" i="34"/>
  <c r="Q2969" i="34"/>
  <c r="U2969" i="34"/>
  <c r="Z2969" i="34"/>
  <c r="O2969" i="34"/>
  <c r="W2969" i="34"/>
  <c r="A2969" i="34"/>
  <c r="Z2971" i="34"/>
  <c r="O2971" i="34"/>
  <c r="W2971" i="34"/>
  <c r="P2971" i="34"/>
  <c r="Q2971" i="34"/>
  <c r="U2971" i="34"/>
  <c r="A2971" i="34"/>
  <c r="P2973" i="34"/>
  <c r="Q2973" i="34"/>
  <c r="U2973" i="34"/>
  <c r="Z2973" i="34"/>
  <c r="O2973" i="34"/>
  <c r="W2973" i="34"/>
  <c r="A2973" i="34"/>
  <c r="Q2976" i="34"/>
  <c r="U2976" i="34"/>
  <c r="Z2976" i="34"/>
  <c r="O2976" i="34"/>
  <c r="W2976" i="34"/>
  <c r="P2976" i="34"/>
  <c r="A2976" i="34"/>
  <c r="O2978" i="34"/>
  <c r="W2978" i="34"/>
  <c r="P2978" i="34"/>
  <c r="Q2978" i="34"/>
  <c r="U2978" i="34"/>
  <c r="Z2978" i="34"/>
  <c r="A2978" i="34"/>
  <c r="Q2980" i="34"/>
  <c r="U2980" i="34"/>
  <c r="Z2980" i="34"/>
  <c r="O2980" i="34"/>
  <c r="W2980" i="34"/>
  <c r="P2980" i="34"/>
  <c r="A2980" i="34"/>
  <c r="Q2964" i="34"/>
  <c r="U2964" i="34"/>
  <c r="Z2964" i="34"/>
  <c r="O2964" i="34"/>
  <c r="W2964" i="34"/>
  <c r="P2964" i="34"/>
  <c r="A2964" i="34"/>
  <c r="O2966" i="34"/>
  <c r="W2966" i="34"/>
  <c r="P2966" i="34"/>
  <c r="Q2966" i="34"/>
  <c r="U2966" i="34"/>
  <c r="Z2966" i="34"/>
  <c r="A2966" i="34"/>
  <c r="Q2968" i="34"/>
  <c r="U2968" i="34"/>
  <c r="Z2968" i="34"/>
  <c r="O2968" i="34"/>
  <c r="W2968" i="34"/>
  <c r="P2968" i="34"/>
  <c r="A2968" i="34"/>
  <c r="O2970" i="34"/>
  <c r="W2970" i="34"/>
  <c r="P2970" i="34"/>
  <c r="Q2970" i="34"/>
  <c r="U2970" i="34"/>
  <c r="Z2970" i="34"/>
  <c r="A2970" i="34"/>
  <c r="Q2972" i="34"/>
  <c r="U2972" i="34"/>
  <c r="Z2972" i="34"/>
  <c r="O2972" i="34"/>
  <c r="W2972" i="34"/>
  <c r="P2972" i="34"/>
  <c r="A2972" i="34"/>
  <c r="O2974" i="34"/>
  <c r="W2974" i="34"/>
  <c r="P2974" i="34"/>
  <c r="Q2974" i="34"/>
  <c r="U2974" i="34"/>
  <c r="Z2974" i="34"/>
  <c r="A2974" i="34"/>
  <c r="J363" i="79"/>
  <c r="J468" i="79"/>
  <c r="D170" i="79"/>
  <c r="J493" i="79"/>
  <c r="J209" i="79"/>
  <c r="J201" i="79"/>
  <c r="J478" i="79"/>
  <c r="J479" i="79"/>
  <c r="J477" i="79"/>
  <c r="J466" i="79"/>
  <c r="J461" i="79"/>
  <c r="J289" i="79"/>
  <c r="J200" i="79"/>
  <c r="J192" i="79"/>
  <c r="J191" i="79"/>
  <c r="J190" i="79"/>
  <c r="J189" i="79"/>
  <c r="J185" i="79"/>
  <c r="J178" i="79"/>
  <c r="J179" i="79"/>
  <c r="J180" i="79"/>
  <c r="J181" i="79"/>
  <c r="J182" i="79"/>
  <c r="J183" i="79"/>
  <c r="J184" i="79"/>
  <c r="J186" i="79"/>
  <c r="J187" i="79"/>
  <c r="J188" i="79"/>
  <c r="J193" i="79"/>
  <c r="J194" i="79"/>
  <c r="J195" i="79"/>
  <c r="J196" i="79"/>
  <c r="J197" i="79"/>
  <c r="J198" i="79"/>
  <c r="J199" i="79"/>
  <c r="J202" i="79"/>
  <c r="J203" i="79"/>
  <c r="J204" i="79"/>
  <c r="J205" i="79"/>
  <c r="J206" i="79"/>
  <c r="J207" i="79"/>
  <c r="J208" i="79"/>
  <c r="J210" i="79"/>
  <c r="J211" i="79"/>
  <c r="J212" i="79"/>
  <c r="J213" i="79"/>
  <c r="J214" i="79"/>
  <c r="J215" i="79"/>
  <c r="J216" i="79"/>
  <c r="J217" i="79"/>
  <c r="J218" i="79"/>
  <c r="J219" i="79"/>
  <c r="J220" i="79"/>
  <c r="J221" i="79"/>
  <c r="J222" i="79"/>
  <c r="J223" i="79"/>
  <c r="J224" i="79"/>
  <c r="J225" i="79"/>
  <c r="J226" i="79"/>
  <c r="J227" i="79"/>
  <c r="J228" i="79"/>
  <c r="J229" i="79"/>
  <c r="J230" i="79"/>
  <c r="J231" i="79"/>
  <c r="J232" i="79"/>
  <c r="J233" i="79"/>
  <c r="J234" i="79"/>
  <c r="J235" i="79"/>
  <c r="J236" i="79"/>
  <c r="J237" i="79"/>
  <c r="J238" i="79"/>
  <c r="J239" i="79"/>
  <c r="J240" i="79"/>
  <c r="J241" i="79"/>
  <c r="J242" i="79"/>
  <c r="J243" i="79"/>
  <c r="J244" i="79"/>
  <c r="J245" i="79"/>
  <c r="J246" i="79"/>
  <c r="J247" i="79"/>
  <c r="J248" i="79"/>
  <c r="J249" i="79"/>
  <c r="J250" i="79"/>
  <c r="J251" i="79"/>
  <c r="J252" i="79"/>
  <c r="J253" i="79"/>
  <c r="J254" i="79"/>
  <c r="J255" i="79"/>
  <c r="J256" i="79"/>
  <c r="J257" i="79"/>
  <c r="J258" i="79"/>
  <c r="J259" i="79"/>
  <c r="J260" i="79"/>
  <c r="J261" i="79"/>
  <c r="J262" i="79"/>
  <c r="J263" i="79"/>
  <c r="J264" i="79"/>
  <c r="J265" i="79"/>
  <c r="J266" i="79"/>
  <c r="J267" i="79"/>
  <c r="J268" i="79"/>
  <c r="J269" i="79"/>
  <c r="J270" i="79"/>
  <c r="J271" i="79"/>
  <c r="J272" i="79"/>
  <c r="J273" i="79"/>
  <c r="J274" i="79"/>
  <c r="J275" i="79"/>
  <c r="J276" i="79"/>
  <c r="J277" i="79"/>
  <c r="J278" i="79"/>
  <c r="J279" i="79"/>
  <c r="J280" i="79"/>
  <c r="J281" i="79"/>
  <c r="J282" i="79"/>
  <c r="J283" i="79"/>
  <c r="J284" i="79"/>
  <c r="J285" i="79"/>
  <c r="J286" i="79"/>
  <c r="J287" i="79"/>
  <c r="J288" i="79"/>
  <c r="J290" i="79"/>
  <c r="J291" i="79"/>
  <c r="J292" i="79"/>
  <c r="J293" i="79"/>
  <c r="J294" i="79"/>
  <c r="J295" i="79"/>
  <c r="J296" i="79"/>
  <c r="J297" i="79"/>
  <c r="J298" i="79"/>
  <c r="J299" i="79"/>
  <c r="J300" i="79"/>
  <c r="J301" i="79"/>
  <c r="J302" i="79"/>
  <c r="J303" i="79"/>
  <c r="J304" i="79"/>
  <c r="J305" i="79"/>
  <c r="J306" i="79"/>
  <c r="J307" i="79"/>
  <c r="J308" i="79"/>
  <c r="J309" i="79"/>
  <c r="J310" i="79"/>
  <c r="J311" i="79"/>
  <c r="J312" i="79"/>
  <c r="J313" i="79"/>
  <c r="J314" i="79"/>
  <c r="J315" i="79"/>
  <c r="J316" i="79"/>
  <c r="J317" i="79"/>
  <c r="J318" i="79"/>
  <c r="J319" i="79"/>
  <c r="J320" i="79"/>
  <c r="J321" i="79"/>
  <c r="J322" i="79"/>
  <c r="J323" i="79"/>
  <c r="J324" i="79"/>
  <c r="J325" i="79"/>
  <c r="J326" i="79"/>
  <c r="J327" i="79"/>
  <c r="J328" i="79"/>
  <c r="J329" i="79"/>
  <c r="J330" i="79"/>
  <c r="J331" i="79"/>
  <c r="J332" i="79"/>
  <c r="J333" i="79"/>
  <c r="J334" i="79"/>
  <c r="J335" i="79"/>
  <c r="J336" i="79"/>
  <c r="J337" i="79"/>
  <c r="J338" i="79"/>
  <c r="J339" i="79"/>
  <c r="J340" i="79"/>
  <c r="J341" i="79"/>
  <c r="J342" i="79"/>
  <c r="J343" i="79"/>
  <c r="J344" i="79"/>
  <c r="J345" i="79"/>
  <c r="J346" i="79"/>
  <c r="J347" i="79"/>
  <c r="J348" i="79"/>
  <c r="J349" i="79"/>
  <c r="J350" i="79"/>
  <c r="J351" i="79"/>
  <c r="J352" i="79"/>
  <c r="J353" i="79"/>
  <c r="J354" i="79"/>
  <c r="J355" i="79"/>
  <c r="J356" i="79"/>
  <c r="J357" i="79"/>
  <c r="J358" i="79"/>
  <c r="J359" i="79"/>
  <c r="J360" i="79"/>
  <c r="J361" i="79"/>
  <c r="J362" i="79"/>
  <c r="J364" i="79"/>
  <c r="J365" i="79"/>
  <c r="J366" i="79"/>
  <c r="J367" i="79"/>
  <c r="J368" i="79"/>
  <c r="J369" i="79"/>
  <c r="J370" i="79"/>
  <c r="J371" i="79"/>
  <c r="J372" i="79"/>
  <c r="J373" i="79"/>
  <c r="J374" i="79"/>
  <c r="J375" i="79"/>
  <c r="J376" i="79"/>
  <c r="J377" i="79"/>
  <c r="J378" i="79"/>
  <c r="J379" i="79"/>
  <c r="J380" i="79"/>
  <c r="J381" i="79"/>
  <c r="J382" i="79"/>
  <c r="J383" i="79"/>
  <c r="J384" i="79"/>
  <c r="J385" i="79"/>
  <c r="J386" i="79"/>
  <c r="J387" i="79"/>
  <c r="J388" i="79"/>
  <c r="J389" i="79"/>
  <c r="J390" i="79"/>
  <c r="J391" i="79"/>
  <c r="J392" i="79"/>
  <c r="J393" i="79"/>
  <c r="J394" i="79"/>
  <c r="J395" i="79"/>
  <c r="J396" i="79"/>
  <c r="J397" i="79"/>
  <c r="J398" i="79"/>
  <c r="J399" i="79"/>
  <c r="J400" i="79"/>
  <c r="J401" i="79"/>
  <c r="J402" i="79"/>
  <c r="J403" i="79"/>
  <c r="J404" i="79"/>
  <c r="J405" i="79"/>
  <c r="J406" i="79"/>
  <c r="J407" i="79"/>
  <c r="J408" i="79"/>
  <c r="J409" i="79"/>
  <c r="J410" i="79"/>
  <c r="J411" i="79"/>
  <c r="J412" i="79"/>
  <c r="J413" i="79"/>
  <c r="J414" i="79"/>
  <c r="J415" i="79"/>
  <c r="J416" i="79"/>
  <c r="J417" i="79"/>
  <c r="J418" i="79"/>
  <c r="J419" i="79"/>
  <c r="J420" i="79"/>
  <c r="J421" i="79"/>
  <c r="J422" i="79"/>
  <c r="J423" i="79"/>
  <c r="J424" i="79"/>
  <c r="J425" i="79"/>
  <c r="J426" i="79"/>
  <c r="J427" i="79"/>
  <c r="J428" i="79"/>
  <c r="J429" i="79"/>
  <c r="J430" i="79"/>
  <c r="J431" i="79"/>
  <c r="J432" i="79"/>
  <c r="J433" i="79"/>
  <c r="J434" i="79"/>
  <c r="J435" i="79"/>
  <c r="J436" i="79"/>
  <c r="J437" i="79"/>
  <c r="J438" i="79"/>
  <c r="J439" i="79"/>
  <c r="J440" i="79"/>
  <c r="J441" i="79"/>
  <c r="J442" i="79"/>
  <c r="J443" i="79"/>
  <c r="J444" i="79"/>
  <c r="J445" i="79"/>
  <c r="J446" i="79"/>
  <c r="J447" i="79"/>
  <c r="J448" i="79"/>
  <c r="J449" i="79"/>
  <c r="J450" i="79"/>
  <c r="J451" i="79"/>
  <c r="J452" i="79"/>
  <c r="J453" i="79"/>
  <c r="J454" i="79"/>
  <c r="J455" i="79"/>
  <c r="J456" i="79"/>
  <c r="J457" i="79"/>
  <c r="J458" i="79"/>
  <c r="J459" i="79"/>
  <c r="J460" i="79"/>
  <c r="J462" i="79"/>
  <c r="J463" i="79"/>
  <c r="J464" i="79"/>
  <c r="J465" i="79"/>
  <c r="J467" i="79"/>
  <c r="J469" i="79"/>
  <c r="J470" i="79"/>
  <c r="J471" i="79"/>
  <c r="J472" i="79"/>
  <c r="J473" i="79"/>
  <c r="J474" i="79"/>
  <c r="J475" i="79"/>
  <c r="J476" i="79"/>
  <c r="J480" i="79"/>
  <c r="J481" i="79"/>
  <c r="J482" i="79"/>
  <c r="J483" i="79"/>
  <c r="J484" i="79"/>
  <c r="J485" i="79"/>
  <c r="J486" i="79"/>
  <c r="J487" i="79"/>
  <c r="J488" i="79"/>
  <c r="J489" i="79"/>
  <c r="J490" i="79"/>
  <c r="J491" i="79"/>
  <c r="J492" i="79"/>
  <c r="J494" i="79"/>
  <c r="J495" i="79"/>
  <c r="J496" i="79"/>
  <c r="J497" i="79"/>
  <c r="J498" i="79"/>
  <c r="J499" i="79"/>
  <c r="J500" i="79"/>
  <c r="J501" i="79"/>
  <c r="J502" i="79"/>
  <c r="J503" i="79"/>
  <c r="J504" i="79"/>
  <c r="J505" i="79"/>
  <c r="J506" i="79"/>
  <c r="J507" i="79"/>
  <c r="J508" i="79"/>
  <c r="J509" i="79"/>
  <c r="J510" i="79"/>
  <c r="J511" i="79"/>
  <c r="J512" i="79"/>
  <c r="J513" i="79"/>
  <c r="J514" i="79"/>
  <c r="J515" i="79"/>
  <c r="J516" i="79"/>
  <c r="J517" i="79"/>
  <c r="J518" i="79"/>
  <c r="J519" i="79"/>
  <c r="J520" i="79"/>
  <c r="J521" i="79"/>
  <c r="J522" i="79"/>
  <c r="J523" i="79"/>
  <c r="J524" i="79"/>
  <c r="J525" i="79"/>
  <c r="J526" i="79"/>
  <c r="J527" i="79"/>
  <c r="J528" i="79"/>
  <c r="J529" i="79"/>
  <c r="J530" i="79"/>
  <c r="J531" i="79"/>
  <c r="J532" i="79"/>
  <c r="J533" i="79"/>
  <c r="J534" i="79"/>
  <c r="J535" i="79"/>
  <c r="J536" i="79"/>
  <c r="J537" i="79"/>
  <c r="J538" i="79"/>
  <c r="J539" i="79"/>
  <c r="J540" i="79"/>
  <c r="J541" i="79"/>
  <c r="J542" i="79"/>
  <c r="J543" i="79"/>
  <c r="J544" i="79"/>
  <c r="J545" i="79"/>
  <c r="J546" i="79"/>
  <c r="J547" i="79"/>
  <c r="J548" i="79"/>
  <c r="J549" i="79"/>
  <c r="J550" i="79"/>
  <c r="J551" i="79"/>
  <c r="J552" i="79"/>
  <c r="J553" i="79"/>
  <c r="J554" i="79"/>
  <c r="J555" i="79"/>
  <c r="J556" i="79"/>
  <c r="J557" i="79"/>
  <c r="J177" i="79"/>
  <c r="K3540" i="34"/>
  <c r="K3541" i="34"/>
  <c r="K3542" i="34"/>
  <c r="K3543" i="34"/>
  <c r="K3544" i="34"/>
  <c r="K3545" i="34"/>
  <c r="K3546" i="34"/>
  <c r="K2712" i="34"/>
  <c r="K2713" i="34"/>
  <c r="K2714" i="34"/>
  <c r="K2715" i="34"/>
  <c r="K2716" i="34"/>
  <c r="K2717" i="34"/>
  <c r="K2718" i="34"/>
  <c r="K2719" i="34"/>
  <c r="K3751" i="34"/>
  <c r="K3752" i="34"/>
  <c r="K3753" i="34"/>
  <c r="K3754" i="34"/>
  <c r="K3755" i="34"/>
  <c r="K3756" i="34"/>
  <c r="K3757" i="34"/>
  <c r="K3758" i="34"/>
  <c r="K3539" i="34" l="1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K3532" i="34"/>
  <c r="C3532" i="34"/>
  <c r="B3532" i="34" s="1"/>
  <c r="K3531" i="34"/>
  <c r="C3531" i="34"/>
  <c r="B3531" i="34" s="1"/>
  <c r="K3530" i="34"/>
  <c r="C3530" i="34"/>
  <c r="B3530" i="34" s="1"/>
  <c r="K3529" i="34"/>
  <c r="C3529" i="34"/>
  <c r="B3529" i="34" s="1"/>
  <c r="K3528" i="34"/>
  <c r="C3528" i="34"/>
  <c r="B3528" i="34" s="1"/>
  <c r="K3527" i="34"/>
  <c r="C3527" i="34"/>
  <c r="B3527" i="34" s="1"/>
  <c r="K3526" i="34"/>
  <c r="C3526" i="34"/>
  <c r="B3526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Q3494" i="34" l="1"/>
  <c r="U3494" i="34"/>
  <c r="Z3494" i="34"/>
  <c r="O3494" i="34"/>
  <c r="W3494" i="34"/>
  <c r="P3494" i="34"/>
  <c r="A3494" i="34"/>
  <c r="O3496" i="34"/>
  <c r="W3496" i="34"/>
  <c r="P3496" i="34"/>
  <c r="Q3496" i="34"/>
  <c r="U3496" i="34"/>
  <c r="Z3496" i="34"/>
  <c r="A3496" i="34"/>
  <c r="Q3498" i="34"/>
  <c r="U3498" i="34"/>
  <c r="Z3498" i="34"/>
  <c r="O3498" i="34"/>
  <c r="W3498" i="34"/>
  <c r="P3498" i="34"/>
  <c r="A3498" i="34"/>
  <c r="O3500" i="34"/>
  <c r="W3500" i="34"/>
  <c r="P3500" i="34"/>
  <c r="Q3500" i="34"/>
  <c r="U3500" i="34"/>
  <c r="Z3500" i="34"/>
  <c r="A3500" i="34"/>
  <c r="Q3502" i="34"/>
  <c r="U3502" i="34"/>
  <c r="Z3502" i="34"/>
  <c r="O3502" i="34"/>
  <c r="W3502" i="34"/>
  <c r="P3502" i="34"/>
  <c r="A3502" i="34"/>
  <c r="O3504" i="34"/>
  <c r="W3504" i="34"/>
  <c r="P3504" i="34"/>
  <c r="Q3504" i="34"/>
  <c r="U3504" i="34"/>
  <c r="Z3504" i="34"/>
  <c r="A3504" i="34"/>
  <c r="Q3506" i="34"/>
  <c r="U3506" i="34"/>
  <c r="Z3506" i="34"/>
  <c r="O3506" i="34"/>
  <c r="W3506" i="34"/>
  <c r="P3506" i="34"/>
  <c r="A3506" i="34"/>
  <c r="O3508" i="34"/>
  <c r="W3508" i="34"/>
  <c r="P3508" i="34"/>
  <c r="Q3508" i="34"/>
  <c r="U3508" i="34"/>
  <c r="Z3508" i="34"/>
  <c r="A3508" i="34"/>
  <c r="Q3510" i="34"/>
  <c r="U3510" i="34"/>
  <c r="Z3510" i="34"/>
  <c r="O3510" i="34"/>
  <c r="W3510" i="34"/>
  <c r="P3510" i="34"/>
  <c r="A3510" i="34"/>
  <c r="O3512" i="34"/>
  <c r="W3512" i="34"/>
  <c r="P3512" i="34"/>
  <c r="Q3512" i="34"/>
  <c r="U3512" i="34"/>
  <c r="Z3512" i="34"/>
  <c r="A3512" i="34"/>
  <c r="Q3514" i="34"/>
  <c r="U3514" i="34"/>
  <c r="Z3514" i="34"/>
  <c r="O3514" i="34"/>
  <c r="W3514" i="34"/>
  <c r="P3514" i="34"/>
  <c r="A3514" i="34"/>
  <c r="O3516" i="34"/>
  <c r="W3516" i="34"/>
  <c r="P3516" i="34"/>
  <c r="Q3516" i="34"/>
  <c r="U3516" i="34"/>
  <c r="Z3516" i="34"/>
  <c r="A3516" i="34"/>
  <c r="Q3518" i="34"/>
  <c r="U3518" i="34"/>
  <c r="Z3518" i="34"/>
  <c r="O3518" i="34"/>
  <c r="W3518" i="34"/>
  <c r="P3518" i="34"/>
  <c r="A3518" i="34"/>
  <c r="O3520" i="34"/>
  <c r="W3520" i="34"/>
  <c r="P3520" i="34"/>
  <c r="Q3520" i="34"/>
  <c r="U3520" i="34"/>
  <c r="Z3520" i="34"/>
  <c r="A3520" i="34"/>
  <c r="Q3522" i="34"/>
  <c r="U3522" i="34"/>
  <c r="Z3522" i="34"/>
  <c r="O3522" i="34"/>
  <c r="W3522" i="34"/>
  <c r="P3522" i="34"/>
  <c r="A3522" i="34"/>
  <c r="O3524" i="34"/>
  <c r="W3524" i="34"/>
  <c r="P3524" i="34"/>
  <c r="Q3524" i="34"/>
  <c r="U3524" i="34"/>
  <c r="Z3524" i="34"/>
  <c r="A3524" i="34"/>
  <c r="Q3526" i="34"/>
  <c r="U3526" i="34"/>
  <c r="Z3526" i="34"/>
  <c r="O3526" i="34"/>
  <c r="W3526" i="34"/>
  <c r="P3526" i="34"/>
  <c r="A3526" i="34"/>
  <c r="O3528" i="34"/>
  <c r="W3528" i="34"/>
  <c r="P3528" i="34"/>
  <c r="Q3528" i="34"/>
  <c r="U3528" i="34"/>
  <c r="Z3528" i="34"/>
  <c r="A3528" i="34"/>
  <c r="Q3530" i="34"/>
  <c r="U3530" i="34"/>
  <c r="Z3530" i="34"/>
  <c r="O3530" i="34"/>
  <c r="W3530" i="34"/>
  <c r="P3530" i="34"/>
  <c r="A3530" i="34"/>
  <c r="O3532" i="34"/>
  <c r="W3532" i="34"/>
  <c r="P3532" i="34"/>
  <c r="Q3532" i="34"/>
  <c r="U3532" i="34"/>
  <c r="Z3532" i="34"/>
  <c r="A3532" i="34"/>
  <c r="Q3534" i="34"/>
  <c r="U3534" i="34"/>
  <c r="Z3534" i="34"/>
  <c r="O3534" i="34"/>
  <c r="W3534" i="34"/>
  <c r="P3534" i="34"/>
  <c r="A3534" i="34"/>
  <c r="O3536" i="34"/>
  <c r="W3536" i="34"/>
  <c r="P3536" i="34"/>
  <c r="Q3536" i="34"/>
  <c r="U3536" i="34"/>
  <c r="Z3536" i="34"/>
  <c r="A3536" i="34"/>
  <c r="Q3538" i="34"/>
  <c r="U3538" i="34"/>
  <c r="Z3538" i="34"/>
  <c r="O3538" i="34"/>
  <c r="W3538" i="34"/>
  <c r="P3538" i="34"/>
  <c r="A3538" i="34"/>
  <c r="P3495" i="34"/>
  <c r="Q3495" i="34"/>
  <c r="U3495" i="34"/>
  <c r="Z3495" i="34"/>
  <c r="O3495" i="34"/>
  <c r="W3495" i="34"/>
  <c r="A3495" i="34"/>
  <c r="Z3497" i="34"/>
  <c r="O3497" i="34"/>
  <c r="W3497" i="34"/>
  <c r="P3497" i="34"/>
  <c r="Q3497" i="34"/>
  <c r="U3497" i="34"/>
  <c r="A3497" i="34"/>
  <c r="P3499" i="34"/>
  <c r="Q3499" i="34"/>
  <c r="U3499" i="34"/>
  <c r="Z3499" i="34"/>
  <c r="O3499" i="34"/>
  <c r="W3499" i="34"/>
  <c r="A3499" i="34"/>
  <c r="Z3501" i="34"/>
  <c r="O3501" i="34"/>
  <c r="W3501" i="34"/>
  <c r="P3501" i="34"/>
  <c r="Q3501" i="34"/>
  <c r="U3501" i="34"/>
  <c r="A3501" i="34"/>
  <c r="P3503" i="34"/>
  <c r="Q3503" i="34"/>
  <c r="U3503" i="34"/>
  <c r="Z3503" i="34"/>
  <c r="O3503" i="34"/>
  <c r="W3503" i="34"/>
  <c r="A3503" i="34"/>
  <c r="Z3505" i="34"/>
  <c r="O3505" i="34"/>
  <c r="W3505" i="34"/>
  <c r="P3505" i="34"/>
  <c r="Q3505" i="34"/>
  <c r="U3505" i="34"/>
  <c r="A3505" i="34"/>
  <c r="P3507" i="34"/>
  <c r="Q3507" i="34"/>
  <c r="U3507" i="34"/>
  <c r="Z3507" i="34"/>
  <c r="O3507" i="34"/>
  <c r="W3507" i="34"/>
  <c r="A3507" i="34"/>
  <c r="Z3509" i="34"/>
  <c r="O3509" i="34"/>
  <c r="W3509" i="34"/>
  <c r="P3509" i="34"/>
  <c r="Q3509" i="34"/>
  <c r="U3509" i="34"/>
  <c r="A3509" i="34"/>
  <c r="P3511" i="34"/>
  <c r="Q3511" i="34"/>
  <c r="U3511" i="34"/>
  <c r="Z3511" i="34"/>
  <c r="O3511" i="34"/>
  <c r="W3511" i="34"/>
  <c r="A3511" i="34"/>
  <c r="Z3513" i="34"/>
  <c r="O3513" i="34"/>
  <c r="W3513" i="34"/>
  <c r="P3513" i="34"/>
  <c r="Q3513" i="34"/>
  <c r="U3513" i="34"/>
  <c r="A3513" i="34"/>
  <c r="P3515" i="34"/>
  <c r="Q3515" i="34"/>
  <c r="U3515" i="34"/>
  <c r="Z3515" i="34"/>
  <c r="O3515" i="34"/>
  <c r="W3515" i="34"/>
  <c r="A3515" i="34"/>
  <c r="Z3517" i="34"/>
  <c r="O3517" i="34"/>
  <c r="W3517" i="34"/>
  <c r="P3517" i="34"/>
  <c r="Q3517" i="34"/>
  <c r="U3517" i="34"/>
  <c r="A3517" i="34"/>
  <c r="P3519" i="34"/>
  <c r="Q3519" i="34"/>
  <c r="U3519" i="34"/>
  <c r="Z3519" i="34"/>
  <c r="O3519" i="34"/>
  <c r="W3519" i="34"/>
  <c r="A3519" i="34"/>
  <c r="Z3521" i="34"/>
  <c r="O3521" i="34"/>
  <c r="W3521" i="34"/>
  <c r="P3521" i="34"/>
  <c r="Q3521" i="34"/>
  <c r="U3521" i="34"/>
  <c r="A3521" i="34"/>
  <c r="P3523" i="34"/>
  <c r="Q3523" i="34"/>
  <c r="U3523" i="34"/>
  <c r="Z3523" i="34"/>
  <c r="O3523" i="34"/>
  <c r="W3523" i="34"/>
  <c r="A3523" i="34"/>
  <c r="Z3525" i="34"/>
  <c r="O3525" i="34"/>
  <c r="W3525" i="34"/>
  <c r="P3525" i="34"/>
  <c r="Q3525" i="34"/>
  <c r="U3525" i="34"/>
  <c r="A3525" i="34"/>
  <c r="P3527" i="34"/>
  <c r="Q3527" i="34"/>
  <c r="U3527" i="34"/>
  <c r="Z3527" i="34"/>
  <c r="O3527" i="34"/>
  <c r="W3527" i="34"/>
  <c r="A3527" i="34"/>
  <c r="Z3529" i="34"/>
  <c r="O3529" i="34"/>
  <c r="W3529" i="34"/>
  <c r="P3529" i="34"/>
  <c r="Q3529" i="34"/>
  <c r="U3529" i="34"/>
  <c r="A3529" i="34"/>
  <c r="P3531" i="34"/>
  <c r="Q3531" i="34"/>
  <c r="U3531" i="34"/>
  <c r="Z3531" i="34"/>
  <c r="O3531" i="34"/>
  <c r="W3531" i="34"/>
  <c r="A3531" i="34"/>
  <c r="Z3533" i="34"/>
  <c r="O3533" i="34"/>
  <c r="W3533" i="34"/>
  <c r="P3533" i="34"/>
  <c r="Q3533" i="34"/>
  <c r="U3533" i="34"/>
  <c r="A3533" i="34"/>
  <c r="P3535" i="34"/>
  <c r="Q3535" i="34"/>
  <c r="U3535" i="34"/>
  <c r="Z3535" i="34"/>
  <c r="O3535" i="34"/>
  <c r="W3535" i="34"/>
  <c r="A3535" i="34"/>
  <c r="Z3537" i="34"/>
  <c r="O3537" i="34"/>
  <c r="W3537" i="34"/>
  <c r="P3537" i="34"/>
  <c r="Q3537" i="34"/>
  <c r="U3537" i="34"/>
  <c r="A3537" i="34"/>
  <c r="P3539" i="34"/>
  <c r="Q3539" i="34"/>
  <c r="U3539" i="34"/>
  <c r="Z3539" i="34"/>
  <c r="O3539" i="34"/>
  <c r="W3539" i="34"/>
  <c r="A3539" i="34"/>
  <c r="O167" i="79"/>
  <c r="Q15" i="60"/>
  <c r="C15" i="60" s="1"/>
  <c r="Q16" i="60"/>
  <c r="C16" i="60" s="1"/>
  <c r="Q17" i="60"/>
  <c r="Q18" i="60"/>
  <c r="C18" i="60" s="1"/>
  <c r="Q19" i="60"/>
  <c r="C19" i="60" s="1"/>
  <c r="Q20" i="60"/>
  <c r="C20" i="60" s="1"/>
  <c r="Q21" i="60"/>
  <c r="C21" i="60" s="1"/>
  <c r="Q22" i="60"/>
  <c r="Q23" i="60"/>
  <c r="C23" i="60" s="1"/>
  <c r="Q24" i="60"/>
  <c r="C24" i="60" s="1"/>
  <c r="Q25" i="60"/>
  <c r="C25" i="60" s="1"/>
  <c r="Q26" i="60"/>
  <c r="Q27" i="60"/>
  <c r="C27" i="60" s="1"/>
  <c r="Q28" i="60"/>
  <c r="C28" i="60" s="1"/>
  <c r="Q29" i="60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O160" i="79"/>
  <c r="O158" i="79"/>
  <c r="O157" i="79"/>
  <c r="O155" i="79"/>
  <c r="O153" i="79"/>
  <c r="O152" i="79"/>
  <c r="O151" i="79"/>
  <c r="O150" i="79"/>
  <c r="O149" i="79"/>
  <c r="O148" i="79"/>
  <c r="O146" i="79"/>
  <c r="O144" i="79"/>
  <c r="O143" i="79"/>
  <c r="O142" i="79"/>
  <c r="O141" i="79"/>
  <c r="O140" i="79"/>
  <c r="O138" i="79"/>
  <c r="O134" i="79"/>
  <c r="O133" i="79"/>
  <c r="O130" i="79"/>
  <c r="O129" i="79"/>
  <c r="O125" i="79"/>
  <c r="O124" i="79"/>
  <c r="O123" i="79"/>
  <c r="O118" i="79"/>
  <c r="O116" i="79"/>
  <c r="O98" i="79"/>
  <c r="O88" i="79"/>
  <c r="O86" i="79"/>
  <c r="O85" i="79"/>
  <c r="O82" i="79"/>
  <c r="O81" i="79"/>
  <c r="O79" i="79"/>
  <c r="O78" i="79"/>
  <c r="O77" i="79"/>
  <c r="O75" i="79"/>
  <c r="O74" i="79"/>
  <c r="O71" i="79"/>
  <c r="O70" i="79"/>
  <c r="O69" i="79"/>
  <c r="O39" i="79"/>
  <c r="O34" i="79"/>
  <c r="O33" i="79"/>
  <c r="O32" i="79"/>
  <c r="O25" i="79"/>
  <c r="C17" i="60"/>
  <c r="C29" i="60"/>
  <c r="C26" i="60"/>
  <c r="C22" i="60"/>
  <c r="N8" i="60"/>
  <c r="N9" i="60"/>
  <c r="N10" i="60"/>
  <c r="N11" i="60"/>
  <c r="N12" i="60"/>
  <c r="N13" i="60"/>
  <c r="N14" i="60"/>
  <c r="N7" i="60"/>
  <c r="Q9" i="60"/>
  <c r="Q10" i="60"/>
  <c r="Q11" i="60"/>
  <c r="Q12" i="60"/>
  <c r="Q13" i="60"/>
  <c r="Q14" i="60"/>
  <c r="J26" i="79" l="1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J102" i="79"/>
  <c r="J103" i="79"/>
  <c r="J104" i="79"/>
  <c r="J105" i="79"/>
  <c r="J106" i="79"/>
  <c r="J107" i="79"/>
  <c r="J108" i="79"/>
  <c r="J109" i="79"/>
  <c r="J110" i="79"/>
  <c r="J111" i="79"/>
  <c r="J112" i="79"/>
  <c r="J113" i="79"/>
  <c r="J114" i="79"/>
  <c r="J115" i="79"/>
  <c r="J116" i="79"/>
  <c r="J117" i="79"/>
  <c r="J118" i="79"/>
  <c r="J119" i="79"/>
  <c r="J120" i="79"/>
  <c r="J121" i="79"/>
  <c r="J122" i="79"/>
  <c r="J123" i="79"/>
  <c r="J124" i="79"/>
  <c r="J125" i="79"/>
  <c r="J126" i="79"/>
  <c r="J127" i="79"/>
  <c r="J128" i="79"/>
  <c r="J129" i="79"/>
  <c r="J130" i="79"/>
  <c r="J131" i="79"/>
  <c r="J132" i="79"/>
  <c r="J133" i="79"/>
  <c r="J134" i="79"/>
  <c r="J135" i="79"/>
  <c r="J136" i="79"/>
  <c r="J137" i="79"/>
  <c r="J138" i="79"/>
  <c r="J139" i="79"/>
  <c r="J140" i="79"/>
  <c r="J141" i="79"/>
  <c r="J142" i="79"/>
  <c r="J143" i="79"/>
  <c r="J144" i="79"/>
  <c r="J145" i="79"/>
  <c r="J146" i="79"/>
  <c r="J147" i="79"/>
  <c r="J148" i="79"/>
  <c r="J149" i="79"/>
  <c r="J150" i="79"/>
  <c r="J151" i="79"/>
  <c r="J152" i="79"/>
  <c r="J153" i="79"/>
  <c r="J154" i="79"/>
  <c r="J155" i="79"/>
  <c r="J156" i="79"/>
  <c r="J157" i="79"/>
  <c r="J158" i="79"/>
  <c r="J159" i="79"/>
  <c r="J160" i="79"/>
  <c r="J161" i="79"/>
  <c r="J162" i="79"/>
  <c r="J163" i="79"/>
  <c r="J164" i="79"/>
  <c r="J165" i="79"/>
  <c r="J166" i="79"/>
  <c r="J167" i="79"/>
  <c r="J25" i="79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3661" i="34"/>
  <c r="K3662" i="34"/>
  <c r="K3663" i="34"/>
  <c r="K3664" i="34"/>
  <c r="K3665" i="34"/>
  <c r="K3666" i="34"/>
  <c r="K3667" i="34"/>
  <c r="K3668" i="34"/>
  <c r="K3669" i="34"/>
  <c r="K3670" i="34"/>
  <c r="K3671" i="34"/>
  <c r="K3672" i="34"/>
  <c r="K3673" i="34"/>
  <c r="K3674" i="34"/>
  <c r="K3675" i="34"/>
  <c r="K3676" i="34"/>
  <c r="K3677" i="34"/>
  <c r="K3678" i="34"/>
  <c r="K3679" i="34"/>
  <c r="K3680" i="34"/>
  <c r="K3681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2" i="34"/>
  <c r="K3723" i="34"/>
  <c r="K3724" i="34"/>
  <c r="K3725" i="34"/>
  <c r="K3726" i="34"/>
  <c r="K3727" i="34"/>
  <c r="K3728" i="34"/>
  <c r="K3729" i="34"/>
  <c r="K3730" i="34"/>
  <c r="K3731" i="34"/>
  <c r="K3732" i="34"/>
  <c r="K3733" i="34"/>
  <c r="K3734" i="34"/>
  <c r="K3735" i="34"/>
  <c r="K3736" i="34"/>
  <c r="K3737" i="34"/>
  <c r="K3738" i="34"/>
  <c r="K3739" i="34"/>
  <c r="K3740" i="34"/>
  <c r="K3741" i="34"/>
  <c r="K3742" i="34"/>
  <c r="K3743" i="34"/>
  <c r="K3744" i="34"/>
  <c r="K3745" i="34"/>
  <c r="K3746" i="34"/>
  <c r="K3747" i="34"/>
  <c r="K3748" i="34"/>
  <c r="K3749" i="34"/>
  <c r="K3750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581" i="34"/>
  <c r="AB1024" i="34" l="1"/>
  <c r="AB997" i="34"/>
  <c r="AB996" i="34"/>
  <c r="AB995" i="34"/>
  <c r="AB994" i="34"/>
  <c r="AB993" i="34"/>
  <c r="AB992" i="34"/>
  <c r="AB991" i="34"/>
  <c r="AB990" i="34"/>
  <c r="AB989" i="34"/>
  <c r="AB988" i="34"/>
  <c r="AB987" i="34"/>
  <c r="AB986" i="34"/>
  <c r="AB985" i="34"/>
  <c r="AB984" i="34"/>
  <c r="AB983" i="34"/>
  <c r="AB982" i="34"/>
  <c r="AB1049" i="34"/>
  <c r="AB1048" i="34"/>
  <c r="AB1047" i="34"/>
  <c r="AB1046" i="34"/>
  <c r="AB1045" i="34"/>
  <c r="AB1044" i="34"/>
  <c r="AB1043" i="34"/>
  <c r="AB1042" i="34"/>
  <c r="AB1041" i="34"/>
  <c r="AB1040" i="34"/>
  <c r="AB1039" i="34"/>
  <c r="AB1038" i="34"/>
  <c r="AB1037" i="34"/>
  <c r="AB1036" i="34"/>
  <c r="AB1035" i="34"/>
  <c r="AB1034" i="34"/>
  <c r="AB1033" i="34"/>
  <c r="AB1032" i="34"/>
  <c r="AB1031" i="34"/>
  <c r="AB1030" i="34"/>
  <c r="AB1029" i="34"/>
  <c r="AB1028" i="34"/>
  <c r="AB1027" i="34"/>
  <c r="AB1026" i="34"/>
  <c r="AB1012" i="34"/>
  <c r="AB1011" i="34"/>
  <c r="AB1010" i="34"/>
  <c r="AB1009" i="34"/>
  <c r="AB1008" i="34"/>
  <c r="AB1007" i="34"/>
  <c r="AB1006" i="34"/>
  <c r="AB1005" i="34"/>
  <c r="AB1004" i="34"/>
  <c r="AB1003" i="34"/>
  <c r="AB1002" i="34"/>
  <c r="AB1001" i="34"/>
  <c r="AB1000" i="34"/>
  <c r="AB999" i="34"/>
  <c r="AB978" i="34"/>
  <c r="AB977" i="34"/>
  <c r="AB976" i="34"/>
  <c r="AB975" i="34"/>
  <c r="AB974" i="34"/>
  <c r="AB973" i="34"/>
  <c r="AB972" i="34"/>
  <c r="AB971" i="34"/>
  <c r="AB970" i="34"/>
  <c r="AB969" i="34"/>
  <c r="AB965" i="34"/>
  <c r="AB964" i="34"/>
  <c r="AB963" i="34"/>
  <c r="AB962" i="34"/>
  <c r="AB961" i="34"/>
  <c r="AB960" i="34"/>
  <c r="AB959" i="34"/>
  <c r="AB958" i="34"/>
  <c r="AB957" i="34"/>
  <c r="AB956" i="34"/>
  <c r="AB955" i="34"/>
  <c r="AB954" i="34"/>
  <c r="AB953" i="34"/>
  <c r="AB952" i="34"/>
  <c r="AB951" i="34"/>
  <c r="AB950" i="34"/>
  <c r="AB949" i="34"/>
  <c r="AB948" i="34"/>
  <c r="AB947" i="34"/>
  <c r="AB946" i="34"/>
  <c r="AB945" i="34"/>
  <c r="AB944" i="34"/>
  <c r="AB943" i="34"/>
  <c r="AB942" i="34"/>
  <c r="AB941" i="34"/>
  <c r="AB940" i="34"/>
  <c r="AB939" i="34"/>
  <c r="AB938" i="34"/>
  <c r="AB937" i="34"/>
  <c r="AB936" i="34"/>
  <c r="AB935" i="34"/>
  <c r="AB934" i="34"/>
  <c r="AB933" i="34"/>
  <c r="AB932" i="34"/>
  <c r="AB931" i="34"/>
  <c r="AB930" i="34"/>
  <c r="AB929" i="34"/>
  <c r="AB928" i="34"/>
  <c r="AB927" i="34"/>
  <c r="AB926" i="34"/>
  <c r="AB925" i="34"/>
  <c r="AB924" i="34"/>
  <c r="AB923" i="34"/>
  <c r="AB922" i="34"/>
  <c r="AB921" i="34"/>
  <c r="AB920" i="34"/>
  <c r="AB919" i="34"/>
  <c r="AB918" i="34"/>
  <c r="AB917" i="34"/>
  <c r="AB916" i="34"/>
  <c r="AB915" i="34"/>
  <c r="AB914" i="34"/>
  <c r="AB913" i="34"/>
  <c r="AB912" i="34"/>
  <c r="AB911" i="34"/>
  <c r="AB910" i="34"/>
  <c r="AB909" i="34"/>
  <c r="AB908" i="34"/>
  <c r="AB907" i="34"/>
  <c r="AB906" i="34"/>
  <c r="AB905" i="34"/>
  <c r="AB904" i="34"/>
  <c r="AB903" i="34"/>
  <c r="AB902" i="34"/>
  <c r="AB901" i="34"/>
  <c r="AB900" i="34"/>
  <c r="AB899" i="34"/>
  <c r="AB898" i="34"/>
  <c r="AB897" i="34"/>
  <c r="AB896" i="34"/>
  <c r="AB895" i="34"/>
  <c r="AB894" i="34"/>
  <c r="AB893" i="34"/>
  <c r="AB892" i="34"/>
  <c r="AB891" i="34"/>
  <c r="AB890" i="34"/>
  <c r="AB889" i="34"/>
  <c r="AB888" i="34"/>
  <c r="AB887" i="34"/>
  <c r="AB886" i="34"/>
  <c r="AB885" i="34"/>
  <c r="AB884" i="34"/>
  <c r="AB883" i="34"/>
  <c r="AB882" i="34"/>
  <c r="AB881" i="34"/>
  <c r="AB880" i="34"/>
  <c r="AB879" i="34"/>
  <c r="AB878" i="34"/>
  <c r="AB877" i="34"/>
  <c r="AB876" i="34"/>
  <c r="AB875" i="34"/>
  <c r="AB874" i="34"/>
  <c r="AB873" i="34"/>
  <c r="AB872" i="34"/>
  <c r="AB871" i="34"/>
  <c r="AB870" i="34"/>
  <c r="AB869" i="34"/>
  <c r="AB868" i="34"/>
  <c r="AB867" i="34"/>
  <c r="AB866" i="34"/>
  <c r="AB865" i="34"/>
  <c r="AB864" i="34"/>
  <c r="AB863" i="34"/>
  <c r="AB862" i="34"/>
  <c r="AB861" i="34"/>
  <c r="AB860" i="34"/>
  <c r="AB859" i="34"/>
  <c r="AB858" i="34"/>
  <c r="AB857" i="34"/>
  <c r="AB856" i="34"/>
  <c r="AB855" i="34"/>
  <c r="AB854" i="34"/>
  <c r="AB853" i="34"/>
  <c r="AB852" i="34"/>
  <c r="AB851" i="34"/>
  <c r="AB850" i="34"/>
  <c r="AB849" i="34"/>
  <c r="AB848" i="34"/>
  <c r="AB847" i="34"/>
  <c r="AB846" i="34"/>
  <c r="AB845" i="34"/>
  <c r="AB844" i="34"/>
  <c r="AB843" i="34"/>
  <c r="AB842" i="34"/>
  <c r="AB840" i="34"/>
  <c r="AB839" i="34"/>
  <c r="AB838" i="34"/>
  <c r="AB837" i="34"/>
  <c r="AB836" i="34"/>
  <c r="AB835" i="34"/>
  <c r="AB834" i="34"/>
  <c r="AB832" i="34"/>
  <c r="AB831" i="34"/>
  <c r="AB830" i="34"/>
  <c r="AB829" i="34"/>
  <c r="AB828" i="34"/>
  <c r="AB827" i="34"/>
  <c r="AB826" i="34"/>
  <c r="AB825" i="34"/>
  <c r="AB824" i="34"/>
  <c r="AB823" i="34"/>
  <c r="AB822" i="34"/>
  <c r="AB821" i="34"/>
  <c r="AB820" i="34"/>
  <c r="AB819" i="34"/>
  <c r="AB818" i="34"/>
  <c r="AB817" i="34"/>
  <c r="AB816" i="34"/>
  <c r="AB815" i="34"/>
  <c r="AB814" i="34"/>
  <c r="AB813" i="34"/>
  <c r="AB812" i="34"/>
  <c r="AB811" i="34"/>
  <c r="AB810" i="34"/>
  <c r="AB809" i="34"/>
  <c r="AB808" i="34"/>
  <c r="AB807" i="34"/>
  <c r="AB806" i="34"/>
  <c r="AB805" i="34"/>
  <c r="AB804" i="34"/>
  <c r="AB803" i="34"/>
  <c r="AB802" i="34"/>
  <c r="AB801" i="34"/>
  <c r="AB800" i="34"/>
  <c r="AB799" i="34"/>
  <c r="AB798" i="34"/>
  <c r="AB797" i="34"/>
  <c r="AB796" i="34"/>
  <c r="AB795" i="34"/>
  <c r="AB794" i="34"/>
  <c r="AB793" i="34"/>
  <c r="AB792" i="34"/>
  <c r="AB791" i="34"/>
  <c r="AB790" i="34"/>
  <c r="AB789" i="34"/>
  <c r="AB788" i="34"/>
  <c r="AB787" i="34"/>
  <c r="AB786" i="34"/>
  <c r="AB785" i="34"/>
  <c r="AB784" i="34"/>
  <c r="AB783" i="34"/>
  <c r="AB782" i="34"/>
  <c r="AB781" i="34"/>
  <c r="AB780" i="34"/>
  <c r="AB779" i="34"/>
  <c r="AB778" i="34"/>
  <c r="AB777" i="34"/>
  <c r="AB776" i="34"/>
  <c r="AB775" i="34"/>
  <c r="AB774" i="34"/>
  <c r="AB773" i="34"/>
  <c r="AB772" i="34"/>
  <c r="AB771" i="34"/>
  <c r="AB770" i="34"/>
  <c r="AB769" i="34"/>
  <c r="AB768" i="34"/>
  <c r="AB767" i="34"/>
  <c r="AB766" i="34"/>
  <c r="AB765" i="34"/>
  <c r="AB764" i="34"/>
  <c r="AB763" i="34"/>
  <c r="AB762" i="34"/>
  <c r="AB761" i="34"/>
  <c r="AB760" i="34"/>
  <c r="AB759" i="34"/>
  <c r="AB758" i="34"/>
  <c r="AB757" i="34"/>
  <c r="AB756" i="34"/>
  <c r="AB755" i="34"/>
  <c r="AB754" i="34"/>
  <c r="AB753" i="34"/>
  <c r="AB752" i="34"/>
  <c r="AB751" i="34"/>
  <c r="AB750" i="34"/>
  <c r="AB749" i="34"/>
  <c r="AB748" i="34"/>
  <c r="AB747" i="34"/>
  <c r="AB746" i="34"/>
  <c r="AB745" i="34"/>
  <c r="AB744" i="34"/>
  <c r="AB743" i="34"/>
  <c r="AB742" i="34"/>
  <c r="AB741" i="34"/>
  <c r="AB740" i="34"/>
  <c r="AB739" i="34"/>
  <c r="AB738" i="34"/>
  <c r="AB737" i="34"/>
  <c r="AB736" i="34"/>
  <c r="AB735" i="34"/>
  <c r="AB734" i="34"/>
  <c r="AB733" i="34"/>
  <c r="AB732" i="34"/>
  <c r="AB731" i="34"/>
  <c r="AB730" i="34"/>
  <c r="AB729" i="34"/>
  <c r="AB728" i="34"/>
  <c r="AB727" i="34"/>
  <c r="AB726" i="34"/>
  <c r="AB725" i="34"/>
  <c r="AB724" i="34"/>
  <c r="AB723" i="34"/>
  <c r="AB722" i="34"/>
  <c r="AB721" i="34"/>
  <c r="AB720" i="34"/>
  <c r="AB719" i="34"/>
  <c r="AB718" i="34"/>
  <c r="AB717" i="34"/>
  <c r="AB716" i="34"/>
  <c r="AB715" i="34"/>
  <c r="AB714" i="34"/>
  <c r="AB713" i="34"/>
  <c r="AB712" i="34"/>
  <c r="AB710" i="34"/>
  <c r="AB709" i="34"/>
  <c r="AB708" i="34"/>
  <c r="AB707" i="34"/>
  <c r="AB702" i="34"/>
  <c r="AB701" i="34"/>
  <c r="AB697" i="34"/>
  <c r="AB696" i="34"/>
  <c r="AB695" i="34"/>
  <c r="AB694" i="34"/>
  <c r="AB693" i="34"/>
  <c r="AB692" i="34"/>
  <c r="AB691" i="34"/>
  <c r="AB690" i="34"/>
  <c r="AB689" i="34"/>
  <c r="AB688" i="34"/>
  <c r="AB687" i="34"/>
  <c r="AB686" i="34"/>
  <c r="AB685" i="34"/>
  <c r="AB684" i="34"/>
  <c r="AB683" i="34"/>
  <c r="AB682" i="34"/>
  <c r="AB659" i="34"/>
  <c r="AB658" i="34"/>
  <c r="AB657" i="34"/>
  <c r="AB656" i="34"/>
  <c r="AB655" i="34"/>
  <c r="AB654" i="34"/>
  <c r="AB653" i="34"/>
  <c r="AB652" i="34"/>
  <c r="AB651" i="34"/>
  <c r="AB650" i="34"/>
  <c r="AB649" i="34"/>
  <c r="AB647" i="34"/>
  <c r="AB646" i="34"/>
  <c r="AB645" i="34"/>
  <c r="AB644" i="34"/>
  <c r="AB625" i="34"/>
  <c r="AB624" i="34"/>
  <c r="AB623" i="34"/>
  <c r="AB1019" i="34"/>
  <c r="AB1018" i="34"/>
  <c r="AB1017" i="34"/>
  <c r="AB1016" i="34"/>
  <c r="AB1014" i="34"/>
  <c r="AB980" i="34"/>
  <c r="AB967" i="34"/>
  <c r="AB705" i="34"/>
  <c r="AB704" i="34"/>
  <c r="AB699" i="34"/>
  <c r="AB680" i="34"/>
  <c r="AB679" i="34"/>
  <c r="AB678" i="34"/>
  <c r="AB677" i="34"/>
  <c r="AB676" i="34"/>
  <c r="AB675" i="34"/>
  <c r="AB674" i="34"/>
  <c r="AB673" i="34"/>
  <c r="AB672" i="34"/>
  <c r="AB671" i="34"/>
  <c r="AB670" i="34"/>
  <c r="AB669" i="34"/>
  <c r="AB667" i="34"/>
  <c r="AB666" i="34"/>
  <c r="AB665" i="34"/>
  <c r="AB664" i="34"/>
  <c r="AB663" i="34"/>
  <c r="AB662" i="34"/>
  <c r="AB661" i="34"/>
  <c r="AB642" i="34"/>
  <c r="AB641" i="34"/>
  <c r="AB640" i="34"/>
  <c r="AB639" i="34"/>
  <c r="AB637" i="34"/>
  <c r="AB636" i="34"/>
  <c r="AB634" i="34"/>
  <c r="AB632" i="34"/>
  <c r="AB631" i="34"/>
  <c r="AB630" i="34"/>
  <c r="AB629" i="34"/>
  <c r="AB628" i="34"/>
  <c r="AB627" i="34"/>
  <c r="AB621" i="34"/>
  <c r="AB620" i="34"/>
  <c r="AB619" i="34"/>
  <c r="AB618" i="34"/>
  <c r="AB617" i="34"/>
  <c r="AB616" i="34"/>
  <c r="AB615" i="34"/>
  <c r="AB614" i="34"/>
  <c r="AB613" i="34"/>
  <c r="AB612" i="34"/>
  <c r="AB611" i="34"/>
  <c r="AB610" i="34"/>
  <c r="AB609" i="34"/>
  <c r="AB608" i="34"/>
  <c r="AB607" i="34"/>
  <c r="AB606" i="34"/>
  <c r="AB605" i="34"/>
  <c r="AB604" i="34"/>
  <c r="AB602" i="34"/>
  <c r="AB601" i="34"/>
  <c r="AB600" i="34"/>
  <c r="AB599" i="34"/>
  <c r="AB598" i="34"/>
  <c r="AB597" i="34"/>
  <c r="AB596" i="34"/>
  <c r="AB595" i="34"/>
  <c r="AB594" i="34"/>
  <c r="AB593" i="34"/>
  <c r="AB592" i="34"/>
  <c r="AB591" i="34"/>
  <c r="AB590" i="34"/>
  <c r="AB589" i="34"/>
  <c r="AB588" i="34"/>
  <c r="AB587" i="34"/>
  <c r="AB586" i="34"/>
  <c r="AB585" i="34"/>
  <c r="AB584" i="34"/>
  <c r="AB583" i="34"/>
  <c r="AB582" i="34"/>
  <c r="AB581" i="34"/>
  <c r="AB580" i="34"/>
  <c r="AB579" i="34"/>
  <c r="AB578" i="34"/>
  <c r="AB577" i="34"/>
  <c r="AB576" i="34"/>
  <c r="AB575" i="34"/>
  <c r="AB573" i="34"/>
  <c r="AB572" i="34"/>
  <c r="AB571" i="34"/>
  <c r="AB570" i="34"/>
  <c r="AB568" i="34"/>
  <c r="AB567" i="34"/>
  <c r="AB566" i="34"/>
  <c r="AB565" i="34"/>
  <c r="AB563" i="34"/>
  <c r="AB562" i="34"/>
  <c r="AB561" i="34"/>
  <c r="AB560" i="34"/>
  <c r="AB559" i="34"/>
  <c r="AB558" i="34"/>
  <c r="AB557" i="34"/>
  <c r="AB556" i="34"/>
  <c r="AB554" i="34"/>
  <c r="AB553" i="34"/>
  <c r="AB552" i="34"/>
  <c r="AB551" i="34"/>
  <c r="AB549" i="34"/>
  <c r="AB547" i="34"/>
  <c r="AB546" i="34"/>
  <c r="AB545" i="34"/>
  <c r="AB543" i="34"/>
  <c r="AB542" i="34"/>
  <c r="AB541" i="34"/>
  <c r="AB540" i="34"/>
  <c r="AB539" i="34"/>
  <c r="AB538" i="34"/>
  <c r="AB537" i="34"/>
  <c r="AB536" i="34"/>
  <c r="AB535" i="34"/>
  <c r="AB534" i="34"/>
  <c r="AB533" i="34"/>
  <c r="AB532" i="34"/>
  <c r="AB531" i="34"/>
  <c r="AB530" i="34"/>
  <c r="AB529" i="34"/>
  <c r="AB528" i="34"/>
  <c r="AB527" i="34"/>
  <c r="AB526" i="34"/>
  <c r="AB525" i="34"/>
  <c r="AB524" i="34"/>
  <c r="AB523" i="34"/>
  <c r="AB522" i="34"/>
  <c r="AB521" i="34"/>
  <c r="AB520" i="34"/>
  <c r="AB519" i="34"/>
  <c r="AB518" i="34"/>
  <c r="AB517" i="34"/>
  <c r="AB515" i="34"/>
  <c r="AB514" i="34"/>
  <c r="AB512" i="34"/>
  <c r="AB511" i="34"/>
  <c r="AB509" i="34"/>
  <c r="AB508" i="34"/>
  <c r="AB507" i="34"/>
  <c r="AB505" i="34"/>
  <c r="AB504" i="34"/>
  <c r="AB503" i="34"/>
  <c r="AB502" i="34"/>
  <c r="AB500" i="34"/>
  <c r="AB498" i="34"/>
  <c r="AB497" i="34"/>
  <c r="AB496" i="34"/>
  <c r="AB494" i="34"/>
  <c r="AB492" i="34"/>
  <c r="AB490" i="34"/>
  <c r="AB488" i="34"/>
  <c r="AB487" i="34"/>
  <c r="AB486" i="34"/>
  <c r="AB485" i="34"/>
  <c r="AB483" i="34"/>
  <c r="AB481" i="34"/>
  <c r="AB480" i="34"/>
  <c r="AB479" i="34"/>
  <c r="AB478" i="34"/>
  <c r="AB477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82" i="34"/>
  <c r="C989" i="34"/>
  <c r="B989" i="34" s="1"/>
  <c r="C988" i="34"/>
  <c r="B988" i="34" s="1"/>
  <c r="C987" i="34"/>
  <c r="B987" i="34" s="1"/>
  <c r="C986" i="34"/>
  <c r="B986" i="34" s="1"/>
  <c r="C993" i="34"/>
  <c r="B993" i="34" s="1"/>
  <c r="C992" i="34"/>
  <c r="B992" i="34" s="1"/>
  <c r="C991" i="34"/>
  <c r="B991" i="34" s="1"/>
  <c r="C990" i="34"/>
  <c r="B990" i="34" s="1"/>
  <c r="C997" i="34"/>
  <c r="B997" i="34" s="1"/>
  <c r="C996" i="34"/>
  <c r="B996" i="34" s="1"/>
  <c r="C995" i="34"/>
  <c r="B995" i="34" s="1"/>
  <c r="C994" i="34"/>
  <c r="B994" i="34" s="1"/>
  <c r="C985" i="34"/>
  <c r="B985" i="34" s="1"/>
  <c r="C984" i="34"/>
  <c r="B984" i="34" s="1"/>
  <c r="C983" i="34"/>
  <c r="B983" i="34" s="1"/>
  <c r="Q990" i="34" l="1"/>
  <c r="U990" i="34"/>
  <c r="Z990" i="34"/>
  <c r="P990" i="34"/>
  <c r="O990" i="34"/>
  <c r="W990" i="34"/>
  <c r="A990" i="34"/>
  <c r="Z994" i="34"/>
  <c r="P994" i="34"/>
  <c r="W994" i="34"/>
  <c r="O994" i="34"/>
  <c r="Q994" i="34"/>
  <c r="U994" i="34"/>
  <c r="A994" i="34"/>
  <c r="Q986" i="34"/>
  <c r="U986" i="34"/>
  <c r="Z986" i="34"/>
  <c r="P986" i="34"/>
  <c r="W986" i="34"/>
  <c r="O986" i="34"/>
  <c r="A986" i="34"/>
  <c r="P983" i="34"/>
  <c r="Q983" i="34"/>
  <c r="U983" i="34"/>
  <c r="O983" i="34"/>
  <c r="W983" i="34"/>
  <c r="Z983" i="34"/>
  <c r="A983" i="34"/>
  <c r="Q995" i="34"/>
  <c r="U995" i="34"/>
  <c r="O995" i="34"/>
  <c r="W995" i="34"/>
  <c r="Z995" i="34"/>
  <c r="P995" i="34"/>
  <c r="A995" i="34"/>
  <c r="P991" i="34"/>
  <c r="Q991" i="34"/>
  <c r="U991" i="34"/>
  <c r="O991" i="34"/>
  <c r="W991" i="34"/>
  <c r="Z991" i="34"/>
  <c r="A991" i="34"/>
  <c r="P987" i="34"/>
  <c r="Q987" i="34"/>
  <c r="U987" i="34"/>
  <c r="O987" i="34"/>
  <c r="W987" i="34"/>
  <c r="Z987" i="34"/>
  <c r="A987" i="34"/>
  <c r="Z985" i="34"/>
  <c r="O985" i="34"/>
  <c r="W985" i="34"/>
  <c r="Q985" i="34"/>
  <c r="U985" i="34"/>
  <c r="P985" i="34"/>
  <c r="A985" i="34"/>
  <c r="O997" i="34"/>
  <c r="W997" i="34"/>
  <c r="Q997" i="34"/>
  <c r="U997" i="34"/>
  <c r="Z997" i="34"/>
  <c r="P997" i="34"/>
  <c r="A997" i="34"/>
  <c r="Z989" i="34"/>
  <c r="O989" i="34"/>
  <c r="W989" i="34"/>
  <c r="Q989" i="34"/>
  <c r="U989" i="34"/>
  <c r="P989" i="34"/>
  <c r="A989" i="34"/>
  <c r="O984" i="34"/>
  <c r="W984" i="34"/>
  <c r="P984" i="34"/>
  <c r="Z984" i="34"/>
  <c r="Q984" i="34"/>
  <c r="U984" i="34"/>
  <c r="A984" i="34"/>
  <c r="P996" i="34"/>
  <c r="Z996" i="34"/>
  <c r="W996" i="34"/>
  <c r="O996" i="34"/>
  <c r="Q996" i="34"/>
  <c r="U996" i="34"/>
  <c r="A996" i="34"/>
  <c r="P992" i="34"/>
  <c r="Z992" i="34"/>
  <c r="W992" i="34"/>
  <c r="O992" i="34"/>
  <c r="Q992" i="34"/>
  <c r="U992" i="34"/>
  <c r="A992" i="34"/>
  <c r="O988" i="34"/>
  <c r="W988" i="34"/>
  <c r="P988" i="34"/>
  <c r="Z988" i="34"/>
  <c r="Q988" i="34"/>
  <c r="U988" i="34"/>
  <c r="A988" i="34"/>
  <c r="O993" i="34"/>
  <c r="W993" i="34"/>
  <c r="Q993" i="34"/>
  <c r="U993" i="34"/>
  <c r="Z993" i="34"/>
  <c r="P993" i="34"/>
  <c r="A993" i="34"/>
  <c r="G395" i="55" a="1"/>
  <c r="G395" i="55" s="1"/>
  <c r="I395" i="55" a="1"/>
  <c r="I395" i="55" s="1"/>
  <c r="G514" i="55" a="1"/>
  <c r="G514" i="55" s="1"/>
  <c r="I514" i="55" a="1"/>
  <c r="I514" i="55" s="1"/>
  <c r="G367" i="55" a="1"/>
  <c r="G367" i="55" s="1"/>
  <c r="I367" i="55" a="1"/>
  <c r="I367" i="55" s="1"/>
  <c r="G327" i="55" a="1"/>
  <c r="G327" i="55" s="1"/>
  <c r="I327" i="55" a="1"/>
  <c r="I327" i="55" s="1"/>
  <c r="G589" i="55" a="1"/>
  <c r="G589" i="55" s="1"/>
  <c r="I589" i="55" a="1"/>
  <c r="I589" i="55" s="1"/>
  <c r="G690" i="55" a="1"/>
  <c r="G690" i="55" s="1"/>
  <c r="I690" i="55" a="1"/>
  <c r="I690" i="55" s="1"/>
  <c r="G400" i="55" a="1"/>
  <c r="G400" i="55" s="1"/>
  <c r="I400" i="55" a="1"/>
  <c r="I400" i="55" s="1"/>
  <c r="G558" i="55" a="1"/>
  <c r="G558" i="55" s="1"/>
  <c r="I558" i="55" a="1"/>
  <c r="I558" i="55" s="1"/>
  <c r="G559" i="55" a="1"/>
  <c r="G559" i="55" s="1"/>
  <c r="I559" i="55" a="1"/>
  <c r="I559" i="55" s="1"/>
  <c r="G560" i="55" a="1"/>
  <c r="G560" i="55" s="1"/>
  <c r="I560" i="55" a="1"/>
  <c r="I560" i="55" s="1"/>
  <c r="G561" i="55" a="1"/>
  <c r="G561" i="55" s="1"/>
  <c r="I561" i="55" a="1"/>
  <c r="I561" i="55" s="1"/>
  <c r="G689" i="55" a="1"/>
  <c r="G689" i="55" s="1"/>
  <c r="I689" i="55" a="1"/>
  <c r="I689" i="55" s="1"/>
  <c r="G724" i="55" a="1"/>
  <c r="G724" i="55" s="1"/>
  <c r="I724" i="55" a="1"/>
  <c r="I724" i="55" s="1"/>
  <c r="G431" i="55" a="1"/>
  <c r="G431" i="55" s="1"/>
  <c r="I431" i="55" a="1"/>
  <c r="I431" i="55" s="1"/>
  <c r="B395" i="55"/>
  <c r="A395" i="55" s="1"/>
  <c r="B514" i="55"/>
  <c r="A514" i="55" s="1"/>
  <c r="B367" i="55"/>
  <c r="A367" i="55" s="1"/>
  <c r="B327" i="55"/>
  <c r="A327" i="55" s="1"/>
  <c r="B589" i="55"/>
  <c r="A589" i="55" s="1"/>
  <c r="B690" i="55"/>
  <c r="A690" i="55" s="1"/>
  <c r="B400" i="55"/>
  <c r="A400" i="55" s="1"/>
  <c r="B558" i="55"/>
  <c r="A558" i="55" s="1"/>
  <c r="B559" i="55"/>
  <c r="A559" i="55" s="1"/>
  <c r="B560" i="55"/>
  <c r="A560" i="55" s="1"/>
  <c r="B561" i="55"/>
  <c r="A561" i="55" s="1"/>
  <c r="B689" i="55"/>
  <c r="A689" i="55" s="1"/>
  <c r="B724" i="55"/>
  <c r="A724" i="55" s="1"/>
  <c r="B431" i="55"/>
  <c r="A431" i="55" s="1"/>
  <c r="B463" i="55"/>
  <c r="A463" i="55" s="1"/>
  <c r="B755" i="55"/>
  <c r="A755" i="55" s="1"/>
  <c r="G755" i="55" a="1"/>
  <c r="G755" i="55" s="1"/>
  <c r="I755" i="55" a="1"/>
  <c r="I755" i="55" s="1"/>
  <c r="B330" i="55"/>
  <c r="A330" i="55" s="1"/>
  <c r="G330" i="55" a="1"/>
  <c r="G330" i="55" s="1"/>
  <c r="I330" i="55" a="1"/>
  <c r="I330" i="55" s="1"/>
  <c r="B339" i="55"/>
  <c r="A339" i="55" s="1"/>
  <c r="G339" i="55" a="1"/>
  <c r="G339" i="55" s="1"/>
  <c r="I339" i="55" a="1"/>
  <c r="I339" i="55" s="1"/>
  <c r="B703" i="55"/>
  <c r="A703" i="55" s="1"/>
  <c r="G703" i="55" a="1"/>
  <c r="G703" i="55" s="1"/>
  <c r="I703" i="55" a="1"/>
  <c r="I703" i="55" s="1"/>
  <c r="B591" i="55"/>
  <c r="A591" i="55" s="1"/>
  <c r="G591" i="55" a="1"/>
  <c r="G591" i="55" s="1"/>
  <c r="I591" i="55" a="1"/>
  <c r="I591" i="55" s="1"/>
  <c r="B744" i="55"/>
  <c r="A744" i="55" s="1"/>
  <c r="G744" i="55" a="1"/>
  <c r="G744" i="55" s="1"/>
  <c r="I744" i="55" a="1"/>
  <c r="I744" i="55" s="1"/>
  <c r="B543" i="55"/>
  <c r="A543" i="55" s="1"/>
  <c r="G543" i="55" a="1"/>
  <c r="G543" i="55" s="1"/>
  <c r="I543" i="55" a="1"/>
  <c r="I543" i="55" s="1"/>
  <c r="B362" i="55"/>
  <c r="A362" i="55" s="1"/>
  <c r="G362" i="55" a="1"/>
  <c r="G362" i="55" s="1"/>
  <c r="I362" i="55" a="1"/>
  <c r="I362" i="55" s="1"/>
  <c r="B611" i="55"/>
  <c r="A611" i="55" s="1"/>
  <c r="G611" i="55" a="1"/>
  <c r="G611" i="55" s="1"/>
  <c r="I611" i="55" a="1"/>
  <c r="I611" i="55" s="1"/>
  <c r="B568" i="55"/>
  <c r="A568" i="55" s="1"/>
  <c r="G568" i="55" a="1"/>
  <c r="G568" i="55" s="1"/>
  <c r="I568" i="55" a="1"/>
  <c r="I568" i="55" s="1"/>
  <c r="B565" i="55"/>
  <c r="A565" i="55" s="1"/>
  <c r="G565" i="55" a="1"/>
  <c r="G565" i="55" s="1"/>
  <c r="I565" i="55" a="1"/>
  <c r="I565" i="55" s="1"/>
  <c r="B375" i="55"/>
  <c r="A375" i="55" s="1"/>
  <c r="G375" i="55" a="1"/>
  <c r="G375" i="55" s="1"/>
  <c r="I375" i="55" a="1"/>
  <c r="I375" i="55" s="1"/>
  <c r="B466" i="55"/>
  <c r="A466" i="55" s="1"/>
  <c r="G466" i="55" a="1"/>
  <c r="G466" i="55" s="1"/>
  <c r="I466" i="55" a="1"/>
  <c r="I466" i="55" s="1"/>
  <c r="B625" i="55"/>
  <c r="A625" i="55" s="1"/>
  <c r="G625" i="55" a="1"/>
  <c r="G625" i="55" s="1"/>
  <c r="I625" i="55" a="1"/>
  <c r="I625" i="55" s="1"/>
  <c r="B526" i="55"/>
  <c r="A526" i="55" s="1"/>
  <c r="G526" i="55" a="1"/>
  <c r="G526" i="55" s="1"/>
  <c r="I526" i="55" a="1"/>
  <c r="I526" i="55" s="1"/>
  <c r="B529" i="55"/>
  <c r="A529" i="55" s="1"/>
  <c r="G529" i="55" a="1"/>
  <c r="G529" i="55" s="1"/>
  <c r="I529" i="55" a="1"/>
  <c r="I529" i="55" s="1"/>
  <c r="B509" i="55"/>
  <c r="A509" i="55" s="1"/>
  <c r="G509" i="55" a="1"/>
  <c r="G509" i="55" s="1"/>
  <c r="I509" i="55" a="1"/>
  <c r="I509" i="55" s="1"/>
  <c r="B499" i="55"/>
  <c r="A499" i="55" s="1"/>
  <c r="G499" i="55" a="1"/>
  <c r="G499" i="55" s="1"/>
  <c r="I499" i="55" a="1"/>
  <c r="I499" i="55" s="1"/>
  <c r="B615" i="55"/>
  <c r="A615" i="55" s="1"/>
  <c r="G615" i="55" a="1"/>
  <c r="G615" i="55" s="1"/>
  <c r="I615" i="55" a="1"/>
  <c r="I615" i="55" s="1"/>
  <c r="B521" i="55"/>
  <c r="A521" i="55" s="1"/>
  <c r="G521" i="55" a="1"/>
  <c r="G521" i="55" s="1"/>
  <c r="I521" i="55" a="1"/>
  <c r="I521" i="55" s="1"/>
  <c r="B396" i="55"/>
  <c r="A396" i="55" s="1"/>
  <c r="G396" i="55" a="1"/>
  <c r="G396" i="55" s="1"/>
  <c r="I396" i="55" a="1"/>
  <c r="I396" i="55" s="1"/>
  <c r="B410" i="55"/>
  <c r="A410" i="55" s="1"/>
  <c r="G410" i="55" a="1"/>
  <c r="G410" i="55" s="1"/>
  <c r="I410" i="55" a="1"/>
  <c r="I410" i="55" s="1"/>
  <c r="B421" i="55"/>
  <c r="A421" i="55" s="1"/>
  <c r="G421" i="55" a="1"/>
  <c r="G421" i="55" s="1"/>
  <c r="I421" i="55" a="1"/>
  <c r="I421" i="55" s="1"/>
  <c r="B470" i="55"/>
  <c r="A470" i="55" s="1"/>
  <c r="G470" i="55" a="1"/>
  <c r="G470" i="55" s="1"/>
  <c r="I470" i="55" a="1"/>
  <c r="I470" i="55" s="1"/>
  <c r="B446" i="55"/>
  <c r="A446" i="55" s="1"/>
  <c r="G446" i="55" a="1"/>
  <c r="G446" i="55" s="1"/>
  <c r="I446" i="55" a="1"/>
  <c r="I446" i="55" s="1"/>
  <c r="B240" i="55"/>
  <c r="A240" i="55" s="1"/>
  <c r="G240" i="55" a="1"/>
  <c r="G240" i="55" s="1"/>
  <c r="I240" i="55" a="1"/>
  <c r="I240" i="55" s="1"/>
  <c r="B472" i="55"/>
  <c r="A472" i="55" s="1"/>
  <c r="G472" i="55" a="1"/>
  <c r="G472" i="55" s="1"/>
  <c r="I472" i="55" a="1"/>
  <c r="I472" i="55" s="1"/>
  <c r="B572" i="55"/>
  <c r="A572" i="55" s="1"/>
  <c r="G572" i="55" a="1"/>
  <c r="G572" i="55" s="1"/>
  <c r="I572" i="55" a="1"/>
  <c r="I572" i="55" s="1"/>
  <c r="B288" i="55"/>
  <c r="A288" i="55" s="1"/>
  <c r="G288" i="55" a="1"/>
  <c r="G288" i="55" s="1"/>
  <c r="I288" i="55" a="1"/>
  <c r="I288" i="55" s="1"/>
  <c r="B698" i="55"/>
  <c r="A698" i="55" s="1"/>
  <c r="G698" i="55" a="1"/>
  <c r="G698" i="55" s="1"/>
  <c r="I698" i="55" a="1"/>
  <c r="I698" i="55" s="1"/>
  <c r="B533" i="55"/>
  <c r="A533" i="55" s="1"/>
  <c r="G533" i="55" a="1"/>
  <c r="G533" i="55" s="1"/>
  <c r="I533" i="55" a="1"/>
  <c r="I533" i="55" s="1"/>
  <c r="B756" i="55"/>
  <c r="A756" i="55" s="1"/>
  <c r="G756" i="55" a="1"/>
  <c r="G756" i="55" s="1"/>
  <c r="I756" i="55" a="1"/>
  <c r="I756" i="55" s="1"/>
  <c r="B283" i="55"/>
  <c r="A283" i="55" s="1"/>
  <c r="G283" i="55" a="1"/>
  <c r="G283" i="55" s="1"/>
  <c r="I283" i="55" a="1"/>
  <c r="I283" i="55" s="1"/>
  <c r="B284" i="55"/>
  <c r="A284" i="55" s="1"/>
  <c r="G284" i="55" a="1"/>
  <c r="G284" i="55" s="1"/>
  <c r="I284" i="55" a="1"/>
  <c r="I284" i="55" s="1"/>
  <c r="B547" i="55"/>
  <c r="A547" i="55" s="1"/>
  <c r="G547" i="55" a="1"/>
  <c r="G547" i="55" s="1"/>
  <c r="I547" i="55" a="1"/>
  <c r="I547" i="55" s="1"/>
  <c r="B392" i="55"/>
  <c r="A392" i="55" s="1"/>
  <c r="G392" i="55" a="1"/>
  <c r="G392" i="55" s="1"/>
  <c r="I392" i="55" a="1"/>
  <c r="I392" i="55" s="1"/>
  <c r="B19" i="55"/>
  <c r="A19" i="55" s="1"/>
  <c r="G19" i="55" a="1"/>
  <c r="G19" i="55" s="1"/>
  <c r="I19" i="55" a="1"/>
  <c r="I19" i="55" s="1"/>
  <c r="B643" i="55"/>
  <c r="A643" i="55" s="1"/>
  <c r="G643" i="55" a="1"/>
  <c r="G643" i="55" s="1"/>
  <c r="I643" i="55" a="1"/>
  <c r="I643" i="55" s="1"/>
  <c r="B728" i="55"/>
  <c r="A728" i="55" s="1"/>
  <c r="G728" i="55" a="1"/>
  <c r="G728" i="55" s="1"/>
  <c r="I728" i="55" a="1"/>
  <c r="I728" i="55" s="1"/>
  <c r="B415" i="55"/>
  <c r="A415" i="55" s="1"/>
  <c r="G415" i="55" a="1"/>
  <c r="G415" i="55" s="1"/>
  <c r="I415" i="55" a="1"/>
  <c r="I415" i="55" s="1"/>
  <c r="B388" i="55"/>
  <c r="A388" i="55" s="1"/>
  <c r="G388" i="55" a="1"/>
  <c r="G388" i="55" s="1"/>
  <c r="I388" i="55" a="1"/>
  <c r="I388" i="55" s="1"/>
  <c r="B390" i="55"/>
  <c r="A390" i="55" s="1"/>
  <c r="G390" i="55" a="1"/>
  <c r="G390" i="55" s="1"/>
  <c r="I390" i="55" a="1"/>
  <c r="I390" i="55" s="1"/>
  <c r="B481" i="55"/>
  <c r="A481" i="55" s="1"/>
  <c r="G481" i="55" a="1"/>
  <c r="G481" i="55" s="1"/>
  <c r="I481" i="55" a="1"/>
  <c r="I481" i="55" s="1"/>
  <c r="B378" i="55"/>
  <c r="A378" i="55" s="1"/>
  <c r="G378" i="55" a="1"/>
  <c r="G378" i="55" s="1"/>
  <c r="I378" i="55" a="1"/>
  <c r="I378" i="55" s="1"/>
  <c r="B742" i="55"/>
  <c r="A742" i="55" s="1"/>
  <c r="G742" i="55" a="1"/>
  <c r="G742" i="55" s="1"/>
  <c r="I742" i="55" a="1"/>
  <c r="I742" i="55" s="1"/>
  <c r="B726" i="55"/>
  <c r="A726" i="55" s="1"/>
  <c r="G726" i="55" a="1"/>
  <c r="G726" i="55" s="1"/>
  <c r="I726" i="55" a="1"/>
  <c r="I726" i="55" s="1"/>
  <c r="B749" i="55"/>
  <c r="A749" i="55" s="1"/>
  <c r="G749" i="55" a="1"/>
  <c r="G749" i="55" s="1"/>
  <c r="I749" i="55" a="1"/>
  <c r="I749" i="55" s="1"/>
  <c r="B588" i="55"/>
  <c r="A588" i="55" s="1"/>
  <c r="G588" i="55" a="1"/>
  <c r="G588" i="55" s="1"/>
  <c r="I588" i="55" a="1"/>
  <c r="I588" i="55" s="1"/>
  <c r="B363" i="55"/>
  <c r="A363" i="55" s="1"/>
  <c r="G363" i="55" a="1"/>
  <c r="G363" i="55" s="1"/>
  <c r="I363" i="55" a="1"/>
  <c r="I363" i="55" s="1"/>
  <c r="B739" i="55"/>
  <c r="A739" i="55" s="1"/>
  <c r="G739" i="55" a="1"/>
  <c r="G739" i="55" s="1"/>
  <c r="I739" i="55" a="1"/>
  <c r="I739" i="55" s="1"/>
  <c r="B289" i="55"/>
  <c r="A289" i="55" s="1"/>
  <c r="G289" i="55" a="1"/>
  <c r="G289" i="55" s="1"/>
  <c r="I289" i="55" a="1"/>
  <c r="I289" i="55" s="1"/>
  <c r="B511" i="55"/>
  <c r="A511" i="55" s="1"/>
  <c r="G511" i="55" a="1"/>
  <c r="G511" i="55" s="1"/>
  <c r="I511" i="55" a="1"/>
  <c r="I511" i="55" s="1"/>
  <c r="B492" i="55"/>
  <c r="A492" i="55" s="1"/>
  <c r="G492" i="55" a="1"/>
  <c r="G492" i="55" s="1"/>
  <c r="I492" i="55" a="1"/>
  <c r="I492" i="55" s="1"/>
  <c r="B594" i="55"/>
  <c r="A594" i="55" s="1"/>
  <c r="G594" i="55" a="1"/>
  <c r="G594" i="55" s="1"/>
  <c r="I594" i="55" a="1"/>
  <c r="I594" i="55" s="1"/>
  <c r="B465" i="55"/>
  <c r="A465" i="55" s="1"/>
  <c r="G465" i="55" a="1"/>
  <c r="G465" i="55" s="1"/>
  <c r="I465" i="55" a="1"/>
  <c r="I465" i="55" s="1"/>
  <c r="B386" i="55"/>
  <c r="A386" i="55" s="1"/>
  <c r="G386" i="55" a="1"/>
  <c r="G386" i="55" s="1"/>
  <c r="I386" i="55" a="1"/>
  <c r="I386" i="55" s="1"/>
  <c r="B632" i="55"/>
  <c r="A632" i="55" s="1"/>
  <c r="G632" i="55" a="1"/>
  <c r="G632" i="55" s="1"/>
  <c r="I632" i="55" a="1"/>
  <c r="I632" i="55" s="1"/>
  <c r="B337" i="55"/>
  <c r="A337" i="55" s="1"/>
  <c r="G337" i="55" a="1"/>
  <c r="G337" i="55" s="1"/>
  <c r="I337" i="55" a="1"/>
  <c r="I337" i="55" s="1"/>
  <c r="B566" i="55"/>
  <c r="A566" i="55" s="1"/>
  <c r="G566" i="55" a="1"/>
  <c r="G566" i="55" s="1"/>
  <c r="I566" i="55" a="1"/>
  <c r="I566" i="55" s="1"/>
  <c r="B449" i="55"/>
  <c r="A449" i="55" s="1"/>
  <c r="G449" i="55" a="1"/>
  <c r="G449" i="55" s="1"/>
  <c r="I449" i="55" a="1"/>
  <c r="I449" i="55" s="1"/>
  <c r="B663" i="55"/>
  <c r="A663" i="55" s="1"/>
  <c r="G663" i="55" a="1"/>
  <c r="G663" i="55" s="1"/>
  <c r="I663" i="55" a="1"/>
  <c r="I663" i="55" s="1"/>
  <c r="B556" i="55"/>
  <c r="A556" i="55" s="1"/>
  <c r="G556" i="55" a="1"/>
  <c r="G556" i="55" s="1"/>
  <c r="I556" i="55" a="1"/>
  <c r="I556" i="55" s="1"/>
  <c r="B372" i="55"/>
  <c r="A372" i="55" s="1"/>
  <c r="G372" i="55" a="1"/>
  <c r="G372" i="55" s="1"/>
  <c r="I372" i="55" a="1"/>
  <c r="I372" i="55" s="1"/>
  <c r="B567" i="55"/>
  <c r="A567" i="55" s="1"/>
  <c r="G567" i="55" a="1"/>
  <c r="G567" i="55" s="1"/>
  <c r="I567" i="55" a="1"/>
  <c r="I567" i="55" s="1"/>
  <c r="B291" i="55"/>
  <c r="A291" i="55" s="1"/>
  <c r="G291" i="55" a="1"/>
  <c r="G291" i="55" s="1"/>
  <c r="I291" i="55" a="1"/>
  <c r="I291" i="55" s="1"/>
  <c r="B336" i="55"/>
  <c r="A336" i="55" s="1"/>
  <c r="G336" i="55" a="1"/>
  <c r="G336" i="55" s="1"/>
  <c r="I336" i="55" a="1"/>
  <c r="I336" i="55" s="1"/>
  <c r="B304" i="55"/>
  <c r="A304" i="55" s="1"/>
  <c r="G304" i="55" a="1"/>
  <c r="G304" i="55" s="1"/>
  <c r="I304" i="55" a="1"/>
  <c r="I304" i="55" s="1"/>
  <c r="B675" i="55"/>
  <c r="A675" i="55" s="1"/>
  <c r="G675" i="55" a="1"/>
  <c r="G675" i="55" s="1"/>
  <c r="I675" i="55" a="1"/>
  <c r="I675" i="55" s="1"/>
  <c r="B714" i="55"/>
  <c r="A714" i="55" s="1"/>
  <c r="G714" i="55" a="1"/>
  <c r="G714" i="55" s="1"/>
  <c r="I714" i="55" a="1"/>
  <c r="I714" i="55" s="1"/>
  <c r="B355" i="55"/>
  <c r="A355" i="55" s="1"/>
  <c r="G355" i="55" a="1"/>
  <c r="G355" i="55" s="1"/>
  <c r="I355" i="55" a="1"/>
  <c r="I355" i="55" s="1"/>
  <c r="B646" i="55"/>
  <c r="A646" i="55" s="1"/>
  <c r="G646" i="55" a="1"/>
  <c r="G646" i="55" s="1"/>
  <c r="I646" i="55" a="1"/>
  <c r="I646" i="55" s="1"/>
  <c r="G463" i="55" a="1"/>
  <c r="G463" i="55" s="1"/>
  <c r="I463" i="55" a="1"/>
  <c r="I463" i="55" s="1"/>
  <c r="B457" i="55"/>
  <c r="A457" i="55" s="1"/>
  <c r="G457" i="55" a="1"/>
  <c r="G457" i="55" s="1"/>
  <c r="I457" i="55" a="1"/>
  <c r="I457" i="55" s="1"/>
  <c r="B546" i="55"/>
  <c r="A546" i="55" s="1"/>
  <c r="G546" i="55" a="1"/>
  <c r="G546" i="55" s="1"/>
  <c r="I546" i="55" a="1"/>
  <c r="I546" i="55" s="1"/>
  <c r="B679" i="55"/>
  <c r="A679" i="55" s="1"/>
  <c r="G679" i="55" a="1"/>
  <c r="G679" i="55" s="1"/>
  <c r="I679" i="55" a="1"/>
  <c r="I679" i="55" s="1"/>
  <c r="B373" i="55"/>
  <c r="A373" i="55" s="1"/>
  <c r="G373" i="55" a="1"/>
  <c r="G373" i="55" s="1"/>
  <c r="I373" i="55" a="1"/>
  <c r="I373" i="55" s="1"/>
  <c r="B441" i="55"/>
  <c r="A441" i="55" s="1"/>
  <c r="G441" i="55" a="1"/>
  <c r="G441" i="55" s="1"/>
  <c r="I441" i="55" a="1"/>
  <c r="I441" i="55" s="1"/>
  <c r="B713" i="55"/>
  <c r="A713" i="55" s="1"/>
  <c r="G713" i="55" a="1"/>
  <c r="G713" i="55" s="1"/>
  <c r="I713" i="55" a="1"/>
  <c r="I713" i="55" s="1"/>
  <c r="B669" i="55"/>
  <c r="A669" i="55" s="1"/>
  <c r="G669" i="55" a="1"/>
  <c r="G669" i="55" s="1"/>
  <c r="I669" i="55" a="1"/>
  <c r="I669" i="55" s="1"/>
  <c r="B412" i="55"/>
  <c r="A412" i="55" s="1"/>
  <c r="G412" i="55" a="1"/>
  <c r="G412" i="55" s="1"/>
  <c r="I412" i="55" a="1"/>
  <c r="I412" i="55" s="1"/>
  <c r="B740" i="55"/>
  <c r="A740" i="55" s="1"/>
  <c r="G740" i="55" a="1"/>
  <c r="G740" i="55" s="1"/>
  <c r="I740" i="55" a="1"/>
  <c r="I740" i="55" s="1"/>
  <c r="B501" i="55"/>
  <c r="A501" i="55" s="1"/>
  <c r="G501" i="55" a="1"/>
  <c r="G501" i="55" s="1"/>
  <c r="I501" i="55" a="1"/>
  <c r="I501" i="55" s="1"/>
  <c r="B595" i="55"/>
  <c r="A595" i="55" s="1"/>
  <c r="G595" i="55" a="1"/>
  <c r="G595" i="55" s="1"/>
  <c r="I595" i="55" a="1"/>
  <c r="I595" i="55" s="1"/>
  <c r="B741" i="55"/>
  <c r="A741" i="55" s="1"/>
  <c r="G741" i="55" a="1"/>
  <c r="G741" i="55" s="1"/>
  <c r="I741" i="55" a="1"/>
  <c r="I741" i="55" s="1"/>
  <c r="B440" i="55"/>
  <c r="A440" i="55" s="1"/>
  <c r="G440" i="55" a="1"/>
  <c r="G440" i="55" s="1"/>
  <c r="I440" i="55" a="1"/>
  <c r="I440" i="55" s="1"/>
  <c r="B351" i="55"/>
  <c r="A351" i="55" s="1"/>
  <c r="G351" i="55" a="1"/>
  <c r="G351" i="55" s="1"/>
  <c r="I351" i="55" a="1"/>
  <c r="I351" i="55" s="1"/>
  <c r="B358" i="55"/>
  <c r="A358" i="55" s="1"/>
  <c r="G358" i="55" a="1"/>
  <c r="G358" i="55" s="1"/>
  <c r="I358" i="55" a="1"/>
  <c r="I358" i="55" s="1"/>
  <c r="B349" i="55"/>
  <c r="A349" i="55" s="1"/>
  <c r="G349" i="55" a="1"/>
  <c r="G349" i="55" s="1"/>
  <c r="I349" i="55" a="1"/>
  <c r="I349" i="55" s="1"/>
  <c r="B640" i="55"/>
  <c r="A640" i="55" s="1"/>
  <c r="G640" i="55" a="1"/>
  <c r="G640" i="55" s="1"/>
  <c r="I640" i="55" a="1"/>
  <c r="I640" i="55" s="1"/>
  <c r="B598" i="55"/>
  <c r="A598" i="55" s="1"/>
  <c r="G598" i="55" a="1"/>
  <c r="G598" i="55" s="1"/>
  <c r="I598" i="55" a="1"/>
  <c r="I598" i="55" s="1"/>
  <c r="B505" i="55"/>
  <c r="A505" i="55" s="1"/>
  <c r="G505" i="55" a="1"/>
  <c r="G505" i="55" s="1"/>
  <c r="I505" i="55" a="1"/>
  <c r="I505" i="55" s="1"/>
  <c r="B404" i="55"/>
  <c r="A404" i="55" s="1"/>
  <c r="G404" i="55" a="1"/>
  <c r="G404" i="55" s="1"/>
  <c r="I404" i="55" a="1"/>
  <c r="I404" i="55" s="1"/>
  <c r="B368" i="55"/>
  <c r="A368" i="55" s="1"/>
  <c r="G368" i="55" a="1"/>
  <c r="G368" i="55" s="1"/>
  <c r="I368" i="55" a="1"/>
  <c r="I368" i="55" s="1"/>
  <c r="B752" i="55"/>
  <c r="A752" i="55" s="1"/>
  <c r="G752" i="55" a="1"/>
  <c r="G752" i="55" s="1"/>
  <c r="I752" i="55" a="1"/>
  <c r="I752" i="55" s="1"/>
  <c r="B322" i="55"/>
  <c r="A322" i="55" s="1"/>
  <c r="G322" i="55" a="1"/>
  <c r="G322" i="55" s="1"/>
  <c r="I322" i="55" a="1"/>
  <c r="I322" i="55" s="1"/>
  <c r="B623" i="55"/>
  <c r="A623" i="55" s="1"/>
  <c r="G623" i="55" a="1"/>
  <c r="G623" i="55" s="1"/>
  <c r="I623" i="55" a="1"/>
  <c r="I623" i="55" s="1"/>
  <c r="B294" i="55"/>
  <c r="A294" i="55" s="1"/>
  <c r="G294" i="55" a="1"/>
  <c r="G294" i="55" s="1"/>
  <c r="I294" i="55" a="1"/>
  <c r="I294" i="55" s="1"/>
  <c r="B644" i="55"/>
  <c r="A644" i="55" s="1"/>
  <c r="G644" i="55" a="1"/>
  <c r="G644" i="55" s="1"/>
  <c r="I644" i="55" a="1"/>
  <c r="I644" i="55" s="1"/>
  <c r="B747" i="55"/>
  <c r="A747" i="55" s="1"/>
  <c r="G747" i="55" a="1"/>
  <c r="G747" i="55" s="1"/>
  <c r="I747" i="55" a="1"/>
  <c r="I747" i="55" s="1"/>
  <c r="B293" i="55"/>
  <c r="A293" i="55" s="1"/>
  <c r="G293" i="55" a="1"/>
  <c r="G293" i="55" s="1"/>
  <c r="I293" i="55" a="1"/>
  <c r="I293" i="55" s="1"/>
  <c r="B319" i="55"/>
  <c r="A319" i="55" s="1"/>
  <c r="G319" i="55" a="1"/>
  <c r="G319" i="55" s="1"/>
  <c r="I319" i="55" a="1"/>
  <c r="I319" i="55" s="1"/>
  <c r="B626" i="55"/>
  <c r="A626" i="55" s="1"/>
  <c r="G626" i="55" a="1"/>
  <c r="G626" i="55" s="1"/>
  <c r="I626" i="55" a="1"/>
  <c r="I626" i="55" s="1"/>
  <c r="B705" i="55"/>
  <c r="A705" i="55" s="1"/>
  <c r="G705" i="55" a="1"/>
  <c r="G705" i="55" s="1"/>
  <c r="I705" i="55" a="1"/>
  <c r="I705" i="55" s="1"/>
  <c r="B607" i="55"/>
  <c r="A607" i="55" s="1"/>
  <c r="G607" i="55" a="1"/>
  <c r="G607" i="55" s="1"/>
  <c r="I607" i="55" a="1"/>
  <c r="I607" i="55" s="1"/>
  <c r="B597" i="55"/>
  <c r="A597" i="55" s="1"/>
  <c r="G597" i="55" a="1"/>
  <c r="G597" i="55" s="1"/>
  <c r="I597" i="55" a="1"/>
  <c r="I597" i="55" s="1"/>
  <c r="B596" i="55"/>
  <c r="A596" i="55" s="1"/>
  <c r="G596" i="55" a="1"/>
  <c r="G596" i="55" s="1"/>
  <c r="I596" i="55" a="1"/>
  <c r="I596" i="55" s="1"/>
  <c r="B687" i="55"/>
  <c r="A687" i="55" s="1"/>
  <c r="G687" i="55" a="1"/>
  <c r="G687" i="55" s="1"/>
  <c r="I687" i="55" a="1"/>
  <c r="I687" i="55" s="1"/>
  <c r="B439" i="55"/>
  <c r="A439" i="55" s="1"/>
  <c r="G439" i="55" a="1"/>
  <c r="G439" i="55" s="1"/>
  <c r="I439" i="55" a="1"/>
  <c r="I439" i="55" s="1"/>
  <c r="B448" i="55"/>
  <c r="A448" i="55" s="1"/>
  <c r="G448" i="55" a="1"/>
  <c r="G448" i="55" s="1"/>
  <c r="I448" i="55" a="1"/>
  <c r="I448" i="55" s="1"/>
  <c r="B693" i="55"/>
  <c r="A693" i="55" s="1"/>
  <c r="G693" i="55" a="1"/>
  <c r="G693" i="55" s="1"/>
  <c r="I693" i="55" a="1"/>
  <c r="I693" i="55" s="1"/>
  <c r="B425" i="55"/>
  <c r="A425" i="55" s="1"/>
  <c r="G425" i="55" a="1"/>
  <c r="G425" i="55" s="1"/>
  <c r="I425" i="55" a="1"/>
  <c r="I425" i="55" s="1"/>
  <c r="B426" i="55"/>
  <c r="A426" i="55" s="1"/>
  <c r="G426" i="55" a="1"/>
  <c r="G426" i="55" s="1"/>
  <c r="I426" i="55" a="1"/>
  <c r="I426" i="55" s="1"/>
  <c r="B515" i="55"/>
  <c r="A515" i="55" s="1"/>
  <c r="G515" i="55" a="1"/>
  <c r="G515" i="55" s="1"/>
  <c r="I515" i="55" a="1"/>
  <c r="I515" i="55" s="1"/>
  <c r="B552" i="55"/>
  <c r="A552" i="55" s="1"/>
  <c r="G552" i="55" a="1"/>
  <c r="G552" i="55" s="1"/>
  <c r="I552" i="55" a="1"/>
  <c r="I552" i="55" s="1"/>
  <c r="B430" i="55"/>
  <c r="A430" i="55" s="1"/>
  <c r="G430" i="55" a="1"/>
  <c r="G430" i="55" s="1"/>
  <c r="I430" i="55" a="1"/>
  <c r="I430" i="55" s="1"/>
  <c r="B473" i="55"/>
  <c r="A473" i="55" s="1"/>
  <c r="G473" i="55" a="1"/>
  <c r="G473" i="55" s="1"/>
  <c r="I473" i="55" a="1"/>
  <c r="I473" i="55" s="1"/>
  <c r="B513" i="55"/>
  <c r="A513" i="55" s="1"/>
  <c r="G513" i="55" a="1"/>
  <c r="G513" i="55" s="1"/>
  <c r="I513" i="55" a="1"/>
  <c r="I513" i="55" s="1"/>
  <c r="B639" i="55"/>
  <c r="A639" i="55" s="1"/>
  <c r="G639" i="55" a="1"/>
  <c r="G639" i="55" s="1"/>
  <c r="I639" i="55" a="1"/>
  <c r="I639" i="55" s="1"/>
  <c r="B459" i="55"/>
  <c r="A459" i="55" s="1"/>
  <c r="G459" i="55" a="1"/>
  <c r="G459" i="55" s="1"/>
  <c r="I459" i="55" a="1"/>
  <c r="I459" i="55" s="1"/>
  <c r="B622" i="55"/>
  <c r="A622" i="55" s="1"/>
  <c r="G622" i="55" a="1"/>
  <c r="G622" i="55" s="1"/>
  <c r="I622" i="55" a="1"/>
  <c r="I622" i="55" s="1"/>
  <c r="B525" i="55"/>
  <c r="A525" i="55" s="1"/>
  <c r="G525" i="55" a="1"/>
  <c r="G525" i="55" s="1"/>
  <c r="I525" i="55" a="1"/>
  <c r="I525" i="55" s="1"/>
  <c r="B422" i="55"/>
  <c r="A422" i="55" s="1"/>
  <c r="G422" i="55" a="1"/>
  <c r="G422" i="55" s="1"/>
  <c r="I422" i="55" a="1"/>
  <c r="I422" i="55" s="1"/>
  <c r="B638" i="55"/>
  <c r="A638" i="55" s="1"/>
  <c r="G638" i="55" a="1"/>
  <c r="G638" i="55" s="1"/>
  <c r="I638" i="55" a="1"/>
  <c r="I638" i="55" s="1"/>
  <c r="B408" i="55"/>
  <c r="A408" i="55" s="1"/>
  <c r="G408" i="55" a="1"/>
  <c r="G408" i="55" s="1"/>
  <c r="I408" i="55" a="1"/>
  <c r="I408" i="55" s="1"/>
  <c r="B397" i="55"/>
  <c r="A397" i="55" s="1"/>
  <c r="G397" i="55" a="1"/>
  <c r="G397" i="55" s="1"/>
  <c r="I397" i="55" a="1"/>
  <c r="I397" i="55" s="1"/>
  <c r="B420" i="55"/>
  <c r="A420" i="55" s="1"/>
  <c r="G420" i="55" a="1"/>
  <c r="G420" i="55" s="1"/>
  <c r="I420" i="55" a="1"/>
  <c r="I420" i="55" s="1"/>
  <c r="B435" i="55"/>
  <c r="A435" i="55" s="1"/>
  <c r="G435" i="55" a="1"/>
  <c r="G435" i="55" s="1"/>
  <c r="I435" i="55" a="1"/>
  <c r="I435" i="55" s="1"/>
  <c r="B419" i="55"/>
  <c r="A419" i="55" s="1"/>
  <c r="G419" i="55" a="1"/>
  <c r="G419" i="55" s="1"/>
  <c r="I419" i="55" a="1"/>
  <c r="I419" i="55" s="1"/>
  <c r="B413" i="55"/>
  <c r="A413" i="55" s="1"/>
  <c r="G413" i="55" a="1"/>
  <c r="G413" i="55" s="1"/>
  <c r="I413" i="55" a="1"/>
  <c r="I413" i="55" s="1"/>
  <c r="B586" i="55"/>
  <c r="A586" i="55" s="1"/>
  <c r="G586" i="55" a="1"/>
  <c r="G586" i="55" s="1"/>
  <c r="I586" i="55" a="1"/>
  <c r="I586" i="55" s="1"/>
  <c r="B462" i="55"/>
  <c r="A462" i="55" s="1"/>
  <c r="G462" i="55" a="1"/>
  <c r="G462" i="55" s="1"/>
  <c r="I462" i="55" a="1"/>
  <c r="I462" i="55" s="1"/>
  <c r="B671" i="55"/>
  <c r="A671" i="55" s="1"/>
  <c r="G671" i="55" a="1"/>
  <c r="G671" i="55" s="1"/>
  <c r="I671" i="55" a="1"/>
  <c r="I671" i="55" s="1"/>
  <c r="B437" i="55"/>
  <c r="A437" i="55" s="1"/>
  <c r="G437" i="55" a="1"/>
  <c r="G437" i="55" s="1"/>
  <c r="I437" i="55" a="1"/>
  <c r="I437" i="55" s="1"/>
  <c r="B381" i="55"/>
  <c r="A381" i="55" s="1"/>
  <c r="G381" i="55" a="1"/>
  <c r="G381" i="55" s="1"/>
  <c r="I381" i="55" a="1"/>
  <c r="I381" i="55" s="1"/>
  <c r="B391" i="55"/>
  <c r="A391" i="55" s="1"/>
  <c r="G391" i="55" a="1"/>
  <c r="G391" i="55" s="1"/>
  <c r="I391" i="55" a="1"/>
  <c r="I391" i="55" s="1"/>
  <c r="B343" i="55"/>
  <c r="A343" i="55" s="1"/>
  <c r="G343" i="55" a="1"/>
  <c r="G343" i="55" s="1"/>
  <c r="I343" i="55" a="1"/>
  <c r="I343" i="55" s="1"/>
  <c r="B569" i="55"/>
  <c r="A569" i="55" s="1"/>
  <c r="G569" i="55" a="1"/>
  <c r="G569" i="55" s="1"/>
  <c r="I569" i="55" a="1"/>
  <c r="I569" i="55" s="1"/>
  <c r="B641" i="55"/>
  <c r="A641" i="55" s="1"/>
  <c r="G641" i="55" a="1"/>
  <c r="G641" i="55" s="1"/>
  <c r="I641" i="55" a="1"/>
  <c r="I641" i="55" s="1"/>
  <c r="B287" i="55"/>
  <c r="A287" i="55" s="1"/>
  <c r="G287" i="55" a="1"/>
  <c r="G287" i="55" s="1"/>
  <c r="I287" i="55" a="1"/>
  <c r="I287" i="55" s="1"/>
  <c r="B517" i="55"/>
  <c r="A517" i="55" s="1"/>
  <c r="G517" i="55" a="1"/>
  <c r="G517" i="55" s="1"/>
  <c r="I517" i="55" a="1"/>
  <c r="I517" i="55" s="1"/>
  <c r="B280" i="55"/>
  <c r="A280" i="55" s="1"/>
  <c r="G280" i="55" a="1"/>
  <c r="G280" i="55" s="1"/>
  <c r="I280" i="55" a="1"/>
  <c r="I280" i="55" s="1"/>
  <c r="B416" i="55"/>
  <c r="A416" i="55" s="1"/>
  <c r="G416" i="55" a="1"/>
  <c r="G416" i="55" s="1"/>
  <c r="I416" i="55" a="1"/>
  <c r="I416" i="55" s="1"/>
  <c r="B497" i="55"/>
  <c r="A497" i="55" s="1"/>
  <c r="G497" i="55" a="1"/>
  <c r="G497" i="55" s="1"/>
  <c r="I497" i="55" a="1"/>
  <c r="I497" i="55" s="1"/>
  <c r="B480" i="55"/>
  <c r="A480" i="55" s="1"/>
  <c r="G480" i="55" a="1"/>
  <c r="G480" i="55" s="1"/>
  <c r="I480" i="55" a="1"/>
  <c r="I480" i="55" s="1"/>
  <c r="B507" i="55"/>
  <c r="A507" i="55" s="1"/>
  <c r="G507" i="55" a="1"/>
  <c r="G507" i="55" s="1"/>
  <c r="I507" i="55" a="1"/>
  <c r="I507" i="55" s="1"/>
  <c r="B447" i="55"/>
  <c r="A447" i="55" s="1"/>
  <c r="G447" i="55" a="1"/>
  <c r="G447" i="55" s="1"/>
  <c r="I447" i="55" a="1"/>
  <c r="I447" i="55" s="1"/>
  <c r="B510" i="55"/>
  <c r="A510" i="55" s="1"/>
  <c r="G510" i="55" a="1"/>
  <c r="G510" i="55" s="1"/>
  <c r="I510" i="55" a="1"/>
  <c r="I510" i="55" s="1"/>
  <c r="B606" i="55"/>
  <c r="A606" i="55" s="1"/>
  <c r="G606" i="55" a="1"/>
  <c r="G606" i="55" s="1"/>
  <c r="I606" i="55" a="1"/>
  <c r="I606" i="55" s="1"/>
  <c r="B717" i="55"/>
  <c r="A717" i="55" s="1"/>
  <c r="G717" i="55" a="1"/>
  <c r="G717" i="55" s="1"/>
  <c r="I717" i="55" a="1"/>
  <c r="I717" i="55" s="1"/>
  <c r="B751" i="55"/>
  <c r="A751" i="55" s="1"/>
  <c r="G751" i="55" a="1"/>
  <c r="G751" i="55" s="1"/>
  <c r="I751" i="55" a="1"/>
  <c r="I751" i="55" s="1"/>
  <c r="B442" i="55"/>
  <c r="A442" i="55" s="1"/>
  <c r="G442" i="55" a="1"/>
  <c r="G442" i="55" s="1"/>
  <c r="I442" i="55" a="1"/>
  <c r="I442" i="55" s="1"/>
  <c r="B469" i="55"/>
  <c r="A469" i="55" s="1"/>
  <c r="G469" i="55" a="1"/>
  <c r="G469" i="55" s="1"/>
  <c r="I469" i="55" a="1"/>
  <c r="I469" i="55" s="1"/>
  <c r="B530" i="55"/>
  <c r="A530" i="55" s="1"/>
  <c r="G530" i="55" a="1"/>
  <c r="G530" i="55" s="1"/>
  <c r="I530" i="55" a="1"/>
  <c r="I530" i="55" s="1"/>
  <c r="B528" i="55"/>
  <c r="A528" i="55" s="1"/>
  <c r="G528" i="55" a="1"/>
  <c r="G528" i="55" s="1"/>
  <c r="I528" i="55" a="1"/>
  <c r="I528" i="55" s="1"/>
  <c r="B320" i="55"/>
  <c r="A320" i="55" s="1"/>
  <c r="G320" i="55" a="1"/>
  <c r="G320" i="55" s="1"/>
  <c r="I320" i="55" a="1"/>
  <c r="I320" i="55" s="1"/>
  <c r="B357" i="55"/>
  <c r="A357" i="55" s="1"/>
  <c r="G357" i="55" a="1"/>
  <c r="G357" i="55" s="1"/>
  <c r="I357" i="55" a="1"/>
  <c r="I357" i="55" s="1"/>
  <c r="B503" i="55"/>
  <c r="A503" i="55" s="1"/>
  <c r="G503" i="55" a="1"/>
  <c r="G503" i="55" s="1"/>
  <c r="I503" i="55" a="1"/>
  <c r="I503" i="55" s="1"/>
  <c r="B504" i="55"/>
  <c r="A504" i="55" s="1"/>
  <c r="G504" i="55" a="1"/>
  <c r="G504" i="55" s="1"/>
  <c r="I504" i="55" a="1"/>
  <c r="I504" i="55" s="1"/>
  <c r="B697" i="55"/>
  <c r="A697" i="55" s="1"/>
  <c r="G697" i="55" a="1"/>
  <c r="G697" i="55" s="1"/>
  <c r="I697" i="55" a="1"/>
  <c r="I697" i="55" s="1"/>
  <c r="B753" i="55"/>
  <c r="A753" i="55" s="1"/>
  <c r="G753" i="55" a="1"/>
  <c r="G753" i="55" s="1"/>
  <c r="I753" i="55" a="1"/>
  <c r="I753" i="55" s="1"/>
  <c r="B531" i="55"/>
  <c r="A531" i="55" s="1"/>
  <c r="G531" i="55" a="1"/>
  <c r="G531" i="55" s="1"/>
  <c r="I531" i="55" a="1"/>
  <c r="I531" i="55" s="1"/>
  <c r="B527" i="55"/>
  <c r="A527" i="55" s="1"/>
  <c r="G527" i="55" a="1"/>
  <c r="G527" i="55" s="1"/>
  <c r="I527" i="55" a="1"/>
  <c r="I527" i="55" s="1"/>
  <c r="B630" i="55"/>
  <c r="A630" i="55" s="1"/>
  <c r="G630" i="55" a="1"/>
  <c r="G630" i="55" s="1"/>
  <c r="I630" i="55" a="1"/>
  <c r="I630" i="55" s="1"/>
  <c r="B332" i="55"/>
  <c r="A332" i="55" s="1"/>
  <c r="G332" i="55" a="1"/>
  <c r="G332" i="55" s="1"/>
  <c r="I332" i="55" a="1"/>
  <c r="I332" i="55" s="1"/>
  <c r="B629" i="55"/>
  <c r="A629" i="55" s="1"/>
  <c r="G629" i="55" a="1"/>
  <c r="G629" i="55" s="1"/>
  <c r="I629" i="55" a="1"/>
  <c r="I629" i="55" s="1"/>
  <c r="B785" i="55"/>
  <c r="A785" i="55" s="1"/>
  <c r="G785" i="55" a="1"/>
  <c r="G785" i="55" s="1"/>
  <c r="I785" i="55" a="1"/>
  <c r="I785" i="55" s="1"/>
  <c r="K431" i="55" l="1"/>
  <c r="K724" i="55"/>
  <c r="K689" i="55"/>
  <c r="K561" i="55"/>
  <c r="K560" i="55"/>
  <c r="K559" i="55"/>
  <c r="K558" i="55"/>
  <c r="K400" i="55"/>
  <c r="K690" i="55"/>
  <c r="K589" i="55"/>
  <c r="K327" i="55"/>
  <c r="K367" i="55"/>
  <c r="K514" i="55"/>
  <c r="K395" i="55"/>
  <c r="K466" i="55"/>
  <c r="K509" i="55"/>
  <c r="K511" i="55"/>
  <c r="K289" i="55"/>
  <c r="K392" i="55"/>
  <c r="K499" i="55"/>
  <c r="K625" i="55"/>
  <c r="K594" i="55"/>
  <c r="K284" i="55"/>
  <c r="K521" i="55"/>
  <c r="K529" i="55"/>
  <c r="K421" i="55"/>
  <c r="K615" i="55"/>
  <c r="K679" i="55"/>
  <c r="K566" i="55"/>
  <c r="K378" i="55"/>
  <c r="K388" i="55"/>
  <c r="K19" i="55"/>
  <c r="K547" i="55"/>
  <c r="K446" i="55"/>
  <c r="K630" i="55"/>
  <c r="K363" i="55"/>
  <c r="K643" i="55"/>
  <c r="K472" i="55"/>
  <c r="K240" i="55"/>
  <c r="K470" i="55"/>
  <c r="K463" i="55"/>
  <c r="K304" i="55"/>
  <c r="K291" i="55"/>
  <c r="K632" i="55"/>
  <c r="K492" i="55"/>
  <c r="K588" i="55"/>
  <c r="K726" i="55"/>
  <c r="K742" i="55"/>
  <c r="K481" i="55"/>
  <c r="K415" i="55"/>
  <c r="K372" i="55"/>
  <c r="K465" i="55"/>
  <c r="K756" i="55"/>
  <c r="K698" i="55"/>
  <c r="K714" i="55"/>
  <c r="K663" i="55"/>
  <c r="K283" i="55"/>
  <c r="K533" i="55"/>
  <c r="K288" i="55"/>
  <c r="K526" i="55"/>
  <c r="K755" i="55"/>
  <c r="K381" i="55"/>
  <c r="K671" i="55"/>
  <c r="K739" i="55"/>
  <c r="K749" i="55"/>
  <c r="K390" i="55"/>
  <c r="K728" i="55"/>
  <c r="K572" i="55"/>
  <c r="K410" i="55"/>
  <c r="K396" i="55"/>
  <c r="K565" i="55"/>
  <c r="K703" i="55"/>
  <c r="K404" i="55"/>
  <c r="K568" i="55"/>
  <c r="K611" i="55"/>
  <c r="K543" i="55"/>
  <c r="K744" i="55"/>
  <c r="K375" i="55"/>
  <c r="K362" i="55"/>
  <c r="K591" i="55"/>
  <c r="K330" i="55"/>
  <c r="K339" i="55"/>
  <c r="K355" i="55"/>
  <c r="K556" i="55"/>
  <c r="K646" i="55"/>
  <c r="K567" i="55"/>
  <c r="K386" i="55"/>
  <c r="K336" i="55"/>
  <c r="K337" i="55"/>
  <c r="K675" i="55"/>
  <c r="K449" i="55"/>
  <c r="K442" i="55"/>
  <c r="K507" i="55"/>
  <c r="K741" i="55"/>
  <c r="K640" i="55"/>
  <c r="K504" i="55"/>
  <c r="K473" i="55"/>
  <c r="K527" i="55"/>
  <c r="K503" i="55"/>
  <c r="K528" i="55"/>
  <c r="K437" i="55"/>
  <c r="K439" i="55"/>
  <c r="K596" i="55"/>
  <c r="K697" i="55"/>
  <c r="K357" i="55"/>
  <c r="K751" i="55"/>
  <c r="K606" i="55"/>
  <c r="K717" i="55"/>
  <c r="K510" i="55"/>
  <c r="K280" i="55"/>
  <c r="K426" i="55"/>
  <c r="K425" i="55"/>
  <c r="K294" i="55"/>
  <c r="K623" i="55"/>
  <c r="K368" i="55"/>
  <c r="K349" i="55"/>
  <c r="K440" i="55"/>
  <c r="K740" i="55"/>
  <c r="K669" i="55"/>
  <c r="K531" i="55"/>
  <c r="K753" i="55"/>
  <c r="K320" i="55"/>
  <c r="K629" i="55"/>
  <c r="K332" i="55"/>
  <c r="K530" i="55"/>
  <c r="K469" i="55"/>
  <c r="K447" i="55"/>
  <c r="K622" i="55"/>
  <c r="K513" i="55"/>
  <c r="K644" i="55"/>
  <c r="K435" i="55"/>
  <c r="K525" i="55"/>
  <c r="K552" i="55"/>
  <c r="K607" i="55"/>
  <c r="K752" i="55"/>
  <c r="K595" i="55"/>
  <c r="K413" i="55"/>
  <c r="K705" i="55"/>
  <c r="K497" i="55"/>
  <c r="K287" i="55"/>
  <c r="K569" i="55"/>
  <c r="K422" i="55"/>
  <c r="K505" i="55"/>
  <c r="K358" i="55"/>
  <c r="K441" i="55"/>
  <c r="K373" i="55"/>
  <c r="K416" i="55"/>
  <c r="K480" i="55"/>
  <c r="K517" i="55"/>
  <c r="K391" i="55"/>
  <c r="K397" i="55"/>
  <c r="K586" i="55"/>
  <c r="K419" i="55"/>
  <c r="K408" i="55"/>
  <c r="K343" i="55"/>
  <c r="K641" i="55"/>
  <c r="K462" i="55"/>
  <c r="K420" i="55"/>
  <c r="K639" i="55"/>
  <c r="K515" i="55"/>
  <c r="K693" i="55"/>
  <c r="K430" i="55"/>
  <c r="K448" i="55"/>
  <c r="K597" i="55"/>
  <c r="K687" i="55"/>
  <c r="K319" i="55"/>
  <c r="K293" i="55"/>
  <c r="K626" i="55"/>
  <c r="K322" i="55"/>
  <c r="K713" i="55"/>
  <c r="K598" i="55"/>
  <c r="K351" i="55"/>
  <c r="K501" i="55"/>
  <c r="K412" i="55"/>
  <c r="K546" i="55"/>
  <c r="K457" i="55"/>
  <c r="K785" i="55"/>
  <c r="K638" i="55"/>
  <c r="K459" i="55"/>
  <c r="K747" i="55"/>
  <c r="K186" i="34"/>
  <c r="K1018" i="34"/>
  <c r="K199" i="34"/>
  <c r="C200" i="34"/>
  <c r="B200" i="34" s="1"/>
  <c r="K192" i="34"/>
  <c r="C193" i="34"/>
  <c r="B193" i="34" s="1"/>
  <c r="C187" i="34"/>
  <c r="B187" i="34" s="1"/>
  <c r="K181" i="34"/>
  <c r="C182" i="34"/>
  <c r="B182" i="34" s="1"/>
  <c r="K169" i="34"/>
  <c r="C170" i="34"/>
  <c r="B170" i="34" s="1"/>
  <c r="P200" i="34" l="1"/>
  <c r="T200" i="34"/>
  <c r="Q200" i="34"/>
  <c r="U200" i="34"/>
  <c r="R200" i="34"/>
  <c r="Z200" i="34"/>
  <c r="O200" i="34"/>
  <c r="S200" i="34"/>
  <c r="W200" i="34"/>
  <c r="A200" i="34"/>
  <c r="R170" i="34"/>
  <c r="Z170" i="34"/>
  <c r="O170" i="34"/>
  <c r="S170" i="34"/>
  <c r="W170" i="34"/>
  <c r="P170" i="34"/>
  <c r="T170" i="34"/>
  <c r="Q170" i="34"/>
  <c r="U170" i="34"/>
  <c r="A170" i="34"/>
  <c r="Q187" i="34"/>
  <c r="U187" i="34"/>
  <c r="R187" i="34"/>
  <c r="Z187" i="34"/>
  <c r="O187" i="34"/>
  <c r="S187" i="34"/>
  <c r="W187" i="34"/>
  <c r="P187" i="34"/>
  <c r="T187" i="34"/>
  <c r="A187" i="34"/>
  <c r="O193" i="34"/>
  <c r="S193" i="34"/>
  <c r="W193" i="34"/>
  <c r="P193" i="34"/>
  <c r="T193" i="34"/>
  <c r="Q193" i="34"/>
  <c r="U193" i="34"/>
  <c r="R193" i="34"/>
  <c r="Z193" i="34"/>
  <c r="A193" i="34"/>
  <c r="R182" i="34"/>
  <c r="Z182" i="34"/>
  <c r="O182" i="34"/>
  <c r="S182" i="34"/>
  <c r="W182" i="34"/>
  <c r="P182" i="34"/>
  <c r="T182" i="34"/>
  <c r="Q182" i="34"/>
  <c r="U182" i="34"/>
  <c r="A182" i="34"/>
  <c r="K36" i="34"/>
  <c r="C37" i="34"/>
  <c r="B37" i="34" s="1"/>
  <c r="K66" i="34"/>
  <c r="C67" i="34"/>
  <c r="B67" i="34" s="1"/>
  <c r="K64" i="34"/>
  <c r="C65" i="34"/>
  <c r="B65" i="34" s="1"/>
  <c r="Q65" i="34" l="1"/>
  <c r="U65" i="34"/>
  <c r="R65" i="34"/>
  <c r="Z65" i="34"/>
  <c r="O65" i="34"/>
  <c r="S65" i="34"/>
  <c r="W65" i="34"/>
  <c r="P65" i="34"/>
  <c r="T65" i="34"/>
  <c r="A65" i="34"/>
  <c r="Q37" i="34"/>
  <c r="U37" i="34"/>
  <c r="R37" i="34"/>
  <c r="Z37" i="34"/>
  <c r="O37" i="34"/>
  <c r="S37" i="34"/>
  <c r="W37" i="34"/>
  <c r="P37" i="34"/>
  <c r="T37" i="34"/>
  <c r="A37" i="34"/>
  <c r="O67" i="34"/>
  <c r="S67" i="34"/>
  <c r="W67" i="34"/>
  <c r="P67" i="34"/>
  <c r="T67" i="34"/>
  <c r="Q67" i="34"/>
  <c r="U67" i="34"/>
  <c r="R67" i="34"/>
  <c r="Z67" i="34"/>
  <c r="A67" i="34"/>
  <c r="C1025" i="34"/>
  <c r="B1025" i="34" s="1"/>
  <c r="C1024" i="34"/>
  <c r="B1024" i="34" s="1"/>
  <c r="K393" i="34"/>
  <c r="K404" i="34"/>
  <c r="K403" i="34"/>
  <c r="K402" i="34"/>
  <c r="K401" i="34"/>
  <c r="K400" i="34"/>
  <c r="K399" i="34"/>
  <c r="K398" i="34"/>
  <c r="K397" i="34"/>
  <c r="K396" i="34"/>
  <c r="K395" i="34"/>
  <c r="K394" i="34"/>
  <c r="O1024" i="34" l="1"/>
  <c r="W1024" i="34"/>
  <c r="P1024" i="34"/>
  <c r="Q1024" i="34"/>
  <c r="U1024" i="34"/>
  <c r="Z1024" i="34"/>
  <c r="A1024" i="34"/>
  <c r="Z1025" i="34"/>
  <c r="O1025" i="34"/>
  <c r="W1025" i="34"/>
  <c r="P1025" i="34"/>
  <c r="Q1025" i="34"/>
  <c r="U1025" i="34"/>
  <c r="A1025" i="34"/>
  <c r="C118" i="34"/>
  <c r="B118" i="34" s="1"/>
  <c r="C121" i="34"/>
  <c r="B121" i="34" s="1"/>
  <c r="C114" i="34"/>
  <c r="B114" i="34" s="1"/>
  <c r="C108" i="34"/>
  <c r="B108" i="34" s="1"/>
  <c r="C105" i="34"/>
  <c r="B105" i="34" s="1"/>
  <c r="C102" i="34"/>
  <c r="B102" i="34" s="1"/>
  <c r="C88" i="34"/>
  <c r="B88" i="34" s="1"/>
  <c r="C86" i="34"/>
  <c r="B86" i="34" s="1"/>
  <c r="C83" i="34"/>
  <c r="B83" i="34" s="1"/>
  <c r="C82" i="34"/>
  <c r="B82" i="34" s="1"/>
  <c r="C84" i="34"/>
  <c r="B84" i="34" s="1"/>
  <c r="C73" i="34"/>
  <c r="B73" i="34" s="1"/>
  <c r="C69" i="34"/>
  <c r="B69" i="34" s="1"/>
  <c r="C60" i="34"/>
  <c r="B60" i="34" s="1"/>
  <c r="C58" i="34"/>
  <c r="B58" i="34" s="1"/>
  <c r="C46" i="34"/>
  <c r="B46" i="34" s="1"/>
  <c r="C39" i="34"/>
  <c r="B39" i="34" s="1"/>
  <c r="C35" i="34"/>
  <c r="B35" i="34" s="1"/>
  <c r="C32" i="34"/>
  <c r="B32" i="34" s="1"/>
  <c r="R32" i="34" l="1"/>
  <c r="Z32" i="34"/>
  <c r="O32" i="34"/>
  <c r="S32" i="34"/>
  <c r="W32" i="34"/>
  <c r="P32" i="34"/>
  <c r="T32" i="34"/>
  <c r="Q32" i="34"/>
  <c r="U32" i="34"/>
  <c r="A32" i="34"/>
  <c r="O35" i="34"/>
  <c r="S35" i="34"/>
  <c r="W35" i="34"/>
  <c r="P35" i="34"/>
  <c r="T35" i="34"/>
  <c r="Q35" i="34"/>
  <c r="U35" i="34"/>
  <c r="R35" i="34"/>
  <c r="Z35" i="34"/>
  <c r="A35" i="34"/>
  <c r="R60" i="34"/>
  <c r="Z60" i="34"/>
  <c r="O60" i="34"/>
  <c r="S60" i="34"/>
  <c r="W60" i="34"/>
  <c r="P60" i="34"/>
  <c r="T60" i="34"/>
  <c r="Q60" i="34"/>
  <c r="U60" i="34"/>
  <c r="A60" i="34"/>
  <c r="P82" i="34"/>
  <c r="T82" i="34"/>
  <c r="Q82" i="34"/>
  <c r="U82" i="34"/>
  <c r="R82" i="34"/>
  <c r="Z82" i="34"/>
  <c r="O82" i="34"/>
  <c r="S82" i="34"/>
  <c r="W82" i="34"/>
  <c r="A82" i="34"/>
  <c r="Q102" i="34"/>
  <c r="U102" i="34"/>
  <c r="R102" i="34"/>
  <c r="Z102" i="34"/>
  <c r="O102" i="34"/>
  <c r="S102" i="34"/>
  <c r="W102" i="34"/>
  <c r="P102" i="34"/>
  <c r="T102" i="34"/>
  <c r="A102" i="34"/>
  <c r="R121" i="34"/>
  <c r="Z121" i="34"/>
  <c r="O121" i="34"/>
  <c r="S121" i="34"/>
  <c r="W121" i="34"/>
  <c r="P121" i="34"/>
  <c r="T121" i="34"/>
  <c r="Q121" i="34"/>
  <c r="U121" i="34"/>
  <c r="A121" i="34"/>
  <c r="P46" i="34"/>
  <c r="T46" i="34"/>
  <c r="Q46" i="34"/>
  <c r="U46" i="34"/>
  <c r="R46" i="34"/>
  <c r="Z46" i="34"/>
  <c r="O46" i="34"/>
  <c r="S46" i="34"/>
  <c r="W46" i="34"/>
  <c r="A46" i="34"/>
  <c r="O39" i="34"/>
  <c r="S39" i="34"/>
  <c r="W39" i="34"/>
  <c r="P39" i="34"/>
  <c r="T39" i="34"/>
  <c r="Q39" i="34"/>
  <c r="U39" i="34"/>
  <c r="R39" i="34"/>
  <c r="Z39" i="34"/>
  <c r="A39" i="34"/>
  <c r="Q69" i="34"/>
  <c r="U69" i="34"/>
  <c r="R69" i="34"/>
  <c r="Z69" i="34"/>
  <c r="O69" i="34"/>
  <c r="S69" i="34"/>
  <c r="W69" i="34"/>
  <c r="P69" i="34"/>
  <c r="T69" i="34"/>
  <c r="A69" i="34"/>
  <c r="O83" i="34"/>
  <c r="S83" i="34"/>
  <c r="W83" i="34"/>
  <c r="P83" i="34"/>
  <c r="T83" i="34"/>
  <c r="Q83" i="34"/>
  <c r="U83" i="34"/>
  <c r="R83" i="34"/>
  <c r="Z83" i="34"/>
  <c r="A83" i="34"/>
  <c r="R105" i="34"/>
  <c r="Z105" i="34"/>
  <c r="O105" i="34"/>
  <c r="S105" i="34"/>
  <c r="W105" i="34"/>
  <c r="P105" i="34"/>
  <c r="T105" i="34"/>
  <c r="Q105" i="34"/>
  <c r="U105" i="34"/>
  <c r="A105" i="34"/>
  <c r="Q118" i="34"/>
  <c r="U118" i="34"/>
  <c r="R118" i="34"/>
  <c r="Z118" i="34"/>
  <c r="O118" i="34"/>
  <c r="S118" i="34"/>
  <c r="W118" i="34"/>
  <c r="P118" i="34"/>
  <c r="T118" i="34"/>
  <c r="A118" i="34"/>
  <c r="Q73" i="34"/>
  <c r="U73" i="34"/>
  <c r="R73" i="34"/>
  <c r="Z73" i="34"/>
  <c r="O73" i="34"/>
  <c r="S73" i="34"/>
  <c r="W73" i="34"/>
  <c r="P73" i="34"/>
  <c r="T73" i="34"/>
  <c r="A73" i="34"/>
  <c r="P86" i="34"/>
  <c r="T86" i="34"/>
  <c r="Q86" i="34"/>
  <c r="U86" i="34"/>
  <c r="R86" i="34"/>
  <c r="Z86" i="34"/>
  <c r="O86" i="34"/>
  <c r="S86" i="34"/>
  <c r="W86" i="34"/>
  <c r="A86" i="34"/>
  <c r="O108" i="34"/>
  <c r="S108" i="34"/>
  <c r="W108" i="34"/>
  <c r="P108" i="34"/>
  <c r="T108" i="34"/>
  <c r="Q108" i="34"/>
  <c r="U108" i="34"/>
  <c r="R108" i="34"/>
  <c r="Z108" i="34"/>
  <c r="A108" i="34"/>
  <c r="P58" i="34"/>
  <c r="T58" i="34"/>
  <c r="Q58" i="34"/>
  <c r="U58" i="34"/>
  <c r="R58" i="34"/>
  <c r="Z58" i="34"/>
  <c r="O58" i="34"/>
  <c r="S58" i="34"/>
  <c r="W58" i="34"/>
  <c r="A58" i="34"/>
  <c r="R84" i="34"/>
  <c r="Z84" i="34"/>
  <c r="O84" i="34"/>
  <c r="S84" i="34"/>
  <c r="W84" i="34"/>
  <c r="P84" i="34"/>
  <c r="T84" i="34"/>
  <c r="Q84" i="34"/>
  <c r="U84" i="34"/>
  <c r="A84" i="34"/>
  <c r="R88" i="34"/>
  <c r="Z88" i="34"/>
  <c r="O88" i="34"/>
  <c r="S88" i="34"/>
  <c r="W88" i="34"/>
  <c r="P88" i="34"/>
  <c r="T88" i="34"/>
  <c r="Q88" i="34"/>
  <c r="U88" i="34"/>
  <c r="A88" i="34"/>
  <c r="Q114" i="34"/>
  <c r="U114" i="34"/>
  <c r="R114" i="34"/>
  <c r="Z114" i="34"/>
  <c r="O114" i="34"/>
  <c r="S114" i="34"/>
  <c r="W114" i="34"/>
  <c r="P114" i="34"/>
  <c r="T114" i="34"/>
  <c r="A114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53" i="34"/>
  <c r="AB1668" i="34"/>
  <c r="C1668" i="34"/>
  <c r="B1668" i="34" s="1"/>
  <c r="AB1667" i="34"/>
  <c r="C1667" i="34"/>
  <c r="B1667" i="34" s="1"/>
  <c r="AB1666" i="34"/>
  <c r="C1666" i="34"/>
  <c r="B1666" i="34" s="1"/>
  <c r="AB1665" i="34"/>
  <c r="C1665" i="34"/>
  <c r="B1665" i="34" s="1"/>
  <c r="AB1664" i="34"/>
  <c r="C1664" i="34"/>
  <c r="B1664" i="34" s="1"/>
  <c r="AB1663" i="34"/>
  <c r="C1663" i="34"/>
  <c r="B1663" i="34" s="1"/>
  <c r="AB1662" i="34"/>
  <c r="C1662" i="34"/>
  <c r="B1662" i="34" s="1"/>
  <c r="AB1661" i="34"/>
  <c r="C1661" i="34"/>
  <c r="B1661" i="34" s="1"/>
  <c r="AB1660" i="34"/>
  <c r="C1660" i="34"/>
  <c r="B1660" i="34" s="1"/>
  <c r="AB1659" i="34"/>
  <c r="C1659" i="34"/>
  <c r="B1659" i="34" s="1"/>
  <c r="AB1658" i="34"/>
  <c r="C1658" i="34"/>
  <c r="B1658" i="34" s="1"/>
  <c r="AB1657" i="34"/>
  <c r="C1657" i="34"/>
  <c r="B1657" i="34" s="1"/>
  <c r="AB1656" i="34"/>
  <c r="C1656" i="34"/>
  <c r="B1656" i="34" s="1"/>
  <c r="AB1655" i="34"/>
  <c r="C1655" i="34"/>
  <c r="B1655" i="34" s="1"/>
  <c r="AB1654" i="34"/>
  <c r="C1654" i="34"/>
  <c r="B1654" i="34" s="1"/>
  <c r="AB1653" i="34"/>
  <c r="C1653" i="34"/>
  <c r="B1653" i="34" s="1"/>
  <c r="AB1676" i="34"/>
  <c r="C1676" i="34"/>
  <c r="B1676" i="34" s="1"/>
  <c r="AB1675" i="34"/>
  <c r="C1675" i="34"/>
  <c r="B1675" i="34" s="1"/>
  <c r="AB1674" i="34"/>
  <c r="C1674" i="34"/>
  <c r="B1674" i="34" s="1"/>
  <c r="AB1673" i="34"/>
  <c r="C1673" i="34"/>
  <c r="B1673" i="34" s="1"/>
  <c r="AB1672" i="34"/>
  <c r="C1672" i="34"/>
  <c r="B1672" i="34" s="1"/>
  <c r="AB1671" i="34"/>
  <c r="C1671" i="34"/>
  <c r="B1671" i="34" s="1"/>
  <c r="AB1670" i="34"/>
  <c r="C1670" i="34"/>
  <c r="B1670" i="34" s="1"/>
  <c r="AB1669" i="34"/>
  <c r="C1669" i="34"/>
  <c r="B1669" i="34" s="1"/>
  <c r="AB1680" i="34"/>
  <c r="C1680" i="34"/>
  <c r="B1680" i="34" s="1"/>
  <c r="AB1679" i="34"/>
  <c r="C1679" i="34"/>
  <c r="B1679" i="34" s="1"/>
  <c r="AB1678" i="34"/>
  <c r="C1678" i="34"/>
  <c r="B1678" i="34" s="1"/>
  <c r="AB1677" i="34"/>
  <c r="C1677" i="34"/>
  <c r="B1677" i="34" s="1"/>
  <c r="AB1682" i="34"/>
  <c r="C1682" i="34"/>
  <c r="B1682" i="34" s="1"/>
  <c r="AB1681" i="34"/>
  <c r="C1681" i="34"/>
  <c r="B1681" i="34" s="1"/>
  <c r="P1681" i="34" l="1"/>
  <c r="Q1681" i="34"/>
  <c r="U1681" i="34"/>
  <c r="Z1681" i="34"/>
  <c r="O1681" i="34"/>
  <c r="W1681" i="34"/>
  <c r="A1681" i="34"/>
  <c r="P1677" i="34"/>
  <c r="Q1677" i="34"/>
  <c r="U1677" i="34"/>
  <c r="Z1677" i="34"/>
  <c r="O1677" i="34"/>
  <c r="W1677" i="34"/>
  <c r="A1677" i="34"/>
  <c r="Z1679" i="34"/>
  <c r="O1679" i="34"/>
  <c r="W1679" i="34"/>
  <c r="P1679" i="34"/>
  <c r="Q1679" i="34"/>
  <c r="U1679" i="34"/>
  <c r="A1679" i="34"/>
  <c r="P1669" i="34"/>
  <c r="Q1669" i="34"/>
  <c r="U1669" i="34"/>
  <c r="Z1669" i="34"/>
  <c r="O1669" i="34"/>
  <c r="W1669" i="34"/>
  <c r="A1669" i="34"/>
  <c r="Z1671" i="34"/>
  <c r="O1671" i="34"/>
  <c r="W1671" i="34"/>
  <c r="P1671" i="34"/>
  <c r="Q1671" i="34"/>
  <c r="U1671" i="34"/>
  <c r="A1671" i="34"/>
  <c r="P1673" i="34"/>
  <c r="Q1673" i="34"/>
  <c r="U1673" i="34"/>
  <c r="Z1673" i="34"/>
  <c r="O1673" i="34"/>
  <c r="W1673" i="34"/>
  <c r="A1673" i="34"/>
  <c r="Z1675" i="34"/>
  <c r="O1675" i="34"/>
  <c r="W1675" i="34"/>
  <c r="P1675" i="34"/>
  <c r="Q1675" i="34"/>
  <c r="U1675" i="34"/>
  <c r="A1675" i="34"/>
  <c r="P1653" i="34"/>
  <c r="Q1653" i="34"/>
  <c r="U1653" i="34"/>
  <c r="Z1653" i="34"/>
  <c r="O1653" i="34"/>
  <c r="W1653" i="34"/>
  <c r="A1653" i="34"/>
  <c r="Z1655" i="34"/>
  <c r="O1655" i="34"/>
  <c r="W1655" i="34"/>
  <c r="P1655" i="34"/>
  <c r="Q1655" i="34"/>
  <c r="U1655" i="34"/>
  <c r="A1655" i="34"/>
  <c r="P1657" i="34"/>
  <c r="Q1657" i="34"/>
  <c r="U1657" i="34"/>
  <c r="Z1657" i="34"/>
  <c r="O1657" i="34"/>
  <c r="W1657" i="34"/>
  <c r="A1657" i="34"/>
  <c r="Z1659" i="34"/>
  <c r="O1659" i="34"/>
  <c r="W1659" i="34"/>
  <c r="P1659" i="34"/>
  <c r="Q1659" i="34"/>
  <c r="U1659" i="34"/>
  <c r="A1659" i="34"/>
  <c r="P1661" i="34"/>
  <c r="Q1661" i="34"/>
  <c r="U1661" i="34"/>
  <c r="Z1661" i="34"/>
  <c r="O1661" i="34"/>
  <c r="W1661" i="34"/>
  <c r="A1661" i="34"/>
  <c r="Z1663" i="34"/>
  <c r="O1663" i="34"/>
  <c r="W1663" i="34"/>
  <c r="P1663" i="34"/>
  <c r="Q1663" i="34"/>
  <c r="U1663" i="34"/>
  <c r="A1663" i="34"/>
  <c r="P1665" i="34"/>
  <c r="Q1665" i="34"/>
  <c r="U1665" i="34"/>
  <c r="Z1665" i="34"/>
  <c r="O1665" i="34"/>
  <c r="W1665" i="34"/>
  <c r="A1665" i="34"/>
  <c r="Z1667" i="34"/>
  <c r="O1667" i="34"/>
  <c r="W1667" i="34"/>
  <c r="P1667" i="34"/>
  <c r="Q1667" i="34"/>
  <c r="U1667" i="34"/>
  <c r="A1667" i="34"/>
  <c r="O1682" i="34"/>
  <c r="W1682" i="34"/>
  <c r="P1682" i="34"/>
  <c r="Q1682" i="34"/>
  <c r="U1682" i="34"/>
  <c r="Z1682" i="34"/>
  <c r="A1682" i="34"/>
  <c r="O1678" i="34"/>
  <c r="W1678" i="34"/>
  <c r="P1678" i="34"/>
  <c r="Q1678" i="34"/>
  <c r="U1678" i="34"/>
  <c r="Z1678" i="34"/>
  <c r="A1678" i="34"/>
  <c r="Q1680" i="34"/>
  <c r="U1680" i="34"/>
  <c r="Z1680" i="34"/>
  <c r="O1680" i="34"/>
  <c r="W1680" i="34"/>
  <c r="P1680" i="34"/>
  <c r="A1680" i="34"/>
  <c r="O1670" i="34"/>
  <c r="W1670" i="34"/>
  <c r="P1670" i="34"/>
  <c r="Q1670" i="34"/>
  <c r="U1670" i="34"/>
  <c r="Z1670" i="34"/>
  <c r="A1670" i="34"/>
  <c r="Q1672" i="34"/>
  <c r="U1672" i="34"/>
  <c r="Z1672" i="34"/>
  <c r="O1672" i="34"/>
  <c r="W1672" i="34"/>
  <c r="P1672" i="34"/>
  <c r="A1672" i="34"/>
  <c r="O1674" i="34"/>
  <c r="W1674" i="34"/>
  <c r="P1674" i="34"/>
  <c r="Q1674" i="34"/>
  <c r="U1674" i="34"/>
  <c r="Z1674" i="34"/>
  <c r="A1674" i="34"/>
  <c r="Q1676" i="34"/>
  <c r="U1676" i="34"/>
  <c r="Z1676" i="34"/>
  <c r="O1676" i="34"/>
  <c r="W1676" i="34"/>
  <c r="P1676" i="34"/>
  <c r="A1676" i="34"/>
  <c r="O1654" i="34"/>
  <c r="W1654" i="34"/>
  <c r="P1654" i="34"/>
  <c r="Q1654" i="34"/>
  <c r="U1654" i="34"/>
  <c r="Z1654" i="34"/>
  <c r="A1654" i="34"/>
  <c r="Q1656" i="34"/>
  <c r="U1656" i="34"/>
  <c r="Z1656" i="34"/>
  <c r="O1656" i="34"/>
  <c r="W1656" i="34"/>
  <c r="P1656" i="34"/>
  <c r="A1656" i="34"/>
  <c r="O1658" i="34"/>
  <c r="W1658" i="34"/>
  <c r="P1658" i="34"/>
  <c r="Q1658" i="34"/>
  <c r="U1658" i="34"/>
  <c r="Z1658" i="34"/>
  <c r="A1658" i="34"/>
  <c r="Q1660" i="34"/>
  <c r="U1660" i="34"/>
  <c r="Z1660" i="34"/>
  <c r="O1660" i="34"/>
  <c r="W1660" i="34"/>
  <c r="P1660" i="34"/>
  <c r="A1660" i="34"/>
  <c r="O1662" i="34"/>
  <c r="W1662" i="34"/>
  <c r="P1662" i="34"/>
  <c r="Q1662" i="34"/>
  <c r="U1662" i="34"/>
  <c r="Z1662" i="34"/>
  <c r="A1662" i="34"/>
  <c r="Q1664" i="34"/>
  <c r="U1664" i="34"/>
  <c r="Z1664" i="34"/>
  <c r="O1664" i="34"/>
  <c r="W1664" i="34"/>
  <c r="P1664" i="34"/>
  <c r="A1664" i="34"/>
  <c r="O1666" i="34"/>
  <c r="W1666" i="34"/>
  <c r="P1666" i="34"/>
  <c r="Q1666" i="34"/>
  <c r="U1666" i="34"/>
  <c r="Z1666" i="34"/>
  <c r="A1666" i="34"/>
  <c r="Q1668" i="34"/>
  <c r="U1668" i="34"/>
  <c r="Z1668" i="34"/>
  <c r="O1668" i="34"/>
  <c r="W1668" i="34"/>
  <c r="P1668" i="34"/>
  <c r="A1668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582" i="34"/>
  <c r="AB1596" i="34"/>
  <c r="C1596" i="34"/>
  <c r="B1596" i="34" s="1"/>
  <c r="AB1595" i="34"/>
  <c r="C1595" i="34"/>
  <c r="B1595" i="34" s="1"/>
  <c r="AB1594" i="34"/>
  <c r="C1594" i="34"/>
  <c r="B1594" i="34" s="1"/>
  <c r="AB1593" i="34"/>
  <c r="C1593" i="34"/>
  <c r="B1593" i="34" s="1"/>
  <c r="AB1592" i="34"/>
  <c r="C1592" i="34"/>
  <c r="B1592" i="34" s="1"/>
  <c r="AB1591" i="34"/>
  <c r="C1591" i="34"/>
  <c r="B1591" i="34" s="1"/>
  <c r="AB1590" i="34"/>
  <c r="C1590" i="34"/>
  <c r="B1590" i="34" s="1"/>
  <c r="AB1589" i="34"/>
  <c r="C1589" i="34"/>
  <c r="B1589" i="34" s="1"/>
  <c r="AB1588" i="34"/>
  <c r="C1588" i="34"/>
  <c r="B1588" i="34" s="1"/>
  <c r="AB1587" i="34"/>
  <c r="C1587" i="34"/>
  <c r="B1587" i="34" s="1"/>
  <c r="AB1586" i="34"/>
  <c r="C1586" i="34"/>
  <c r="B1586" i="34" s="1"/>
  <c r="AB1585" i="34"/>
  <c r="C1585" i="34"/>
  <c r="B1585" i="34" s="1"/>
  <c r="AB1584" i="34"/>
  <c r="C1584" i="34"/>
  <c r="B1584" i="34" s="1"/>
  <c r="AB1583" i="34"/>
  <c r="C1583" i="34"/>
  <c r="B1583" i="34" s="1"/>
  <c r="AB1582" i="34"/>
  <c r="C1582" i="34"/>
  <c r="B1582" i="34" s="1"/>
  <c r="AB1604" i="34"/>
  <c r="C1604" i="34"/>
  <c r="B1604" i="34" s="1"/>
  <c r="AB1603" i="34"/>
  <c r="C1603" i="34"/>
  <c r="B1603" i="34" s="1"/>
  <c r="AB1602" i="34"/>
  <c r="C1602" i="34"/>
  <c r="B1602" i="34" s="1"/>
  <c r="AB1601" i="34"/>
  <c r="C1601" i="34"/>
  <c r="B1601" i="34" s="1"/>
  <c r="AB1600" i="34"/>
  <c r="C1600" i="34"/>
  <c r="B1600" i="34" s="1"/>
  <c r="AB1599" i="34"/>
  <c r="C1599" i="34"/>
  <c r="B1599" i="34" s="1"/>
  <c r="AB1598" i="34"/>
  <c r="C1598" i="34"/>
  <c r="B1598" i="34" s="1"/>
  <c r="AB1597" i="34"/>
  <c r="C1597" i="34"/>
  <c r="B1597" i="34" s="1"/>
  <c r="AB1608" i="34"/>
  <c r="C1608" i="34"/>
  <c r="B1608" i="34" s="1"/>
  <c r="AB1607" i="34"/>
  <c r="C1607" i="34"/>
  <c r="B1607" i="34" s="1"/>
  <c r="AB1606" i="34"/>
  <c r="C1606" i="34"/>
  <c r="B1606" i="34" s="1"/>
  <c r="AB1605" i="34"/>
  <c r="C1605" i="34"/>
  <c r="B1605" i="34" s="1"/>
  <c r="AB1609" i="34"/>
  <c r="C1609" i="34"/>
  <c r="B1609" i="34" s="1"/>
  <c r="P1605" i="34" l="1"/>
  <c r="Q1605" i="34"/>
  <c r="U1605" i="34"/>
  <c r="Z1605" i="34"/>
  <c r="O1605" i="34"/>
  <c r="W1605" i="34"/>
  <c r="A1605" i="34"/>
  <c r="Z1607" i="34"/>
  <c r="O1607" i="34"/>
  <c r="W1607" i="34"/>
  <c r="P1607" i="34"/>
  <c r="Q1607" i="34"/>
  <c r="U1607" i="34"/>
  <c r="A1607" i="34"/>
  <c r="P1597" i="34"/>
  <c r="Q1597" i="34"/>
  <c r="U1597" i="34"/>
  <c r="Z1597" i="34"/>
  <c r="O1597" i="34"/>
  <c r="W1597" i="34"/>
  <c r="A1597" i="34"/>
  <c r="Z1599" i="34"/>
  <c r="O1599" i="34"/>
  <c r="W1599" i="34"/>
  <c r="P1599" i="34"/>
  <c r="Q1599" i="34"/>
  <c r="U1599" i="34"/>
  <c r="A1599" i="34"/>
  <c r="P1601" i="34"/>
  <c r="Q1601" i="34"/>
  <c r="U1601" i="34"/>
  <c r="Z1601" i="34"/>
  <c r="O1601" i="34"/>
  <c r="W1601" i="34"/>
  <c r="A1601" i="34"/>
  <c r="Z1603" i="34"/>
  <c r="O1603" i="34"/>
  <c r="W1603" i="34"/>
  <c r="P1603" i="34"/>
  <c r="Q1603" i="34"/>
  <c r="U1603" i="34"/>
  <c r="A1603" i="34"/>
  <c r="O1582" i="34"/>
  <c r="W1582" i="34"/>
  <c r="P1582" i="34"/>
  <c r="Q1582" i="34"/>
  <c r="U1582" i="34"/>
  <c r="Z1582" i="34"/>
  <c r="A1582" i="34"/>
  <c r="Q1584" i="34"/>
  <c r="U1584" i="34"/>
  <c r="Z1584" i="34"/>
  <c r="O1584" i="34"/>
  <c r="W1584" i="34"/>
  <c r="P1584" i="34"/>
  <c r="A1584" i="34"/>
  <c r="O1586" i="34"/>
  <c r="W1586" i="34"/>
  <c r="P1586" i="34"/>
  <c r="Q1586" i="34"/>
  <c r="U1586" i="34"/>
  <c r="Z1586" i="34"/>
  <c r="A1586" i="34"/>
  <c r="Q1588" i="34"/>
  <c r="U1588" i="34"/>
  <c r="Z1588" i="34"/>
  <c r="O1588" i="34"/>
  <c r="W1588" i="34"/>
  <c r="P1588" i="34"/>
  <c r="A1588" i="34"/>
  <c r="O1590" i="34"/>
  <c r="W1590" i="34"/>
  <c r="P1590" i="34"/>
  <c r="Q1590" i="34"/>
  <c r="U1590" i="34"/>
  <c r="Z1590" i="34"/>
  <c r="A1590" i="34"/>
  <c r="Q1592" i="34"/>
  <c r="U1592" i="34"/>
  <c r="Z1592" i="34"/>
  <c r="O1592" i="34"/>
  <c r="W1592" i="34"/>
  <c r="P1592" i="34"/>
  <c r="A1592" i="34"/>
  <c r="O1594" i="34"/>
  <c r="W1594" i="34"/>
  <c r="P1594" i="34"/>
  <c r="Q1594" i="34"/>
  <c r="U1594" i="34"/>
  <c r="Z1594" i="34"/>
  <c r="A1594" i="34"/>
  <c r="Q1596" i="34"/>
  <c r="U1596" i="34"/>
  <c r="Z1596" i="34"/>
  <c r="O1596" i="34"/>
  <c r="W1596" i="34"/>
  <c r="P1596" i="34"/>
  <c r="A1596" i="34"/>
  <c r="P1609" i="34"/>
  <c r="Q1609" i="34"/>
  <c r="U1609" i="34"/>
  <c r="Z1609" i="34"/>
  <c r="O1609" i="34"/>
  <c r="W1609" i="34"/>
  <c r="A1609" i="34"/>
  <c r="O1606" i="34"/>
  <c r="W1606" i="34"/>
  <c r="P1606" i="34"/>
  <c r="Q1606" i="34"/>
  <c r="U1606" i="34"/>
  <c r="Z1606" i="34"/>
  <c r="A1606" i="34"/>
  <c r="Q1608" i="34"/>
  <c r="U1608" i="34"/>
  <c r="Z1608" i="34"/>
  <c r="O1608" i="34"/>
  <c r="W1608" i="34"/>
  <c r="P1608" i="34"/>
  <c r="A1608" i="34"/>
  <c r="O1598" i="34"/>
  <c r="W1598" i="34"/>
  <c r="P1598" i="34"/>
  <c r="Q1598" i="34"/>
  <c r="U1598" i="34"/>
  <c r="Z1598" i="34"/>
  <c r="A1598" i="34"/>
  <c r="Q1600" i="34"/>
  <c r="U1600" i="34"/>
  <c r="Z1600" i="34"/>
  <c r="O1600" i="34"/>
  <c r="W1600" i="34"/>
  <c r="P1600" i="34"/>
  <c r="A1600" i="34"/>
  <c r="O1602" i="34"/>
  <c r="W1602" i="34"/>
  <c r="P1602" i="34"/>
  <c r="Q1602" i="34"/>
  <c r="U1602" i="34"/>
  <c r="Z1602" i="34"/>
  <c r="A1602" i="34"/>
  <c r="Q1604" i="34"/>
  <c r="U1604" i="34"/>
  <c r="Z1604" i="34"/>
  <c r="O1604" i="34"/>
  <c r="W1604" i="34"/>
  <c r="P1604" i="34"/>
  <c r="A1604" i="34"/>
  <c r="Z1583" i="34"/>
  <c r="O1583" i="34"/>
  <c r="W1583" i="34"/>
  <c r="P1583" i="34"/>
  <c r="Q1583" i="34"/>
  <c r="U1583" i="34"/>
  <c r="A1583" i="34"/>
  <c r="P1585" i="34"/>
  <c r="Q1585" i="34"/>
  <c r="U1585" i="34"/>
  <c r="Z1585" i="34"/>
  <c r="O1585" i="34"/>
  <c r="W1585" i="34"/>
  <c r="A1585" i="34"/>
  <c r="Z1587" i="34"/>
  <c r="O1587" i="34"/>
  <c r="W1587" i="34"/>
  <c r="P1587" i="34"/>
  <c r="Q1587" i="34"/>
  <c r="U1587" i="34"/>
  <c r="A1587" i="34"/>
  <c r="P1589" i="34"/>
  <c r="Q1589" i="34"/>
  <c r="U1589" i="34"/>
  <c r="Z1589" i="34"/>
  <c r="O1589" i="34"/>
  <c r="W1589" i="34"/>
  <c r="A1589" i="34"/>
  <c r="Z1591" i="34"/>
  <c r="O1591" i="34"/>
  <c r="W1591" i="34"/>
  <c r="P1591" i="34"/>
  <c r="Q1591" i="34"/>
  <c r="U1591" i="34"/>
  <c r="A1591" i="34"/>
  <c r="P1593" i="34"/>
  <c r="Q1593" i="34"/>
  <c r="U1593" i="34"/>
  <c r="Z1593" i="34"/>
  <c r="O1593" i="34"/>
  <c r="W1593" i="34"/>
  <c r="A1593" i="34"/>
  <c r="Z1595" i="34"/>
  <c r="O1595" i="34"/>
  <c r="W1595" i="34"/>
  <c r="P1595" i="34"/>
  <c r="Q1595" i="34"/>
  <c r="U1595" i="34"/>
  <c r="A1595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16" i="34"/>
  <c r="AB1531" i="34"/>
  <c r="C1531" i="34"/>
  <c r="B1531" i="34" s="1"/>
  <c r="AB1530" i="34"/>
  <c r="C1530" i="34"/>
  <c r="B1530" i="34" s="1"/>
  <c r="AB1529" i="34"/>
  <c r="C1529" i="34"/>
  <c r="B1529" i="34" s="1"/>
  <c r="AB1528" i="34"/>
  <c r="C1528" i="34"/>
  <c r="B1528" i="34" s="1"/>
  <c r="AB1527" i="34"/>
  <c r="C1527" i="34"/>
  <c r="B1527" i="34" s="1"/>
  <c r="AB1526" i="34"/>
  <c r="C1526" i="34"/>
  <c r="B1526" i="34" s="1"/>
  <c r="AB1525" i="34"/>
  <c r="C1525" i="34"/>
  <c r="B1525" i="34" s="1"/>
  <c r="AB1524" i="34"/>
  <c r="C1524" i="34"/>
  <c r="B1524" i="34" s="1"/>
  <c r="AB1523" i="34"/>
  <c r="C1523" i="34"/>
  <c r="B1523" i="34" s="1"/>
  <c r="AB1522" i="34"/>
  <c r="C1522" i="34"/>
  <c r="B1522" i="34" s="1"/>
  <c r="AB1521" i="34"/>
  <c r="C1521" i="34"/>
  <c r="B1521" i="34" s="1"/>
  <c r="AB1520" i="34"/>
  <c r="C1520" i="34"/>
  <c r="B1520" i="34" s="1"/>
  <c r="AB1519" i="34"/>
  <c r="C1519" i="34"/>
  <c r="B1519" i="34" s="1"/>
  <c r="AB1518" i="34"/>
  <c r="C1518" i="34"/>
  <c r="B1518" i="34" s="1"/>
  <c r="AB1517" i="34"/>
  <c r="C1517" i="34"/>
  <c r="B1517" i="34" s="1"/>
  <c r="AB1516" i="34"/>
  <c r="C1516" i="34"/>
  <c r="B1516" i="34" s="1"/>
  <c r="AB1539" i="34"/>
  <c r="C1539" i="34"/>
  <c r="B1539" i="34" s="1"/>
  <c r="AB1538" i="34"/>
  <c r="C1538" i="34"/>
  <c r="B1538" i="34" s="1"/>
  <c r="AB1537" i="34"/>
  <c r="C1537" i="34"/>
  <c r="B1537" i="34" s="1"/>
  <c r="AB1536" i="34"/>
  <c r="C1536" i="34"/>
  <c r="B1536" i="34" s="1"/>
  <c r="AB1535" i="34"/>
  <c r="C1535" i="34"/>
  <c r="B1535" i="34" s="1"/>
  <c r="AB1534" i="34"/>
  <c r="C1534" i="34"/>
  <c r="B1534" i="34"/>
  <c r="AB1533" i="34"/>
  <c r="C1533" i="34"/>
  <c r="B1533" i="34" s="1"/>
  <c r="AB1532" i="34"/>
  <c r="C1532" i="34"/>
  <c r="B1532" i="34" s="1"/>
  <c r="AB1542" i="34"/>
  <c r="C1542" i="34"/>
  <c r="B1542" i="34" s="1"/>
  <c r="AB1541" i="34"/>
  <c r="C1541" i="34"/>
  <c r="B1541" i="34" s="1"/>
  <c r="AB1540" i="34"/>
  <c r="C1540" i="34"/>
  <c r="B1540" i="34" s="1"/>
  <c r="Q1540" i="34" l="1"/>
  <c r="U1540" i="34"/>
  <c r="Z1540" i="34"/>
  <c r="O1540" i="34"/>
  <c r="W1540" i="34"/>
  <c r="P1540" i="34"/>
  <c r="A1540" i="34"/>
  <c r="O1542" i="34"/>
  <c r="W1542" i="34"/>
  <c r="P1542" i="34"/>
  <c r="Q1542" i="34"/>
  <c r="U1542" i="34"/>
  <c r="Z1542" i="34"/>
  <c r="A1542" i="34"/>
  <c r="P1533" i="34"/>
  <c r="Q1533" i="34"/>
  <c r="U1533" i="34"/>
  <c r="Z1533" i="34"/>
  <c r="O1533" i="34"/>
  <c r="W1533" i="34"/>
  <c r="A1533" i="34"/>
  <c r="P1541" i="34"/>
  <c r="Q1541" i="34"/>
  <c r="U1541" i="34"/>
  <c r="Z1541" i="34"/>
  <c r="O1541" i="34"/>
  <c r="W1541" i="34"/>
  <c r="A1541" i="34"/>
  <c r="Q1532" i="34"/>
  <c r="U1532" i="34"/>
  <c r="Z1532" i="34"/>
  <c r="O1532" i="34"/>
  <c r="W1532" i="34"/>
  <c r="P1532" i="34"/>
  <c r="A1532" i="34"/>
  <c r="O1534" i="34"/>
  <c r="W1534" i="34"/>
  <c r="P1534" i="34"/>
  <c r="Q1534" i="34"/>
  <c r="U1534" i="34"/>
  <c r="Z1534" i="34"/>
  <c r="A1534" i="34"/>
  <c r="Q1536" i="34"/>
  <c r="U1536" i="34"/>
  <c r="Z1536" i="34"/>
  <c r="O1536" i="34"/>
  <c r="W1536" i="34"/>
  <c r="P1536" i="34"/>
  <c r="A1536" i="34"/>
  <c r="O1538" i="34"/>
  <c r="W1538" i="34"/>
  <c r="P1538" i="34"/>
  <c r="Q1538" i="34"/>
  <c r="U1538" i="34"/>
  <c r="Z1538" i="34"/>
  <c r="A1538" i="34"/>
  <c r="Q1516" i="34"/>
  <c r="U1516" i="34"/>
  <c r="Z1516" i="34"/>
  <c r="O1516" i="34"/>
  <c r="W1516" i="34"/>
  <c r="P1516" i="34"/>
  <c r="A1516" i="34"/>
  <c r="O1518" i="34"/>
  <c r="W1518" i="34"/>
  <c r="P1518" i="34"/>
  <c r="Q1518" i="34"/>
  <c r="U1518" i="34"/>
  <c r="Z1518" i="34"/>
  <c r="A1518" i="34"/>
  <c r="Q1520" i="34"/>
  <c r="U1520" i="34"/>
  <c r="Z1520" i="34"/>
  <c r="O1520" i="34"/>
  <c r="W1520" i="34"/>
  <c r="P1520" i="34"/>
  <c r="A1520" i="34"/>
  <c r="O1522" i="34"/>
  <c r="W1522" i="34"/>
  <c r="P1522" i="34"/>
  <c r="Q1522" i="34"/>
  <c r="U1522" i="34"/>
  <c r="Z1522" i="34"/>
  <c r="A1522" i="34"/>
  <c r="Q1524" i="34"/>
  <c r="U1524" i="34"/>
  <c r="Z1524" i="34"/>
  <c r="O1524" i="34"/>
  <c r="W1524" i="34"/>
  <c r="P1524" i="34"/>
  <c r="A1524" i="34"/>
  <c r="O1526" i="34"/>
  <c r="W1526" i="34"/>
  <c r="P1526" i="34"/>
  <c r="Q1526" i="34"/>
  <c r="U1526" i="34"/>
  <c r="Z1526" i="34"/>
  <c r="A1526" i="34"/>
  <c r="Q1528" i="34"/>
  <c r="U1528" i="34"/>
  <c r="Z1528" i="34"/>
  <c r="O1528" i="34"/>
  <c r="W1528" i="34"/>
  <c r="P1528" i="34"/>
  <c r="A1528" i="34"/>
  <c r="O1530" i="34"/>
  <c r="W1530" i="34"/>
  <c r="P1530" i="34"/>
  <c r="Q1530" i="34"/>
  <c r="U1530" i="34"/>
  <c r="Z1530" i="34"/>
  <c r="A1530" i="34"/>
  <c r="Z1535" i="34"/>
  <c r="O1535" i="34"/>
  <c r="W1535" i="34"/>
  <c r="P1535" i="34"/>
  <c r="Q1535" i="34"/>
  <c r="U1535" i="34"/>
  <c r="A1535" i="34"/>
  <c r="P1537" i="34"/>
  <c r="Q1537" i="34"/>
  <c r="U1537" i="34"/>
  <c r="Z1537" i="34"/>
  <c r="O1537" i="34"/>
  <c r="W1537" i="34"/>
  <c r="A1537" i="34"/>
  <c r="Z1539" i="34"/>
  <c r="O1539" i="34"/>
  <c r="W1539" i="34"/>
  <c r="P1539" i="34"/>
  <c r="Q1539" i="34"/>
  <c r="U1539" i="34"/>
  <c r="A1539" i="34"/>
  <c r="P1517" i="34"/>
  <c r="Q1517" i="34"/>
  <c r="U1517" i="34"/>
  <c r="Z1517" i="34"/>
  <c r="O1517" i="34"/>
  <c r="W1517" i="34"/>
  <c r="A1517" i="34"/>
  <c r="Z1519" i="34"/>
  <c r="O1519" i="34"/>
  <c r="W1519" i="34"/>
  <c r="P1519" i="34"/>
  <c r="Q1519" i="34"/>
  <c r="U1519" i="34"/>
  <c r="A1519" i="34"/>
  <c r="P1521" i="34"/>
  <c r="Q1521" i="34"/>
  <c r="U1521" i="34"/>
  <c r="Z1521" i="34"/>
  <c r="O1521" i="34"/>
  <c r="W1521" i="34"/>
  <c r="A1521" i="34"/>
  <c r="Z1523" i="34"/>
  <c r="O1523" i="34"/>
  <c r="W1523" i="34"/>
  <c r="P1523" i="34"/>
  <c r="Q1523" i="34"/>
  <c r="U1523" i="34"/>
  <c r="A1523" i="34"/>
  <c r="P1525" i="34"/>
  <c r="Q1525" i="34"/>
  <c r="U1525" i="34"/>
  <c r="Z1525" i="34"/>
  <c r="O1525" i="34"/>
  <c r="W1525" i="34"/>
  <c r="A1525" i="34"/>
  <c r="Z1527" i="34"/>
  <c r="O1527" i="34"/>
  <c r="W1527" i="34"/>
  <c r="P1527" i="34"/>
  <c r="Q1527" i="34"/>
  <c r="U1527" i="34"/>
  <c r="A1527" i="34"/>
  <c r="P1529" i="34"/>
  <c r="Q1529" i="34"/>
  <c r="U1529" i="34"/>
  <c r="Z1529" i="34"/>
  <c r="O1529" i="34"/>
  <c r="W1529" i="34"/>
  <c r="A1529" i="34"/>
  <c r="Z1531" i="34"/>
  <c r="O1531" i="34"/>
  <c r="W1531" i="34"/>
  <c r="P1531" i="34"/>
  <c r="Q1531" i="34"/>
  <c r="U1531" i="34"/>
  <c r="A1531" i="34"/>
  <c r="C9" i="60"/>
  <c r="C10" i="60"/>
  <c r="C11" i="60"/>
  <c r="C12" i="60"/>
  <c r="C13" i="60"/>
  <c r="C14" i="60"/>
  <c r="AB1684" i="34"/>
  <c r="AB1651" i="34"/>
  <c r="AB1650" i="34"/>
  <c r="AB1648" i="34"/>
  <c r="AB1646" i="34"/>
  <c r="AB1642" i="34"/>
  <c r="AB1641" i="34"/>
  <c r="AB1640" i="34"/>
  <c r="AB1639" i="34"/>
  <c r="AB1637" i="34"/>
  <c r="AB1636" i="34"/>
  <c r="AB1634" i="34"/>
  <c r="AB1632" i="34"/>
  <c r="AB1630" i="34"/>
  <c r="AB1628" i="34"/>
  <c r="AB1626" i="34"/>
  <c r="AB1625" i="34"/>
  <c r="AB1619" i="34"/>
  <c r="AB1617" i="34"/>
  <c r="AB1613" i="34"/>
  <c r="AB1580" i="34"/>
  <c r="AB1578" i="34"/>
  <c r="AB1576" i="34"/>
  <c r="AB1574" i="34"/>
  <c r="AB1572" i="34"/>
  <c r="AB1571" i="34"/>
  <c r="AB1570" i="34"/>
  <c r="AB1569" i="34"/>
  <c r="AB1567" i="34"/>
  <c r="AB1565" i="34"/>
  <c r="AB1563" i="34"/>
  <c r="AB1559" i="34"/>
  <c r="AB1557" i="34"/>
  <c r="AB1556" i="34"/>
  <c r="AB1554" i="34"/>
  <c r="AB1548" i="34"/>
  <c r="AB1546" i="34"/>
  <c r="AB1545" i="34"/>
  <c r="AB1544" i="34"/>
  <c r="AB1514" i="34"/>
  <c r="AB1512" i="34"/>
  <c r="AB1510" i="34"/>
  <c r="AB1509" i="34"/>
  <c r="AB1507" i="34"/>
  <c r="AB1506" i="34"/>
  <c r="AB1504" i="34"/>
  <c r="AB1502" i="34"/>
  <c r="AB1500" i="34"/>
  <c r="AB1498" i="34"/>
  <c r="AB1496" i="34"/>
  <c r="AB1495" i="34"/>
  <c r="AB1494" i="34"/>
  <c r="AB1493" i="34"/>
  <c r="AB2130" i="34"/>
  <c r="AB2129" i="34"/>
  <c r="AB2128" i="34"/>
  <c r="AB2127" i="34"/>
  <c r="AB2126" i="34"/>
  <c r="AB2125" i="34"/>
  <c r="AB2124" i="34"/>
  <c r="AB2123" i="34"/>
  <c r="AB2122" i="34"/>
  <c r="AB2121" i="34"/>
  <c r="AB2120" i="34"/>
  <c r="AB2119" i="34"/>
  <c r="AB2118" i="34"/>
  <c r="AB2117" i="34"/>
  <c r="AB2116" i="34"/>
  <c r="AB2115" i="34"/>
  <c r="AB2114" i="34"/>
  <c r="AB2113" i="34"/>
  <c r="AB2112" i="34"/>
  <c r="AB2111" i="34"/>
  <c r="AB2110" i="34"/>
  <c r="AB2109" i="34"/>
  <c r="AB2108" i="34"/>
  <c r="AB2107" i="34"/>
  <c r="AB2106" i="34"/>
  <c r="AB2105" i="34"/>
  <c r="AB2104" i="34"/>
  <c r="AB2103" i="34"/>
  <c r="AB2102" i="34"/>
  <c r="AB2101" i="34"/>
  <c r="AB2100" i="34"/>
  <c r="AB2099" i="34"/>
  <c r="AB2098" i="34"/>
  <c r="AB2097" i="34"/>
  <c r="AB2096" i="34"/>
  <c r="AB2095" i="34"/>
  <c r="AB2094" i="34"/>
  <c r="AB2093" i="34"/>
  <c r="AB2092" i="34"/>
  <c r="AB2091" i="34"/>
  <c r="AB2090" i="34"/>
  <c r="AB2089" i="34"/>
  <c r="AB2088" i="34"/>
  <c r="AB2087" i="34"/>
  <c r="AB2086" i="34"/>
  <c r="AB2085" i="34"/>
  <c r="AB2084" i="34"/>
  <c r="AB2083" i="34"/>
  <c r="AB2082" i="34"/>
  <c r="AB2081" i="34"/>
  <c r="AB2080" i="34"/>
  <c r="AB2079" i="34"/>
  <c r="AB2078" i="34"/>
  <c r="AB2077" i="34"/>
  <c r="AB2076" i="34"/>
  <c r="AB2075" i="34"/>
  <c r="AB2074" i="34"/>
  <c r="AB2073" i="34"/>
  <c r="AB2072" i="34"/>
  <c r="AB2071" i="34"/>
  <c r="AB2070" i="34"/>
  <c r="AB2069" i="34"/>
  <c r="AB2068" i="34"/>
  <c r="AB2067" i="34"/>
  <c r="AB2066" i="34"/>
  <c r="AB2065" i="34"/>
  <c r="AB2064" i="34"/>
  <c r="AB2063" i="34"/>
  <c r="AB2062" i="34"/>
  <c r="AB2060" i="34"/>
  <c r="AB2059" i="34"/>
  <c r="AB2057" i="34"/>
  <c r="AB2055" i="34"/>
  <c r="AB2054" i="34"/>
  <c r="AB2053" i="34"/>
  <c r="AB2052" i="34"/>
  <c r="AB2051" i="34"/>
  <c r="AB2047" i="34"/>
  <c r="AB2045" i="34"/>
  <c r="AB2043" i="34"/>
  <c r="AB2042" i="34"/>
  <c r="AB2041" i="34"/>
  <c r="AB2040" i="34"/>
  <c r="AB2038" i="34"/>
  <c r="AB2036" i="34"/>
  <c r="AB2034" i="34"/>
  <c r="AB2033" i="34"/>
  <c r="AB2032" i="34"/>
  <c r="AB2031" i="34"/>
  <c r="AB2029" i="34"/>
  <c r="AB2027" i="34"/>
  <c r="AB2026" i="34"/>
  <c r="AB2024" i="34"/>
  <c r="AB2020" i="34"/>
  <c r="AB2019" i="34"/>
  <c r="AB2018" i="34"/>
  <c r="AB2017" i="34"/>
  <c r="AB2013" i="34"/>
  <c r="AB2012" i="34"/>
  <c r="AB2011" i="34"/>
  <c r="AB2010" i="34"/>
  <c r="AB2009" i="34"/>
  <c r="AB2008" i="34"/>
  <c r="AB2007" i="34"/>
  <c r="AB2006" i="34"/>
  <c r="AB2005" i="34"/>
  <c r="AB2004" i="34"/>
  <c r="AB2003" i="34"/>
  <c r="AB2002" i="34"/>
  <c r="AB2001" i="34"/>
  <c r="AB2000" i="34"/>
  <c r="AB1999" i="34"/>
  <c r="AB1998" i="34"/>
  <c r="AB1997" i="34"/>
  <c r="AB1996" i="34"/>
  <c r="AB1995" i="34"/>
  <c r="AB1994" i="34"/>
  <c r="AB1993" i="34"/>
  <c r="AB1992" i="34"/>
  <c r="AB1991" i="34"/>
  <c r="AB1990" i="34"/>
  <c r="AB1989" i="34"/>
  <c r="AB1988" i="34"/>
  <c r="AB1987" i="34"/>
  <c r="AB1986" i="34"/>
  <c r="AB1985" i="34"/>
  <c r="AB1984" i="34"/>
  <c r="AB1983" i="34"/>
  <c r="AB1982" i="34"/>
  <c r="AB1981" i="34"/>
  <c r="AB1980" i="34"/>
  <c r="AB1979" i="34"/>
  <c r="AB1978" i="34"/>
  <c r="AB1977" i="34"/>
  <c r="AB1975" i="34"/>
  <c r="AB1974" i="34"/>
  <c r="AB1973" i="34"/>
  <c r="AB1972" i="34"/>
  <c r="AB1971" i="34"/>
  <c r="AB1970" i="34"/>
  <c r="AB1969" i="34"/>
  <c r="AB1968" i="34"/>
  <c r="AB1966" i="34"/>
  <c r="AB1964" i="34"/>
  <c r="AB1962" i="34"/>
  <c r="AB1960" i="34"/>
  <c r="AB1959" i="34"/>
  <c r="AB1958" i="34"/>
  <c r="AB1957" i="34"/>
  <c r="AB1956" i="34"/>
  <c r="AB1955" i="34"/>
  <c r="AB1954" i="34"/>
  <c r="AB1953" i="34"/>
  <c r="AB1951" i="34"/>
  <c r="AB1949" i="34"/>
  <c r="AB1948" i="34"/>
  <c r="AB1947" i="34"/>
  <c r="AB1946" i="34"/>
  <c r="AB1945" i="34"/>
  <c r="AB1944" i="34"/>
  <c r="AB1943" i="34"/>
  <c r="AB1942" i="34"/>
  <c r="AB1941" i="34"/>
  <c r="AB1940" i="34"/>
  <c r="AB1939" i="34"/>
  <c r="AB1938" i="34"/>
  <c r="AB1937" i="34"/>
  <c r="AB1936" i="34"/>
  <c r="AB1935" i="34"/>
  <c r="AB1934" i="34"/>
  <c r="AB1933" i="34"/>
  <c r="AB1932" i="34"/>
  <c r="AB1931" i="34"/>
  <c r="AB1930" i="34"/>
  <c r="AB1929" i="34"/>
  <c r="AB1928" i="34"/>
  <c r="AB1927" i="34"/>
  <c r="AB1926" i="34"/>
  <c r="AB1925" i="34"/>
  <c r="AB1924" i="34"/>
  <c r="AB1923" i="34"/>
  <c r="AB1922" i="34"/>
  <c r="AB1921" i="34"/>
  <c r="AB1920" i="34"/>
  <c r="AB1919" i="34"/>
  <c r="AB1918" i="34"/>
  <c r="AB1917" i="34"/>
  <c r="AB1916" i="34"/>
  <c r="AB1915" i="34"/>
  <c r="AB1914" i="34"/>
  <c r="AB1913" i="34"/>
  <c r="AB1912" i="34"/>
  <c r="AB1911" i="34"/>
  <c r="AB1910" i="34"/>
  <c r="AB1909" i="34"/>
  <c r="AB1908" i="34"/>
  <c r="AB1907" i="34"/>
  <c r="AB1906" i="34"/>
  <c r="AB1905" i="34"/>
  <c r="AB1904" i="34"/>
  <c r="AB1903" i="34"/>
  <c r="AB1902" i="34"/>
  <c r="AB1901" i="34"/>
  <c r="AB1900" i="34"/>
  <c r="AB1899" i="34"/>
  <c r="AB1898" i="34"/>
  <c r="AB1897" i="34"/>
  <c r="AB1896" i="34"/>
  <c r="AB1895" i="34"/>
  <c r="AB1894" i="34"/>
  <c r="AB1893" i="34"/>
  <c r="AB1892" i="34"/>
  <c r="AB1891" i="34"/>
  <c r="AB1890" i="34"/>
  <c r="AB1889" i="34"/>
  <c r="AB1888" i="34"/>
  <c r="AB1887" i="34"/>
  <c r="AB1886" i="34"/>
  <c r="AB1885" i="34"/>
  <c r="AB1884" i="34"/>
  <c r="AB1883" i="34"/>
  <c r="AB1882" i="34"/>
  <c r="AB1881" i="34"/>
  <c r="AB1880" i="34"/>
  <c r="AB1879" i="34"/>
  <c r="AB1878" i="34"/>
  <c r="AB1877" i="34"/>
  <c r="AB1876" i="34"/>
  <c r="AB1875" i="34"/>
  <c r="AB1874" i="34"/>
  <c r="AB1873" i="34"/>
  <c r="AB1872" i="34"/>
  <c r="AB1871" i="34"/>
  <c r="AB1870" i="34"/>
  <c r="AB1869" i="34"/>
  <c r="AB1868" i="34"/>
  <c r="AB1867" i="34"/>
  <c r="AB1866" i="34"/>
  <c r="AB1865" i="34"/>
  <c r="AB1864" i="34"/>
  <c r="AB1863" i="34"/>
  <c r="AB1862" i="34"/>
  <c r="AB1861" i="34"/>
  <c r="AB1860" i="34"/>
  <c r="AB1859" i="34"/>
  <c r="AB1858" i="34"/>
  <c r="AB1857" i="34"/>
  <c r="AB1856" i="34"/>
  <c r="AB1855" i="34"/>
  <c r="AB1854" i="34"/>
  <c r="AB1853" i="34"/>
  <c r="AB1852" i="34"/>
  <c r="AB1851" i="34"/>
  <c r="AB1850" i="34"/>
  <c r="AB1849" i="34"/>
  <c r="AB1848" i="34"/>
  <c r="AB1847" i="34"/>
  <c r="AB1846" i="34"/>
  <c r="AB1845" i="34"/>
  <c r="AB1844" i="34"/>
  <c r="AB1843" i="34"/>
  <c r="AB1842" i="34"/>
  <c r="AB1841" i="34"/>
  <c r="AB1839" i="34"/>
  <c r="AB1837" i="34"/>
  <c r="AB1836" i="34"/>
  <c r="AB1835" i="34"/>
  <c r="AB1834" i="34"/>
  <c r="AB1832" i="34"/>
  <c r="AB1831" i="34"/>
  <c r="AB1829" i="34"/>
  <c r="AB1827" i="34"/>
  <c r="AB1825" i="34"/>
  <c r="AB1823" i="34"/>
  <c r="AB1821" i="34"/>
  <c r="AB1817" i="34"/>
  <c r="AB1815" i="34"/>
  <c r="AB1814" i="34"/>
  <c r="AB1813" i="34"/>
  <c r="AB1812" i="34"/>
  <c r="AB1811" i="34"/>
  <c r="AB1810" i="34"/>
  <c r="AB1809" i="34"/>
  <c r="AB1808" i="34"/>
  <c r="AB1807" i="34"/>
  <c r="AB1806" i="34"/>
  <c r="AB1805" i="34"/>
  <c r="AB1804" i="34"/>
  <c r="AB1803" i="34"/>
  <c r="AB1802" i="34"/>
  <c r="AB1801" i="34"/>
  <c r="AB1800" i="34"/>
  <c r="AB1799" i="34"/>
  <c r="AB1798" i="34"/>
  <c r="AB1797" i="34"/>
  <c r="AB1796" i="34"/>
  <c r="AB1795" i="34"/>
  <c r="AB1794" i="34"/>
  <c r="AB1793" i="34"/>
  <c r="AB1792" i="34"/>
  <c r="AB1791" i="34"/>
  <c r="AB1790" i="34"/>
  <c r="AB1789" i="34"/>
  <c r="AB1788" i="34"/>
  <c r="AB1787" i="34"/>
  <c r="AB1786" i="34"/>
  <c r="AB1785" i="34"/>
  <c r="AB1784" i="34"/>
  <c r="AB1783" i="34"/>
  <c r="AB1782" i="34"/>
  <c r="AB1781" i="34"/>
  <c r="AB1780" i="34"/>
  <c r="AB1779" i="34"/>
  <c r="AB1778" i="34"/>
  <c r="AB1777" i="34"/>
  <c r="AB1776" i="34"/>
  <c r="AB1775" i="34"/>
  <c r="AB1774" i="34"/>
  <c r="AB1773" i="34"/>
  <c r="AB1772" i="34"/>
  <c r="AB1771" i="34"/>
  <c r="AB1770" i="34"/>
  <c r="AB1769" i="34"/>
  <c r="AB1768" i="34"/>
  <c r="AB1767" i="34"/>
  <c r="AB1766" i="34"/>
  <c r="AB1765" i="34"/>
  <c r="AB1764" i="34"/>
  <c r="AB1763" i="34"/>
  <c r="AB1762" i="34"/>
  <c r="AB1761" i="34"/>
  <c r="AB1760" i="34"/>
  <c r="AB1759" i="34"/>
  <c r="AB1758" i="34"/>
  <c r="AB1757" i="34"/>
  <c r="AB1756" i="34"/>
  <c r="AB1755" i="34"/>
  <c r="AB1754" i="34"/>
  <c r="AB1753" i="34"/>
  <c r="AB1752" i="34"/>
  <c r="AB1751" i="34"/>
  <c r="AB1750" i="34"/>
  <c r="AB1749" i="34"/>
  <c r="AB1748" i="34"/>
  <c r="AB1747" i="34"/>
  <c r="AB1746" i="34"/>
  <c r="AB1745" i="34"/>
  <c r="AB1739" i="34"/>
  <c r="AB1738" i="34"/>
  <c r="AB1737" i="34"/>
  <c r="AB1736" i="34"/>
  <c r="AB1732" i="34"/>
  <c r="AB1730" i="34"/>
  <c r="AB1729" i="34"/>
  <c r="AB1728" i="34"/>
  <c r="AB1727" i="34"/>
  <c r="AB1725" i="34"/>
  <c r="AB1723" i="34"/>
  <c r="AB1721" i="34"/>
  <c r="AB1720" i="34"/>
  <c r="AB1718" i="34"/>
  <c r="AB1716" i="34"/>
  <c r="AB1714" i="34"/>
  <c r="AB1712" i="34"/>
  <c r="AB1710" i="34"/>
  <c r="AB1708" i="34"/>
  <c r="AB1706" i="34"/>
  <c r="AB1704" i="34"/>
  <c r="AB1702" i="34"/>
  <c r="AB1700" i="34"/>
  <c r="AB1698" i="34"/>
  <c r="AB1696" i="34"/>
  <c r="AB1695" i="34"/>
  <c r="AB1694" i="34"/>
  <c r="AB1692" i="34"/>
  <c r="AB1690" i="34"/>
  <c r="K11" i="34" l="1"/>
  <c r="K1545" i="34"/>
  <c r="K1546" i="34"/>
  <c r="K1544" i="34"/>
  <c r="K1495" i="34"/>
  <c r="K1496" i="34"/>
  <c r="K1498" i="34"/>
  <c r="K1500" i="34"/>
  <c r="K1502" i="34"/>
  <c r="K1504" i="34"/>
  <c r="K1506" i="34"/>
  <c r="K1507" i="34"/>
  <c r="K1509" i="34"/>
  <c r="K1510" i="34"/>
  <c r="K1512" i="34"/>
  <c r="K1514" i="34"/>
  <c r="K1548" i="34"/>
  <c r="K1554" i="34"/>
  <c r="K1556" i="34"/>
  <c r="K1557" i="34"/>
  <c r="K1559" i="34"/>
  <c r="K1563" i="34"/>
  <c r="K1565" i="34"/>
  <c r="K1567" i="34"/>
  <c r="K1569" i="34"/>
  <c r="K1570" i="34"/>
  <c r="K1571" i="34"/>
  <c r="K1572" i="34"/>
  <c r="K1574" i="34"/>
  <c r="K1576" i="34"/>
  <c r="K1578" i="34"/>
  <c r="K1580" i="34"/>
  <c r="K1613" i="34"/>
  <c r="K1617" i="34"/>
  <c r="K1619" i="34"/>
  <c r="K1625" i="34"/>
  <c r="K1626" i="34"/>
  <c r="K1628" i="34"/>
  <c r="K1630" i="34"/>
  <c r="K1632" i="34"/>
  <c r="K1634" i="34"/>
  <c r="K1636" i="34"/>
  <c r="K1637" i="34"/>
  <c r="K1639" i="34"/>
  <c r="K1640" i="34"/>
  <c r="K1641" i="34"/>
  <c r="K1642" i="34"/>
  <c r="K1646" i="34"/>
  <c r="K1648" i="34"/>
  <c r="K1650" i="34"/>
  <c r="K1651" i="34"/>
  <c r="K1684" i="34"/>
  <c r="K1494" i="34"/>
  <c r="K1493" i="34"/>
  <c r="AB1688" i="34" l="1"/>
  <c r="K483" i="34"/>
  <c r="K485" i="34"/>
  <c r="K486" i="34"/>
  <c r="K487" i="34"/>
  <c r="K488" i="34"/>
  <c r="K496" i="34"/>
  <c r="K497" i="34"/>
  <c r="K498" i="34"/>
  <c r="K490" i="34"/>
  <c r="K492" i="34"/>
  <c r="K500" i="34"/>
  <c r="K502" i="34"/>
  <c r="K503" i="34"/>
  <c r="K504" i="34"/>
  <c r="K505" i="34"/>
  <c r="K507" i="34"/>
  <c r="K508" i="34"/>
  <c r="K509" i="34"/>
  <c r="K511" i="34"/>
  <c r="K512" i="34"/>
  <c r="K514" i="34"/>
  <c r="K515" i="34"/>
  <c r="K545" i="34"/>
  <c r="K546" i="34"/>
  <c r="K547" i="34"/>
  <c r="K549" i="34"/>
  <c r="K551" i="34"/>
  <c r="K552" i="34"/>
  <c r="K553" i="34"/>
  <c r="K554" i="34"/>
  <c r="K556" i="34"/>
  <c r="K557" i="34"/>
  <c r="K558" i="34"/>
  <c r="K559" i="34"/>
  <c r="K560" i="34"/>
  <c r="K561" i="34"/>
  <c r="K562" i="34"/>
  <c r="K563" i="34"/>
  <c r="K570" i="34"/>
  <c r="K571" i="34"/>
  <c r="K572" i="34"/>
  <c r="K573" i="34"/>
  <c r="K604" i="34"/>
  <c r="K605" i="34"/>
  <c r="K606" i="34"/>
  <c r="K607" i="34"/>
  <c r="K608" i="34"/>
  <c r="K609" i="34"/>
  <c r="K610" i="34"/>
  <c r="K611" i="34"/>
  <c r="K612" i="34"/>
  <c r="K613" i="34"/>
  <c r="K614" i="34"/>
  <c r="K615" i="34"/>
  <c r="K616" i="34"/>
  <c r="K617" i="34"/>
  <c r="K618" i="34"/>
  <c r="K619" i="34"/>
  <c r="K620" i="34"/>
  <c r="K621" i="34"/>
  <c r="K627" i="34"/>
  <c r="K628" i="34"/>
  <c r="K629" i="34"/>
  <c r="K630" i="34"/>
  <c r="K631" i="34"/>
  <c r="K632" i="34"/>
  <c r="K636" i="34"/>
  <c r="K637" i="34"/>
  <c r="K639" i="34"/>
  <c r="K640" i="34"/>
  <c r="K641" i="34"/>
  <c r="K642" i="34"/>
  <c r="K661" i="34"/>
  <c r="K662" i="34"/>
  <c r="K663" i="34"/>
  <c r="K664" i="34"/>
  <c r="K665" i="34"/>
  <c r="K666" i="34"/>
  <c r="K667" i="34"/>
  <c r="K699" i="34"/>
  <c r="K669" i="34"/>
  <c r="K670" i="34"/>
  <c r="K671" i="34"/>
  <c r="K672" i="34"/>
  <c r="K673" i="34"/>
  <c r="K674" i="34"/>
  <c r="K675" i="34"/>
  <c r="K676" i="34"/>
  <c r="K677" i="34"/>
  <c r="K678" i="34"/>
  <c r="K679" i="34"/>
  <c r="K680" i="34"/>
  <c r="K477" i="34"/>
  <c r="K478" i="34"/>
  <c r="K479" i="34"/>
  <c r="K480" i="34"/>
  <c r="K481" i="34"/>
  <c r="K517" i="34"/>
  <c r="K518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5" i="34"/>
  <c r="K536" i="34"/>
  <c r="K537" i="34"/>
  <c r="K538" i="34"/>
  <c r="K539" i="34"/>
  <c r="K540" i="34"/>
  <c r="K541" i="34"/>
  <c r="K542" i="34"/>
  <c r="K543" i="34"/>
  <c r="K565" i="34"/>
  <c r="K566" i="34"/>
  <c r="K567" i="34"/>
  <c r="K568" i="34"/>
  <c r="K575" i="34"/>
  <c r="K576" i="34"/>
  <c r="K577" i="34"/>
  <c r="K578" i="34"/>
  <c r="K579" i="34"/>
  <c r="K580" i="34"/>
  <c r="K581" i="34"/>
  <c r="K582" i="34"/>
  <c r="K583" i="34"/>
  <c r="K584" i="34"/>
  <c r="K585" i="34"/>
  <c r="K586" i="34"/>
  <c r="K587" i="34"/>
  <c r="K588" i="34"/>
  <c r="K589" i="34"/>
  <c r="K590" i="34"/>
  <c r="K591" i="34"/>
  <c r="K592" i="34"/>
  <c r="K593" i="34"/>
  <c r="K594" i="34"/>
  <c r="K595" i="34"/>
  <c r="K596" i="34"/>
  <c r="K597" i="34"/>
  <c r="K598" i="34"/>
  <c r="K599" i="34"/>
  <c r="K600" i="34"/>
  <c r="K601" i="34"/>
  <c r="K602" i="34"/>
  <c r="K494" i="34"/>
  <c r="K385" i="34"/>
  <c r="C2712" i="34" l="1"/>
  <c r="C2713" i="34"/>
  <c r="C2714" i="34"/>
  <c r="C2715" i="34"/>
  <c r="C2716" i="34"/>
  <c r="C2717" i="34"/>
  <c r="C2718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494" i="34"/>
  <c r="C495" i="34"/>
  <c r="C483" i="34"/>
  <c r="C484" i="34"/>
  <c r="C485" i="34"/>
  <c r="C486" i="34"/>
  <c r="C487" i="34"/>
  <c r="C488" i="34"/>
  <c r="C489" i="34"/>
  <c r="C496" i="34"/>
  <c r="C497" i="34"/>
  <c r="C498" i="34"/>
  <c r="C499" i="34"/>
  <c r="C490" i="34"/>
  <c r="C491" i="34"/>
  <c r="C492" i="34"/>
  <c r="C493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70" i="34"/>
  <c r="C571" i="34"/>
  <c r="C572" i="34"/>
  <c r="C573" i="34"/>
  <c r="C574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7" i="34"/>
  <c r="C628" i="34"/>
  <c r="C629" i="34"/>
  <c r="C630" i="34"/>
  <c r="C631" i="34"/>
  <c r="C632" i="34"/>
  <c r="C633" i="34"/>
  <c r="C636" i="34"/>
  <c r="C637" i="34"/>
  <c r="C638" i="34"/>
  <c r="C639" i="34"/>
  <c r="C640" i="34"/>
  <c r="C641" i="34"/>
  <c r="C642" i="34"/>
  <c r="C643" i="34"/>
  <c r="C661" i="34"/>
  <c r="C662" i="34"/>
  <c r="C663" i="34"/>
  <c r="C664" i="34"/>
  <c r="C665" i="34"/>
  <c r="C666" i="34"/>
  <c r="C667" i="34"/>
  <c r="C668" i="34"/>
  <c r="C699" i="34"/>
  <c r="C700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477" i="34"/>
  <c r="C478" i="34"/>
  <c r="C479" i="34"/>
  <c r="C480" i="34"/>
  <c r="C481" i="34"/>
  <c r="C482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65" i="34"/>
  <c r="C566" i="34"/>
  <c r="C567" i="34"/>
  <c r="C568" i="34"/>
  <c r="C569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3759" i="34"/>
  <c r="C3760" i="34"/>
  <c r="C3761" i="34"/>
  <c r="C3762" i="34"/>
  <c r="C3763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83" i="34"/>
  <c r="C1684" i="34"/>
  <c r="C1685" i="34"/>
  <c r="C982" i="34"/>
  <c r="C998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3661" i="34"/>
  <c r="C3662" i="34"/>
  <c r="C3663" i="34"/>
  <c r="C3664" i="34"/>
  <c r="C3665" i="34"/>
  <c r="C3666" i="34"/>
  <c r="C3667" i="34"/>
  <c r="C3668" i="34"/>
  <c r="C3669" i="34"/>
  <c r="C3670" i="34"/>
  <c r="C3671" i="34"/>
  <c r="C3672" i="34"/>
  <c r="C3673" i="34"/>
  <c r="C3674" i="34"/>
  <c r="C3675" i="34"/>
  <c r="C3676" i="34"/>
  <c r="C3677" i="34"/>
  <c r="C3678" i="34"/>
  <c r="C3679" i="34"/>
  <c r="C3680" i="34"/>
  <c r="C3681" i="34"/>
  <c r="C3682" i="34"/>
  <c r="C3683" i="34"/>
  <c r="C3684" i="34"/>
  <c r="C3685" i="34"/>
  <c r="C3686" i="34"/>
  <c r="C3687" i="34"/>
  <c r="C3688" i="34"/>
  <c r="C3689" i="34"/>
  <c r="C3690" i="34"/>
  <c r="C3691" i="34"/>
  <c r="C3692" i="34"/>
  <c r="C3693" i="34"/>
  <c r="C3694" i="34"/>
  <c r="C3695" i="34"/>
  <c r="C3696" i="34"/>
  <c r="C3697" i="34"/>
  <c r="C3698" i="34"/>
  <c r="C3699" i="34"/>
  <c r="C3700" i="34"/>
  <c r="C3701" i="34"/>
  <c r="C3702" i="34"/>
  <c r="C3703" i="34"/>
  <c r="C3704" i="34"/>
  <c r="C3705" i="34"/>
  <c r="C3706" i="34"/>
  <c r="C3707" i="34"/>
  <c r="C3708" i="34"/>
  <c r="C3709" i="34"/>
  <c r="C3710" i="34"/>
  <c r="C3711" i="34"/>
  <c r="C3712" i="34"/>
  <c r="C3713" i="34"/>
  <c r="C3714" i="34"/>
  <c r="C3715" i="34"/>
  <c r="C3716" i="34"/>
  <c r="C3717" i="34"/>
  <c r="C3718" i="34"/>
  <c r="C3719" i="34"/>
  <c r="C3720" i="34"/>
  <c r="C3721" i="34"/>
  <c r="C3722" i="34"/>
  <c r="C3723" i="34"/>
  <c r="C3724" i="34"/>
  <c r="C3725" i="34"/>
  <c r="C3726" i="34"/>
  <c r="C3727" i="34"/>
  <c r="C3728" i="34"/>
  <c r="C3729" i="34"/>
  <c r="C3730" i="34"/>
  <c r="C3731" i="34"/>
  <c r="C3732" i="34"/>
  <c r="C3733" i="34"/>
  <c r="C3734" i="34"/>
  <c r="C3735" i="34"/>
  <c r="C3736" i="34"/>
  <c r="C3737" i="34"/>
  <c r="C3738" i="34"/>
  <c r="C3739" i="34"/>
  <c r="C3740" i="34"/>
  <c r="C3741" i="34"/>
  <c r="C3742" i="34"/>
  <c r="C3743" i="34"/>
  <c r="C3744" i="34"/>
  <c r="C3745" i="34"/>
  <c r="C3746" i="34"/>
  <c r="C3747" i="34"/>
  <c r="C3748" i="34"/>
  <c r="C3749" i="34"/>
  <c r="C3750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3751" i="34"/>
  <c r="C3752" i="34"/>
  <c r="C3753" i="34"/>
  <c r="C3754" i="34"/>
  <c r="C3755" i="34"/>
  <c r="C3756" i="34"/>
  <c r="C3757" i="34"/>
  <c r="C3758" i="34"/>
  <c r="C3540" i="34"/>
  <c r="C3541" i="34"/>
  <c r="C3542" i="34"/>
  <c r="C3543" i="34"/>
  <c r="C3544" i="34"/>
  <c r="C3545" i="34"/>
  <c r="C3546" i="34"/>
  <c r="C115" i="34" l="1"/>
  <c r="C116" i="34"/>
  <c r="C117" i="34"/>
  <c r="C119" i="34"/>
  <c r="C120" i="34"/>
  <c r="C24" i="34" l="1"/>
  <c r="C25" i="34"/>
  <c r="C26" i="34"/>
  <c r="C27" i="34"/>
  <c r="C28" i="34"/>
  <c r="C29" i="34"/>
  <c r="C30" i="34"/>
  <c r="C31" i="34"/>
  <c r="C33" i="34"/>
  <c r="C34" i="34"/>
  <c r="C36" i="34"/>
  <c r="C38" i="34"/>
  <c r="C40" i="34"/>
  <c r="C41" i="34"/>
  <c r="C42" i="34"/>
  <c r="C43" i="34"/>
  <c r="C44" i="34"/>
  <c r="C45" i="34"/>
  <c r="C47" i="34"/>
  <c r="C48" i="34"/>
  <c r="C49" i="34"/>
  <c r="C50" i="34"/>
  <c r="C51" i="34"/>
  <c r="C52" i="34"/>
  <c r="C53" i="34"/>
  <c r="C54" i="34"/>
  <c r="C55" i="34"/>
  <c r="C56" i="34"/>
  <c r="C57" i="34"/>
  <c r="C59" i="34"/>
  <c r="C61" i="34"/>
  <c r="C62" i="34"/>
  <c r="C63" i="34"/>
  <c r="C64" i="34"/>
  <c r="C66" i="34"/>
  <c r="C68" i="34"/>
  <c r="C70" i="34"/>
  <c r="C71" i="34"/>
  <c r="C72" i="34"/>
  <c r="C74" i="34"/>
  <c r="C75" i="34"/>
  <c r="C76" i="34"/>
  <c r="C77" i="34"/>
  <c r="C78" i="34"/>
  <c r="C79" i="34"/>
  <c r="C80" i="34"/>
  <c r="C81" i="34"/>
  <c r="C85" i="34"/>
  <c r="C87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2" i="34"/>
  <c r="C113" i="34"/>
  <c r="C23" i="34"/>
  <c r="K844" i="34" l="1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843" i="34"/>
  <c r="K842" i="34"/>
  <c r="C842" i="34"/>
  <c r="B842" i="34" s="1"/>
  <c r="C843" i="34"/>
  <c r="B843" i="34" s="1"/>
  <c r="C844" i="34"/>
  <c r="B844" i="34" s="1"/>
  <c r="C845" i="34"/>
  <c r="B845" i="34" s="1"/>
  <c r="C846" i="34"/>
  <c r="B846" i="34" s="1"/>
  <c r="C847" i="34"/>
  <c r="B847" i="34" s="1"/>
  <c r="C848" i="34"/>
  <c r="B848" i="34" s="1"/>
  <c r="C849" i="34"/>
  <c r="B849" i="34" s="1"/>
  <c r="C850" i="34"/>
  <c r="B850" i="34" s="1"/>
  <c r="C851" i="34"/>
  <c r="B851" i="34" s="1"/>
  <c r="C852" i="34"/>
  <c r="B852" i="34" s="1"/>
  <c r="C853" i="34"/>
  <c r="B853" i="34" s="1"/>
  <c r="C854" i="34"/>
  <c r="B854" i="34" s="1"/>
  <c r="C855" i="34"/>
  <c r="B855" i="34" s="1"/>
  <c r="C856" i="34"/>
  <c r="B856" i="34" s="1"/>
  <c r="C857" i="34"/>
  <c r="B857" i="34" s="1"/>
  <c r="C858" i="34"/>
  <c r="B858" i="34" s="1"/>
  <c r="C859" i="34"/>
  <c r="B859" i="34" s="1"/>
  <c r="C860" i="34"/>
  <c r="B860" i="34" s="1"/>
  <c r="C861" i="34"/>
  <c r="B861" i="34" s="1"/>
  <c r="C862" i="34"/>
  <c r="B862" i="34" s="1"/>
  <c r="C863" i="34"/>
  <c r="B863" i="34" s="1"/>
  <c r="C864" i="34"/>
  <c r="B864" i="34" s="1"/>
  <c r="C865" i="34"/>
  <c r="B865" i="34" s="1"/>
  <c r="C866" i="34"/>
  <c r="B866" i="34" s="1"/>
  <c r="C867" i="34"/>
  <c r="B867" i="34" s="1"/>
  <c r="C868" i="34"/>
  <c r="B868" i="34" s="1"/>
  <c r="C869" i="34"/>
  <c r="B869" i="34" s="1"/>
  <c r="C870" i="34"/>
  <c r="B870" i="34" s="1"/>
  <c r="C871" i="34"/>
  <c r="B871" i="34" s="1"/>
  <c r="C872" i="34"/>
  <c r="B872" i="34" s="1"/>
  <c r="C873" i="34"/>
  <c r="B873" i="34" s="1"/>
  <c r="C874" i="34"/>
  <c r="B874" i="34" s="1"/>
  <c r="C875" i="34"/>
  <c r="B875" i="34" s="1"/>
  <c r="C876" i="34"/>
  <c r="B876" i="34" s="1"/>
  <c r="C877" i="34"/>
  <c r="B877" i="34" s="1"/>
  <c r="C878" i="34"/>
  <c r="B878" i="34" s="1"/>
  <c r="C879" i="34"/>
  <c r="B879" i="34" s="1"/>
  <c r="C880" i="34"/>
  <c r="B880" i="34" s="1"/>
  <c r="C881" i="34"/>
  <c r="B881" i="34" s="1"/>
  <c r="C882" i="34"/>
  <c r="B882" i="34" s="1"/>
  <c r="C883" i="34"/>
  <c r="B883" i="34" s="1"/>
  <c r="C884" i="34"/>
  <c r="B884" i="34" s="1"/>
  <c r="C885" i="34"/>
  <c r="B885" i="34" s="1"/>
  <c r="C886" i="34"/>
  <c r="B886" i="34" s="1"/>
  <c r="C887" i="34"/>
  <c r="B887" i="34" s="1"/>
  <c r="C888" i="34"/>
  <c r="B888" i="34" s="1"/>
  <c r="C889" i="34"/>
  <c r="B889" i="34" s="1"/>
  <c r="C890" i="34"/>
  <c r="B890" i="34" s="1"/>
  <c r="C891" i="34"/>
  <c r="B891" i="34" s="1"/>
  <c r="C892" i="34"/>
  <c r="B892" i="34" s="1"/>
  <c r="C893" i="34"/>
  <c r="B893" i="34" s="1"/>
  <c r="C894" i="34"/>
  <c r="B894" i="34" s="1"/>
  <c r="C895" i="34"/>
  <c r="B895" i="34" s="1"/>
  <c r="C896" i="34"/>
  <c r="B896" i="34" s="1"/>
  <c r="C897" i="34"/>
  <c r="B897" i="34" s="1"/>
  <c r="C898" i="34"/>
  <c r="B898" i="34" s="1"/>
  <c r="C899" i="34"/>
  <c r="B899" i="34" s="1"/>
  <c r="C900" i="34"/>
  <c r="B900" i="34" s="1"/>
  <c r="C901" i="34"/>
  <c r="B901" i="34" s="1"/>
  <c r="C902" i="34"/>
  <c r="B902" i="34" s="1"/>
  <c r="C903" i="34"/>
  <c r="B903" i="34" s="1"/>
  <c r="C904" i="34"/>
  <c r="B904" i="34" s="1"/>
  <c r="C905" i="34"/>
  <c r="B905" i="34" s="1"/>
  <c r="C906" i="34"/>
  <c r="B906" i="34" s="1"/>
  <c r="C907" i="34"/>
  <c r="B907" i="34" s="1"/>
  <c r="C908" i="34"/>
  <c r="B908" i="34" s="1"/>
  <c r="C909" i="34"/>
  <c r="B909" i="34" s="1"/>
  <c r="C910" i="34"/>
  <c r="B910" i="34" s="1"/>
  <c r="C911" i="34"/>
  <c r="B911" i="34" s="1"/>
  <c r="C912" i="34"/>
  <c r="B912" i="34" s="1"/>
  <c r="C913" i="34"/>
  <c r="B913" i="34" s="1"/>
  <c r="C914" i="34"/>
  <c r="B914" i="34" s="1"/>
  <c r="C915" i="34"/>
  <c r="B915" i="34" s="1"/>
  <c r="C916" i="34"/>
  <c r="B916" i="34" s="1"/>
  <c r="C917" i="34"/>
  <c r="B917" i="34" s="1"/>
  <c r="C918" i="34"/>
  <c r="B918" i="34" s="1"/>
  <c r="C919" i="34"/>
  <c r="B919" i="34" s="1"/>
  <c r="C920" i="34"/>
  <c r="B920" i="34" s="1"/>
  <c r="C921" i="34"/>
  <c r="B921" i="34" s="1"/>
  <c r="C922" i="34"/>
  <c r="B922" i="34" s="1"/>
  <c r="C923" i="34"/>
  <c r="B923" i="34" s="1"/>
  <c r="C924" i="34"/>
  <c r="B924" i="34" s="1"/>
  <c r="C925" i="34"/>
  <c r="B925" i="34" s="1"/>
  <c r="C926" i="34"/>
  <c r="B926" i="34" s="1"/>
  <c r="C927" i="34"/>
  <c r="B927" i="34" s="1"/>
  <c r="C928" i="34"/>
  <c r="B928" i="34" s="1"/>
  <c r="C929" i="34"/>
  <c r="B929" i="34" s="1"/>
  <c r="C930" i="34"/>
  <c r="B930" i="34" s="1"/>
  <c r="C931" i="34"/>
  <c r="B931" i="34" s="1"/>
  <c r="C932" i="34"/>
  <c r="B932" i="34" s="1"/>
  <c r="C933" i="34"/>
  <c r="B933" i="34" s="1"/>
  <c r="C934" i="34"/>
  <c r="B934" i="34" s="1"/>
  <c r="C935" i="34"/>
  <c r="B935" i="34" s="1"/>
  <c r="C936" i="34"/>
  <c r="B936" i="34" s="1"/>
  <c r="C937" i="34"/>
  <c r="B937" i="34" s="1"/>
  <c r="C938" i="34"/>
  <c r="B938" i="34" s="1"/>
  <c r="C939" i="34"/>
  <c r="B939" i="34" s="1"/>
  <c r="C940" i="34"/>
  <c r="B940" i="34" s="1"/>
  <c r="C941" i="34"/>
  <c r="B941" i="34" s="1"/>
  <c r="C942" i="34"/>
  <c r="B942" i="34" s="1"/>
  <c r="C943" i="34"/>
  <c r="B943" i="34" s="1"/>
  <c r="C944" i="34"/>
  <c r="B944" i="34" s="1"/>
  <c r="C945" i="34"/>
  <c r="B945" i="34" s="1"/>
  <c r="C946" i="34"/>
  <c r="B946" i="34" s="1"/>
  <c r="C947" i="34"/>
  <c r="B947" i="34" s="1"/>
  <c r="C948" i="34"/>
  <c r="B948" i="34" s="1"/>
  <c r="C949" i="34"/>
  <c r="B949" i="34" s="1"/>
  <c r="C950" i="34"/>
  <c r="B950" i="34" s="1"/>
  <c r="C951" i="34"/>
  <c r="B951" i="34" s="1"/>
  <c r="C952" i="34"/>
  <c r="B952" i="34" s="1"/>
  <c r="C953" i="34"/>
  <c r="B953" i="34" s="1"/>
  <c r="C954" i="34"/>
  <c r="B954" i="34" s="1"/>
  <c r="C955" i="34"/>
  <c r="B955" i="34" s="1"/>
  <c r="C956" i="34"/>
  <c r="B956" i="34" s="1"/>
  <c r="C957" i="34"/>
  <c r="B957" i="34" s="1"/>
  <c r="C958" i="34"/>
  <c r="B958" i="34" s="1"/>
  <c r="C959" i="34"/>
  <c r="B959" i="34" s="1"/>
  <c r="C960" i="34"/>
  <c r="B960" i="34" s="1"/>
  <c r="C961" i="34"/>
  <c r="B961" i="34" s="1"/>
  <c r="C962" i="34"/>
  <c r="B962" i="34" s="1"/>
  <c r="C963" i="34"/>
  <c r="B963" i="34" s="1"/>
  <c r="C964" i="34"/>
  <c r="B964" i="34" s="1"/>
  <c r="C965" i="34"/>
  <c r="B965" i="34" s="1"/>
  <c r="Z965" i="34" l="1"/>
  <c r="O965" i="34"/>
  <c r="W965" i="34"/>
  <c r="P965" i="34"/>
  <c r="Q965" i="34"/>
  <c r="U965" i="34"/>
  <c r="A965" i="34"/>
  <c r="Z961" i="34"/>
  <c r="O961" i="34"/>
  <c r="W961" i="34"/>
  <c r="P961" i="34"/>
  <c r="Q961" i="34"/>
  <c r="U961" i="34"/>
  <c r="A961" i="34"/>
  <c r="Z957" i="34"/>
  <c r="O957" i="34"/>
  <c r="W957" i="34"/>
  <c r="P957" i="34"/>
  <c r="Q957" i="34"/>
  <c r="U957" i="34"/>
  <c r="A957" i="34"/>
  <c r="Z953" i="34"/>
  <c r="O953" i="34"/>
  <c r="W953" i="34"/>
  <c r="P953" i="34"/>
  <c r="Q953" i="34"/>
  <c r="U953" i="34"/>
  <c r="A953" i="34"/>
  <c r="Z949" i="34"/>
  <c r="O949" i="34"/>
  <c r="W949" i="34"/>
  <c r="P949" i="34"/>
  <c r="Q949" i="34"/>
  <c r="U949" i="34"/>
  <c r="A949" i="34"/>
  <c r="Z945" i="34"/>
  <c r="O945" i="34"/>
  <c r="W945" i="34"/>
  <c r="P945" i="34"/>
  <c r="Q945" i="34"/>
  <c r="U945" i="34"/>
  <c r="A945" i="34"/>
  <c r="Z941" i="34"/>
  <c r="O941" i="34"/>
  <c r="W941" i="34"/>
  <c r="P941" i="34"/>
  <c r="Q941" i="34"/>
  <c r="U941" i="34"/>
  <c r="A941" i="34"/>
  <c r="Z937" i="34"/>
  <c r="O937" i="34"/>
  <c r="W937" i="34"/>
  <c r="P937" i="34"/>
  <c r="Q937" i="34"/>
  <c r="U937" i="34"/>
  <c r="A937" i="34"/>
  <c r="Z933" i="34"/>
  <c r="O933" i="34"/>
  <c r="W933" i="34"/>
  <c r="P933" i="34"/>
  <c r="Q933" i="34"/>
  <c r="U933" i="34"/>
  <c r="A933" i="34"/>
  <c r="Z929" i="34"/>
  <c r="O929" i="34"/>
  <c r="W929" i="34"/>
  <c r="P929" i="34"/>
  <c r="Q929" i="34"/>
  <c r="U929" i="34"/>
  <c r="A929" i="34"/>
  <c r="Z925" i="34"/>
  <c r="O925" i="34"/>
  <c r="W925" i="34"/>
  <c r="P925" i="34"/>
  <c r="Q925" i="34"/>
  <c r="U925" i="34"/>
  <c r="A925" i="34"/>
  <c r="Z921" i="34"/>
  <c r="O921" i="34"/>
  <c r="W921" i="34"/>
  <c r="P921" i="34"/>
  <c r="Q921" i="34"/>
  <c r="U921" i="34"/>
  <c r="A921" i="34"/>
  <c r="Z917" i="34"/>
  <c r="O917" i="34"/>
  <c r="W917" i="34"/>
  <c r="P917" i="34"/>
  <c r="Q917" i="34"/>
  <c r="U917" i="34"/>
  <c r="A917" i="34"/>
  <c r="Z913" i="34"/>
  <c r="O913" i="34"/>
  <c r="W913" i="34"/>
  <c r="P913" i="34"/>
  <c r="Q913" i="34"/>
  <c r="U913" i="34"/>
  <c r="A913" i="34"/>
  <c r="Z909" i="34"/>
  <c r="O909" i="34"/>
  <c r="W909" i="34"/>
  <c r="P909" i="34"/>
  <c r="Q909" i="34"/>
  <c r="U909" i="34"/>
  <c r="A909" i="34"/>
  <c r="Z905" i="34"/>
  <c r="O905" i="34"/>
  <c r="W905" i="34"/>
  <c r="P905" i="34"/>
  <c r="Q905" i="34"/>
  <c r="U905" i="34"/>
  <c r="A905" i="34"/>
  <c r="Z901" i="34"/>
  <c r="O901" i="34"/>
  <c r="W901" i="34"/>
  <c r="P901" i="34"/>
  <c r="Q901" i="34"/>
  <c r="U901" i="34"/>
  <c r="A901" i="34"/>
  <c r="Z897" i="34"/>
  <c r="O897" i="34"/>
  <c r="W897" i="34"/>
  <c r="P897" i="34"/>
  <c r="Q897" i="34"/>
  <c r="U897" i="34"/>
  <c r="A897" i="34"/>
  <c r="Z893" i="34"/>
  <c r="O893" i="34"/>
  <c r="W893" i="34"/>
  <c r="P893" i="34"/>
  <c r="Q893" i="34"/>
  <c r="U893" i="34"/>
  <c r="A893" i="34"/>
  <c r="Z889" i="34"/>
  <c r="O889" i="34"/>
  <c r="W889" i="34"/>
  <c r="P889" i="34"/>
  <c r="Q889" i="34"/>
  <c r="U889" i="34"/>
  <c r="A889" i="34"/>
  <c r="Z885" i="34"/>
  <c r="O885" i="34"/>
  <c r="W885" i="34"/>
  <c r="P885" i="34"/>
  <c r="Q885" i="34"/>
  <c r="U885" i="34"/>
  <c r="A885" i="34"/>
  <c r="Z881" i="34"/>
  <c r="O881" i="34"/>
  <c r="W881" i="34"/>
  <c r="P881" i="34"/>
  <c r="Q881" i="34"/>
  <c r="U881" i="34"/>
  <c r="A881" i="34"/>
  <c r="Z877" i="34"/>
  <c r="O877" i="34"/>
  <c r="W877" i="34"/>
  <c r="P877" i="34"/>
  <c r="Q877" i="34"/>
  <c r="U877" i="34"/>
  <c r="A877" i="34"/>
  <c r="Z873" i="34"/>
  <c r="O873" i="34"/>
  <c r="W873" i="34"/>
  <c r="P873" i="34"/>
  <c r="Q873" i="34"/>
  <c r="U873" i="34"/>
  <c r="A873" i="34"/>
  <c r="Z869" i="34"/>
  <c r="O869" i="34"/>
  <c r="W869" i="34"/>
  <c r="P869" i="34"/>
  <c r="Q869" i="34"/>
  <c r="U869" i="34"/>
  <c r="A869" i="34"/>
  <c r="Z865" i="34"/>
  <c r="O865" i="34"/>
  <c r="W865" i="34"/>
  <c r="P865" i="34"/>
  <c r="Q865" i="34"/>
  <c r="U865" i="34"/>
  <c r="A865" i="34"/>
  <c r="Z861" i="34"/>
  <c r="O861" i="34"/>
  <c r="W861" i="34"/>
  <c r="P861" i="34"/>
  <c r="Q861" i="34"/>
  <c r="U861" i="34"/>
  <c r="A861" i="34"/>
  <c r="Z857" i="34"/>
  <c r="O857" i="34"/>
  <c r="W857" i="34"/>
  <c r="P857" i="34"/>
  <c r="Q857" i="34"/>
  <c r="U857" i="34"/>
  <c r="A857" i="34"/>
  <c r="Z853" i="34"/>
  <c r="O853" i="34"/>
  <c r="W853" i="34"/>
  <c r="P853" i="34"/>
  <c r="Q853" i="34"/>
  <c r="U853" i="34"/>
  <c r="A853" i="34"/>
  <c r="Z849" i="34"/>
  <c r="O849" i="34"/>
  <c r="W849" i="34"/>
  <c r="P849" i="34"/>
  <c r="Q849" i="34"/>
  <c r="U849" i="34"/>
  <c r="A849" i="34"/>
  <c r="Z845" i="34"/>
  <c r="O845" i="34"/>
  <c r="W845" i="34"/>
  <c r="P845" i="34"/>
  <c r="Q845" i="34"/>
  <c r="U845" i="34"/>
  <c r="A845" i="34"/>
  <c r="O960" i="34"/>
  <c r="W960" i="34"/>
  <c r="P960" i="34"/>
  <c r="Q960" i="34"/>
  <c r="U960" i="34"/>
  <c r="Z960" i="34"/>
  <c r="A960" i="34"/>
  <c r="O956" i="34"/>
  <c r="W956" i="34"/>
  <c r="P956" i="34"/>
  <c r="Q956" i="34"/>
  <c r="U956" i="34"/>
  <c r="Z956" i="34"/>
  <c r="A956" i="34"/>
  <c r="O952" i="34"/>
  <c r="W952" i="34"/>
  <c r="P952" i="34"/>
  <c r="Q952" i="34"/>
  <c r="U952" i="34"/>
  <c r="Z952" i="34"/>
  <c r="A952" i="34"/>
  <c r="O948" i="34"/>
  <c r="W948" i="34"/>
  <c r="P948" i="34"/>
  <c r="Q948" i="34"/>
  <c r="U948" i="34"/>
  <c r="Z948" i="34"/>
  <c r="A948" i="34"/>
  <c r="O944" i="34"/>
  <c r="W944" i="34"/>
  <c r="P944" i="34"/>
  <c r="Q944" i="34"/>
  <c r="U944" i="34"/>
  <c r="Z944" i="34"/>
  <c r="A944" i="34"/>
  <c r="O940" i="34"/>
  <c r="W940" i="34"/>
  <c r="P940" i="34"/>
  <c r="Q940" i="34"/>
  <c r="U940" i="34"/>
  <c r="Z940" i="34"/>
  <c r="A940" i="34"/>
  <c r="O936" i="34"/>
  <c r="W936" i="34"/>
  <c r="P936" i="34"/>
  <c r="Q936" i="34"/>
  <c r="U936" i="34"/>
  <c r="Z936" i="34"/>
  <c r="A936" i="34"/>
  <c r="O932" i="34"/>
  <c r="W932" i="34"/>
  <c r="P932" i="34"/>
  <c r="Q932" i="34"/>
  <c r="U932" i="34"/>
  <c r="Z932" i="34"/>
  <c r="A932" i="34"/>
  <c r="O928" i="34"/>
  <c r="W928" i="34"/>
  <c r="P928" i="34"/>
  <c r="Q928" i="34"/>
  <c r="U928" i="34"/>
  <c r="Z928" i="34"/>
  <c r="A928" i="34"/>
  <c r="O924" i="34"/>
  <c r="W924" i="34"/>
  <c r="P924" i="34"/>
  <c r="Q924" i="34"/>
  <c r="U924" i="34"/>
  <c r="Z924" i="34"/>
  <c r="A924" i="34"/>
  <c r="O920" i="34"/>
  <c r="W920" i="34"/>
  <c r="P920" i="34"/>
  <c r="Q920" i="34"/>
  <c r="U920" i="34"/>
  <c r="Z920" i="34"/>
  <c r="A920" i="34"/>
  <c r="O916" i="34"/>
  <c r="W916" i="34"/>
  <c r="P916" i="34"/>
  <c r="Q916" i="34"/>
  <c r="U916" i="34"/>
  <c r="Z916" i="34"/>
  <c r="A916" i="34"/>
  <c r="O912" i="34"/>
  <c r="W912" i="34"/>
  <c r="P912" i="34"/>
  <c r="Q912" i="34"/>
  <c r="U912" i="34"/>
  <c r="Z912" i="34"/>
  <c r="A912" i="34"/>
  <c r="O908" i="34"/>
  <c r="W908" i="34"/>
  <c r="P908" i="34"/>
  <c r="Q908" i="34"/>
  <c r="U908" i="34"/>
  <c r="Z908" i="34"/>
  <c r="A908" i="34"/>
  <c r="O904" i="34"/>
  <c r="W904" i="34"/>
  <c r="P904" i="34"/>
  <c r="Q904" i="34"/>
  <c r="U904" i="34"/>
  <c r="Z904" i="34"/>
  <c r="A904" i="34"/>
  <c r="O900" i="34"/>
  <c r="W900" i="34"/>
  <c r="P900" i="34"/>
  <c r="Q900" i="34"/>
  <c r="U900" i="34"/>
  <c r="Z900" i="34"/>
  <c r="A900" i="34"/>
  <c r="O896" i="34"/>
  <c r="W896" i="34"/>
  <c r="P896" i="34"/>
  <c r="Q896" i="34"/>
  <c r="U896" i="34"/>
  <c r="Z896" i="34"/>
  <c r="A896" i="34"/>
  <c r="O892" i="34"/>
  <c r="W892" i="34"/>
  <c r="P892" i="34"/>
  <c r="Q892" i="34"/>
  <c r="U892" i="34"/>
  <c r="Z892" i="34"/>
  <c r="A892" i="34"/>
  <c r="O888" i="34"/>
  <c r="W888" i="34"/>
  <c r="P888" i="34"/>
  <c r="Q888" i="34"/>
  <c r="U888" i="34"/>
  <c r="Z888" i="34"/>
  <c r="A888" i="34"/>
  <c r="O884" i="34"/>
  <c r="W884" i="34"/>
  <c r="P884" i="34"/>
  <c r="Q884" i="34"/>
  <c r="U884" i="34"/>
  <c r="Z884" i="34"/>
  <c r="A884" i="34"/>
  <c r="O880" i="34"/>
  <c r="W880" i="34"/>
  <c r="P880" i="34"/>
  <c r="Q880" i="34"/>
  <c r="U880" i="34"/>
  <c r="Z880" i="34"/>
  <c r="A880" i="34"/>
  <c r="O876" i="34"/>
  <c r="W876" i="34"/>
  <c r="P876" i="34"/>
  <c r="Q876" i="34"/>
  <c r="U876" i="34"/>
  <c r="Z876" i="34"/>
  <c r="A876" i="34"/>
  <c r="O872" i="34"/>
  <c r="W872" i="34"/>
  <c r="P872" i="34"/>
  <c r="Q872" i="34"/>
  <c r="U872" i="34"/>
  <c r="Z872" i="34"/>
  <c r="A872" i="34"/>
  <c r="O868" i="34"/>
  <c r="W868" i="34"/>
  <c r="P868" i="34"/>
  <c r="Q868" i="34"/>
  <c r="U868" i="34"/>
  <c r="Z868" i="34"/>
  <c r="A868" i="34"/>
  <c r="O864" i="34"/>
  <c r="W864" i="34"/>
  <c r="P864" i="34"/>
  <c r="Q864" i="34"/>
  <c r="U864" i="34"/>
  <c r="Z864" i="34"/>
  <c r="A864" i="34"/>
  <c r="O860" i="34"/>
  <c r="W860" i="34"/>
  <c r="P860" i="34"/>
  <c r="Q860" i="34"/>
  <c r="U860" i="34"/>
  <c r="Z860" i="34"/>
  <c r="A860" i="34"/>
  <c r="O856" i="34"/>
  <c r="W856" i="34"/>
  <c r="P856" i="34"/>
  <c r="Q856" i="34"/>
  <c r="U856" i="34"/>
  <c r="Z856" i="34"/>
  <c r="A856" i="34"/>
  <c r="O852" i="34"/>
  <c r="W852" i="34"/>
  <c r="P852" i="34"/>
  <c r="Q852" i="34"/>
  <c r="U852" i="34"/>
  <c r="Z852" i="34"/>
  <c r="A852" i="34"/>
  <c r="O848" i="34"/>
  <c r="W848" i="34"/>
  <c r="P848" i="34"/>
  <c r="Q848" i="34"/>
  <c r="U848" i="34"/>
  <c r="Z848" i="34"/>
  <c r="A848" i="34"/>
  <c r="O844" i="34"/>
  <c r="W844" i="34"/>
  <c r="P844" i="34"/>
  <c r="Q844" i="34"/>
  <c r="U844" i="34"/>
  <c r="Z844" i="34"/>
  <c r="A844" i="34"/>
  <c r="P963" i="34"/>
  <c r="Q963" i="34"/>
  <c r="U963" i="34"/>
  <c r="Z963" i="34"/>
  <c r="O963" i="34"/>
  <c r="W963" i="34"/>
  <c r="A963" i="34"/>
  <c r="P959" i="34"/>
  <c r="Q959" i="34"/>
  <c r="U959" i="34"/>
  <c r="Z959" i="34"/>
  <c r="O959" i="34"/>
  <c r="W959" i="34"/>
  <c r="A959" i="34"/>
  <c r="P955" i="34"/>
  <c r="Q955" i="34"/>
  <c r="U955" i="34"/>
  <c r="Z955" i="34"/>
  <c r="O955" i="34"/>
  <c r="W955" i="34"/>
  <c r="A955" i="34"/>
  <c r="P951" i="34"/>
  <c r="Q951" i="34"/>
  <c r="U951" i="34"/>
  <c r="Z951" i="34"/>
  <c r="O951" i="34"/>
  <c r="W951" i="34"/>
  <c r="A951" i="34"/>
  <c r="P947" i="34"/>
  <c r="Q947" i="34"/>
  <c r="U947" i="34"/>
  <c r="Z947" i="34"/>
  <c r="O947" i="34"/>
  <c r="W947" i="34"/>
  <c r="A947" i="34"/>
  <c r="P943" i="34"/>
  <c r="Q943" i="34"/>
  <c r="U943" i="34"/>
  <c r="Z943" i="34"/>
  <c r="O943" i="34"/>
  <c r="W943" i="34"/>
  <c r="A943" i="34"/>
  <c r="P939" i="34"/>
  <c r="Q939" i="34"/>
  <c r="U939" i="34"/>
  <c r="Z939" i="34"/>
  <c r="O939" i="34"/>
  <c r="W939" i="34"/>
  <c r="A939" i="34"/>
  <c r="P935" i="34"/>
  <c r="Q935" i="34"/>
  <c r="U935" i="34"/>
  <c r="Z935" i="34"/>
  <c r="O935" i="34"/>
  <c r="W935" i="34"/>
  <c r="A935" i="34"/>
  <c r="P931" i="34"/>
  <c r="Q931" i="34"/>
  <c r="U931" i="34"/>
  <c r="Z931" i="34"/>
  <c r="O931" i="34"/>
  <c r="W931" i="34"/>
  <c r="A931" i="34"/>
  <c r="P927" i="34"/>
  <c r="Q927" i="34"/>
  <c r="U927" i="34"/>
  <c r="Z927" i="34"/>
  <c r="O927" i="34"/>
  <c r="W927" i="34"/>
  <c r="A927" i="34"/>
  <c r="P923" i="34"/>
  <c r="Q923" i="34"/>
  <c r="U923" i="34"/>
  <c r="Z923" i="34"/>
  <c r="O923" i="34"/>
  <c r="W923" i="34"/>
  <c r="A923" i="34"/>
  <c r="P919" i="34"/>
  <c r="Q919" i="34"/>
  <c r="U919" i="34"/>
  <c r="Z919" i="34"/>
  <c r="O919" i="34"/>
  <c r="W919" i="34"/>
  <c r="A919" i="34"/>
  <c r="P915" i="34"/>
  <c r="Q915" i="34"/>
  <c r="U915" i="34"/>
  <c r="Z915" i="34"/>
  <c r="O915" i="34"/>
  <c r="W915" i="34"/>
  <c r="A915" i="34"/>
  <c r="P911" i="34"/>
  <c r="Q911" i="34"/>
  <c r="U911" i="34"/>
  <c r="Z911" i="34"/>
  <c r="O911" i="34"/>
  <c r="W911" i="34"/>
  <c r="A911" i="34"/>
  <c r="P907" i="34"/>
  <c r="Q907" i="34"/>
  <c r="U907" i="34"/>
  <c r="Z907" i="34"/>
  <c r="O907" i="34"/>
  <c r="W907" i="34"/>
  <c r="A907" i="34"/>
  <c r="P903" i="34"/>
  <c r="Q903" i="34"/>
  <c r="U903" i="34"/>
  <c r="Z903" i="34"/>
  <c r="O903" i="34"/>
  <c r="W903" i="34"/>
  <c r="A903" i="34"/>
  <c r="P899" i="34"/>
  <c r="Q899" i="34"/>
  <c r="U899" i="34"/>
  <c r="Z899" i="34"/>
  <c r="O899" i="34"/>
  <c r="W899" i="34"/>
  <c r="A899" i="34"/>
  <c r="P895" i="34"/>
  <c r="Q895" i="34"/>
  <c r="U895" i="34"/>
  <c r="Z895" i="34"/>
  <c r="O895" i="34"/>
  <c r="W895" i="34"/>
  <c r="A895" i="34"/>
  <c r="P891" i="34"/>
  <c r="Q891" i="34"/>
  <c r="U891" i="34"/>
  <c r="Z891" i="34"/>
  <c r="O891" i="34"/>
  <c r="W891" i="34"/>
  <c r="A891" i="34"/>
  <c r="P887" i="34"/>
  <c r="Q887" i="34"/>
  <c r="U887" i="34"/>
  <c r="Z887" i="34"/>
  <c r="O887" i="34"/>
  <c r="W887" i="34"/>
  <c r="A887" i="34"/>
  <c r="P883" i="34"/>
  <c r="Q883" i="34"/>
  <c r="U883" i="34"/>
  <c r="Z883" i="34"/>
  <c r="O883" i="34"/>
  <c r="W883" i="34"/>
  <c r="A883" i="34"/>
  <c r="P879" i="34"/>
  <c r="Q879" i="34"/>
  <c r="U879" i="34"/>
  <c r="Z879" i="34"/>
  <c r="O879" i="34"/>
  <c r="W879" i="34"/>
  <c r="A879" i="34"/>
  <c r="P875" i="34"/>
  <c r="Q875" i="34"/>
  <c r="U875" i="34"/>
  <c r="Z875" i="34"/>
  <c r="O875" i="34"/>
  <c r="W875" i="34"/>
  <c r="A875" i="34"/>
  <c r="P871" i="34"/>
  <c r="Q871" i="34"/>
  <c r="U871" i="34"/>
  <c r="Z871" i="34"/>
  <c r="O871" i="34"/>
  <c r="W871" i="34"/>
  <c r="A871" i="34"/>
  <c r="P867" i="34"/>
  <c r="Q867" i="34"/>
  <c r="U867" i="34"/>
  <c r="Z867" i="34"/>
  <c r="O867" i="34"/>
  <c r="W867" i="34"/>
  <c r="A867" i="34"/>
  <c r="P863" i="34"/>
  <c r="Q863" i="34"/>
  <c r="U863" i="34"/>
  <c r="Z863" i="34"/>
  <c r="O863" i="34"/>
  <c r="W863" i="34"/>
  <c r="A863" i="34"/>
  <c r="P859" i="34"/>
  <c r="Q859" i="34"/>
  <c r="U859" i="34"/>
  <c r="Z859" i="34"/>
  <c r="O859" i="34"/>
  <c r="W859" i="34"/>
  <c r="A859" i="34"/>
  <c r="P855" i="34"/>
  <c r="Q855" i="34"/>
  <c r="U855" i="34"/>
  <c r="Z855" i="34"/>
  <c r="O855" i="34"/>
  <c r="W855" i="34"/>
  <c r="A855" i="34"/>
  <c r="P851" i="34"/>
  <c r="Q851" i="34"/>
  <c r="U851" i="34"/>
  <c r="Z851" i="34"/>
  <c r="O851" i="34"/>
  <c r="W851" i="34"/>
  <c r="A851" i="34"/>
  <c r="P847" i="34"/>
  <c r="Q847" i="34"/>
  <c r="U847" i="34"/>
  <c r="Z847" i="34"/>
  <c r="O847" i="34"/>
  <c r="W847" i="34"/>
  <c r="A847" i="34"/>
  <c r="P843" i="34"/>
  <c r="Q843" i="34"/>
  <c r="U843" i="34"/>
  <c r="Z843" i="34"/>
  <c r="O843" i="34"/>
  <c r="W843" i="34"/>
  <c r="A843" i="34"/>
  <c r="O964" i="34"/>
  <c r="W964" i="34"/>
  <c r="P964" i="34"/>
  <c r="Q964" i="34"/>
  <c r="U964" i="34"/>
  <c r="Z964" i="34"/>
  <c r="A964" i="34"/>
  <c r="Q962" i="34"/>
  <c r="U962" i="34"/>
  <c r="Z962" i="34"/>
  <c r="O962" i="34"/>
  <c r="W962" i="34"/>
  <c r="P962" i="34"/>
  <c r="A962" i="34"/>
  <c r="Q958" i="34"/>
  <c r="U958" i="34"/>
  <c r="Z958" i="34"/>
  <c r="O958" i="34"/>
  <c r="W958" i="34"/>
  <c r="P958" i="34"/>
  <c r="A958" i="34"/>
  <c r="Q954" i="34"/>
  <c r="U954" i="34"/>
  <c r="Z954" i="34"/>
  <c r="O954" i="34"/>
  <c r="W954" i="34"/>
  <c r="P954" i="34"/>
  <c r="A954" i="34"/>
  <c r="Q950" i="34"/>
  <c r="U950" i="34"/>
  <c r="Z950" i="34"/>
  <c r="O950" i="34"/>
  <c r="W950" i="34"/>
  <c r="P950" i="34"/>
  <c r="A950" i="34"/>
  <c r="Q946" i="34"/>
  <c r="U946" i="34"/>
  <c r="Z946" i="34"/>
  <c r="O946" i="34"/>
  <c r="W946" i="34"/>
  <c r="P946" i="34"/>
  <c r="A946" i="34"/>
  <c r="Q942" i="34"/>
  <c r="U942" i="34"/>
  <c r="Z942" i="34"/>
  <c r="O942" i="34"/>
  <c r="W942" i="34"/>
  <c r="P942" i="34"/>
  <c r="A942" i="34"/>
  <c r="Q938" i="34"/>
  <c r="U938" i="34"/>
  <c r="Z938" i="34"/>
  <c r="O938" i="34"/>
  <c r="W938" i="34"/>
  <c r="P938" i="34"/>
  <c r="A938" i="34"/>
  <c r="Q934" i="34"/>
  <c r="U934" i="34"/>
  <c r="Z934" i="34"/>
  <c r="O934" i="34"/>
  <c r="W934" i="34"/>
  <c r="P934" i="34"/>
  <c r="A934" i="34"/>
  <c r="Q930" i="34"/>
  <c r="U930" i="34"/>
  <c r="Z930" i="34"/>
  <c r="O930" i="34"/>
  <c r="W930" i="34"/>
  <c r="P930" i="34"/>
  <c r="A930" i="34"/>
  <c r="Q926" i="34"/>
  <c r="U926" i="34"/>
  <c r="Z926" i="34"/>
  <c r="O926" i="34"/>
  <c r="W926" i="34"/>
  <c r="P926" i="34"/>
  <c r="A926" i="34"/>
  <c r="Q922" i="34"/>
  <c r="U922" i="34"/>
  <c r="Z922" i="34"/>
  <c r="O922" i="34"/>
  <c r="W922" i="34"/>
  <c r="P922" i="34"/>
  <c r="A922" i="34"/>
  <c r="Q918" i="34"/>
  <c r="U918" i="34"/>
  <c r="Z918" i="34"/>
  <c r="O918" i="34"/>
  <c r="W918" i="34"/>
  <c r="P918" i="34"/>
  <c r="A918" i="34"/>
  <c r="Q914" i="34"/>
  <c r="U914" i="34"/>
  <c r="Z914" i="34"/>
  <c r="O914" i="34"/>
  <c r="W914" i="34"/>
  <c r="P914" i="34"/>
  <c r="A914" i="34"/>
  <c r="Q910" i="34"/>
  <c r="U910" i="34"/>
  <c r="Z910" i="34"/>
  <c r="O910" i="34"/>
  <c r="W910" i="34"/>
  <c r="P910" i="34"/>
  <c r="A910" i="34"/>
  <c r="Q906" i="34"/>
  <c r="U906" i="34"/>
  <c r="Z906" i="34"/>
  <c r="O906" i="34"/>
  <c r="W906" i="34"/>
  <c r="P906" i="34"/>
  <c r="A906" i="34"/>
  <c r="Q902" i="34"/>
  <c r="U902" i="34"/>
  <c r="Z902" i="34"/>
  <c r="O902" i="34"/>
  <c r="W902" i="34"/>
  <c r="P902" i="34"/>
  <c r="A902" i="34"/>
  <c r="Q898" i="34"/>
  <c r="U898" i="34"/>
  <c r="Z898" i="34"/>
  <c r="O898" i="34"/>
  <c r="W898" i="34"/>
  <c r="P898" i="34"/>
  <c r="A898" i="34"/>
  <c r="Q894" i="34"/>
  <c r="U894" i="34"/>
  <c r="Z894" i="34"/>
  <c r="O894" i="34"/>
  <c r="W894" i="34"/>
  <c r="P894" i="34"/>
  <c r="A894" i="34"/>
  <c r="Q890" i="34"/>
  <c r="U890" i="34"/>
  <c r="Z890" i="34"/>
  <c r="O890" i="34"/>
  <c r="W890" i="34"/>
  <c r="P890" i="34"/>
  <c r="A890" i="34"/>
  <c r="Q886" i="34"/>
  <c r="U886" i="34"/>
  <c r="Z886" i="34"/>
  <c r="O886" i="34"/>
  <c r="W886" i="34"/>
  <c r="P886" i="34"/>
  <c r="A886" i="34"/>
  <c r="Q882" i="34"/>
  <c r="U882" i="34"/>
  <c r="Z882" i="34"/>
  <c r="O882" i="34"/>
  <c r="W882" i="34"/>
  <c r="P882" i="34"/>
  <c r="A882" i="34"/>
  <c r="Q878" i="34"/>
  <c r="U878" i="34"/>
  <c r="Z878" i="34"/>
  <c r="O878" i="34"/>
  <c r="W878" i="34"/>
  <c r="P878" i="34"/>
  <c r="A878" i="34"/>
  <c r="Q874" i="34"/>
  <c r="U874" i="34"/>
  <c r="Z874" i="34"/>
  <c r="O874" i="34"/>
  <c r="W874" i="34"/>
  <c r="P874" i="34"/>
  <c r="A874" i="34"/>
  <c r="Q870" i="34"/>
  <c r="U870" i="34"/>
  <c r="Z870" i="34"/>
  <c r="O870" i="34"/>
  <c r="W870" i="34"/>
  <c r="P870" i="34"/>
  <c r="A870" i="34"/>
  <c r="Q866" i="34"/>
  <c r="U866" i="34"/>
  <c r="Z866" i="34"/>
  <c r="O866" i="34"/>
  <c r="W866" i="34"/>
  <c r="P866" i="34"/>
  <c r="A866" i="34"/>
  <c r="Q862" i="34"/>
  <c r="U862" i="34"/>
  <c r="Z862" i="34"/>
  <c r="O862" i="34"/>
  <c r="W862" i="34"/>
  <c r="P862" i="34"/>
  <c r="A862" i="34"/>
  <c r="Q858" i="34"/>
  <c r="U858" i="34"/>
  <c r="Z858" i="34"/>
  <c r="O858" i="34"/>
  <c r="W858" i="34"/>
  <c r="P858" i="34"/>
  <c r="A858" i="34"/>
  <c r="Q854" i="34"/>
  <c r="U854" i="34"/>
  <c r="Z854" i="34"/>
  <c r="O854" i="34"/>
  <c r="W854" i="34"/>
  <c r="P854" i="34"/>
  <c r="A854" i="34"/>
  <c r="Q850" i="34"/>
  <c r="U850" i="34"/>
  <c r="Z850" i="34"/>
  <c r="O850" i="34"/>
  <c r="W850" i="34"/>
  <c r="P850" i="34"/>
  <c r="A850" i="34"/>
  <c r="Q846" i="34"/>
  <c r="U846" i="34"/>
  <c r="Z846" i="34"/>
  <c r="O846" i="34"/>
  <c r="W846" i="34"/>
  <c r="P846" i="34"/>
  <c r="A846" i="34"/>
  <c r="Q842" i="34"/>
  <c r="U842" i="34"/>
  <c r="Z842" i="34"/>
  <c r="O842" i="34"/>
  <c r="W842" i="34"/>
  <c r="P842" i="34"/>
  <c r="A842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027" i="34"/>
  <c r="K1026" i="34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C1103" i="34"/>
  <c r="B1103" i="34" s="1"/>
  <c r="C1104" i="34"/>
  <c r="B1104" i="34" s="1"/>
  <c r="C1105" i="34"/>
  <c r="B1105" i="34" s="1"/>
  <c r="C1106" i="34"/>
  <c r="B1106" i="34" s="1"/>
  <c r="C1107" i="34"/>
  <c r="B1107" i="34" s="1"/>
  <c r="C1108" i="34"/>
  <c r="B1108" i="34" s="1"/>
  <c r="C1109" i="34"/>
  <c r="B1109" i="34" s="1"/>
  <c r="C1110" i="34"/>
  <c r="B1110" i="34" s="1"/>
  <c r="C1111" i="34"/>
  <c r="B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1147" i="34"/>
  <c r="B1147" i="34" s="1"/>
  <c r="C1148" i="34"/>
  <c r="B1148" i="34" s="1"/>
  <c r="C1149" i="34"/>
  <c r="B1149" i="34" s="1"/>
  <c r="C1150" i="34"/>
  <c r="B1150" i="34" s="1"/>
  <c r="C1151" i="34"/>
  <c r="B1151" i="34" s="1"/>
  <c r="C1152" i="34"/>
  <c r="B1152" i="34" s="1"/>
  <c r="C1153" i="34"/>
  <c r="B1153" i="34" s="1"/>
  <c r="C1154" i="34"/>
  <c r="B1154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00" i="34"/>
  <c r="K999" i="34"/>
  <c r="K971" i="34"/>
  <c r="K972" i="34"/>
  <c r="K973" i="34"/>
  <c r="K974" i="34"/>
  <c r="K975" i="34"/>
  <c r="K976" i="34"/>
  <c r="K977" i="34"/>
  <c r="K978" i="34"/>
  <c r="K970" i="34"/>
  <c r="K969" i="34"/>
  <c r="C979" i="34"/>
  <c r="B979" i="34" s="1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1013" i="34"/>
  <c r="B1013" i="34" s="1"/>
  <c r="Z1013" i="34" l="1"/>
  <c r="O1013" i="34"/>
  <c r="W1013" i="34"/>
  <c r="P1013" i="34"/>
  <c r="Q1013" i="34"/>
  <c r="U1013" i="34"/>
  <c r="A1013" i="34"/>
  <c r="P975" i="34"/>
  <c r="Q975" i="34"/>
  <c r="U975" i="34"/>
  <c r="O975" i="34"/>
  <c r="W975" i="34"/>
  <c r="Z975" i="34"/>
  <c r="A975" i="34"/>
  <c r="P971" i="34"/>
  <c r="Q971" i="34"/>
  <c r="U971" i="34"/>
  <c r="Z971" i="34"/>
  <c r="O971" i="34"/>
  <c r="W971" i="34"/>
  <c r="A971" i="34"/>
  <c r="O1012" i="34"/>
  <c r="W1012" i="34"/>
  <c r="P1012" i="34"/>
  <c r="Q1012" i="34"/>
  <c r="U1012" i="34"/>
  <c r="Z1012" i="34"/>
  <c r="A1012" i="34"/>
  <c r="O1008" i="34"/>
  <c r="W1008" i="34"/>
  <c r="P1008" i="34"/>
  <c r="Q1008" i="34"/>
  <c r="U1008" i="34"/>
  <c r="Z1008" i="34"/>
  <c r="A1008" i="34"/>
  <c r="P1004" i="34"/>
  <c r="Z1004" i="34"/>
  <c r="W1004" i="34"/>
  <c r="O1004" i="34"/>
  <c r="Q1004" i="34"/>
  <c r="U1004" i="34"/>
  <c r="A1004" i="34"/>
  <c r="P1000" i="34"/>
  <c r="Z1000" i="34"/>
  <c r="W1000" i="34"/>
  <c r="O1000" i="34"/>
  <c r="Q1000" i="34"/>
  <c r="U1000" i="34"/>
  <c r="A1000" i="34"/>
  <c r="O1152" i="34"/>
  <c r="W1152" i="34"/>
  <c r="P1152" i="34"/>
  <c r="Q1152" i="34"/>
  <c r="U1152" i="34"/>
  <c r="Z1152" i="34"/>
  <c r="A1152" i="34"/>
  <c r="O1148" i="34"/>
  <c r="W1148" i="34"/>
  <c r="P1148" i="34"/>
  <c r="Q1148" i="34"/>
  <c r="U1148" i="34"/>
  <c r="Z1148" i="34"/>
  <c r="A1148" i="34"/>
  <c r="O1144" i="34"/>
  <c r="W1144" i="34"/>
  <c r="P1144" i="34"/>
  <c r="Q1144" i="34"/>
  <c r="U1144" i="34"/>
  <c r="Z1144" i="34"/>
  <c r="A1144" i="34"/>
  <c r="O1140" i="34"/>
  <c r="W1140" i="34"/>
  <c r="P1140" i="34"/>
  <c r="Q1140" i="34"/>
  <c r="U1140" i="34"/>
  <c r="Z1140" i="34"/>
  <c r="A1140" i="34"/>
  <c r="O1136" i="34"/>
  <c r="W1136" i="34"/>
  <c r="P1136" i="34"/>
  <c r="Q1136" i="34"/>
  <c r="U1136" i="34"/>
  <c r="Z1136" i="34"/>
  <c r="A1136" i="34"/>
  <c r="O1132" i="34"/>
  <c r="W1132" i="34"/>
  <c r="P1132" i="34"/>
  <c r="Q1132" i="34"/>
  <c r="U1132" i="34"/>
  <c r="Z1132" i="34"/>
  <c r="A1132" i="34"/>
  <c r="O1128" i="34"/>
  <c r="W1128" i="34"/>
  <c r="P1128" i="34"/>
  <c r="Q1128" i="34"/>
  <c r="U1128" i="34"/>
  <c r="Z1128" i="34"/>
  <c r="A1128" i="34"/>
  <c r="O1124" i="34"/>
  <c r="W1124" i="34"/>
  <c r="P1124" i="34"/>
  <c r="Q1124" i="34"/>
  <c r="U1124" i="34"/>
  <c r="Z1124" i="34"/>
  <c r="A1124" i="34"/>
  <c r="O1120" i="34"/>
  <c r="W1120" i="34"/>
  <c r="P1120" i="34"/>
  <c r="Q1120" i="34"/>
  <c r="U1120" i="34"/>
  <c r="Z1120" i="34"/>
  <c r="A1120" i="34"/>
  <c r="O1116" i="34"/>
  <c r="W1116" i="34"/>
  <c r="P1116" i="34"/>
  <c r="Q1116" i="34"/>
  <c r="U1116" i="34"/>
  <c r="Z1116" i="34"/>
  <c r="A1116" i="34"/>
  <c r="O1112" i="34"/>
  <c r="W1112" i="34"/>
  <c r="P1112" i="34"/>
  <c r="Q1112" i="34"/>
  <c r="U1112" i="34"/>
  <c r="Z1112" i="34"/>
  <c r="A1112" i="34"/>
  <c r="O1108" i="34"/>
  <c r="W1108" i="34"/>
  <c r="P1108" i="34"/>
  <c r="Q1108" i="34"/>
  <c r="U1108" i="34"/>
  <c r="Z1108" i="34"/>
  <c r="A1108" i="34"/>
  <c r="O1104" i="34"/>
  <c r="W1104" i="34"/>
  <c r="P1104" i="34"/>
  <c r="Q1104" i="34"/>
  <c r="U1104" i="34"/>
  <c r="Z1104" i="34"/>
  <c r="A1104" i="34"/>
  <c r="O1100" i="34"/>
  <c r="W1100" i="34"/>
  <c r="P1100" i="34"/>
  <c r="Q1100" i="34"/>
  <c r="U1100" i="34"/>
  <c r="Z1100" i="34"/>
  <c r="A1100" i="34"/>
  <c r="O1096" i="34"/>
  <c r="W1096" i="34"/>
  <c r="P1096" i="34"/>
  <c r="Q1096" i="34"/>
  <c r="U1096" i="34"/>
  <c r="Z1096" i="34"/>
  <c r="A1096" i="34"/>
  <c r="O1092" i="34"/>
  <c r="W1092" i="34"/>
  <c r="P1092" i="34"/>
  <c r="Q1092" i="34"/>
  <c r="U1092" i="34"/>
  <c r="Z1092" i="34"/>
  <c r="A1092" i="34"/>
  <c r="O1088" i="34"/>
  <c r="W1088" i="34"/>
  <c r="P1088" i="34"/>
  <c r="Q1088" i="34"/>
  <c r="U1088" i="34"/>
  <c r="Z1088" i="34"/>
  <c r="A1088" i="34"/>
  <c r="O1084" i="34"/>
  <c r="W1084" i="34"/>
  <c r="P1084" i="34"/>
  <c r="Q1084" i="34"/>
  <c r="U1084" i="34"/>
  <c r="Z1084" i="34"/>
  <c r="A1084" i="34"/>
  <c r="O1080" i="34"/>
  <c r="W1080" i="34"/>
  <c r="P1080" i="34"/>
  <c r="Q1080" i="34"/>
  <c r="U1080" i="34"/>
  <c r="Z1080" i="34"/>
  <c r="A1080" i="34"/>
  <c r="O1076" i="34"/>
  <c r="W1076" i="34"/>
  <c r="P1076" i="34"/>
  <c r="Q1076" i="34"/>
  <c r="U1076" i="34"/>
  <c r="Z1076" i="34"/>
  <c r="A1076" i="34"/>
  <c r="O1072" i="34"/>
  <c r="W1072" i="34"/>
  <c r="P1072" i="34"/>
  <c r="Q1072" i="34"/>
  <c r="U1072" i="34"/>
  <c r="Z1072" i="34"/>
  <c r="A1072" i="34"/>
  <c r="O1068" i="34"/>
  <c r="W1068" i="34"/>
  <c r="P1068" i="34"/>
  <c r="Q1068" i="34"/>
  <c r="U1068" i="34"/>
  <c r="Z1068" i="34"/>
  <c r="A1068" i="34"/>
  <c r="O1064" i="34"/>
  <c r="W1064" i="34"/>
  <c r="P1064" i="34"/>
  <c r="Q1064" i="34"/>
  <c r="U1064" i="34"/>
  <c r="Z1064" i="34"/>
  <c r="A1064" i="34"/>
  <c r="O1060" i="34"/>
  <c r="W1060" i="34"/>
  <c r="P1060" i="34"/>
  <c r="Q1060" i="34"/>
  <c r="U1060" i="34"/>
  <c r="Z1060" i="34"/>
  <c r="A1060" i="34"/>
  <c r="O1056" i="34"/>
  <c r="W1056" i="34"/>
  <c r="P1056" i="34"/>
  <c r="Q1056" i="34"/>
  <c r="U1056" i="34"/>
  <c r="Z1056" i="34"/>
  <c r="A1056" i="34"/>
  <c r="O1052" i="34"/>
  <c r="W1052" i="34"/>
  <c r="P1052" i="34"/>
  <c r="Q1052" i="34"/>
  <c r="U1052" i="34"/>
  <c r="Z1052" i="34"/>
  <c r="A1052" i="34"/>
  <c r="O1048" i="34"/>
  <c r="W1048" i="34"/>
  <c r="P1048" i="34"/>
  <c r="Q1048" i="34"/>
  <c r="U1048" i="34"/>
  <c r="Z1048" i="34"/>
  <c r="A1048" i="34"/>
  <c r="O1044" i="34"/>
  <c r="W1044" i="34"/>
  <c r="P1044" i="34"/>
  <c r="Q1044" i="34"/>
  <c r="U1044" i="34"/>
  <c r="Z1044" i="34"/>
  <c r="A1044" i="34"/>
  <c r="O1040" i="34"/>
  <c r="W1040" i="34"/>
  <c r="P1040" i="34"/>
  <c r="Q1040" i="34"/>
  <c r="U1040" i="34"/>
  <c r="Z1040" i="34"/>
  <c r="A1040" i="34"/>
  <c r="O1036" i="34"/>
  <c r="W1036" i="34"/>
  <c r="P1036" i="34"/>
  <c r="Q1036" i="34"/>
  <c r="U1036" i="34"/>
  <c r="Z1036" i="34"/>
  <c r="A1036" i="34"/>
  <c r="O1032" i="34"/>
  <c r="W1032" i="34"/>
  <c r="P1032" i="34"/>
  <c r="Q1032" i="34"/>
  <c r="U1032" i="34"/>
  <c r="Z1032" i="34"/>
  <c r="A1032" i="34"/>
  <c r="O1028" i="34"/>
  <c r="W1028" i="34"/>
  <c r="P1028" i="34"/>
  <c r="Q1028" i="34"/>
  <c r="U1028" i="34"/>
  <c r="Z1028" i="34"/>
  <c r="A1028" i="34"/>
  <c r="Q978" i="34"/>
  <c r="U978" i="34"/>
  <c r="Z978" i="34"/>
  <c r="P978" i="34"/>
  <c r="W978" i="34"/>
  <c r="O978" i="34"/>
  <c r="A978" i="34"/>
  <c r="Q974" i="34"/>
  <c r="U974" i="34"/>
  <c r="Z974" i="34"/>
  <c r="O974" i="34"/>
  <c r="W974" i="34"/>
  <c r="P974" i="34"/>
  <c r="A974" i="34"/>
  <c r="Q970" i="34"/>
  <c r="U970" i="34"/>
  <c r="Z970" i="34"/>
  <c r="O970" i="34"/>
  <c r="W970" i="34"/>
  <c r="P970" i="34"/>
  <c r="A970" i="34"/>
  <c r="P1011" i="34"/>
  <c r="Q1011" i="34"/>
  <c r="U1011" i="34"/>
  <c r="Z1011" i="34"/>
  <c r="O1011" i="34"/>
  <c r="W1011" i="34"/>
  <c r="A1011" i="34"/>
  <c r="P1007" i="34"/>
  <c r="Q1007" i="34"/>
  <c r="U1007" i="34"/>
  <c r="Z1007" i="34"/>
  <c r="O1007" i="34"/>
  <c r="W1007" i="34"/>
  <c r="A1007" i="34"/>
  <c r="Q1003" i="34"/>
  <c r="U1003" i="34"/>
  <c r="O1003" i="34"/>
  <c r="W1003" i="34"/>
  <c r="Z1003" i="34"/>
  <c r="P1003" i="34"/>
  <c r="A1003" i="34"/>
  <c r="Q999" i="34"/>
  <c r="U999" i="34"/>
  <c r="O999" i="34"/>
  <c r="W999" i="34"/>
  <c r="Z999" i="34"/>
  <c r="P999" i="34"/>
  <c r="A999" i="34"/>
  <c r="P1151" i="34"/>
  <c r="Q1151" i="34"/>
  <c r="U1151" i="34"/>
  <c r="Z1151" i="34"/>
  <c r="O1151" i="34"/>
  <c r="W1151" i="34"/>
  <c r="A1151" i="34"/>
  <c r="P1147" i="34"/>
  <c r="Q1147" i="34"/>
  <c r="U1147" i="34"/>
  <c r="Z1147" i="34"/>
  <c r="O1147" i="34"/>
  <c r="W1147" i="34"/>
  <c r="A1147" i="34"/>
  <c r="P1143" i="34"/>
  <c r="Q1143" i="34"/>
  <c r="U1143" i="34"/>
  <c r="Z1143" i="34"/>
  <c r="O1143" i="34"/>
  <c r="W1143" i="34"/>
  <c r="A1143" i="34"/>
  <c r="P1139" i="34"/>
  <c r="Q1139" i="34"/>
  <c r="U1139" i="34"/>
  <c r="Z1139" i="34"/>
  <c r="O1139" i="34"/>
  <c r="W1139" i="34"/>
  <c r="A1139" i="34"/>
  <c r="P1135" i="34"/>
  <c r="Q1135" i="34"/>
  <c r="U1135" i="34"/>
  <c r="Z1135" i="34"/>
  <c r="O1135" i="34"/>
  <c r="W1135" i="34"/>
  <c r="A1135" i="34"/>
  <c r="P1131" i="34"/>
  <c r="Q1131" i="34"/>
  <c r="U1131" i="34"/>
  <c r="Z1131" i="34"/>
  <c r="O1131" i="34"/>
  <c r="W1131" i="34"/>
  <c r="A1131" i="34"/>
  <c r="P1127" i="34"/>
  <c r="Q1127" i="34"/>
  <c r="U1127" i="34"/>
  <c r="Z1127" i="34"/>
  <c r="O1127" i="34"/>
  <c r="W1127" i="34"/>
  <c r="A1127" i="34"/>
  <c r="P1123" i="34"/>
  <c r="Q1123" i="34"/>
  <c r="U1123" i="34"/>
  <c r="Z1123" i="34"/>
  <c r="O1123" i="34"/>
  <c r="W1123" i="34"/>
  <c r="A1123" i="34"/>
  <c r="P1119" i="34"/>
  <c r="Q1119" i="34"/>
  <c r="U1119" i="34"/>
  <c r="Z1119" i="34"/>
  <c r="O1119" i="34"/>
  <c r="W1119" i="34"/>
  <c r="A1119" i="34"/>
  <c r="P1115" i="34"/>
  <c r="Q1115" i="34"/>
  <c r="U1115" i="34"/>
  <c r="Z1115" i="34"/>
  <c r="O1115" i="34"/>
  <c r="W1115" i="34"/>
  <c r="A1115" i="34"/>
  <c r="P1111" i="34"/>
  <c r="Q1111" i="34"/>
  <c r="U1111" i="34"/>
  <c r="Z1111" i="34"/>
  <c r="O1111" i="34"/>
  <c r="W1111" i="34"/>
  <c r="A1111" i="34"/>
  <c r="P1107" i="34"/>
  <c r="Q1107" i="34"/>
  <c r="U1107" i="34"/>
  <c r="Z1107" i="34"/>
  <c r="O1107" i="34"/>
  <c r="W1107" i="34"/>
  <c r="A1107" i="34"/>
  <c r="P1103" i="34"/>
  <c r="Q1103" i="34"/>
  <c r="U1103" i="34"/>
  <c r="Z1103" i="34"/>
  <c r="O1103" i="34"/>
  <c r="W1103" i="34"/>
  <c r="A1103" i="34"/>
  <c r="P1099" i="34"/>
  <c r="Q1099" i="34"/>
  <c r="U1099" i="34"/>
  <c r="Z1099" i="34"/>
  <c r="O1099" i="34"/>
  <c r="W1099" i="34"/>
  <c r="A1099" i="34"/>
  <c r="P1095" i="34"/>
  <c r="Q1095" i="34"/>
  <c r="U1095" i="34"/>
  <c r="Z1095" i="34"/>
  <c r="O1095" i="34"/>
  <c r="W1095" i="34"/>
  <c r="A1095" i="34"/>
  <c r="P1091" i="34"/>
  <c r="Q1091" i="34"/>
  <c r="U1091" i="34"/>
  <c r="Z1091" i="34"/>
  <c r="O1091" i="34"/>
  <c r="W1091" i="34"/>
  <c r="A1091" i="34"/>
  <c r="P1087" i="34"/>
  <c r="Q1087" i="34"/>
  <c r="U1087" i="34"/>
  <c r="Z1087" i="34"/>
  <c r="O1087" i="34"/>
  <c r="W1087" i="34"/>
  <c r="A1087" i="34"/>
  <c r="P1083" i="34"/>
  <c r="Q1083" i="34"/>
  <c r="U1083" i="34"/>
  <c r="Z1083" i="34"/>
  <c r="O1083" i="34"/>
  <c r="W1083" i="34"/>
  <c r="A1083" i="34"/>
  <c r="P1079" i="34"/>
  <c r="Q1079" i="34"/>
  <c r="U1079" i="34"/>
  <c r="Z1079" i="34"/>
  <c r="O1079" i="34"/>
  <c r="W1079" i="34"/>
  <c r="A1079" i="34"/>
  <c r="P1075" i="34"/>
  <c r="Q1075" i="34"/>
  <c r="U1075" i="34"/>
  <c r="Z1075" i="34"/>
  <c r="O1075" i="34"/>
  <c r="W1075" i="34"/>
  <c r="A1075" i="34"/>
  <c r="P1071" i="34"/>
  <c r="Q1071" i="34"/>
  <c r="U1071" i="34"/>
  <c r="Z1071" i="34"/>
  <c r="O1071" i="34"/>
  <c r="W1071" i="34"/>
  <c r="A1071" i="34"/>
  <c r="P1067" i="34"/>
  <c r="Q1067" i="34"/>
  <c r="U1067" i="34"/>
  <c r="Z1067" i="34"/>
  <c r="O1067" i="34"/>
  <c r="W1067" i="34"/>
  <c r="A1067" i="34"/>
  <c r="P1063" i="34"/>
  <c r="Q1063" i="34"/>
  <c r="U1063" i="34"/>
  <c r="Z1063" i="34"/>
  <c r="O1063" i="34"/>
  <c r="W1063" i="34"/>
  <c r="A1063" i="34"/>
  <c r="P1059" i="34"/>
  <c r="Q1059" i="34"/>
  <c r="U1059" i="34"/>
  <c r="Z1059" i="34"/>
  <c r="O1059" i="34"/>
  <c r="W1059" i="34"/>
  <c r="A1059" i="34"/>
  <c r="P1055" i="34"/>
  <c r="Q1055" i="34"/>
  <c r="U1055" i="34"/>
  <c r="Z1055" i="34"/>
  <c r="O1055" i="34"/>
  <c r="W1055" i="34"/>
  <c r="A1055" i="34"/>
  <c r="P1051" i="34"/>
  <c r="Q1051" i="34"/>
  <c r="U1051" i="34"/>
  <c r="Z1051" i="34"/>
  <c r="O1051" i="34"/>
  <c r="W1051" i="34"/>
  <c r="A1051" i="34"/>
  <c r="P1047" i="34"/>
  <c r="Q1047" i="34"/>
  <c r="U1047" i="34"/>
  <c r="Z1047" i="34"/>
  <c r="O1047" i="34"/>
  <c r="W1047" i="34"/>
  <c r="A1047" i="34"/>
  <c r="P1043" i="34"/>
  <c r="Q1043" i="34"/>
  <c r="U1043" i="34"/>
  <c r="Z1043" i="34"/>
  <c r="O1043" i="34"/>
  <c r="W1043" i="34"/>
  <c r="A1043" i="34"/>
  <c r="P1039" i="34"/>
  <c r="Q1039" i="34"/>
  <c r="U1039" i="34"/>
  <c r="Z1039" i="34"/>
  <c r="O1039" i="34"/>
  <c r="W1039" i="34"/>
  <c r="A1039" i="34"/>
  <c r="P1035" i="34"/>
  <c r="Q1035" i="34"/>
  <c r="U1035" i="34"/>
  <c r="Z1035" i="34"/>
  <c r="O1035" i="34"/>
  <c r="W1035" i="34"/>
  <c r="A1035" i="34"/>
  <c r="P1031" i="34"/>
  <c r="Q1031" i="34"/>
  <c r="U1031" i="34"/>
  <c r="Z1031" i="34"/>
  <c r="O1031" i="34"/>
  <c r="W1031" i="34"/>
  <c r="A1031" i="34"/>
  <c r="P1027" i="34"/>
  <c r="Q1027" i="34"/>
  <c r="U1027" i="34"/>
  <c r="Z1027" i="34"/>
  <c r="O1027" i="34"/>
  <c r="W1027" i="34"/>
  <c r="A1027" i="34"/>
  <c r="Z977" i="34"/>
  <c r="O977" i="34"/>
  <c r="W977" i="34"/>
  <c r="Q977" i="34"/>
  <c r="U977" i="34"/>
  <c r="P977" i="34"/>
  <c r="A977" i="34"/>
  <c r="Z973" i="34"/>
  <c r="O973" i="34"/>
  <c r="W973" i="34"/>
  <c r="P973" i="34"/>
  <c r="Q973" i="34"/>
  <c r="U973" i="34"/>
  <c r="A973" i="34"/>
  <c r="Z969" i="34"/>
  <c r="O969" i="34"/>
  <c r="W969" i="34"/>
  <c r="P969" i="34"/>
  <c r="Q969" i="34"/>
  <c r="U969" i="34"/>
  <c r="A969" i="34"/>
  <c r="Q1010" i="34"/>
  <c r="U1010" i="34"/>
  <c r="Z1010" i="34"/>
  <c r="O1010" i="34"/>
  <c r="W1010" i="34"/>
  <c r="P1010" i="34"/>
  <c r="A1010" i="34"/>
  <c r="Q1006" i="34"/>
  <c r="U1006" i="34"/>
  <c r="Z1006" i="34"/>
  <c r="O1006" i="34"/>
  <c r="W1006" i="34"/>
  <c r="P1006" i="34"/>
  <c r="A1006" i="34"/>
  <c r="Z1002" i="34"/>
  <c r="P1002" i="34"/>
  <c r="W1002" i="34"/>
  <c r="O1002" i="34"/>
  <c r="Q1002" i="34"/>
  <c r="U1002" i="34"/>
  <c r="A1002" i="34"/>
  <c r="Q1154" i="34"/>
  <c r="U1154" i="34"/>
  <c r="Z1154" i="34"/>
  <c r="O1154" i="34"/>
  <c r="W1154" i="34"/>
  <c r="P1154" i="34"/>
  <c r="A1154" i="34"/>
  <c r="Q1150" i="34"/>
  <c r="U1150" i="34"/>
  <c r="Z1150" i="34"/>
  <c r="O1150" i="34"/>
  <c r="W1150" i="34"/>
  <c r="P1150" i="34"/>
  <c r="A1150" i="34"/>
  <c r="Q1146" i="34"/>
  <c r="U1146" i="34"/>
  <c r="Z1146" i="34"/>
  <c r="O1146" i="34"/>
  <c r="W1146" i="34"/>
  <c r="P1146" i="34"/>
  <c r="A1146" i="34"/>
  <c r="Q1142" i="34"/>
  <c r="U1142" i="34"/>
  <c r="Z1142" i="34"/>
  <c r="O1142" i="34"/>
  <c r="W1142" i="34"/>
  <c r="P1142" i="34"/>
  <c r="A1142" i="34"/>
  <c r="Q1138" i="34"/>
  <c r="U1138" i="34"/>
  <c r="Z1138" i="34"/>
  <c r="O1138" i="34"/>
  <c r="W1138" i="34"/>
  <c r="P1138" i="34"/>
  <c r="A1138" i="34"/>
  <c r="Q1134" i="34"/>
  <c r="U1134" i="34"/>
  <c r="Z1134" i="34"/>
  <c r="O1134" i="34"/>
  <c r="W1134" i="34"/>
  <c r="P1134" i="34"/>
  <c r="A1134" i="34"/>
  <c r="Q1130" i="34"/>
  <c r="U1130" i="34"/>
  <c r="Z1130" i="34"/>
  <c r="O1130" i="34"/>
  <c r="W1130" i="34"/>
  <c r="P1130" i="34"/>
  <c r="A1130" i="34"/>
  <c r="Q1126" i="34"/>
  <c r="U1126" i="34"/>
  <c r="Z1126" i="34"/>
  <c r="O1126" i="34"/>
  <c r="W1126" i="34"/>
  <c r="P1126" i="34"/>
  <c r="A1126" i="34"/>
  <c r="Q1122" i="34"/>
  <c r="U1122" i="34"/>
  <c r="Z1122" i="34"/>
  <c r="O1122" i="34"/>
  <c r="W1122" i="34"/>
  <c r="P1122" i="34"/>
  <c r="A1122" i="34"/>
  <c r="Q1118" i="34"/>
  <c r="U1118" i="34"/>
  <c r="Z1118" i="34"/>
  <c r="O1118" i="34"/>
  <c r="W1118" i="34"/>
  <c r="P1118" i="34"/>
  <c r="A1118" i="34"/>
  <c r="Q1114" i="34"/>
  <c r="U1114" i="34"/>
  <c r="Z1114" i="34"/>
  <c r="O1114" i="34"/>
  <c r="W1114" i="34"/>
  <c r="P1114" i="34"/>
  <c r="A1114" i="34"/>
  <c r="Q1110" i="34"/>
  <c r="U1110" i="34"/>
  <c r="Z1110" i="34"/>
  <c r="O1110" i="34"/>
  <c r="W1110" i="34"/>
  <c r="P1110" i="34"/>
  <c r="A1110" i="34"/>
  <c r="Q1106" i="34"/>
  <c r="U1106" i="34"/>
  <c r="Z1106" i="34"/>
  <c r="O1106" i="34"/>
  <c r="W1106" i="34"/>
  <c r="P1106" i="34"/>
  <c r="A1106" i="34"/>
  <c r="Q1102" i="34"/>
  <c r="U1102" i="34"/>
  <c r="Z1102" i="34"/>
  <c r="O1102" i="34"/>
  <c r="W1102" i="34"/>
  <c r="P1102" i="34"/>
  <c r="A1102" i="34"/>
  <c r="Q1098" i="34"/>
  <c r="U1098" i="34"/>
  <c r="Z1098" i="34"/>
  <c r="O1098" i="34"/>
  <c r="W1098" i="34"/>
  <c r="P1098" i="34"/>
  <c r="A1098" i="34"/>
  <c r="Q1094" i="34"/>
  <c r="U1094" i="34"/>
  <c r="Z1094" i="34"/>
  <c r="O1094" i="34"/>
  <c r="W1094" i="34"/>
  <c r="P1094" i="34"/>
  <c r="A1094" i="34"/>
  <c r="Q1090" i="34"/>
  <c r="U1090" i="34"/>
  <c r="Z1090" i="34"/>
  <c r="O1090" i="34"/>
  <c r="W1090" i="34"/>
  <c r="P1090" i="34"/>
  <c r="A1090" i="34"/>
  <c r="Q1086" i="34"/>
  <c r="U1086" i="34"/>
  <c r="Z1086" i="34"/>
  <c r="O1086" i="34"/>
  <c r="W1086" i="34"/>
  <c r="P1086" i="34"/>
  <c r="A1086" i="34"/>
  <c r="Q1082" i="34"/>
  <c r="U1082" i="34"/>
  <c r="Z1082" i="34"/>
  <c r="O1082" i="34"/>
  <c r="W1082" i="34"/>
  <c r="P1082" i="34"/>
  <c r="A1082" i="34"/>
  <c r="Q1078" i="34"/>
  <c r="U1078" i="34"/>
  <c r="Z1078" i="34"/>
  <c r="O1078" i="34"/>
  <c r="W1078" i="34"/>
  <c r="P1078" i="34"/>
  <c r="A1078" i="34"/>
  <c r="Q1074" i="34"/>
  <c r="U1074" i="34"/>
  <c r="Z1074" i="34"/>
  <c r="O1074" i="34"/>
  <c r="W1074" i="34"/>
  <c r="P1074" i="34"/>
  <c r="A1074" i="34"/>
  <c r="Q1070" i="34"/>
  <c r="U1070" i="34"/>
  <c r="Z1070" i="34"/>
  <c r="O1070" i="34"/>
  <c r="W1070" i="34"/>
  <c r="P1070" i="34"/>
  <c r="A1070" i="34"/>
  <c r="Q1066" i="34"/>
  <c r="U1066" i="34"/>
  <c r="Z1066" i="34"/>
  <c r="O1066" i="34"/>
  <c r="W1066" i="34"/>
  <c r="P1066" i="34"/>
  <c r="A1066" i="34"/>
  <c r="Q1062" i="34"/>
  <c r="U1062" i="34"/>
  <c r="Z1062" i="34"/>
  <c r="O1062" i="34"/>
  <c r="W1062" i="34"/>
  <c r="P1062" i="34"/>
  <c r="A1062" i="34"/>
  <c r="Q1058" i="34"/>
  <c r="U1058" i="34"/>
  <c r="Z1058" i="34"/>
  <c r="O1058" i="34"/>
  <c r="W1058" i="34"/>
  <c r="P1058" i="34"/>
  <c r="A1058" i="34"/>
  <c r="Q1054" i="34"/>
  <c r="U1054" i="34"/>
  <c r="Z1054" i="34"/>
  <c r="O1054" i="34"/>
  <c r="W1054" i="34"/>
  <c r="P1054" i="34"/>
  <c r="A1054" i="34"/>
  <c r="Q1050" i="34"/>
  <c r="U1050" i="34"/>
  <c r="Z1050" i="34"/>
  <c r="O1050" i="34"/>
  <c r="W1050" i="34"/>
  <c r="P1050" i="34"/>
  <c r="A1050" i="34"/>
  <c r="Q1046" i="34"/>
  <c r="U1046" i="34"/>
  <c r="Z1046" i="34"/>
  <c r="O1046" i="34"/>
  <c r="W1046" i="34"/>
  <c r="P1046" i="34"/>
  <c r="A1046" i="34"/>
  <c r="Q1042" i="34"/>
  <c r="U1042" i="34"/>
  <c r="Z1042" i="34"/>
  <c r="O1042" i="34"/>
  <c r="W1042" i="34"/>
  <c r="P1042" i="34"/>
  <c r="A1042" i="34"/>
  <c r="Q1038" i="34"/>
  <c r="U1038" i="34"/>
  <c r="Z1038" i="34"/>
  <c r="O1038" i="34"/>
  <c r="W1038" i="34"/>
  <c r="P1038" i="34"/>
  <c r="A1038" i="34"/>
  <c r="Q1034" i="34"/>
  <c r="U1034" i="34"/>
  <c r="Z1034" i="34"/>
  <c r="O1034" i="34"/>
  <c r="W1034" i="34"/>
  <c r="P1034" i="34"/>
  <c r="A1034" i="34"/>
  <c r="Q1030" i="34"/>
  <c r="U1030" i="34"/>
  <c r="Z1030" i="34"/>
  <c r="O1030" i="34"/>
  <c r="W1030" i="34"/>
  <c r="P1030" i="34"/>
  <c r="A1030" i="34"/>
  <c r="Q1026" i="34"/>
  <c r="U1026" i="34"/>
  <c r="Z1026" i="34"/>
  <c r="O1026" i="34"/>
  <c r="W1026" i="34"/>
  <c r="P1026" i="34"/>
  <c r="A1026" i="34"/>
  <c r="O976" i="34"/>
  <c r="W976" i="34"/>
  <c r="P976" i="34"/>
  <c r="Z976" i="34"/>
  <c r="Q976" i="34"/>
  <c r="U976" i="34"/>
  <c r="A976" i="34"/>
  <c r="O972" i="34"/>
  <c r="W972" i="34"/>
  <c r="P972" i="34"/>
  <c r="Q972" i="34"/>
  <c r="U972" i="34"/>
  <c r="Z972" i="34"/>
  <c r="A972" i="34"/>
  <c r="P979" i="34"/>
  <c r="Q979" i="34"/>
  <c r="U979" i="34"/>
  <c r="O979" i="34"/>
  <c r="W979" i="34"/>
  <c r="Z979" i="34"/>
  <c r="A979" i="34"/>
  <c r="Z1009" i="34"/>
  <c r="O1009" i="34"/>
  <c r="W1009" i="34"/>
  <c r="P1009" i="34"/>
  <c r="Q1009" i="34"/>
  <c r="U1009" i="34"/>
  <c r="A1009" i="34"/>
  <c r="O1005" i="34"/>
  <c r="W1005" i="34"/>
  <c r="Q1005" i="34"/>
  <c r="U1005" i="34"/>
  <c r="Z1005" i="34"/>
  <c r="P1005" i="34"/>
  <c r="A1005" i="34"/>
  <c r="O1001" i="34"/>
  <c r="W1001" i="34"/>
  <c r="Q1001" i="34"/>
  <c r="U1001" i="34"/>
  <c r="Z1001" i="34"/>
  <c r="P1001" i="34"/>
  <c r="A1001" i="34"/>
  <c r="Z1153" i="34"/>
  <c r="O1153" i="34"/>
  <c r="W1153" i="34"/>
  <c r="P1153" i="34"/>
  <c r="Q1153" i="34"/>
  <c r="U1153" i="34"/>
  <c r="A1153" i="34"/>
  <c r="Z1149" i="34"/>
  <c r="O1149" i="34"/>
  <c r="W1149" i="34"/>
  <c r="P1149" i="34"/>
  <c r="Q1149" i="34"/>
  <c r="U1149" i="34"/>
  <c r="A1149" i="34"/>
  <c r="Z1145" i="34"/>
  <c r="O1145" i="34"/>
  <c r="W1145" i="34"/>
  <c r="P1145" i="34"/>
  <c r="Q1145" i="34"/>
  <c r="U1145" i="34"/>
  <c r="A1145" i="34"/>
  <c r="Z1141" i="34"/>
  <c r="O1141" i="34"/>
  <c r="W1141" i="34"/>
  <c r="P1141" i="34"/>
  <c r="Q1141" i="34"/>
  <c r="U1141" i="34"/>
  <c r="A1141" i="34"/>
  <c r="Z1137" i="34"/>
  <c r="O1137" i="34"/>
  <c r="W1137" i="34"/>
  <c r="P1137" i="34"/>
  <c r="Q1137" i="34"/>
  <c r="U1137" i="34"/>
  <c r="A1137" i="34"/>
  <c r="Z1133" i="34"/>
  <c r="O1133" i="34"/>
  <c r="W1133" i="34"/>
  <c r="P1133" i="34"/>
  <c r="Q1133" i="34"/>
  <c r="U1133" i="34"/>
  <c r="A1133" i="34"/>
  <c r="Z1129" i="34"/>
  <c r="O1129" i="34"/>
  <c r="W1129" i="34"/>
  <c r="P1129" i="34"/>
  <c r="Q1129" i="34"/>
  <c r="U1129" i="34"/>
  <c r="A1129" i="34"/>
  <c r="Z1125" i="34"/>
  <c r="O1125" i="34"/>
  <c r="W1125" i="34"/>
  <c r="P1125" i="34"/>
  <c r="Q1125" i="34"/>
  <c r="U1125" i="34"/>
  <c r="A1125" i="34"/>
  <c r="Z1121" i="34"/>
  <c r="O1121" i="34"/>
  <c r="W1121" i="34"/>
  <c r="P1121" i="34"/>
  <c r="Q1121" i="34"/>
  <c r="U1121" i="34"/>
  <c r="A1121" i="34"/>
  <c r="Z1117" i="34"/>
  <c r="O1117" i="34"/>
  <c r="W1117" i="34"/>
  <c r="P1117" i="34"/>
  <c r="Q1117" i="34"/>
  <c r="U1117" i="34"/>
  <c r="A1117" i="34"/>
  <c r="Z1113" i="34"/>
  <c r="O1113" i="34"/>
  <c r="W1113" i="34"/>
  <c r="P1113" i="34"/>
  <c r="Q1113" i="34"/>
  <c r="U1113" i="34"/>
  <c r="A1113" i="34"/>
  <c r="Z1109" i="34"/>
  <c r="O1109" i="34"/>
  <c r="W1109" i="34"/>
  <c r="P1109" i="34"/>
  <c r="Q1109" i="34"/>
  <c r="U1109" i="34"/>
  <c r="A1109" i="34"/>
  <c r="Z1105" i="34"/>
  <c r="O1105" i="34"/>
  <c r="W1105" i="34"/>
  <c r="P1105" i="34"/>
  <c r="Q1105" i="34"/>
  <c r="U1105" i="34"/>
  <c r="A1105" i="34"/>
  <c r="Z1101" i="34"/>
  <c r="O1101" i="34"/>
  <c r="W1101" i="34"/>
  <c r="P1101" i="34"/>
  <c r="Q1101" i="34"/>
  <c r="U1101" i="34"/>
  <c r="A1101" i="34"/>
  <c r="Z1097" i="34"/>
  <c r="O1097" i="34"/>
  <c r="W1097" i="34"/>
  <c r="P1097" i="34"/>
  <c r="Q1097" i="34"/>
  <c r="U1097" i="34"/>
  <c r="A1097" i="34"/>
  <c r="Z1093" i="34"/>
  <c r="O1093" i="34"/>
  <c r="W1093" i="34"/>
  <c r="P1093" i="34"/>
  <c r="Q1093" i="34"/>
  <c r="U1093" i="34"/>
  <c r="A1093" i="34"/>
  <c r="Z1089" i="34"/>
  <c r="O1089" i="34"/>
  <c r="W1089" i="34"/>
  <c r="P1089" i="34"/>
  <c r="Q1089" i="34"/>
  <c r="U1089" i="34"/>
  <c r="A1089" i="34"/>
  <c r="Z1085" i="34"/>
  <c r="O1085" i="34"/>
  <c r="W1085" i="34"/>
  <c r="P1085" i="34"/>
  <c r="Q1085" i="34"/>
  <c r="U1085" i="34"/>
  <c r="A1085" i="34"/>
  <c r="Z1081" i="34"/>
  <c r="O1081" i="34"/>
  <c r="W1081" i="34"/>
  <c r="P1081" i="34"/>
  <c r="Q1081" i="34"/>
  <c r="U1081" i="34"/>
  <c r="A1081" i="34"/>
  <c r="Z1077" i="34"/>
  <c r="O1077" i="34"/>
  <c r="W1077" i="34"/>
  <c r="P1077" i="34"/>
  <c r="Q1077" i="34"/>
  <c r="U1077" i="34"/>
  <c r="A1077" i="34"/>
  <c r="Z1073" i="34"/>
  <c r="O1073" i="34"/>
  <c r="W1073" i="34"/>
  <c r="P1073" i="34"/>
  <c r="Q1073" i="34"/>
  <c r="U1073" i="34"/>
  <c r="A1073" i="34"/>
  <c r="Z1069" i="34"/>
  <c r="O1069" i="34"/>
  <c r="W1069" i="34"/>
  <c r="P1069" i="34"/>
  <c r="Q1069" i="34"/>
  <c r="U1069" i="34"/>
  <c r="A1069" i="34"/>
  <c r="Z1065" i="34"/>
  <c r="O1065" i="34"/>
  <c r="W1065" i="34"/>
  <c r="P1065" i="34"/>
  <c r="Q1065" i="34"/>
  <c r="U1065" i="34"/>
  <c r="A1065" i="34"/>
  <c r="Z1061" i="34"/>
  <c r="O1061" i="34"/>
  <c r="W1061" i="34"/>
  <c r="P1061" i="34"/>
  <c r="Q1061" i="34"/>
  <c r="U1061" i="34"/>
  <c r="A1061" i="34"/>
  <c r="Z1057" i="34"/>
  <c r="O1057" i="34"/>
  <c r="W1057" i="34"/>
  <c r="P1057" i="34"/>
  <c r="Q1057" i="34"/>
  <c r="U1057" i="34"/>
  <c r="A1057" i="34"/>
  <c r="Z1053" i="34"/>
  <c r="O1053" i="34"/>
  <c r="W1053" i="34"/>
  <c r="P1053" i="34"/>
  <c r="Q1053" i="34"/>
  <c r="U1053" i="34"/>
  <c r="A1053" i="34"/>
  <c r="Z1049" i="34"/>
  <c r="O1049" i="34"/>
  <c r="W1049" i="34"/>
  <c r="P1049" i="34"/>
  <c r="Q1049" i="34"/>
  <c r="U1049" i="34"/>
  <c r="A1049" i="34"/>
  <c r="Z1045" i="34"/>
  <c r="O1045" i="34"/>
  <c r="W1045" i="34"/>
  <c r="P1045" i="34"/>
  <c r="Q1045" i="34"/>
  <c r="U1045" i="34"/>
  <c r="A1045" i="34"/>
  <c r="Z1041" i="34"/>
  <c r="O1041" i="34"/>
  <c r="W1041" i="34"/>
  <c r="P1041" i="34"/>
  <c r="Q1041" i="34"/>
  <c r="U1041" i="34"/>
  <c r="A1041" i="34"/>
  <c r="Z1037" i="34"/>
  <c r="O1037" i="34"/>
  <c r="W1037" i="34"/>
  <c r="P1037" i="34"/>
  <c r="Q1037" i="34"/>
  <c r="U1037" i="34"/>
  <c r="A1037" i="34"/>
  <c r="Z1033" i="34"/>
  <c r="O1033" i="34"/>
  <c r="W1033" i="34"/>
  <c r="P1033" i="34"/>
  <c r="Q1033" i="34"/>
  <c r="U1033" i="34"/>
  <c r="A1033" i="34"/>
  <c r="Z1029" i="34"/>
  <c r="O1029" i="34"/>
  <c r="W1029" i="34"/>
  <c r="P1029" i="34"/>
  <c r="Q1029" i="34"/>
  <c r="U1029" i="34"/>
  <c r="A1029" i="34"/>
  <c r="B702" i="55"/>
  <c r="A702" i="55" s="1"/>
  <c r="G702" i="55" a="1"/>
  <c r="G702" i="55" s="1"/>
  <c r="I702" i="55" a="1"/>
  <c r="I702" i="55" s="1"/>
  <c r="B350" i="55"/>
  <c r="A350" i="55" s="1"/>
  <c r="G350" i="55" a="1"/>
  <c r="G350" i="55" s="1"/>
  <c r="I350" i="55" a="1"/>
  <c r="I350" i="55" s="1"/>
  <c r="B290" i="55"/>
  <c r="A290" i="55" s="1"/>
  <c r="G290" i="55" a="1"/>
  <c r="G290" i="55" s="1"/>
  <c r="I290" i="55" a="1"/>
  <c r="I290" i="55" s="1"/>
  <c r="B353" i="55"/>
  <c r="A353" i="55" s="1"/>
  <c r="G353" i="55" a="1"/>
  <c r="G353" i="55" s="1"/>
  <c r="I353" i="55" a="1"/>
  <c r="I353" i="55" s="1"/>
  <c r="B216" i="55"/>
  <c r="A216" i="55" s="1"/>
  <c r="G216" i="55" a="1"/>
  <c r="G216" i="55" s="1"/>
  <c r="I216" i="55" a="1"/>
  <c r="I216" i="55" s="1"/>
  <c r="B188" i="55"/>
  <c r="A188" i="55" s="1"/>
  <c r="G188" i="55" a="1"/>
  <c r="G188" i="55" s="1"/>
  <c r="I188" i="55" a="1"/>
  <c r="I188" i="55" s="1"/>
  <c r="B311" i="55"/>
  <c r="A311" i="55" s="1"/>
  <c r="G311" i="55" a="1"/>
  <c r="G311" i="55" s="1"/>
  <c r="I311" i="55" a="1"/>
  <c r="I311" i="55" s="1"/>
  <c r="B313" i="55"/>
  <c r="A313" i="55" s="1"/>
  <c r="G313" i="55" a="1"/>
  <c r="G313" i="55" s="1"/>
  <c r="I313" i="55" a="1"/>
  <c r="I313" i="55" s="1"/>
  <c r="B374" i="55"/>
  <c r="A374" i="55" s="1"/>
  <c r="G374" i="55" a="1"/>
  <c r="G374" i="55" s="1"/>
  <c r="I374" i="55" a="1"/>
  <c r="I374" i="55" s="1"/>
  <c r="B47" i="55"/>
  <c r="A47" i="55" s="1"/>
  <c r="G47" i="55" a="1"/>
  <c r="G47" i="55" s="1"/>
  <c r="I47" i="55" a="1"/>
  <c r="I47" i="55" s="1"/>
  <c r="B51" i="55"/>
  <c r="A51" i="55" s="1"/>
  <c r="G51" i="55" a="1"/>
  <c r="G51" i="55" s="1"/>
  <c r="I51" i="55" a="1"/>
  <c r="I51" i="55" s="1"/>
  <c r="B226" i="55"/>
  <c r="A226" i="55" s="1"/>
  <c r="G226" i="55" a="1"/>
  <c r="G226" i="55" s="1"/>
  <c r="I226" i="55" a="1"/>
  <c r="I226" i="55" s="1"/>
  <c r="B656" i="55"/>
  <c r="A656" i="55" s="1"/>
  <c r="G656" i="55" a="1"/>
  <c r="G656" i="55" s="1"/>
  <c r="I656" i="55" a="1"/>
  <c r="I656" i="55" s="1"/>
  <c r="B33" i="55"/>
  <c r="A33" i="55" s="1"/>
  <c r="G33" i="55" a="1"/>
  <c r="G33" i="55" s="1"/>
  <c r="I33" i="55" a="1"/>
  <c r="I33" i="55" s="1"/>
  <c r="B542" i="55"/>
  <c r="A542" i="55" s="1"/>
  <c r="G542" i="55" a="1"/>
  <c r="G542" i="55" s="1"/>
  <c r="I542" i="55" a="1"/>
  <c r="I542" i="55" s="1"/>
  <c r="B354" i="55"/>
  <c r="A354" i="55" s="1"/>
  <c r="G354" i="55" a="1"/>
  <c r="G354" i="55" s="1"/>
  <c r="I354" i="55" a="1"/>
  <c r="I354" i="55" s="1"/>
  <c r="B58" i="55"/>
  <c r="A58" i="55" s="1"/>
  <c r="G58" i="55" a="1"/>
  <c r="G58" i="55" s="1"/>
  <c r="I58" i="55" a="1"/>
  <c r="I58" i="55" s="1"/>
  <c r="B60" i="55"/>
  <c r="A60" i="55" s="1"/>
  <c r="G60" i="55" a="1"/>
  <c r="G60" i="55" s="1"/>
  <c r="I60" i="55" a="1"/>
  <c r="I60" i="55" s="1"/>
  <c r="B142" i="55"/>
  <c r="A142" i="55" s="1"/>
  <c r="G142" i="55" a="1"/>
  <c r="G142" i="55" s="1"/>
  <c r="I142" i="55" a="1"/>
  <c r="I142" i="55" s="1"/>
  <c r="B506" i="55"/>
  <c r="A506" i="55" s="1"/>
  <c r="G506" i="55" a="1"/>
  <c r="G506" i="55" s="1"/>
  <c r="I506" i="55" a="1"/>
  <c r="I506" i="55" s="1"/>
  <c r="B282" i="55"/>
  <c r="A282" i="55" s="1"/>
  <c r="G282" i="55" a="1"/>
  <c r="G282" i="55" s="1"/>
  <c r="I282" i="55" a="1"/>
  <c r="I282" i="55" s="1"/>
  <c r="B124" i="55"/>
  <c r="A124" i="55" s="1"/>
  <c r="G124" i="55" a="1"/>
  <c r="G124" i="55" s="1"/>
  <c r="I124" i="55" a="1"/>
  <c r="I124" i="55" s="1"/>
  <c r="B428" i="55"/>
  <c r="A428" i="55" s="1"/>
  <c r="G428" i="55" a="1"/>
  <c r="G428" i="55" s="1"/>
  <c r="I428" i="55" a="1"/>
  <c r="I428" i="55" s="1"/>
  <c r="B580" i="55"/>
  <c r="A580" i="55" s="1"/>
  <c r="G580" i="55" a="1"/>
  <c r="G580" i="55" s="1"/>
  <c r="I580" i="55" a="1"/>
  <c r="I580" i="55" s="1"/>
  <c r="B651" i="55"/>
  <c r="A651" i="55" s="1"/>
  <c r="G651" i="55" a="1"/>
  <c r="G651" i="55" s="1"/>
  <c r="I651" i="55" a="1"/>
  <c r="I651" i="55" s="1"/>
  <c r="B125" i="55"/>
  <c r="A125" i="55" s="1"/>
  <c r="G125" i="55" a="1"/>
  <c r="G125" i="55" s="1"/>
  <c r="I125" i="55" a="1"/>
  <c r="I125" i="55" s="1"/>
  <c r="B502" i="55"/>
  <c r="A502" i="55" s="1"/>
  <c r="G502" i="55" a="1"/>
  <c r="G502" i="55" s="1"/>
  <c r="I502" i="55" a="1"/>
  <c r="I502" i="55" s="1"/>
  <c r="B94" i="55"/>
  <c r="A94" i="55" s="1"/>
  <c r="G94" i="55" a="1"/>
  <c r="G94" i="55" s="1"/>
  <c r="I94" i="55" a="1"/>
  <c r="I94" i="55" s="1"/>
  <c r="B170" i="55"/>
  <c r="A170" i="55" s="1"/>
  <c r="G170" i="55" a="1"/>
  <c r="G170" i="55" s="1"/>
  <c r="I170" i="55" a="1"/>
  <c r="I170" i="55" s="1"/>
  <c r="B110" i="55"/>
  <c r="A110" i="55" s="1"/>
  <c r="G110" i="55" a="1"/>
  <c r="G110" i="55" s="1"/>
  <c r="I110" i="55" a="1"/>
  <c r="I110" i="55" s="1"/>
  <c r="B723" i="55"/>
  <c r="A723" i="55" s="1"/>
  <c r="G723" i="55" a="1"/>
  <c r="G723" i="55" s="1"/>
  <c r="I723" i="55" a="1"/>
  <c r="I723" i="55" s="1"/>
  <c r="B433" i="55"/>
  <c r="A433" i="55" s="1"/>
  <c r="G433" i="55" a="1"/>
  <c r="G433" i="55" s="1"/>
  <c r="I433" i="55" a="1"/>
  <c r="I433" i="55" s="1"/>
  <c r="B230" i="55"/>
  <c r="A230" i="55" s="1"/>
  <c r="G230" i="55" a="1"/>
  <c r="G230" i="55" s="1"/>
  <c r="I230" i="55" a="1"/>
  <c r="I230" i="55" s="1"/>
  <c r="B229" i="55"/>
  <c r="A229" i="55" s="1"/>
  <c r="G229" i="55" a="1"/>
  <c r="G229" i="55" s="1"/>
  <c r="I229" i="55" a="1"/>
  <c r="I229" i="55" s="1"/>
  <c r="B271" i="55"/>
  <c r="A271" i="55" s="1"/>
  <c r="G271" i="55" a="1"/>
  <c r="G271" i="55" s="1"/>
  <c r="I271" i="55" a="1"/>
  <c r="I271" i="55" s="1"/>
  <c r="B328" i="55"/>
  <c r="A328" i="55" s="1"/>
  <c r="G328" i="55" a="1"/>
  <c r="G328" i="55" s="1"/>
  <c r="I328" i="55" a="1"/>
  <c r="I328" i="55" s="1"/>
  <c r="B612" i="55"/>
  <c r="A612" i="55" s="1"/>
  <c r="G612" i="55" a="1"/>
  <c r="G612" i="55" s="1"/>
  <c r="I612" i="55" a="1"/>
  <c r="I612" i="55" s="1"/>
  <c r="B103" i="55"/>
  <c r="A103" i="55" s="1"/>
  <c r="G103" i="55" a="1"/>
  <c r="G103" i="55" s="1"/>
  <c r="I103" i="55" a="1"/>
  <c r="I103" i="55" s="1"/>
  <c r="B299" i="55"/>
  <c r="A299" i="55" s="1"/>
  <c r="G299" i="55" a="1"/>
  <c r="G299" i="55" s="1"/>
  <c r="I299" i="55" a="1"/>
  <c r="I299" i="55" s="1"/>
  <c r="B127" i="55"/>
  <c r="A127" i="55" s="1"/>
  <c r="G127" i="55" a="1"/>
  <c r="G127" i="55" s="1"/>
  <c r="I127" i="55" a="1"/>
  <c r="I127" i="55" s="1"/>
  <c r="B574" i="55"/>
  <c r="A574" i="55" s="1"/>
  <c r="G574" i="55" a="1"/>
  <c r="G574" i="55" s="1"/>
  <c r="I574" i="55" a="1"/>
  <c r="I574" i="55" s="1"/>
  <c r="B187" i="55"/>
  <c r="A187" i="55" s="1"/>
  <c r="G187" i="55" a="1"/>
  <c r="G187" i="55" s="1"/>
  <c r="I187" i="55" a="1"/>
  <c r="I187" i="55" s="1"/>
  <c r="B709" i="55"/>
  <c r="A709" i="55" s="1"/>
  <c r="G709" i="55" a="1"/>
  <c r="G709" i="55" s="1"/>
  <c r="I709" i="55" a="1"/>
  <c r="I709" i="55" s="1"/>
  <c r="B168" i="55"/>
  <c r="A168" i="55" s="1"/>
  <c r="G168" i="55" a="1"/>
  <c r="G168" i="55" s="1"/>
  <c r="I168" i="55" a="1"/>
  <c r="I168" i="55" s="1"/>
  <c r="B126" i="55"/>
  <c r="A126" i="55" s="1"/>
  <c r="G126" i="55" a="1"/>
  <c r="G126" i="55" s="1"/>
  <c r="I126" i="55" a="1"/>
  <c r="I126" i="55" s="1"/>
  <c r="B476" i="55"/>
  <c r="A476" i="55" s="1"/>
  <c r="G476" i="55" a="1"/>
  <c r="G476" i="55" s="1"/>
  <c r="I476" i="55" a="1"/>
  <c r="I476" i="55" s="1"/>
  <c r="B712" i="55"/>
  <c r="A712" i="55" s="1"/>
  <c r="G712" i="55" a="1"/>
  <c r="G712" i="55" s="1"/>
  <c r="I712" i="55" a="1"/>
  <c r="I712" i="55" s="1"/>
  <c r="B63" i="55"/>
  <c r="A63" i="55" s="1"/>
  <c r="G63" i="55" a="1"/>
  <c r="G63" i="55" s="1"/>
  <c r="I63" i="55" a="1"/>
  <c r="I63" i="55" s="1"/>
  <c r="B64" i="55"/>
  <c r="A64" i="55" s="1"/>
  <c r="G64" i="55" a="1"/>
  <c r="G64" i="55" s="1"/>
  <c r="I64" i="55" a="1"/>
  <c r="I64" i="55" s="1"/>
  <c r="B69" i="55"/>
  <c r="A69" i="55" s="1"/>
  <c r="G69" i="55" a="1"/>
  <c r="G69" i="55" s="1"/>
  <c r="I69" i="55" a="1"/>
  <c r="I69" i="55" s="1"/>
  <c r="B38" i="55"/>
  <c r="A38" i="55" s="1"/>
  <c r="G38" i="55" a="1"/>
  <c r="G38" i="55" s="1"/>
  <c r="I38" i="55" a="1"/>
  <c r="I38" i="55" s="1"/>
  <c r="B78" i="55"/>
  <c r="A78" i="55" s="1"/>
  <c r="G78" i="55" a="1"/>
  <c r="G78" i="55" s="1"/>
  <c r="I78" i="55" a="1"/>
  <c r="I78" i="55" s="1"/>
  <c r="B129" i="55"/>
  <c r="A129" i="55" s="1"/>
  <c r="G129" i="55" a="1"/>
  <c r="G129" i="55" s="1"/>
  <c r="I129" i="55" a="1"/>
  <c r="I129" i="55" s="1"/>
  <c r="B137" i="55"/>
  <c r="A137" i="55" s="1"/>
  <c r="G137" i="55" a="1"/>
  <c r="G137" i="55" s="1"/>
  <c r="I137" i="55" a="1"/>
  <c r="I137" i="55" s="1"/>
  <c r="B165" i="55"/>
  <c r="A165" i="55" s="1"/>
  <c r="G165" i="55" a="1"/>
  <c r="G165" i="55" s="1"/>
  <c r="I165" i="55" a="1"/>
  <c r="I165" i="55" s="1"/>
  <c r="B171" i="55"/>
  <c r="A171" i="55" s="1"/>
  <c r="G171" i="55" a="1"/>
  <c r="G171" i="55" s="1"/>
  <c r="I171" i="55" a="1"/>
  <c r="I171" i="55" s="1"/>
  <c r="B175" i="55"/>
  <c r="A175" i="55" s="1"/>
  <c r="G175" i="55" a="1"/>
  <c r="G175" i="55" s="1"/>
  <c r="I175" i="55" a="1"/>
  <c r="I175" i="55" s="1"/>
  <c r="B177" i="55"/>
  <c r="A177" i="55" s="1"/>
  <c r="G177" i="55" a="1"/>
  <c r="G177" i="55" s="1"/>
  <c r="I177" i="55" a="1"/>
  <c r="I177" i="55" s="1"/>
  <c r="B189" i="55"/>
  <c r="A189" i="55" s="1"/>
  <c r="G189" i="55" a="1"/>
  <c r="G189" i="55" s="1"/>
  <c r="I189" i="55" a="1"/>
  <c r="I189" i="55" s="1"/>
  <c r="B243" i="55"/>
  <c r="A243" i="55" s="1"/>
  <c r="G243" i="55" a="1"/>
  <c r="G243" i="55" s="1"/>
  <c r="I243" i="55" a="1"/>
  <c r="I243" i="55" s="1"/>
  <c r="B262" i="55"/>
  <c r="A262" i="55" s="1"/>
  <c r="G262" i="55" a="1"/>
  <c r="G262" i="55" s="1"/>
  <c r="I262" i="55" a="1"/>
  <c r="I262" i="55" s="1"/>
  <c r="B265" i="55"/>
  <c r="A265" i="55" s="1"/>
  <c r="G265" i="55" a="1"/>
  <c r="G265" i="55" s="1"/>
  <c r="I265" i="55" a="1"/>
  <c r="I265" i="55" s="1"/>
  <c r="B201" i="55"/>
  <c r="A201" i="55" s="1"/>
  <c r="G201" i="55" a="1"/>
  <c r="G201" i="55" s="1"/>
  <c r="I201" i="55" a="1"/>
  <c r="I201" i="55" s="1"/>
  <c r="B224" i="55"/>
  <c r="A224" i="55" s="1"/>
  <c r="G224" i="55" a="1"/>
  <c r="G224" i="55" s="1"/>
  <c r="I224" i="55" a="1"/>
  <c r="I224" i="55" s="1"/>
  <c r="B538" i="55"/>
  <c r="A538" i="55" s="1"/>
  <c r="G538" i="55" a="1"/>
  <c r="G538" i="55" s="1"/>
  <c r="I538" i="55" a="1"/>
  <c r="I538" i="55" s="1"/>
  <c r="B636" i="55"/>
  <c r="A636" i="55" s="1"/>
  <c r="G636" i="55" a="1"/>
  <c r="G636" i="55" s="1"/>
  <c r="I636" i="55" a="1"/>
  <c r="I636" i="55" s="1"/>
  <c r="B451" i="55"/>
  <c r="A451" i="55" s="1"/>
  <c r="G451" i="55" a="1"/>
  <c r="G451" i="55" s="1"/>
  <c r="I451" i="55" a="1"/>
  <c r="I451" i="55" s="1"/>
  <c r="B340" i="55"/>
  <c r="A340" i="55" s="1"/>
  <c r="G340" i="55" a="1"/>
  <c r="G340" i="55" s="1"/>
  <c r="I340" i="55" a="1"/>
  <c r="I340" i="55" s="1"/>
  <c r="B648" i="55"/>
  <c r="A648" i="55" s="1"/>
  <c r="G648" i="55" a="1"/>
  <c r="G648" i="55" s="1"/>
  <c r="I648" i="55" a="1"/>
  <c r="I648" i="55" s="1"/>
  <c r="B583" i="55"/>
  <c r="A583" i="55" s="1"/>
  <c r="G583" i="55" a="1"/>
  <c r="G583" i="55" s="1"/>
  <c r="I583" i="55" a="1"/>
  <c r="I583" i="55" s="1"/>
  <c r="B537" i="55"/>
  <c r="A537" i="55" s="1"/>
  <c r="G537" i="55" a="1"/>
  <c r="G537" i="55" s="1"/>
  <c r="I537" i="55" a="1"/>
  <c r="I537" i="55" s="1"/>
  <c r="B296" i="55"/>
  <c r="A296" i="55" s="1"/>
  <c r="G296" i="55" a="1"/>
  <c r="G296" i="55" s="1"/>
  <c r="I296" i="55" a="1"/>
  <c r="I296" i="55" s="1"/>
  <c r="B342" i="55"/>
  <c r="A342" i="55" s="1"/>
  <c r="G342" i="55" a="1"/>
  <c r="G342" i="55" s="1"/>
  <c r="I342" i="55" a="1"/>
  <c r="I342" i="55" s="1"/>
  <c r="B553" i="55"/>
  <c r="A553" i="55" s="1"/>
  <c r="G553" i="55" a="1"/>
  <c r="G553" i="55" s="1"/>
  <c r="I553" i="55" a="1"/>
  <c r="I553" i="55" s="1"/>
  <c r="B317" i="55"/>
  <c r="A317" i="55" s="1"/>
  <c r="G317" i="55" a="1"/>
  <c r="G317" i="55" s="1"/>
  <c r="I317" i="55" a="1"/>
  <c r="I317" i="55" s="1"/>
  <c r="B335" i="55"/>
  <c r="A335" i="55" s="1"/>
  <c r="G335" i="55" a="1"/>
  <c r="G335" i="55" s="1"/>
  <c r="I335" i="55" a="1"/>
  <c r="I335" i="55" s="1"/>
  <c r="B673" i="55"/>
  <c r="A673" i="55" s="1"/>
  <c r="G673" i="55" a="1"/>
  <c r="G673" i="55" s="1"/>
  <c r="I673" i="55" a="1"/>
  <c r="I673" i="55" s="1"/>
  <c r="B627" i="55"/>
  <c r="A627" i="55" s="1"/>
  <c r="G627" i="55" a="1"/>
  <c r="G627" i="55" s="1"/>
  <c r="I627" i="55" a="1"/>
  <c r="I627" i="55" s="1"/>
  <c r="B667" i="55"/>
  <c r="A667" i="55" s="1"/>
  <c r="G667" i="55" a="1"/>
  <c r="G667" i="55" s="1"/>
  <c r="I667" i="55" a="1"/>
  <c r="I667" i="55" s="1"/>
  <c r="B306" i="55"/>
  <c r="A306" i="55" s="1"/>
  <c r="G306" i="55" a="1"/>
  <c r="G306" i="55" s="1"/>
  <c r="I306" i="55" a="1"/>
  <c r="I306" i="55" s="1"/>
  <c r="B534" i="55"/>
  <c r="A534" i="55" s="1"/>
  <c r="G534" i="55" a="1"/>
  <c r="G534" i="55" s="1"/>
  <c r="I534" i="55" a="1"/>
  <c r="I534" i="55" s="1"/>
  <c r="B715" i="55"/>
  <c r="A715" i="55" s="1"/>
  <c r="G715" i="55" a="1"/>
  <c r="G715" i="55" s="1"/>
  <c r="I715" i="55" a="1"/>
  <c r="I715" i="55" s="1"/>
  <c r="B453" i="55"/>
  <c r="A453" i="55" s="1"/>
  <c r="G453" i="55" a="1"/>
  <c r="G453" i="55" s="1"/>
  <c r="I453" i="55" a="1"/>
  <c r="I453" i="55" s="1"/>
  <c r="B310" i="55"/>
  <c r="A310" i="55" s="1"/>
  <c r="G310" i="55" a="1"/>
  <c r="G310" i="55" s="1"/>
  <c r="I310" i="55" a="1"/>
  <c r="I310" i="55" s="1"/>
  <c r="B77" i="55"/>
  <c r="A77" i="55" s="1"/>
  <c r="G77" i="55" a="1"/>
  <c r="G77" i="55" s="1"/>
  <c r="I77" i="55" a="1"/>
  <c r="I77" i="55" s="1"/>
  <c r="B70" i="55"/>
  <c r="A70" i="55" s="1"/>
  <c r="G70" i="55" a="1"/>
  <c r="G70" i="55" s="1"/>
  <c r="I70" i="55" a="1"/>
  <c r="I70" i="55" s="1"/>
  <c r="B255" i="55"/>
  <c r="A255" i="55" s="1"/>
  <c r="G255" i="55" a="1"/>
  <c r="G255" i="55" s="1"/>
  <c r="I255" i="55" a="1"/>
  <c r="I255" i="55" s="1"/>
  <c r="B184" i="55"/>
  <c r="A184" i="55" s="1"/>
  <c r="G184" i="55" a="1"/>
  <c r="G184" i="55" s="1"/>
  <c r="I184" i="55" a="1"/>
  <c r="I184" i="55" s="1"/>
  <c r="B185" i="55"/>
  <c r="A185" i="55" s="1"/>
  <c r="G185" i="55" a="1"/>
  <c r="G185" i="55" s="1"/>
  <c r="I185" i="55" a="1"/>
  <c r="I185" i="55" s="1"/>
  <c r="B232" i="55"/>
  <c r="A232" i="55" s="1"/>
  <c r="G232" i="55" a="1"/>
  <c r="G232" i="55" s="1"/>
  <c r="I232" i="55" a="1"/>
  <c r="I232" i="55" s="1"/>
  <c r="B166" i="55"/>
  <c r="A166" i="55" s="1"/>
  <c r="G166" i="55" a="1"/>
  <c r="G166" i="55" s="1"/>
  <c r="I166" i="55" a="1"/>
  <c r="I166" i="55" s="1"/>
  <c r="B445" i="55"/>
  <c r="A445" i="55" s="1"/>
  <c r="G445" i="55" a="1"/>
  <c r="G445" i="55" s="1"/>
  <c r="I445" i="55" a="1"/>
  <c r="I445" i="55" s="1"/>
  <c r="B600" i="55"/>
  <c r="A600" i="55" s="1"/>
  <c r="G600" i="55" a="1"/>
  <c r="G600" i="55" s="1"/>
  <c r="I600" i="55" a="1"/>
  <c r="I600" i="55" s="1"/>
  <c r="B314" i="55"/>
  <c r="A314" i="55" s="1"/>
  <c r="G314" i="55" a="1"/>
  <c r="G314" i="55" s="1"/>
  <c r="I314" i="55" a="1"/>
  <c r="I314" i="55" s="1"/>
  <c r="B219" i="55"/>
  <c r="A219" i="55" s="1"/>
  <c r="G219" i="55" a="1"/>
  <c r="G219" i="55" s="1"/>
  <c r="I219" i="55" a="1"/>
  <c r="I219" i="55" s="1"/>
  <c r="B183" i="55"/>
  <c r="A183" i="55" s="1"/>
  <c r="G183" i="55" a="1"/>
  <c r="G183" i="55" s="1"/>
  <c r="I183" i="55" a="1"/>
  <c r="I183" i="55" s="1"/>
  <c r="B467" i="55"/>
  <c r="A467" i="55" s="1"/>
  <c r="G467" i="55" a="1"/>
  <c r="G467" i="55" s="1"/>
  <c r="I467" i="55" a="1"/>
  <c r="I467" i="55" s="1"/>
  <c r="B136" i="55"/>
  <c r="A136" i="55" s="1"/>
  <c r="G136" i="55" a="1"/>
  <c r="G136" i="55" s="1"/>
  <c r="I136" i="55" a="1"/>
  <c r="I136" i="55" s="1"/>
  <c r="B326" i="55"/>
  <c r="A326" i="55" s="1"/>
  <c r="G326" i="55" a="1"/>
  <c r="G326" i="55" s="1"/>
  <c r="I326" i="55" a="1"/>
  <c r="I326" i="55" s="1"/>
  <c r="B204" i="55"/>
  <c r="A204" i="55" s="1"/>
  <c r="G204" i="55" a="1"/>
  <c r="G204" i="55" s="1"/>
  <c r="I204" i="55" a="1"/>
  <c r="I204" i="55" s="1"/>
  <c r="B681" i="55"/>
  <c r="A681" i="55" s="1"/>
  <c r="G681" i="55" a="1"/>
  <c r="G681" i="55" s="1"/>
  <c r="I681" i="55" a="1"/>
  <c r="I681" i="55" s="1"/>
  <c r="B750" i="55"/>
  <c r="A750" i="55" s="1"/>
  <c r="G750" i="55" a="1"/>
  <c r="G750" i="55" s="1"/>
  <c r="I750" i="55" a="1"/>
  <c r="I750" i="55" s="1"/>
  <c r="B172" i="55"/>
  <c r="A172" i="55" s="1"/>
  <c r="G172" i="55" a="1"/>
  <c r="G172" i="55" s="1"/>
  <c r="I172" i="55" a="1"/>
  <c r="I172" i="55" s="1"/>
  <c r="B635" i="55"/>
  <c r="A635" i="55" s="1"/>
  <c r="G635" i="55" a="1"/>
  <c r="G635" i="55" s="1"/>
  <c r="I635" i="55" a="1"/>
  <c r="I635" i="55" s="1"/>
  <c r="B80" i="55"/>
  <c r="A80" i="55" s="1"/>
  <c r="G80" i="55" a="1"/>
  <c r="G80" i="55" s="1"/>
  <c r="I80" i="55" a="1"/>
  <c r="I80" i="55" s="1"/>
  <c r="B135" i="55"/>
  <c r="A135" i="55" s="1"/>
  <c r="G135" i="55" a="1"/>
  <c r="G135" i="55" s="1"/>
  <c r="I135" i="55" a="1"/>
  <c r="I135" i="55" s="1"/>
  <c r="B100" i="55"/>
  <c r="A100" i="55" s="1"/>
  <c r="G100" i="55" a="1"/>
  <c r="G100" i="55" s="1"/>
  <c r="I100" i="55" a="1"/>
  <c r="I100" i="55" s="1"/>
  <c r="B495" i="55"/>
  <c r="A495" i="55" s="1"/>
  <c r="G495" i="55" a="1"/>
  <c r="G495" i="55" s="1"/>
  <c r="I495" i="55" a="1"/>
  <c r="I495" i="55" s="1"/>
  <c r="B398" i="55"/>
  <c r="A398" i="55" s="1"/>
  <c r="G398" i="55" a="1"/>
  <c r="G398" i="55" s="1"/>
  <c r="I398" i="55" a="1"/>
  <c r="I398" i="55" s="1"/>
  <c r="B360" i="55"/>
  <c r="A360" i="55" s="1"/>
  <c r="G360" i="55" a="1"/>
  <c r="G360" i="55" s="1"/>
  <c r="I360" i="55" a="1"/>
  <c r="I360" i="55" s="1"/>
  <c r="B150" i="55"/>
  <c r="A150" i="55" s="1"/>
  <c r="G150" i="55" a="1"/>
  <c r="G150" i="55" s="1"/>
  <c r="I150" i="55" a="1"/>
  <c r="I150" i="55" s="1"/>
  <c r="B736" i="55"/>
  <c r="A736" i="55" s="1"/>
  <c r="G736" i="55" a="1"/>
  <c r="G736" i="55" s="1"/>
  <c r="I736" i="55" a="1"/>
  <c r="I736" i="55" s="1"/>
  <c r="B46" i="55"/>
  <c r="A46" i="55" s="1"/>
  <c r="G46" i="55" a="1"/>
  <c r="G46" i="55" s="1"/>
  <c r="I46" i="55" a="1"/>
  <c r="I46" i="55" s="1"/>
  <c r="B50" i="55"/>
  <c r="A50" i="55" s="1"/>
  <c r="G50" i="55" a="1"/>
  <c r="G50" i="55" s="1"/>
  <c r="I50" i="55" a="1"/>
  <c r="I50" i="55" s="1"/>
  <c r="B488" i="55"/>
  <c r="A488" i="55" s="1"/>
  <c r="G488" i="55" a="1"/>
  <c r="G488" i="55" s="1"/>
  <c r="I488" i="55" a="1"/>
  <c r="I488" i="55" s="1"/>
  <c r="B235" i="55"/>
  <c r="A235" i="55" s="1"/>
  <c r="G235" i="55" a="1"/>
  <c r="G235" i="55" s="1"/>
  <c r="I235" i="55" a="1"/>
  <c r="I235" i="55" s="1"/>
  <c r="B116" i="55"/>
  <c r="A116" i="55" s="1"/>
  <c r="G116" i="55" a="1"/>
  <c r="G116" i="55" s="1"/>
  <c r="I116" i="55" a="1"/>
  <c r="I116" i="55" s="1"/>
  <c r="B455" i="55"/>
  <c r="A455" i="55" s="1"/>
  <c r="G455" i="55" a="1"/>
  <c r="G455" i="55" s="1"/>
  <c r="I455" i="55" a="1"/>
  <c r="I455" i="55" s="1"/>
  <c r="B49" i="55"/>
  <c r="A49" i="55" s="1"/>
  <c r="G49" i="55" a="1"/>
  <c r="G49" i="55" s="1"/>
  <c r="I49" i="55" a="1"/>
  <c r="I49" i="55" s="1"/>
  <c r="B379" i="55"/>
  <c r="A379" i="55" s="1"/>
  <c r="G379" i="55" a="1"/>
  <c r="G379" i="55" s="1"/>
  <c r="I379" i="55" a="1"/>
  <c r="I379" i="55" s="1"/>
  <c r="B209" i="55"/>
  <c r="A209" i="55" s="1"/>
  <c r="G209" i="55" a="1"/>
  <c r="G209" i="55" s="1"/>
  <c r="I209" i="55" a="1"/>
  <c r="I209" i="55" s="1"/>
  <c r="B206" i="55"/>
  <c r="A206" i="55" s="1"/>
  <c r="G206" i="55" a="1"/>
  <c r="G206" i="55" s="1"/>
  <c r="I206" i="55" a="1"/>
  <c r="I206" i="55" s="1"/>
  <c r="B297" i="55"/>
  <c r="A297" i="55" s="1"/>
  <c r="G297" i="55" a="1"/>
  <c r="G297" i="55" s="1"/>
  <c r="I297" i="55" a="1"/>
  <c r="I297" i="55" s="1"/>
  <c r="B674" i="55"/>
  <c r="A674" i="55" s="1"/>
  <c r="G674" i="55" a="1"/>
  <c r="G674" i="55" s="1"/>
  <c r="I674" i="55" a="1"/>
  <c r="I674" i="55" s="1"/>
  <c r="B406" i="55"/>
  <c r="A406" i="55" s="1"/>
  <c r="G406" i="55" a="1"/>
  <c r="G406" i="55" s="1"/>
  <c r="I406" i="55" a="1"/>
  <c r="I406" i="55" s="1"/>
  <c r="B738" i="55"/>
  <c r="A738" i="55" s="1"/>
  <c r="G738" i="55" a="1"/>
  <c r="G738" i="55" s="1"/>
  <c r="I738" i="55" a="1"/>
  <c r="I738" i="55" s="1"/>
  <c r="B237" i="55"/>
  <c r="A237" i="55" s="1"/>
  <c r="G237" i="55" a="1"/>
  <c r="G237" i="55" s="1"/>
  <c r="I237" i="55" a="1"/>
  <c r="I237" i="55" s="1"/>
  <c r="B359" i="55"/>
  <c r="A359" i="55" s="1"/>
  <c r="G359" i="55" a="1"/>
  <c r="G359" i="55" s="1"/>
  <c r="I359" i="55" a="1"/>
  <c r="I359" i="55" s="1"/>
  <c r="B711" i="55"/>
  <c r="A711" i="55" s="1"/>
  <c r="G711" i="55" a="1"/>
  <c r="G711" i="55" s="1"/>
  <c r="I711" i="55" a="1"/>
  <c r="I711" i="55" s="1"/>
  <c r="B57" i="55"/>
  <c r="A57" i="55" s="1"/>
  <c r="G57" i="55" a="1"/>
  <c r="G57" i="55" s="1"/>
  <c r="I57" i="55" a="1"/>
  <c r="I57" i="55" s="1"/>
  <c r="B649" i="55"/>
  <c r="A649" i="55" s="1"/>
  <c r="G649" i="55" a="1"/>
  <c r="G649" i="55" s="1"/>
  <c r="I649" i="55" a="1"/>
  <c r="I649" i="55" s="1"/>
  <c r="B584" i="55"/>
  <c r="A584" i="55" s="1"/>
  <c r="G584" i="55" a="1"/>
  <c r="G584" i="55" s="1"/>
  <c r="I584" i="55" a="1"/>
  <c r="I584" i="55" s="1"/>
  <c r="B483" i="55"/>
  <c r="A483" i="55" s="1"/>
  <c r="G483" i="55" a="1"/>
  <c r="G483" i="55" s="1"/>
  <c r="I483" i="55" a="1"/>
  <c r="I483" i="55" s="1"/>
  <c r="B236" i="55"/>
  <c r="A236" i="55" s="1"/>
  <c r="G236" i="55" a="1"/>
  <c r="G236" i="55" s="1"/>
  <c r="I236" i="55" a="1"/>
  <c r="I236" i="55" s="1"/>
  <c r="B676" i="55"/>
  <c r="A676" i="55" s="1"/>
  <c r="G676" i="55" a="1"/>
  <c r="G676" i="55" s="1"/>
  <c r="I676" i="55" a="1"/>
  <c r="I676" i="55" s="1"/>
  <c r="B193" i="55"/>
  <c r="A193" i="55" s="1"/>
  <c r="G193" i="55" a="1"/>
  <c r="G193" i="55" s="1"/>
  <c r="I193" i="55" a="1"/>
  <c r="I193" i="55" s="1"/>
  <c r="B444" i="55"/>
  <c r="A444" i="55" s="1"/>
  <c r="G444" i="55" a="1"/>
  <c r="G444" i="55" s="1"/>
  <c r="I444" i="55" a="1"/>
  <c r="I444" i="55" s="1"/>
  <c r="B370" i="55"/>
  <c r="A370" i="55" s="1"/>
  <c r="G370" i="55" a="1"/>
  <c r="G370" i="55" s="1"/>
  <c r="I370" i="55" a="1"/>
  <c r="I370" i="55" s="1"/>
  <c r="B366" i="55"/>
  <c r="A366" i="55" s="1"/>
  <c r="G366" i="55" a="1"/>
  <c r="G366" i="55" s="1"/>
  <c r="I366" i="55" a="1"/>
  <c r="I366" i="55" s="1"/>
  <c r="B90" i="55"/>
  <c r="A90" i="55" s="1"/>
  <c r="G90" i="55" a="1"/>
  <c r="G90" i="55" s="1"/>
  <c r="I90" i="55" a="1"/>
  <c r="I90" i="55" s="1"/>
  <c r="B199" i="55"/>
  <c r="A199" i="55" s="1"/>
  <c r="G199" i="55" a="1"/>
  <c r="G199" i="55" s="1"/>
  <c r="I199" i="55" a="1"/>
  <c r="I199" i="55" s="1"/>
  <c r="B54" i="55"/>
  <c r="A54" i="55" s="1"/>
  <c r="G54" i="55" a="1"/>
  <c r="G54" i="55" s="1"/>
  <c r="I54" i="55" a="1"/>
  <c r="I54" i="55" s="1"/>
  <c r="B55" i="55"/>
  <c r="A55" i="55" s="1"/>
  <c r="G55" i="55" a="1"/>
  <c r="G55" i="55" s="1"/>
  <c r="I55" i="55" a="1"/>
  <c r="I55" i="55" s="1"/>
  <c r="B48" i="55"/>
  <c r="A48" i="55" s="1"/>
  <c r="G48" i="55" a="1"/>
  <c r="G48" i="55" s="1"/>
  <c r="I48" i="55" a="1"/>
  <c r="I48" i="55" s="1"/>
  <c r="B325" i="55"/>
  <c r="A325" i="55" s="1"/>
  <c r="G325" i="55" a="1"/>
  <c r="G325" i="55" s="1"/>
  <c r="I325" i="55" a="1"/>
  <c r="I325" i="55" s="1"/>
  <c r="B758" i="55"/>
  <c r="A758" i="55" s="1"/>
  <c r="G758" i="55" a="1"/>
  <c r="G758" i="55" s="1"/>
  <c r="I758" i="55" a="1"/>
  <c r="I758" i="55" s="1"/>
  <c r="B722" i="55"/>
  <c r="A722" i="55" s="1"/>
  <c r="G722" i="55" a="1"/>
  <c r="G722" i="55" s="1"/>
  <c r="I722" i="55" a="1"/>
  <c r="I722" i="55" s="1"/>
  <c r="B699" i="55"/>
  <c r="A699" i="55" s="1"/>
  <c r="G699" i="55" a="1"/>
  <c r="G699" i="55" s="1"/>
  <c r="I699" i="55" a="1"/>
  <c r="I699" i="55" s="1"/>
  <c r="B181" i="55"/>
  <c r="A181" i="55" s="1"/>
  <c r="G181" i="55" a="1"/>
  <c r="G181" i="55" s="1"/>
  <c r="I181" i="55" a="1"/>
  <c r="I181" i="55" s="1"/>
  <c r="B555" i="55"/>
  <c r="A555" i="55" s="1"/>
  <c r="G555" i="55" a="1"/>
  <c r="G555" i="55" s="1"/>
  <c r="I555" i="55" a="1"/>
  <c r="I555" i="55" s="1"/>
  <c r="B471" i="55"/>
  <c r="A471" i="55" s="1"/>
  <c r="G471" i="55" a="1"/>
  <c r="G471" i="55" s="1"/>
  <c r="I471" i="55" a="1"/>
  <c r="I471" i="55" s="1"/>
  <c r="B118" i="55"/>
  <c r="A118" i="55" s="1"/>
  <c r="G118" i="55" a="1"/>
  <c r="G118" i="55" s="1"/>
  <c r="I118" i="55" a="1"/>
  <c r="I118" i="55" s="1"/>
  <c r="B117" i="55"/>
  <c r="A117" i="55" s="1"/>
  <c r="G117" i="55" a="1"/>
  <c r="G117" i="55" s="1"/>
  <c r="I117" i="55" a="1"/>
  <c r="I117" i="55" s="1"/>
  <c r="B557" i="55"/>
  <c r="A557" i="55" s="1"/>
  <c r="G557" i="55" a="1"/>
  <c r="G557" i="55" s="1"/>
  <c r="I557" i="55" a="1"/>
  <c r="I557" i="55" s="1"/>
  <c r="B214" i="55"/>
  <c r="A214" i="55" s="1"/>
  <c r="G214" i="55" a="1"/>
  <c r="G214" i="55" s="1"/>
  <c r="I214" i="55" a="1"/>
  <c r="I214" i="55" s="1"/>
  <c r="B468" i="55"/>
  <c r="A468" i="55" s="1"/>
  <c r="G468" i="55" a="1"/>
  <c r="G468" i="55" s="1"/>
  <c r="I468" i="55" a="1"/>
  <c r="I468" i="55" s="1"/>
  <c r="B269" i="55"/>
  <c r="A269" i="55" s="1"/>
  <c r="G269" i="55" a="1"/>
  <c r="G269" i="55" s="1"/>
  <c r="I269" i="55" a="1"/>
  <c r="I269" i="55" s="1"/>
  <c r="B516" i="55"/>
  <c r="A516" i="55" s="1"/>
  <c r="G516" i="55" a="1"/>
  <c r="G516" i="55" s="1"/>
  <c r="I516" i="55" a="1"/>
  <c r="I516" i="55" s="1"/>
  <c r="B97" i="55"/>
  <c r="A97" i="55" s="1"/>
  <c r="G97" i="55" a="1"/>
  <c r="G97" i="55" s="1"/>
  <c r="I97" i="55" a="1"/>
  <c r="I97" i="55" s="1"/>
  <c r="B500" i="55"/>
  <c r="A500" i="55" s="1"/>
  <c r="G500" i="55" a="1"/>
  <c r="G500" i="55" s="1"/>
  <c r="I500" i="55" a="1"/>
  <c r="I500" i="55" s="1"/>
  <c r="B721" i="55"/>
  <c r="A721" i="55" s="1"/>
  <c r="G721" i="55" a="1"/>
  <c r="G721" i="55" s="1"/>
  <c r="I721" i="55" a="1"/>
  <c r="I721" i="55" s="1"/>
  <c r="B131" i="55"/>
  <c r="A131" i="55" s="1"/>
  <c r="G131" i="55" a="1"/>
  <c r="G131" i="55" s="1"/>
  <c r="I131" i="55" a="1"/>
  <c r="I131" i="55" s="1"/>
  <c r="B96" i="55"/>
  <c r="A96" i="55" s="1"/>
  <c r="G96" i="55" a="1"/>
  <c r="G96" i="55" s="1"/>
  <c r="I96" i="55" a="1"/>
  <c r="I96" i="55" s="1"/>
  <c r="B659" i="55"/>
  <c r="A659" i="55" s="1"/>
  <c r="G659" i="55" a="1"/>
  <c r="G659" i="55" s="1"/>
  <c r="I659" i="55" a="1"/>
  <c r="I659" i="55" s="1"/>
  <c r="B356" i="55"/>
  <c r="A356" i="55" s="1"/>
  <c r="G356" i="55" a="1"/>
  <c r="G356" i="55" s="1"/>
  <c r="I356" i="55" a="1"/>
  <c r="I356" i="55" s="1"/>
  <c r="B401" i="55"/>
  <c r="A401" i="55" s="1"/>
  <c r="G401" i="55" a="1"/>
  <c r="G401" i="55" s="1"/>
  <c r="I401" i="55" a="1"/>
  <c r="I401" i="55" s="1"/>
  <c r="B691" i="55"/>
  <c r="A691" i="55" s="1"/>
  <c r="G691" i="55" a="1"/>
  <c r="G691" i="55" s="1"/>
  <c r="I691" i="55" a="1"/>
  <c r="I691" i="55" s="1"/>
  <c r="B621" i="55"/>
  <c r="A621" i="55" s="1"/>
  <c r="G621" i="55" a="1"/>
  <c r="G621" i="55" s="1"/>
  <c r="I621" i="55" a="1"/>
  <c r="I621" i="55" s="1"/>
  <c r="B162" i="55"/>
  <c r="A162" i="55" s="1"/>
  <c r="G162" i="55" a="1"/>
  <c r="G162" i="55" s="1"/>
  <c r="I162" i="55" a="1"/>
  <c r="I162" i="55" s="1"/>
  <c r="B460" i="55"/>
  <c r="A460" i="55" s="1"/>
  <c r="G460" i="55" a="1"/>
  <c r="G460" i="55" s="1"/>
  <c r="I460" i="55" a="1"/>
  <c r="I460" i="55" s="1"/>
  <c r="B197" i="55"/>
  <c r="A197" i="55" s="1"/>
  <c r="G197" i="55" a="1"/>
  <c r="G197" i="55" s="1"/>
  <c r="I197" i="55" a="1"/>
  <c r="I197" i="55" s="1"/>
  <c r="B684" i="55"/>
  <c r="A684" i="55" s="1"/>
  <c r="G684" i="55" a="1"/>
  <c r="G684" i="55" s="1"/>
  <c r="I684" i="55" a="1"/>
  <c r="I684" i="55" s="1"/>
  <c r="B211" i="55"/>
  <c r="A211" i="55" s="1"/>
  <c r="G211" i="55" a="1"/>
  <c r="G211" i="55" s="1"/>
  <c r="I211" i="55" a="1"/>
  <c r="I211" i="55" s="1"/>
  <c r="B633" i="55"/>
  <c r="A633" i="55" s="1"/>
  <c r="G633" i="55" a="1"/>
  <c r="G633" i="55" s="1"/>
  <c r="I633" i="55" a="1"/>
  <c r="I633" i="55" s="1"/>
  <c r="B107" i="55"/>
  <c r="A107" i="55" s="1"/>
  <c r="G107" i="55" a="1"/>
  <c r="G107" i="55" s="1"/>
  <c r="I107" i="55" a="1"/>
  <c r="I107" i="55" s="1"/>
  <c r="B385" i="55"/>
  <c r="A385" i="55" s="1"/>
  <c r="G385" i="55" a="1"/>
  <c r="G385" i="55" s="1"/>
  <c r="I385" i="55" a="1"/>
  <c r="I385" i="55" s="1"/>
  <c r="B278" i="55"/>
  <c r="A278" i="55" s="1"/>
  <c r="G278" i="55" a="1"/>
  <c r="G278" i="55" s="1"/>
  <c r="I278" i="55" a="1"/>
  <c r="I278" i="55" s="1"/>
  <c r="B91" i="55"/>
  <c r="A91" i="55" s="1"/>
  <c r="G91" i="55" a="1"/>
  <c r="G91" i="55" s="1"/>
  <c r="I91" i="55" a="1"/>
  <c r="I91" i="55" s="1"/>
  <c r="B601" i="55"/>
  <c r="A601" i="55" s="1"/>
  <c r="G601" i="55" a="1"/>
  <c r="G601" i="55" s="1"/>
  <c r="I601" i="55" a="1"/>
  <c r="I601" i="55" s="1"/>
  <c r="B39" i="55"/>
  <c r="A39" i="55" s="1"/>
  <c r="G39" i="55" a="1"/>
  <c r="G39" i="55" s="1"/>
  <c r="I39" i="55" a="1"/>
  <c r="I39" i="55" s="1"/>
  <c r="B610" i="55"/>
  <c r="A610" i="55" s="1"/>
  <c r="G610" i="55" a="1"/>
  <c r="G610" i="55" s="1"/>
  <c r="I610" i="55" a="1"/>
  <c r="I610" i="55" s="1"/>
  <c r="B160" i="55"/>
  <c r="A160" i="55" s="1"/>
  <c r="G160" i="55" a="1"/>
  <c r="G160" i="55" s="1"/>
  <c r="I160" i="55" a="1"/>
  <c r="I160" i="55" s="1"/>
  <c r="B631" i="55"/>
  <c r="A631" i="55" s="1"/>
  <c r="G631" i="55" a="1"/>
  <c r="G631" i="55" s="1"/>
  <c r="I631" i="55" a="1"/>
  <c r="I631" i="55" s="1"/>
  <c r="B759" i="55"/>
  <c r="A759" i="55" s="1"/>
  <c r="G759" i="55" a="1"/>
  <c r="G759" i="55" s="1"/>
  <c r="I759" i="55" a="1"/>
  <c r="I759" i="55" s="1"/>
  <c r="B475" i="55"/>
  <c r="A475" i="55" s="1"/>
  <c r="G475" i="55" a="1"/>
  <c r="G475" i="55" s="1"/>
  <c r="I475" i="55" a="1"/>
  <c r="I475" i="55" s="1"/>
  <c r="B62" i="55"/>
  <c r="A62" i="55" s="1"/>
  <c r="G62" i="55" a="1"/>
  <c r="G62" i="55" s="1"/>
  <c r="I62" i="55" a="1"/>
  <c r="I62" i="55" s="1"/>
  <c r="B371" i="55"/>
  <c r="A371" i="55" s="1"/>
  <c r="G371" i="55" a="1"/>
  <c r="G371" i="55" s="1"/>
  <c r="I371" i="55" a="1"/>
  <c r="I371" i="55" s="1"/>
  <c r="B554" i="55"/>
  <c r="A554" i="55" s="1"/>
  <c r="G554" i="55" a="1"/>
  <c r="G554" i="55" s="1"/>
  <c r="I554" i="55" a="1"/>
  <c r="I554" i="55" s="1"/>
  <c r="B192" i="55"/>
  <c r="A192" i="55" s="1"/>
  <c r="G192" i="55" a="1"/>
  <c r="G192" i="55" s="1"/>
  <c r="I192" i="55" a="1"/>
  <c r="I192" i="55" s="1"/>
  <c r="B719" i="55"/>
  <c r="A719" i="55" s="1"/>
  <c r="G719" i="55" a="1"/>
  <c r="G719" i="55" s="1"/>
  <c r="I719" i="55" a="1"/>
  <c r="I719" i="55" s="1"/>
  <c r="B95" i="55"/>
  <c r="A95" i="55" s="1"/>
  <c r="G95" i="55" a="1"/>
  <c r="G95" i="55" s="1"/>
  <c r="I95" i="55" a="1"/>
  <c r="I95" i="55" s="1"/>
  <c r="B450" i="55"/>
  <c r="A450" i="55" s="1"/>
  <c r="G450" i="55" a="1"/>
  <c r="G450" i="55" s="1"/>
  <c r="I450" i="55" a="1"/>
  <c r="I450" i="55" s="1"/>
  <c r="B273" i="55"/>
  <c r="A273" i="55" s="1"/>
  <c r="G273" i="55" a="1"/>
  <c r="G273" i="55" s="1"/>
  <c r="I273" i="55" a="1"/>
  <c r="I273" i="55" s="1"/>
  <c r="B272" i="55"/>
  <c r="A272" i="55" s="1"/>
  <c r="G272" i="55" a="1"/>
  <c r="G272" i="55" s="1"/>
  <c r="I272" i="55" a="1"/>
  <c r="I272" i="55" s="1"/>
  <c r="B37" i="55"/>
  <c r="A37" i="55" s="1"/>
  <c r="G37" i="55" a="1"/>
  <c r="G37" i="55" s="1"/>
  <c r="I37" i="55" a="1"/>
  <c r="I37" i="55" s="1"/>
  <c r="B120" i="55"/>
  <c r="A120" i="55" s="1"/>
  <c r="G120" i="55" a="1"/>
  <c r="G120" i="55" s="1"/>
  <c r="I120" i="55" a="1"/>
  <c r="I120" i="55" s="1"/>
  <c r="B130" i="55"/>
  <c r="A130" i="55" s="1"/>
  <c r="G130" i="55" a="1"/>
  <c r="G130" i="55" s="1"/>
  <c r="I130" i="55" a="1"/>
  <c r="I130" i="55" s="1"/>
  <c r="B152" i="55"/>
  <c r="A152" i="55" s="1"/>
  <c r="G152" i="55" a="1"/>
  <c r="G152" i="55" s="1"/>
  <c r="I152" i="55" a="1"/>
  <c r="I152" i="55" s="1"/>
  <c r="B153" i="55"/>
  <c r="A153" i="55" s="1"/>
  <c r="G153" i="55" a="1"/>
  <c r="G153" i="55" s="1"/>
  <c r="I153" i="55" a="1"/>
  <c r="I153" i="55" s="1"/>
  <c r="B198" i="55"/>
  <c r="A198" i="55" s="1"/>
  <c r="G198" i="55" a="1"/>
  <c r="G198" i="55" s="1"/>
  <c r="I198" i="55" a="1"/>
  <c r="I198" i="55" s="1"/>
  <c r="B202" i="55"/>
  <c r="A202" i="55" s="1"/>
  <c r="G202" i="55" a="1"/>
  <c r="G202" i="55" s="1"/>
  <c r="I202" i="55" a="1"/>
  <c r="I202" i="55" s="1"/>
  <c r="B220" i="55"/>
  <c r="A220" i="55" s="1"/>
  <c r="G220" i="55" a="1"/>
  <c r="G220" i="55" s="1"/>
  <c r="I220" i="55" a="1"/>
  <c r="I220" i="55" s="1"/>
  <c r="B223" i="55"/>
  <c r="A223" i="55" s="1"/>
  <c r="G223" i="55" a="1"/>
  <c r="G223" i="55" s="1"/>
  <c r="I223" i="55" a="1"/>
  <c r="I223" i="55" s="1"/>
  <c r="B231" i="55"/>
  <c r="A231" i="55" s="1"/>
  <c r="G231" i="55" a="1"/>
  <c r="G231" i="55" s="1"/>
  <c r="I231" i="55" a="1"/>
  <c r="I231" i="55" s="1"/>
  <c r="B93" i="55"/>
  <c r="A93" i="55" s="1"/>
  <c r="G93" i="55" a="1"/>
  <c r="G93" i="55" s="1"/>
  <c r="I93" i="55" a="1"/>
  <c r="I93" i="55" s="1"/>
  <c r="B196" i="55"/>
  <c r="A196" i="55" s="1"/>
  <c r="G196" i="55" a="1"/>
  <c r="G196" i="55" s="1"/>
  <c r="I196" i="55" a="1"/>
  <c r="I196" i="55" s="1"/>
  <c r="B654" i="55"/>
  <c r="A654" i="55" s="1"/>
  <c r="G654" i="55" a="1"/>
  <c r="G654" i="55" s="1"/>
  <c r="I654" i="55" a="1"/>
  <c r="I654" i="55" s="1"/>
  <c r="B452" i="55"/>
  <c r="A452" i="55" s="1"/>
  <c r="G452" i="55" a="1"/>
  <c r="G452" i="55" s="1"/>
  <c r="I452" i="55" a="1"/>
  <c r="I452" i="55" s="1"/>
  <c r="B642" i="55"/>
  <c r="A642" i="55" s="1"/>
  <c r="G642" i="55" a="1"/>
  <c r="G642" i="55" s="1"/>
  <c r="I642" i="55" a="1"/>
  <c r="I642" i="55" s="1"/>
  <c r="B653" i="55"/>
  <c r="A653" i="55" s="1"/>
  <c r="G653" i="55" a="1"/>
  <c r="G653" i="55" s="1"/>
  <c r="I653" i="55" a="1"/>
  <c r="I653" i="55" s="1"/>
  <c r="B652" i="55"/>
  <c r="A652" i="55" s="1"/>
  <c r="G652" i="55" a="1"/>
  <c r="G652" i="55" s="1"/>
  <c r="I652" i="55" a="1"/>
  <c r="I652" i="55" s="1"/>
  <c r="B486" i="55"/>
  <c r="A486" i="55" s="1"/>
  <c r="G486" i="55" a="1"/>
  <c r="G486" i="55" s="1"/>
  <c r="I486" i="55" a="1"/>
  <c r="I486" i="55" s="1"/>
  <c r="B733" i="55"/>
  <c r="A733" i="55" s="1"/>
  <c r="G733" i="55" a="1"/>
  <c r="G733" i="55" s="1"/>
  <c r="I733" i="55" a="1"/>
  <c r="I733" i="55" s="1"/>
  <c r="B276" i="55"/>
  <c r="A276" i="55" s="1"/>
  <c r="G276" i="55" a="1"/>
  <c r="G276" i="55" s="1"/>
  <c r="I276" i="55" a="1"/>
  <c r="I276" i="55" s="1"/>
  <c r="B564" i="55"/>
  <c r="A564" i="55" s="1"/>
  <c r="G564" i="55" a="1"/>
  <c r="G564" i="55" s="1"/>
  <c r="I564" i="55" a="1"/>
  <c r="I564" i="55" s="1"/>
  <c r="B725" i="55"/>
  <c r="A725" i="55" s="1"/>
  <c r="G725" i="55" a="1"/>
  <c r="G725" i="55" s="1"/>
  <c r="I725" i="55" a="1"/>
  <c r="I725" i="55" s="1"/>
  <c r="B692" i="55"/>
  <c r="A692" i="55" s="1"/>
  <c r="G692" i="55" a="1"/>
  <c r="G692" i="55" s="1"/>
  <c r="I692" i="55" a="1"/>
  <c r="I692" i="55" s="1"/>
  <c r="B399" i="55"/>
  <c r="A399" i="55" s="1"/>
  <c r="G399" i="55" a="1"/>
  <c r="G399" i="55" s="1"/>
  <c r="I399" i="55" a="1"/>
  <c r="I399" i="55" s="1"/>
  <c r="B522" i="55"/>
  <c r="A522" i="55" s="1"/>
  <c r="G522" i="55" a="1"/>
  <c r="G522" i="55" s="1"/>
  <c r="I522" i="55" a="1"/>
  <c r="I522" i="55" s="1"/>
  <c r="B383" i="55"/>
  <c r="A383" i="55" s="1"/>
  <c r="G383" i="55" a="1"/>
  <c r="G383" i="55" s="1"/>
  <c r="I383" i="55" a="1"/>
  <c r="I383" i="55" s="1"/>
  <c r="G13" i="55" a="1"/>
  <c r="G13" i="55" s="1"/>
  <c r="I13" i="55" a="1"/>
  <c r="I13" i="55" s="1"/>
  <c r="G16" i="55" a="1"/>
  <c r="G16" i="55" s="1"/>
  <c r="I16" i="55" a="1"/>
  <c r="I16" i="55" s="1"/>
  <c r="G25" i="55" a="1"/>
  <c r="G25" i="55" s="1"/>
  <c r="I25" i="55" a="1"/>
  <c r="I25" i="55" s="1"/>
  <c r="G26" i="55" a="1"/>
  <c r="G26" i="55" s="1"/>
  <c r="I26" i="55" a="1"/>
  <c r="I26" i="55" s="1"/>
  <c r="G34" i="55" a="1"/>
  <c r="G34" i="55" s="1"/>
  <c r="I34" i="55" a="1"/>
  <c r="I34" i="55" s="1"/>
  <c r="G35" i="55" a="1"/>
  <c r="G35" i="55" s="1"/>
  <c r="I35" i="55" a="1"/>
  <c r="I35" i="55" s="1"/>
  <c r="G36" i="55" a="1"/>
  <c r="G36" i="55" s="1"/>
  <c r="I36" i="55" a="1"/>
  <c r="I36" i="55" s="1"/>
  <c r="G40" i="55" a="1"/>
  <c r="G40" i="55" s="1"/>
  <c r="I40" i="55" a="1"/>
  <c r="I40" i="55" s="1"/>
  <c r="G56" i="55" a="1"/>
  <c r="G56" i="55" s="1"/>
  <c r="I56" i="55" a="1"/>
  <c r="I56" i="55" s="1"/>
  <c r="G74" i="55" a="1"/>
  <c r="G74" i="55" s="1"/>
  <c r="I74" i="55" a="1"/>
  <c r="I74" i="55" s="1"/>
  <c r="G76" i="55" a="1"/>
  <c r="G76" i="55" s="1"/>
  <c r="I76" i="55" a="1"/>
  <c r="I76" i="55" s="1"/>
  <c r="G79" i="55" a="1"/>
  <c r="G79" i="55" s="1"/>
  <c r="I79" i="55" a="1"/>
  <c r="I79" i="55" s="1"/>
  <c r="G84" i="55" a="1"/>
  <c r="G84" i="55" s="1"/>
  <c r="I84" i="55" a="1"/>
  <c r="I84" i="55" s="1"/>
  <c r="G86" i="55" a="1"/>
  <c r="G86" i="55" s="1"/>
  <c r="I86" i="55" a="1"/>
  <c r="I86" i="55" s="1"/>
  <c r="G98" i="55" a="1"/>
  <c r="G98" i="55" s="1"/>
  <c r="I98" i="55" a="1"/>
  <c r="I98" i="55" s="1"/>
  <c r="G101" i="55" a="1"/>
  <c r="G101" i="55" s="1"/>
  <c r="I101" i="55" a="1"/>
  <c r="I101" i="55" s="1"/>
  <c r="G102" i="55" a="1"/>
  <c r="G102" i="55" s="1"/>
  <c r="I102" i="55" a="1"/>
  <c r="I102" i="55" s="1"/>
  <c r="G104" i="55" a="1"/>
  <c r="G104" i="55" s="1"/>
  <c r="I104" i="55" a="1"/>
  <c r="I104" i="55" s="1"/>
  <c r="G111" i="55" a="1"/>
  <c r="G111" i="55" s="1"/>
  <c r="I111" i="55" a="1"/>
  <c r="I111" i="55" s="1"/>
  <c r="G119" i="55" a="1"/>
  <c r="G119" i="55" s="1"/>
  <c r="I119" i="55" a="1"/>
  <c r="I119" i="55" s="1"/>
  <c r="G121" i="55" a="1"/>
  <c r="G121" i="55" s="1"/>
  <c r="I121" i="55" a="1"/>
  <c r="I121" i="55" s="1"/>
  <c r="G122" i="55" a="1"/>
  <c r="G122" i="55" s="1"/>
  <c r="I122" i="55" a="1"/>
  <c r="I122" i="55" s="1"/>
  <c r="G134" i="55" a="1"/>
  <c r="G134" i="55" s="1"/>
  <c r="I134" i="55" a="1"/>
  <c r="I134" i="55" s="1"/>
  <c r="G139" i="55" a="1"/>
  <c r="G139" i="55" s="1"/>
  <c r="I139" i="55" a="1"/>
  <c r="I139" i="55" s="1"/>
  <c r="G140" i="55" a="1"/>
  <c r="G140" i="55" s="1"/>
  <c r="I140" i="55" a="1"/>
  <c r="I140" i="55" s="1"/>
  <c r="G141" i="55" a="1"/>
  <c r="G141" i="55" s="1"/>
  <c r="I141" i="55" a="1"/>
  <c r="I141" i="55" s="1"/>
  <c r="G145" i="55" a="1"/>
  <c r="G145" i="55" s="1"/>
  <c r="I145" i="55" a="1"/>
  <c r="I145" i="55" s="1"/>
  <c r="G146" i="55" a="1"/>
  <c r="G146" i="55" s="1"/>
  <c r="I146" i="55" a="1"/>
  <c r="I146" i="55" s="1"/>
  <c r="G147" i="55" a="1"/>
  <c r="G147" i="55" s="1"/>
  <c r="I147" i="55" a="1"/>
  <c r="I147" i="55" s="1"/>
  <c r="G148" i="55" a="1"/>
  <c r="G148" i="55" s="1"/>
  <c r="I148" i="55" a="1"/>
  <c r="I148" i="55" s="1"/>
  <c r="G149" i="55" a="1"/>
  <c r="G149" i="55" s="1"/>
  <c r="I149" i="55" a="1"/>
  <c r="I149" i="55" s="1"/>
  <c r="G151" i="55" a="1"/>
  <c r="G151" i="55" s="1"/>
  <c r="I151" i="55" a="1"/>
  <c r="I151" i="55" s="1"/>
  <c r="G163" i="55" a="1"/>
  <c r="G163" i="55" s="1"/>
  <c r="I163" i="55" a="1"/>
  <c r="I163" i="55" s="1"/>
  <c r="G164" i="55" a="1"/>
  <c r="G164" i="55" s="1"/>
  <c r="I164" i="55" a="1"/>
  <c r="I164" i="55" s="1"/>
  <c r="G167" i="55" a="1"/>
  <c r="G167" i="55" s="1"/>
  <c r="I167" i="55" a="1"/>
  <c r="I167" i="55" s="1"/>
  <c r="G169" i="55" a="1"/>
  <c r="G169" i="55" s="1"/>
  <c r="I169" i="55" a="1"/>
  <c r="I169" i="55" s="1"/>
  <c r="G173" i="55" a="1"/>
  <c r="G173" i="55" s="1"/>
  <c r="I173" i="55" a="1"/>
  <c r="I173" i="55" s="1"/>
  <c r="G174" i="55" a="1"/>
  <c r="G174" i="55" s="1"/>
  <c r="I174" i="55" a="1"/>
  <c r="I174" i="55" s="1"/>
  <c r="G178" i="55" a="1"/>
  <c r="G178" i="55" s="1"/>
  <c r="I178" i="55" a="1"/>
  <c r="I178" i="55" s="1"/>
  <c r="G179" i="55" a="1"/>
  <c r="G179" i="55" s="1"/>
  <c r="I179" i="55" a="1"/>
  <c r="I179" i="55" s="1"/>
  <c r="G180" i="55" a="1"/>
  <c r="G180" i="55" s="1"/>
  <c r="I180" i="55" a="1"/>
  <c r="I180" i="55" s="1"/>
  <c r="G182" i="55" a="1"/>
  <c r="G182" i="55" s="1"/>
  <c r="I182" i="55" a="1"/>
  <c r="I182" i="55" s="1"/>
  <c r="G186" i="55" a="1"/>
  <c r="G186" i="55" s="1"/>
  <c r="I186" i="55" a="1"/>
  <c r="I186" i="55" s="1"/>
  <c r="G190" i="55" a="1"/>
  <c r="G190" i="55" s="1"/>
  <c r="I190" i="55" a="1"/>
  <c r="I190" i="55" s="1"/>
  <c r="G191" i="55" a="1"/>
  <c r="G191" i="55" s="1"/>
  <c r="I191" i="55" a="1"/>
  <c r="I191" i="55" s="1"/>
  <c r="G194" i="55" a="1"/>
  <c r="G194" i="55" s="1"/>
  <c r="I194" i="55" a="1"/>
  <c r="I194" i="55" s="1"/>
  <c r="G195" i="55" a="1"/>
  <c r="G195" i="55" s="1"/>
  <c r="I195" i="55" a="1"/>
  <c r="I195" i="55" s="1"/>
  <c r="G239" i="55" a="1"/>
  <c r="G239" i="55" s="1"/>
  <c r="I239" i="55" a="1"/>
  <c r="I239" i="55" s="1"/>
  <c r="G252" i="55" a="1"/>
  <c r="G252" i="55" s="1"/>
  <c r="I252" i="55" a="1"/>
  <c r="I252" i="55" s="1"/>
  <c r="G253" i="55" a="1"/>
  <c r="G253" i="55" s="1"/>
  <c r="I253" i="55" a="1"/>
  <c r="I253" i="55" s="1"/>
  <c r="G263" i="55" a="1"/>
  <c r="G263" i="55" s="1"/>
  <c r="I263" i="55" a="1"/>
  <c r="I263" i="55" s="1"/>
  <c r="G264" i="55" a="1"/>
  <c r="G264" i="55" s="1"/>
  <c r="I264" i="55" a="1"/>
  <c r="I264" i="55" s="1"/>
  <c r="G266" i="55" a="1"/>
  <c r="G266" i="55" s="1"/>
  <c r="I266" i="55" a="1"/>
  <c r="I266" i="55" s="1"/>
  <c r="G267" i="55" a="1"/>
  <c r="G267" i="55" s="1"/>
  <c r="I267" i="55" a="1"/>
  <c r="I267" i="55" s="1"/>
  <c r="G268" i="55" a="1"/>
  <c r="G268" i="55" s="1"/>
  <c r="I268" i="55" a="1"/>
  <c r="I268" i="55" s="1"/>
  <c r="G270" i="55" a="1"/>
  <c r="G270" i="55" s="1"/>
  <c r="I270" i="55" a="1"/>
  <c r="I270" i="55" s="1"/>
  <c r="G154" i="55" a="1"/>
  <c r="G154" i="55" s="1"/>
  <c r="I154" i="55" a="1"/>
  <c r="I154" i="55" s="1"/>
  <c r="G155" i="55" a="1"/>
  <c r="G155" i="55" s="1"/>
  <c r="I155" i="55" a="1"/>
  <c r="I155" i="55" s="1"/>
  <c r="G156" i="55" a="1"/>
  <c r="G156" i="55" s="1"/>
  <c r="I156" i="55" a="1"/>
  <c r="I156" i="55" s="1"/>
  <c r="G157" i="55" a="1"/>
  <c r="G157" i="55" s="1"/>
  <c r="I157" i="55" a="1"/>
  <c r="I157" i="55" s="1"/>
  <c r="G158" i="55" a="1"/>
  <c r="G158" i="55" s="1"/>
  <c r="I158" i="55" a="1"/>
  <c r="I158" i="55" s="1"/>
  <c r="G203" i="55" a="1"/>
  <c r="G203" i="55" s="1"/>
  <c r="I203" i="55" a="1"/>
  <c r="I203" i="55" s="1"/>
  <c r="G205" i="55" a="1"/>
  <c r="G205" i="55" s="1"/>
  <c r="I205" i="55" a="1"/>
  <c r="I205" i="55" s="1"/>
  <c r="G212" i="55" a="1"/>
  <c r="G212" i="55" s="1"/>
  <c r="I212" i="55" a="1"/>
  <c r="I212" i="55" s="1"/>
  <c r="G213" i="55" a="1"/>
  <c r="G213" i="55" s="1"/>
  <c r="I213" i="55" a="1"/>
  <c r="I213" i="55" s="1"/>
  <c r="G215" i="55" a="1"/>
  <c r="G215" i="55" s="1"/>
  <c r="I215" i="55" a="1"/>
  <c r="I215" i="55" s="1"/>
  <c r="G217" i="55" a="1"/>
  <c r="G217" i="55" s="1"/>
  <c r="I217" i="55" a="1"/>
  <c r="I217" i="55" s="1"/>
  <c r="G218" i="55" a="1"/>
  <c r="G218" i="55" s="1"/>
  <c r="I218" i="55" a="1"/>
  <c r="I218" i="55" s="1"/>
  <c r="G221" i="55" a="1"/>
  <c r="G221" i="55" s="1"/>
  <c r="I221" i="55" a="1"/>
  <c r="I221" i="55" s="1"/>
  <c r="G222" i="55" a="1"/>
  <c r="G222" i="55" s="1"/>
  <c r="I222" i="55" a="1"/>
  <c r="I222" i="55" s="1"/>
  <c r="G225" i="55" a="1"/>
  <c r="G225" i="55" s="1"/>
  <c r="I225" i="55" a="1"/>
  <c r="I225" i="55" s="1"/>
  <c r="G227" i="55" a="1"/>
  <c r="G227" i="55" s="1"/>
  <c r="I227" i="55" a="1"/>
  <c r="I227" i="55" s="1"/>
  <c r="G238" i="55" a="1"/>
  <c r="G238" i="55" s="1"/>
  <c r="I238" i="55" a="1"/>
  <c r="I238" i="55" s="1"/>
  <c r="G484" i="55" a="1"/>
  <c r="G484" i="55" s="1"/>
  <c r="I484" i="55" a="1"/>
  <c r="I484" i="55" s="1"/>
  <c r="G474" i="55" a="1"/>
  <c r="G474" i="55" s="1"/>
  <c r="I474" i="55" a="1"/>
  <c r="I474" i="55" s="1"/>
  <c r="G434" i="55" a="1"/>
  <c r="G434" i="55" s="1"/>
  <c r="I434" i="55" a="1"/>
  <c r="I434" i="55" s="1"/>
  <c r="G729" i="55" a="1"/>
  <c r="G729" i="55" s="1"/>
  <c r="I729" i="55" a="1"/>
  <c r="I729" i="55" s="1"/>
  <c r="G550" i="55" a="1"/>
  <c r="G550" i="55" s="1"/>
  <c r="I550" i="55" a="1"/>
  <c r="I550" i="55" s="1"/>
  <c r="G345" i="55" a="1"/>
  <c r="G345" i="55" s="1"/>
  <c r="I345" i="55" a="1"/>
  <c r="I345" i="55" s="1"/>
  <c r="G647" i="55" a="1"/>
  <c r="G647" i="55" s="1"/>
  <c r="I647" i="55" a="1"/>
  <c r="I647" i="55" s="1"/>
  <c r="G485" i="55" a="1"/>
  <c r="G485" i="55" s="1"/>
  <c r="I485" i="55" a="1"/>
  <c r="I485" i="55" s="1"/>
  <c r="G657" i="55" a="1"/>
  <c r="G657" i="55" s="1"/>
  <c r="I657" i="55" a="1"/>
  <c r="I657" i="55" s="1"/>
  <c r="G377" i="55" a="1"/>
  <c r="G377" i="55" s="1"/>
  <c r="I377" i="55" a="1"/>
  <c r="I377" i="55" s="1"/>
  <c r="G344" i="55" a="1"/>
  <c r="G344" i="55" s="1"/>
  <c r="I344" i="55" a="1"/>
  <c r="I344" i="55" s="1"/>
  <c r="G535" i="55" a="1"/>
  <c r="G535" i="55" s="1"/>
  <c r="I535" i="55" a="1"/>
  <c r="I535" i="55" s="1"/>
  <c r="G536" i="55" a="1"/>
  <c r="G536" i="55" s="1"/>
  <c r="I536" i="55" a="1"/>
  <c r="I536" i="55" s="1"/>
  <c r="G757" i="55" a="1"/>
  <c r="G757" i="55" s="1"/>
  <c r="I757" i="55" a="1"/>
  <c r="I757" i="55" s="1"/>
  <c r="G576" i="55" a="1"/>
  <c r="G576" i="55" s="1"/>
  <c r="I576" i="55" a="1"/>
  <c r="I576" i="55" s="1"/>
  <c r="G487" i="55" a="1"/>
  <c r="G487" i="55" s="1"/>
  <c r="I487" i="55" a="1"/>
  <c r="I487" i="55" s="1"/>
  <c r="G730" i="55" a="1"/>
  <c r="G730" i="55" s="1"/>
  <c r="I730" i="55" a="1"/>
  <c r="I730" i="55" s="1"/>
  <c r="G308" i="55" a="1"/>
  <c r="G308" i="55" s="1"/>
  <c r="I308" i="55" a="1"/>
  <c r="I308" i="55" s="1"/>
  <c r="G732" i="55" a="1"/>
  <c r="G732" i="55" s="1"/>
  <c r="I732" i="55" a="1"/>
  <c r="I732" i="55" s="1"/>
  <c r="G573" i="55" a="1"/>
  <c r="G573" i="55" s="1"/>
  <c r="I573" i="55" a="1"/>
  <c r="I573" i="55" s="1"/>
  <c r="G707" i="55" a="1"/>
  <c r="G707" i="55" s="1"/>
  <c r="I707" i="55" a="1"/>
  <c r="I707" i="55" s="1"/>
  <c r="G277" i="55" a="1"/>
  <c r="G277" i="55" s="1"/>
  <c r="I277" i="55" a="1"/>
  <c r="I277" i="55" s="1"/>
  <c r="G159" i="55" a="1"/>
  <c r="G159" i="55" s="1"/>
  <c r="I159" i="55" a="1"/>
  <c r="I159" i="55" s="1"/>
  <c r="G562" i="55" a="1"/>
  <c r="G562" i="55" s="1"/>
  <c r="I562" i="55" a="1"/>
  <c r="I562" i="55" s="1"/>
  <c r="G605" i="55" a="1"/>
  <c r="G605" i="55" s="1"/>
  <c r="I605" i="55" a="1"/>
  <c r="I605" i="55" s="1"/>
  <c r="G661" i="55" a="1"/>
  <c r="G661" i="55" s="1"/>
  <c r="I661" i="55" a="1"/>
  <c r="I661" i="55" s="1"/>
  <c r="G318" i="55" a="1"/>
  <c r="G318" i="55" s="1"/>
  <c r="I318" i="55" a="1"/>
  <c r="I318" i="55" s="1"/>
  <c r="G548" i="55" a="1"/>
  <c r="G548" i="55" s="1"/>
  <c r="I548" i="55" a="1"/>
  <c r="I548" i="55" s="1"/>
  <c r="G384" i="55" a="1"/>
  <c r="G384" i="55" s="1"/>
  <c r="I384" i="55" a="1"/>
  <c r="I384" i="55" s="1"/>
  <c r="G658" i="55" a="1"/>
  <c r="G658" i="55" s="1"/>
  <c r="I658" i="55" a="1"/>
  <c r="I658" i="55" s="1"/>
  <c r="G458" i="55" a="1"/>
  <c r="G458" i="55" s="1"/>
  <c r="I458" i="55" a="1"/>
  <c r="I458" i="55" s="1"/>
  <c r="G680" i="55" a="1"/>
  <c r="G680" i="55" s="1"/>
  <c r="I680" i="55" a="1"/>
  <c r="I680" i="55" s="1"/>
  <c r="G710" i="55" a="1"/>
  <c r="G710" i="55" s="1"/>
  <c r="I710" i="55" a="1"/>
  <c r="I710" i="55" s="1"/>
  <c r="G334" i="55" a="1"/>
  <c r="G334" i="55" s="1"/>
  <c r="I334" i="55" a="1"/>
  <c r="I334" i="55" s="1"/>
  <c r="G300" i="55" a="1"/>
  <c r="G300" i="55" s="1"/>
  <c r="I300" i="55" a="1"/>
  <c r="I300" i="55" s="1"/>
  <c r="G540" i="55" a="1"/>
  <c r="G540" i="55" s="1"/>
  <c r="I540" i="55" a="1"/>
  <c r="I540" i="55" s="1"/>
  <c r="G685" i="55" a="1"/>
  <c r="G685" i="55" s="1"/>
  <c r="I685" i="55" a="1"/>
  <c r="I685" i="55" s="1"/>
  <c r="G688" i="55" a="1"/>
  <c r="G688" i="55" s="1"/>
  <c r="I688" i="55" a="1"/>
  <c r="I688" i="55" s="1"/>
  <c r="G298" i="55" a="1"/>
  <c r="G298" i="55" s="1"/>
  <c r="I298" i="55" a="1"/>
  <c r="I298" i="55" s="1"/>
  <c r="G578" i="55" a="1"/>
  <c r="G578" i="55" s="1"/>
  <c r="I578" i="55" a="1"/>
  <c r="I578" i="55" s="1"/>
  <c r="G604" i="55" a="1"/>
  <c r="G604" i="55" s="1"/>
  <c r="I604" i="55" a="1"/>
  <c r="I604" i="55" s="1"/>
  <c r="G683" i="55" a="1"/>
  <c r="G683" i="55" s="1"/>
  <c r="I683" i="55" a="1"/>
  <c r="I683" i="55" s="1"/>
  <c r="G682" i="55" a="1"/>
  <c r="G682" i="55" s="1"/>
  <c r="I682" i="55" a="1"/>
  <c r="I682" i="55" s="1"/>
  <c r="G403" i="55" a="1"/>
  <c r="G403" i="55" s="1"/>
  <c r="I403" i="55" a="1"/>
  <c r="I403" i="55" s="1"/>
  <c r="G660" i="55" a="1"/>
  <c r="G660" i="55" s="1"/>
  <c r="I660" i="55" a="1"/>
  <c r="I660" i="55" s="1"/>
  <c r="G106" i="55" a="1"/>
  <c r="G106" i="55" s="1"/>
  <c r="I106" i="55" a="1"/>
  <c r="I106" i="55" s="1"/>
  <c r="G108" i="55" a="1"/>
  <c r="G108" i="55" s="1"/>
  <c r="I108" i="55" a="1"/>
  <c r="I108" i="55" s="1"/>
  <c r="G18" i="55" a="1"/>
  <c r="G18" i="55" s="1"/>
  <c r="I18" i="55" a="1"/>
  <c r="I18" i="55" s="1"/>
  <c r="G563" i="55" a="1"/>
  <c r="G563" i="55" s="1"/>
  <c r="I563" i="55" a="1"/>
  <c r="I563" i="55" s="1"/>
  <c r="G307" i="55" a="1"/>
  <c r="G307" i="55" s="1"/>
  <c r="I307" i="55" a="1"/>
  <c r="I307" i="55" s="1"/>
  <c r="G620" i="55" a="1"/>
  <c r="G620" i="55" s="1"/>
  <c r="I620" i="55" a="1"/>
  <c r="I620" i="55" s="1"/>
  <c r="G341" i="55" a="1"/>
  <c r="G341" i="55" s="1"/>
  <c r="I341" i="55" a="1"/>
  <c r="I341" i="55" s="1"/>
  <c r="G321" i="55" a="1"/>
  <c r="G321" i="55" s="1"/>
  <c r="I321" i="55" a="1"/>
  <c r="I321" i="55" s="1"/>
  <c r="G456" i="55" a="1"/>
  <c r="G456" i="55" s="1"/>
  <c r="I456" i="55" a="1"/>
  <c r="I456" i="55" s="1"/>
  <c r="G464" i="55" a="1"/>
  <c r="G464" i="55" s="1"/>
  <c r="I464" i="55" a="1"/>
  <c r="I464" i="55" s="1"/>
  <c r="G545" i="55" a="1"/>
  <c r="G545" i="55" s="1"/>
  <c r="I545" i="55" a="1"/>
  <c r="I545" i="55" s="1"/>
  <c r="G523" i="55" a="1"/>
  <c r="G523" i="55" s="1"/>
  <c r="I523" i="55" a="1"/>
  <c r="I523" i="55" s="1"/>
  <c r="G718" i="55" a="1"/>
  <c r="G718" i="55" s="1"/>
  <c r="I718" i="55" a="1"/>
  <c r="I718" i="55" s="1"/>
  <c r="G303" i="55" a="1"/>
  <c r="G303" i="55" s="1"/>
  <c r="I303" i="55" a="1"/>
  <c r="I303" i="55" s="1"/>
  <c r="G664" i="55" a="1"/>
  <c r="G664" i="55" s="1"/>
  <c r="I664" i="55" a="1"/>
  <c r="I664" i="55" s="1"/>
  <c r="G539" i="55" a="1"/>
  <c r="G539" i="55" s="1"/>
  <c r="I539" i="55" a="1"/>
  <c r="I539" i="55" s="1"/>
  <c r="G75" i="55" a="1"/>
  <c r="G75" i="55" s="1"/>
  <c r="I75" i="55" a="1"/>
  <c r="I75" i="55" s="1"/>
  <c r="G61" i="55" a="1"/>
  <c r="G61" i="55" s="1"/>
  <c r="I61" i="55" a="1"/>
  <c r="I61" i="55" s="1"/>
  <c r="G208" i="55" a="1"/>
  <c r="G208" i="55" s="1"/>
  <c r="I208" i="55" a="1"/>
  <c r="I208" i="55" s="1"/>
  <c r="G234" i="55" a="1"/>
  <c r="G234" i="55" s="1"/>
  <c r="I234" i="55" a="1"/>
  <c r="I234" i="55" s="1"/>
  <c r="G228" i="55" a="1"/>
  <c r="G228" i="55" s="1"/>
  <c r="I228" i="55" a="1"/>
  <c r="I228" i="55" s="1"/>
  <c r="G210" i="55" a="1"/>
  <c r="G210" i="55" s="1"/>
  <c r="I210" i="55" a="1"/>
  <c r="I210" i="55" s="1"/>
  <c r="G677" i="55" a="1"/>
  <c r="G677" i="55" s="1"/>
  <c r="I677" i="55" a="1"/>
  <c r="I677" i="55" s="1"/>
  <c r="G207" i="55" a="1"/>
  <c r="G207" i="55" s="1"/>
  <c r="I207" i="55" a="1"/>
  <c r="I207" i="55" s="1"/>
  <c r="G274" i="55" a="1"/>
  <c r="G274" i="55" s="1"/>
  <c r="I274" i="55" a="1"/>
  <c r="I274" i="55" s="1"/>
  <c r="G233" i="55" a="1"/>
  <c r="G233" i="55" s="1"/>
  <c r="I233" i="55" a="1"/>
  <c r="I233" i="55" s="1"/>
  <c r="G144" i="55" a="1"/>
  <c r="G144" i="55" s="1"/>
  <c r="I144" i="55" a="1"/>
  <c r="I144" i="55" s="1"/>
  <c r="G301" i="55" a="1"/>
  <c r="G301" i="55" s="1"/>
  <c r="I301" i="55" a="1"/>
  <c r="I301" i="55" s="1"/>
  <c r="G200" i="55" a="1"/>
  <c r="G200" i="55" s="1"/>
  <c r="I200" i="55" a="1"/>
  <c r="I200" i="55" s="1"/>
  <c r="G176" i="55" a="1"/>
  <c r="G176" i="55" s="1"/>
  <c r="I176" i="55" a="1"/>
  <c r="I176" i="55" s="1"/>
  <c r="G138" i="55" a="1"/>
  <c r="G138" i="55" s="1"/>
  <c r="I138" i="55" a="1"/>
  <c r="I138" i="55" s="1"/>
  <c r="G89" i="55" a="1"/>
  <c r="G89" i="55" s="1"/>
  <c r="I89" i="55" a="1"/>
  <c r="I89" i="55" s="1"/>
  <c r="G549" i="55" a="1"/>
  <c r="G549" i="55" s="1"/>
  <c r="I549" i="55" a="1"/>
  <c r="I549" i="55" s="1"/>
  <c r="G634" i="55" a="1"/>
  <c r="G634" i="55" s="1"/>
  <c r="I634" i="55" a="1"/>
  <c r="I634" i="55" s="1"/>
  <c r="G432" i="55" a="1"/>
  <c r="G432" i="55" s="1"/>
  <c r="I432" i="55" a="1"/>
  <c r="I432" i="55" s="1"/>
  <c r="G575" i="55" a="1"/>
  <c r="G575" i="55" s="1"/>
  <c r="I575" i="55" a="1"/>
  <c r="I575" i="55" s="1"/>
  <c r="G602" i="55" a="1"/>
  <c r="G602" i="55" s="1"/>
  <c r="I602" i="55" a="1"/>
  <c r="I602" i="55" s="1"/>
  <c r="G727" i="55" a="1"/>
  <c r="G727" i="55" s="1"/>
  <c r="I727" i="55" a="1"/>
  <c r="I727" i="55" s="1"/>
  <c r="I12" i="55" a="1"/>
  <c r="I12" i="55" s="1"/>
  <c r="G12" i="55" a="1"/>
  <c r="G12" i="55" s="1"/>
  <c r="E787" i="55"/>
  <c r="B13" i="55"/>
  <c r="A13" i="55" s="1"/>
  <c r="B16" i="55"/>
  <c r="A16" i="55" s="1"/>
  <c r="B25" i="55"/>
  <c r="A25" i="55" s="1"/>
  <c r="B26" i="55"/>
  <c r="A26" i="55" s="1"/>
  <c r="B34" i="55"/>
  <c r="A34" i="55" s="1"/>
  <c r="B35" i="55"/>
  <c r="A35" i="55" s="1"/>
  <c r="B36" i="55"/>
  <c r="A36" i="55" s="1"/>
  <c r="B40" i="55"/>
  <c r="A40" i="55" s="1"/>
  <c r="B56" i="55"/>
  <c r="A56" i="55" s="1"/>
  <c r="B74" i="55"/>
  <c r="A74" i="55" s="1"/>
  <c r="B76" i="55"/>
  <c r="A76" i="55" s="1"/>
  <c r="B79" i="55"/>
  <c r="A79" i="55" s="1"/>
  <c r="B84" i="55"/>
  <c r="A84" i="55" s="1"/>
  <c r="B86" i="55"/>
  <c r="A86" i="55" s="1"/>
  <c r="B98" i="55"/>
  <c r="A98" i="55" s="1"/>
  <c r="B101" i="55"/>
  <c r="A101" i="55" s="1"/>
  <c r="B102" i="55"/>
  <c r="A102" i="55" s="1"/>
  <c r="B104" i="55"/>
  <c r="A104" i="55" s="1"/>
  <c r="B111" i="55"/>
  <c r="A111" i="55" s="1"/>
  <c r="B119" i="55"/>
  <c r="A119" i="55" s="1"/>
  <c r="B121" i="55"/>
  <c r="A121" i="55" s="1"/>
  <c r="B122" i="55"/>
  <c r="A122" i="55" s="1"/>
  <c r="B134" i="55"/>
  <c r="A134" i="55" s="1"/>
  <c r="B139" i="55"/>
  <c r="A139" i="55" s="1"/>
  <c r="B140" i="55"/>
  <c r="A140" i="55" s="1"/>
  <c r="B141" i="55"/>
  <c r="A141" i="55" s="1"/>
  <c r="B145" i="55"/>
  <c r="A145" i="55" s="1"/>
  <c r="B146" i="55"/>
  <c r="A146" i="55" s="1"/>
  <c r="B147" i="55"/>
  <c r="A147" i="55" s="1"/>
  <c r="B148" i="55"/>
  <c r="A148" i="55" s="1"/>
  <c r="B149" i="55"/>
  <c r="A149" i="55" s="1"/>
  <c r="B151" i="55"/>
  <c r="A151" i="55" s="1"/>
  <c r="B163" i="55"/>
  <c r="A163" i="55" s="1"/>
  <c r="B164" i="55"/>
  <c r="A164" i="55" s="1"/>
  <c r="B167" i="55"/>
  <c r="A167" i="55" s="1"/>
  <c r="B169" i="55"/>
  <c r="A169" i="55" s="1"/>
  <c r="B173" i="55"/>
  <c r="A173" i="55" s="1"/>
  <c r="B174" i="55"/>
  <c r="A174" i="55" s="1"/>
  <c r="B178" i="55"/>
  <c r="A178" i="55" s="1"/>
  <c r="B179" i="55"/>
  <c r="A179" i="55" s="1"/>
  <c r="B180" i="55"/>
  <c r="A180" i="55" s="1"/>
  <c r="B182" i="55"/>
  <c r="A182" i="55" s="1"/>
  <c r="B186" i="55"/>
  <c r="A186" i="55" s="1"/>
  <c r="B190" i="55"/>
  <c r="A190" i="55" s="1"/>
  <c r="B191" i="55"/>
  <c r="A191" i="55" s="1"/>
  <c r="B194" i="55"/>
  <c r="A194" i="55" s="1"/>
  <c r="B195" i="55"/>
  <c r="A195" i="55" s="1"/>
  <c r="B239" i="55"/>
  <c r="A239" i="55" s="1"/>
  <c r="B252" i="55"/>
  <c r="A252" i="55" s="1"/>
  <c r="B253" i="55"/>
  <c r="A253" i="55" s="1"/>
  <c r="B263" i="55"/>
  <c r="A263" i="55" s="1"/>
  <c r="B264" i="55"/>
  <c r="A264" i="55" s="1"/>
  <c r="B266" i="55"/>
  <c r="A266" i="55" s="1"/>
  <c r="B267" i="55"/>
  <c r="A267" i="55" s="1"/>
  <c r="B268" i="55"/>
  <c r="A268" i="55" s="1"/>
  <c r="B270" i="55"/>
  <c r="A270" i="55" s="1"/>
  <c r="B154" i="55"/>
  <c r="A154" i="55" s="1"/>
  <c r="B155" i="55"/>
  <c r="A155" i="55" s="1"/>
  <c r="B156" i="55"/>
  <c r="A156" i="55" s="1"/>
  <c r="B157" i="55"/>
  <c r="A157" i="55" s="1"/>
  <c r="B158" i="55"/>
  <c r="A158" i="55" s="1"/>
  <c r="B203" i="55"/>
  <c r="A203" i="55" s="1"/>
  <c r="B205" i="55"/>
  <c r="A205" i="55" s="1"/>
  <c r="B212" i="55"/>
  <c r="A212" i="55" s="1"/>
  <c r="B213" i="55"/>
  <c r="A213" i="55" s="1"/>
  <c r="B215" i="55"/>
  <c r="A215" i="55" s="1"/>
  <c r="B217" i="55"/>
  <c r="A217" i="55" s="1"/>
  <c r="B218" i="55"/>
  <c r="A218" i="55" s="1"/>
  <c r="B221" i="55"/>
  <c r="A221" i="55" s="1"/>
  <c r="B222" i="55"/>
  <c r="A222" i="55" s="1"/>
  <c r="B225" i="55"/>
  <c r="A225" i="55" s="1"/>
  <c r="B227" i="55"/>
  <c r="A227" i="55" s="1"/>
  <c r="B238" i="55"/>
  <c r="A238" i="55" s="1"/>
  <c r="B484" i="55"/>
  <c r="A484" i="55" s="1"/>
  <c r="B474" i="55"/>
  <c r="A474" i="55" s="1"/>
  <c r="B434" i="55"/>
  <c r="A434" i="55" s="1"/>
  <c r="B729" i="55"/>
  <c r="A729" i="55" s="1"/>
  <c r="B550" i="55"/>
  <c r="A550" i="55" s="1"/>
  <c r="B345" i="55"/>
  <c r="A345" i="55" s="1"/>
  <c r="B647" i="55"/>
  <c r="A647" i="55" s="1"/>
  <c r="B485" i="55"/>
  <c r="A485" i="55" s="1"/>
  <c r="B657" i="55"/>
  <c r="A657" i="55" s="1"/>
  <c r="B377" i="55"/>
  <c r="A377" i="55" s="1"/>
  <c r="B344" i="55"/>
  <c r="A344" i="55" s="1"/>
  <c r="B535" i="55"/>
  <c r="A535" i="55" s="1"/>
  <c r="B536" i="55"/>
  <c r="A536" i="55" s="1"/>
  <c r="B757" i="55"/>
  <c r="A757" i="55" s="1"/>
  <c r="B576" i="55"/>
  <c r="A576" i="55" s="1"/>
  <c r="B487" i="55"/>
  <c r="A487" i="55" s="1"/>
  <c r="B730" i="55"/>
  <c r="A730" i="55" s="1"/>
  <c r="B308" i="55"/>
  <c r="A308" i="55" s="1"/>
  <c r="B732" i="55"/>
  <c r="A732" i="55" s="1"/>
  <c r="B573" i="55"/>
  <c r="A573" i="55" s="1"/>
  <c r="B707" i="55"/>
  <c r="A707" i="55" s="1"/>
  <c r="B277" i="55"/>
  <c r="A277" i="55" s="1"/>
  <c r="B159" i="55"/>
  <c r="B562" i="55"/>
  <c r="A562" i="55" s="1"/>
  <c r="B605" i="55"/>
  <c r="A605" i="55" s="1"/>
  <c r="B661" i="55"/>
  <c r="A661" i="55" s="1"/>
  <c r="B318" i="55"/>
  <c r="A318" i="55" s="1"/>
  <c r="B548" i="55"/>
  <c r="A548" i="55" s="1"/>
  <c r="B384" i="55"/>
  <c r="A384" i="55" s="1"/>
  <c r="B658" i="55"/>
  <c r="A658" i="55" s="1"/>
  <c r="B458" i="55"/>
  <c r="A458" i="55" s="1"/>
  <c r="B680" i="55"/>
  <c r="A680" i="55" s="1"/>
  <c r="B710" i="55"/>
  <c r="A710" i="55" s="1"/>
  <c r="B334" i="55"/>
  <c r="A334" i="55" s="1"/>
  <c r="B300" i="55"/>
  <c r="A300" i="55" s="1"/>
  <c r="B540" i="55"/>
  <c r="A540" i="55" s="1"/>
  <c r="B685" i="55"/>
  <c r="A685" i="55" s="1"/>
  <c r="B688" i="55"/>
  <c r="A688" i="55" s="1"/>
  <c r="B298" i="55"/>
  <c r="A298" i="55" s="1"/>
  <c r="B578" i="55"/>
  <c r="A578" i="55" s="1"/>
  <c r="B604" i="55"/>
  <c r="A604" i="55" s="1"/>
  <c r="B683" i="55"/>
  <c r="A683" i="55" s="1"/>
  <c r="B682" i="55"/>
  <c r="A682" i="55" s="1"/>
  <c r="B403" i="55"/>
  <c r="A403" i="55" s="1"/>
  <c r="B660" i="55"/>
  <c r="A660" i="55" s="1"/>
  <c r="B106" i="55"/>
  <c r="A106" i="55" s="1"/>
  <c r="B108" i="55"/>
  <c r="A108" i="55" s="1"/>
  <c r="B18" i="55"/>
  <c r="A18" i="55" s="1"/>
  <c r="B563" i="55"/>
  <c r="A563" i="55" s="1"/>
  <c r="B307" i="55"/>
  <c r="A307" i="55" s="1"/>
  <c r="B620" i="55"/>
  <c r="A620" i="55" s="1"/>
  <c r="B341" i="55"/>
  <c r="A341" i="55" s="1"/>
  <c r="B321" i="55"/>
  <c r="A321" i="55" s="1"/>
  <c r="B456" i="55"/>
  <c r="A456" i="55" s="1"/>
  <c r="B464" i="55"/>
  <c r="A464" i="55" s="1"/>
  <c r="B545" i="55"/>
  <c r="A545" i="55" s="1"/>
  <c r="B523" i="55"/>
  <c r="A523" i="55" s="1"/>
  <c r="B718" i="55"/>
  <c r="A718" i="55" s="1"/>
  <c r="B303" i="55"/>
  <c r="A303" i="55" s="1"/>
  <c r="B664" i="55"/>
  <c r="A664" i="55" s="1"/>
  <c r="B539" i="55"/>
  <c r="A539" i="55" s="1"/>
  <c r="B75" i="55"/>
  <c r="A75" i="55" s="1"/>
  <c r="B61" i="55"/>
  <c r="B208" i="55"/>
  <c r="A208" i="55" s="1"/>
  <c r="B234" i="55"/>
  <c r="A234" i="55" s="1"/>
  <c r="B228" i="55"/>
  <c r="A228" i="55" s="1"/>
  <c r="B210" i="55"/>
  <c r="A210" i="55" s="1"/>
  <c r="B677" i="55"/>
  <c r="A677" i="55" s="1"/>
  <c r="B207" i="55"/>
  <c r="A207" i="55" s="1"/>
  <c r="B274" i="55"/>
  <c r="A274" i="55" s="1"/>
  <c r="B233" i="55"/>
  <c r="A233" i="55" s="1"/>
  <c r="B144" i="55"/>
  <c r="A144" i="55" s="1"/>
  <c r="B301" i="55"/>
  <c r="A301" i="55" s="1"/>
  <c r="B200" i="55"/>
  <c r="A200" i="55" s="1"/>
  <c r="B176" i="55"/>
  <c r="A176" i="55" s="1"/>
  <c r="B138" i="55"/>
  <c r="A138" i="55" s="1"/>
  <c r="B89" i="55"/>
  <c r="A89" i="55" s="1"/>
  <c r="B549" i="55"/>
  <c r="A549" i="55" s="1"/>
  <c r="B634" i="55"/>
  <c r="A634" i="55" s="1"/>
  <c r="B432" i="55"/>
  <c r="A432" i="55" s="1"/>
  <c r="B575" i="55"/>
  <c r="A575" i="55" s="1"/>
  <c r="B602" i="55"/>
  <c r="A602" i="55" s="1"/>
  <c r="B727" i="55"/>
  <c r="A727" i="55" s="1"/>
  <c r="B786" i="55"/>
  <c r="B12" i="55"/>
  <c r="A12" i="55" s="1"/>
  <c r="K835" i="34"/>
  <c r="K836" i="34"/>
  <c r="K837" i="34"/>
  <c r="K838" i="34"/>
  <c r="K839" i="34"/>
  <c r="K840" i="34"/>
  <c r="K834" i="34"/>
  <c r="C840" i="34"/>
  <c r="B840" i="34" s="1"/>
  <c r="C839" i="34"/>
  <c r="B839" i="34" s="1"/>
  <c r="C838" i="34"/>
  <c r="B838" i="34" s="1"/>
  <c r="C837" i="34"/>
  <c r="B837" i="34" s="1"/>
  <c r="C836" i="34"/>
  <c r="B836" i="34" s="1"/>
  <c r="C835" i="34"/>
  <c r="B835" i="34" s="1"/>
  <c r="C841" i="34"/>
  <c r="B841" i="34" s="1"/>
  <c r="C834" i="34"/>
  <c r="B834" i="34" s="1"/>
  <c r="C966" i="34"/>
  <c r="B966" i="34" s="1"/>
  <c r="C1155" i="34"/>
  <c r="B1155" i="34" s="1"/>
  <c r="Z841" i="34" l="1"/>
  <c r="O841" i="34"/>
  <c r="W841" i="34"/>
  <c r="P841" i="34"/>
  <c r="Q841" i="34"/>
  <c r="U841" i="34"/>
  <c r="A841" i="34"/>
  <c r="Q838" i="34"/>
  <c r="U838" i="34"/>
  <c r="Z838" i="34"/>
  <c r="O838" i="34"/>
  <c r="W838" i="34"/>
  <c r="P838" i="34"/>
  <c r="A838" i="34"/>
  <c r="P1155" i="34"/>
  <c r="Q1155" i="34"/>
  <c r="U1155" i="34"/>
  <c r="Z1155" i="34"/>
  <c r="O1155" i="34"/>
  <c r="W1155" i="34"/>
  <c r="A1155" i="34"/>
  <c r="P835" i="34"/>
  <c r="Q835" i="34"/>
  <c r="U835" i="34"/>
  <c r="Z835" i="34"/>
  <c r="O835" i="34"/>
  <c r="W835" i="34"/>
  <c r="A835" i="34"/>
  <c r="P839" i="34"/>
  <c r="Q839" i="34"/>
  <c r="U839" i="34"/>
  <c r="Z839" i="34"/>
  <c r="O839" i="34"/>
  <c r="W839" i="34"/>
  <c r="A839" i="34"/>
  <c r="Q966" i="34"/>
  <c r="U966" i="34"/>
  <c r="Z966" i="34"/>
  <c r="O966" i="34"/>
  <c r="W966" i="34"/>
  <c r="P966" i="34"/>
  <c r="A966" i="34"/>
  <c r="O836" i="34"/>
  <c r="W836" i="34"/>
  <c r="P836" i="34"/>
  <c r="Q836" i="34"/>
  <c r="U836" i="34"/>
  <c r="Z836" i="34"/>
  <c r="A836" i="34"/>
  <c r="O840" i="34"/>
  <c r="W840" i="34"/>
  <c r="P840" i="34"/>
  <c r="Q840" i="34"/>
  <c r="U840" i="34"/>
  <c r="Z840" i="34"/>
  <c r="A840" i="34"/>
  <c r="Q834" i="34"/>
  <c r="U834" i="34"/>
  <c r="Z834" i="34"/>
  <c r="O834" i="34"/>
  <c r="W834" i="34"/>
  <c r="P834" i="34"/>
  <c r="A834" i="34"/>
  <c r="Z837" i="34"/>
  <c r="O837" i="34"/>
  <c r="W837" i="34"/>
  <c r="P837" i="34"/>
  <c r="Q837" i="34"/>
  <c r="U837" i="34"/>
  <c r="A837" i="34"/>
  <c r="K35" i="55"/>
  <c r="K13" i="55"/>
  <c r="K25" i="55"/>
  <c r="K36" i="55"/>
  <c r="K56" i="55"/>
  <c r="K121" i="55"/>
  <c r="K84" i="55"/>
  <c r="K194" i="55"/>
  <c r="K182" i="55"/>
  <c r="K16" i="55"/>
  <c r="K729" i="55"/>
  <c r="K268" i="55"/>
  <c r="K221" i="55"/>
  <c r="K148" i="55"/>
  <c r="K269" i="55"/>
  <c r="K468" i="55"/>
  <c r="K487" i="55"/>
  <c r="K222" i="55"/>
  <c r="K157" i="55"/>
  <c r="K270" i="55"/>
  <c r="K264" i="55"/>
  <c r="K239" i="55"/>
  <c r="K190" i="55"/>
  <c r="K174" i="55"/>
  <c r="K139" i="55"/>
  <c r="K102" i="55"/>
  <c r="K711" i="55"/>
  <c r="K736" i="55"/>
  <c r="K308" i="55"/>
  <c r="K212" i="55"/>
  <c r="K205" i="55"/>
  <c r="K186" i="55"/>
  <c r="K699" i="55"/>
  <c r="K738" i="55"/>
  <c r="K455" i="55"/>
  <c r="K46" i="55"/>
  <c r="K171" i="55"/>
  <c r="K562" i="55"/>
  <c r="K658" i="55"/>
  <c r="K550" i="55"/>
  <c r="K117" i="55"/>
  <c r="K55" i="55"/>
  <c r="K34" i="55"/>
  <c r="K297" i="55"/>
  <c r="K129" i="55"/>
  <c r="K325" i="55"/>
  <c r="K116" i="55"/>
  <c r="K604" i="55"/>
  <c r="K300" i="55"/>
  <c r="K344" i="55"/>
  <c r="K719" i="55"/>
  <c r="K371" i="55"/>
  <c r="K659" i="55"/>
  <c r="K500" i="55"/>
  <c r="K118" i="55"/>
  <c r="K444" i="55"/>
  <c r="K209" i="55"/>
  <c r="K750" i="55"/>
  <c r="K674" i="55"/>
  <c r="K484" i="55"/>
  <c r="K238" i="55"/>
  <c r="K217" i="55"/>
  <c r="K158" i="55"/>
  <c r="K156" i="55"/>
  <c r="K266" i="55"/>
  <c r="K252" i="55"/>
  <c r="K195" i="55"/>
  <c r="K178" i="55"/>
  <c r="K149" i="55"/>
  <c r="K145" i="55"/>
  <c r="K119" i="55"/>
  <c r="K101" i="55"/>
  <c r="K79" i="55"/>
  <c r="K554" i="55"/>
  <c r="K460" i="55"/>
  <c r="K691" i="55"/>
  <c r="K48" i="55"/>
  <c r="K193" i="55"/>
  <c r="K676" i="55"/>
  <c r="K483" i="55"/>
  <c r="K57" i="55"/>
  <c r="K406" i="55"/>
  <c r="K172" i="55"/>
  <c r="K166" i="55"/>
  <c r="K296" i="55"/>
  <c r="K60" i="55"/>
  <c r="K657" i="55"/>
  <c r="K213" i="55"/>
  <c r="K154" i="55"/>
  <c r="K263" i="55"/>
  <c r="K191" i="55"/>
  <c r="K167" i="55"/>
  <c r="K162" i="55"/>
  <c r="K401" i="55"/>
  <c r="K299" i="55"/>
  <c r="K475" i="55"/>
  <c r="K759" i="55"/>
  <c r="K631" i="55"/>
  <c r="K160" i="55"/>
  <c r="K610" i="55"/>
  <c r="K39" i="55"/>
  <c r="K601" i="55"/>
  <c r="K91" i="55"/>
  <c r="K278" i="55"/>
  <c r="K385" i="55"/>
  <c r="K107" i="55"/>
  <c r="K633" i="55"/>
  <c r="K211" i="55"/>
  <c r="K684" i="55"/>
  <c r="K197" i="55"/>
  <c r="K96" i="55"/>
  <c r="K721" i="55"/>
  <c r="K557" i="55"/>
  <c r="K181" i="55"/>
  <c r="K199" i="55"/>
  <c r="K495" i="55"/>
  <c r="K310" i="55"/>
  <c r="K306" i="55"/>
  <c r="K313" i="55"/>
  <c r="K450" i="55"/>
  <c r="K621" i="55"/>
  <c r="K356" i="55"/>
  <c r="K90" i="55"/>
  <c r="K366" i="55"/>
  <c r="K379" i="55"/>
  <c r="K50" i="55"/>
  <c r="K136" i="55"/>
  <c r="K314" i="55"/>
  <c r="K553" i="55"/>
  <c r="K535" i="55"/>
  <c r="K345" i="55"/>
  <c r="K215" i="55"/>
  <c r="K203" i="55"/>
  <c r="K155" i="55"/>
  <c r="K267" i="55"/>
  <c r="K253" i="55"/>
  <c r="K516" i="55"/>
  <c r="K555" i="55"/>
  <c r="K54" i="55"/>
  <c r="K237" i="55"/>
  <c r="K95" i="55"/>
  <c r="K131" i="55"/>
  <c r="K359" i="55"/>
  <c r="K159" i="55"/>
  <c r="K576" i="55"/>
  <c r="K647" i="55"/>
  <c r="K434" i="55"/>
  <c r="K225" i="55"/>
  <c r="K120" i="55"/>
  <c r="K192" i="55"/>
  <c r="K62" i="55"/>
  <c r="K236" i="55"/>
  <c r="K185" i="55"/>
  <c r="K49" i="55"/>
  <c r="K135" i="55"/>
  <c r="K38" i="55"/>
  <c r="K398" i="55"/>
  <c r="K635" i="55"/>
  <c r="K681" i="55"/>
  <c r="K326" i="55"/>
  <c r="K467" i="55"/>
  <c r="K219" i="55"/>
  <c r="K255" i="55"/>
  <c r="K70" i="55"/>
  <c r="K538" i="55"/>
  <c r="K97" i="55"/>
  <c r="K214" i="55"/>
  <c r="K471" i="55"/>
  <c r="K722" i="55"/>
  <c r="K758" i="55"/>
  <c r="K370" i="55"/>
  <c r="K584" i="55"/>
  <c r="K649" i="55"/>
  <c r="K206" i="55"/>
  <c r="K235" i="55"/>
  <c r="K488" i="55"/>
  <c r="K150" i="55"/>
  <c r="K360" i="55"/>
  <c r="K100" i="55"/>
  <c r="K80" i="55"/>
  <c r="K204" i="55"/>
  <c r="K183" i="55"/>
  <c r="K262" i="55"/>
  <c r="K651" i="55"/>
  <c r="K124" i="55"/>
  <c r="K318" i="55"/>
  <c r="K732" i="55"/>
  <c r="K534" i="55"/>
  <c r="K342" i="55"/>
  <c r="K636" i="55"/>
  <c r="K63" i="55"/>
  <c r="K271" i="55"/>
  <c r="K648" i="55"/>
  <c r="K175" i="55"/>
  <c r="K542" i="55"/>
  <c r="K321" i="55"/>
  <c r="K106" i="55"/>
  <c r="K403" i="55"/>
  <c r="K548" i="55"/>
  <c r="K277" i="55"/>
  <c r="K757" i="55"/>
  <c r="K485" i="55"/>
  <c r="K474" i="55"/>
  <c r="K227" i="55"/>
  <c r="K218" i="55"/>
  <c r="K37" i="55"/>
  <c r="K715" i="55"/>
  <c r="K317" i="55"/>
  <c r="K451" i="55"/>
  <c r="K165" i="55"/>
  <c r="K712" i="55"/>
  <c r="K709" i="55"/>
  <c r="K328" i="55"/>
  <c r="K51" i="55"/>
  <c r="K627" i="55"/>
  <c r="K667" i="55"/>
  <c r="K201" i="55"/>
  <c r="K537" i="55"/>
  <c r="K224" i="55"/>
  <c r="K189" i="55"/>
  <c r="K177" i="55"/>
  <c r="K69" i="55"/>
  <c r="K126" i="55"/>
  <c r="K168" i="55"/>
  <c r="K574" i="55"/>
  <c r="K723" i="55"/>
  <c r="K612" i="55"/>
  <c r="K433" i="55"/>
  <c r="K229" i="55"/>
  <c r="K127" i="55"/>
  <c r="K103" i="55"/>
  <c r="K230" i="55"/>
  <c r="K428" i="55"/>
  <c r="K354" i="55"/>
  <c r="K33" i="55"/>
  <c r="K226" i="55"/>
  <c r="K374" i="55"/>
  <c r="K311" i="55"/>
  <c r="K702" i="55"/>
  <c r="K282" i="55"/>
  <c r="K506" i="55"/>
  <c r="K58" i="55"/>
  <c r="K656" i="55"/>
  <c r="K47" i="55"/>
  <c r="K170" i="55"/>
  <c r="K502" i="55"/>
  <c r="K125" i="55"/>
  <c r="K110" i="55"/>
  <c r="K94" i="55"/>
  <c r="K142" i="55"/>
  <c r="K216" i="55"/>
  <c r="K188" i="55"/>
  <c r="K353" i="55"/>
  <c r="K350" i="55"/>
  <c r="K290" i="55"/>
  <c r="K445" i="55"/>
  <c r="K77" i="55"/>
  <c r="K673" i="55"/>
  <c r="K583" i="55"/>
  <c r="K265" i="55"/>
  <c r="K137" i="55"/>
  <c r="K600" i="55"/>
  <c r="K184" i="55"/>
  <c r="K232" i="55"/>
  <c r="K453" i="55"/>
  <c r="K335" i="55"/>
  <c r="K340" i="55"/>
  <c r="K243" i="55"/>
  <c r="K78" i="55"/>
  <c r="K64" i="55"/>
  <c r="K476" i="55"/>
  <c r="K187" i="55"/>
  <c r="K580" i="55"/>
  <c r="K163" i="55"/>
  <c r="K564" i="55"/>
  <c r="K334" i="55"/>
  <c r="K680" i="55"/>
  <c r="K661" i="55"/>
  <c r="K573" i="55"/>
  <c r="K377" i="55"/>
  <c r="K725" i="55"/>
  <c r="K652" i="55"/>
  <c r="K653" i="55"/>
  <c r="K223" i="55"/>
  <c r="K464" i="55"/>
  <c r="K458" i="55"/>
  <c r="K307" i="55"/>
  <c r="K578" i="55"/>
  <c r="K688" i="55"/>
  <c r="K710" i="55"/>
  <c r="K384" i="55"/>
  <c r="K605" i="55"/>
  <c r="K707" i="55"/>
  <c r="K730" i="55"/>
  <c r="K536" i="55"/>
  <c r="K180" i="55"/>
  <c r="K173" i="55"/>
  <c r="K620" i="55"/>
  <c r="K545" i="55"/>
  <c r="K563" i="55"/>
  <c r="K179" i="55"/>
  <c r="K231" i="55"/>
  <c r="K654" i="55"/>
  <c r="K196" i="55"/>
  <c r="K152" i="55"/>
  <c r="K234" i="55"/>
  <c r="K61" i="55"/>
  <c r="K86" i="55"/>
  <c r="K399" i="55"/>
  <c r="K692" i="55"/>
  <c r="K486" i="55"/>
  <c r="K220" i="55"/>
  <c r="K660" i="55"/>
  <c r="K169" i="55"/>
  <c r="K164" i="55"/>
  <c r="K276" i="55"/>
  <c r="K452" i="55"/>
  <c r="K198" i="55"/>
  <c r="K273" i="55"/>
  <c r="K383" i="55"/>
  <c r="K151" i="55"/>
  <c r="K141" i="55"/>
  <c r="K134" i="55"/>
  <c r="K111" i="55"/>
  <c r="K98" i="55"/>
  <c r="K522" i="55"/>
  <c r="K40" i="55"/>
  <c r="K26" i="55"/>
  <c r="K456" i="55"/>
  <c r="K685" i="55"/>
  <c r="K130" i="55"/>
  <c r="K664" i="55"/>
  <c r="K341" i="55"/>
  <c r="K108" i="55"/>
  <c r="K210" i="55"/>
  <c r="K523" i="55"/>
  <c r="K18" i="55"/>
  <c r="K683" i="55"/>
  <c r="K147" i="55"/>
  <c r="K733" i="55"/>
  <c r="K642" i="55"/>
  <c r="K93" i="55"/>
  <c r="K202" i="55"/>
  <c r="K153" i="55"/>
  <c r="K272" i="55"/>
  <c r="K682" i="55"/>
  <c r="K298" i="55"/>
  <c r="K540" i="55"/>
  <c r="K539" i="55"/>
  <c r="K140" i="55"/>
  <c r="K122" i="55"/>
  <c r="K104" i="55"/>
  <c r="K74" i="55"/>
  <c r="K718" i="55"/>
  <c r="K677" i="55"/>
  <c r="K228" i="55"/>
  <c r="K75" i="55"/>
  <c r="K303" i="55"/>
  <c r="K146" i="55"/>
  <c r="K76" i="55"/>
  <c r="K602" i="55"/>
  <c r="K432" i="55"/>
  <c r="K208" i="55"/>
  <c r="K207" i="55"/>
  <c r="K549" i="55"/>
  <c r="K89" i="55"/>
  <c r="K176" i="55"/>
  <c r="K301" i="55"/>
  <c r="K274" i="55"/>
  <c r="K727" i="55"/>
  <c r="K575" i="55"/>
  <c r="K634" i="55"/>
  <c r="K138" i="55"/>
  <c r="K200" i="55"/>
  <c r="K144" i="55"/>
  <c r="K233" i="55"/>
  <c r="K12" i="55"/>
  <c r="C199" i="34"/>
  <c r="C197" i="34"/>
  <c r="C198" i="34"/>
  <c r="C183" i="34"/>
  <c r="C184" i="34"/>
  <c r="C185" i="34"/>
  <c r="C186" i="34"/>
  <c r="C188" i="34"/>
  <c r="C189" i="34"/>
  <c r="C190" i="34"/>
  <c r="C191" i="34"/>
  <c r="C192" i="34"/>
  <c r="C194" i="34"/>
  <c r="C195" i="34"/>
  <c r="C196" i="34"/>
  <c r="C149" i="34"/>
  <c r="B149" i="34" s="1"/>
  <c r="C145" i="34"/>
  <c r="B145" i="34" s="1"/>
  <c r="C143" i="34"/>
  <c r="B143" i="34" s="1"/>
  <c r="C140" i="34"/>
  <c r="B140" i="34" s="1"/>
  <c r="Q145" i="34" l="1"/>
  <c r="U145" i="34"/>
  <c r="R145" i="34"/>
  <c r="Z145" i="34"/>
  <c r="O145" i="34"/>
  <c r="S145" i="34"/>
  <c r="W145" i="34"/>
  <c r="P145" i="34"/>
  <c r="T145" i="34"/>
  <c r="A145" i="34"/>
  <c r="Q149" i="34"/>
  <c r="U149" i="34"/>
  <c r="R149" i="34"/>
  <c r="Z149" i="34"/>
  <c r="O149" i="34"/>
  <c r="S149" i="34"/>
  <c r="W149" i="34"/>
  <c r="P149" i="34"/>
  <c r="T149" i="34"/>
  <c r="A149" i="34"/>
  <c r="R140" i="34"/>
  <c r="Z140" i="34"/>
  <c r="O140" i="34"/>
  <c r="S140" i="34"/>
  <c r="W140" i="34"/>
  <c r="P140" i="34"/>
  <c r="T140" i="34"/>
  <c r="Q140" i="34"/>
  <c r="U140" i="34"/>
  <c r="A140" i="34"/>
  <c r="O143" i="34"/>
  <c r="S143" i="34"/>
  <c r="W143" i="34"/>
  <c r="P143" i="34"/>
  <c r="T143" i="34"/>
  <c r="Q143" i="34"/>
  <c r="U143" i="34"/>
  <c r="R143" i="34"/>
  <c r="Z143" i="34"/>
  <c r="A143" i="34"/>
  <c r="C1876" i="34"/>
  <c r="B1876" i="34" s="1"/>
  <c r="K1876" i="34"/>
  <c r="Q1876" i="34" l="1"/>
  <c r="U1876" i="34"/>
  <c r="Z1876" i="34"/>
  <c r="O1876" i="34"/>
  <c r="W1876" i="34"/>
  <c r="P1876" i="34"/>
  <c r="A1876" i="34"/>
  <c r="G42" i="15"/>
  <c r="H42" i="15"/>
  <c r="K2114" i="34" l="1"/>
  <c r="K2125" i="34"/>
  <c r="K2073" i="34"/>
  <c r="K2100" i="34"/>
  <c r="K2075" i="34"/>
  <c r="K2115" i="34"/>
  <c r="K2074" i="34"/>
  <c r="K2118" i="34"/>
  <c r="K2119" i="34"/>
  <c r="K2105" i="34"/>
  <c r="K2111" i="34"/>
  <c r="K2091" i="34"/>
  <c r="K2093" i="34"/>
  <c r="K2069" i="34"/>
  <c r="K2108" i="34"/>
  <c r="K2070" i="34"/>
  <c r="K2107" i="34"/>
  <c r="K2066" i="34"/>
  <c r="K2094" i="34"/>
  <c r="K2103" i="34"/>
  <c r="K2109" i="34"/>
  <c r="K2126" i="34"/>
  <c r="K2130" i="34"/>
  <c r="K2129" i="34"/>
  <c r="K2063" i="34"/>
  <c r="K2116" i="34"/>
  <c r="K2064" i="34"/>
  <c r="K2092" i="34"/>
  <c r="K2122" i="34"/>
  <c r="K2110" i="34"/>
  <c r="K2067" i="34"/>
  <c r="K2127" i="34"/>
  <c r="K2076" i="34"/>
  <c r="K2124" i="34"/>
  <c r="K2072" i="34"/>
  <c r="K2121" i="34"/>
  <c r="K2128" i="34"/>
  <c r="K2101" i="34"/>
  <c r="K2123" i="34"/>
  <c r="K2062" i="34"/>
  <c r="K2059" i="34" l="1"/>
  <c r="K2060" i="34"/>
  <c r="K2081" i="34"/>
  <c r="K2083" i="34"/>
  <c r="K2088" i="34"/>
  <c r="K2079" i="34"/>
  <c r="K2089" i="34"/>
  <c r="K2086" i="34"/>
  <c r="K2090" i="34"/>
  <c r="K2104" i="34"/>
  <c r="K2077" i="34"/>
  <c r="K2078" i="34"/>
  <c r="K2084" i="34"/>
  <c r="K2098" i="34"/>
  <c r="K2095" i="34"/>
  <c r="K2102" i="34"/>
  <c r="K2080" i="34"/>
  <c r="K2085" i="34"/>
  <c r="K2082" i="34"/>
  <c r="K2106" i="34"/>
  <c r="K2087" i="34"/>
  <c r="K2096" i="34"/>
  <c r="K2112" i="34"/>
  <c r="K2097" i="34"/>
  <c r="K2099" i="34"/>
  <c r="K2113" i="34"/>
  <c r="K2120" i="34"/>
  <c r="K2065" i="34"/>
  <c r="K2068" i="34"/>
  <c r="K2071" i="34"/>
  <c r="K2117" i="34"/>
  <c r="K1996" i="34" l="1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7" i="34"/>
  <c r="K2018" i="34"/>
  <c r="K2019" i="34"/>
  <c r="K2020" i="34"/>
  <c r="K2024" i="34"/>
  <c r="K2026" i="34"/>
  <c r="K2027" i="34"/>
  <c r="K2029" i="34"/>
  <c r="K2031" i="34"/>
  <c r="K2032" i="34"/>
  <c r="K2033" i="34"/>
  <c r="K2034" i="34"/>
  <c r="K2036" i="34"/>
  <c r="K2038" i="34"/>
  <c r="K2040" i="34"/>
  <c r="K2041" i="34"/>
  <c r="K2042" i="34"/>
  <c r="K2043" i="34"/>
  <c r="K2045" i="34"/>
  <c r="K2047" i="34"/>
  <c r="K2051" i="34"/>
  <c r="K2052" i="34"/>
  <c r="K2053" i="34"/>
  <c r="K2054" i="34"/>
  <c r="K2055" i="34"/>
  <c r="K2057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53" i="34"/>
  <c r="K1954" i="34"/>
  <c r="K1955" i="34"/>
  <c r="K1956" i="34"/>
  <c r="K1957" i="34"/>
  <c r="K1958" i="34"/>
  <c r="K1959" i="34"/>
  <c r="K1960" i="34"/>
  <c r="K1962" i="34"/>
  <c r="K1964" i="34"/>
  <c r="K1966" i="34"/>
  <c r="K1968" i="34"/>
  <c r="K1969" i="34"/>
  <c r="K1970" i="34"/>
  <c r="K1971" i="34"/>
  <c r="K1972" i="34"/>
  <c r="K1973" i="34"/>
  <c r="K1974" i="34"/>
  <c r="K1975" i="34"/>
  <c r="K1951" i="34"/>
  <c r="K1915" i="34"/>
  <c r="K1895" i="34"/>
  <c r="K1871" i="34"/>
  <c r="K1865" i="34"/>
  <c r="K1866" i="34"/>
  <c r="K1879" i="34"/>
  <c r="K1939" i="34"/>
  <c r="K1930" i="34"/>
  <c r="K1872" i="34"/>
  <c r="K1944" i="34"/>
  <c r="K1893" i="34"/>
  <c r="K1914" i="34"/>
  <c r="K1945" i="34"/>
  <c r="K1859" i="34"/>
  <c r="K1935" i="34"/>
  <c r="K1888" i="34"/>
  <c r="K1901" i="34"/>
  <c r="K1902" i="34"/>
  <c r="K1873" i="34"/>
  <c r="K1868" i="34"/>
  <c r="K1870" i="34"/>
  <c r="K1856" i="34"/>
  <c r="K1913" i="34"/>
  <c r="K1928" i="34"/>
  <c r="K1875" i="34"/>
  <c r="K1891" i="34"/>
  <c r="K1899" i="34"/>
  <c r="K1890" i="34"/>
  <c r="K1874" i="34"/>
  <c r="K1931" i="34"/>
  <c r="K1948" i="34"/>
  <c r="K1850" i="34"/>
  <c r="K1920" i="34"/>
  <c r="K1933" i="34"/>
  <c r="K1907" i="34"/>
  <c r="K1921" i="34"/>
  <c r="K1843" i="34"/>
  <c r="K1904" i="34"/>
  <c r="K1932" i="34"/>
  <c r="K1942" i="34"/>
  <c r="K1923" i="34"/>
  <c r="K1926" i="34"/>
  <c r="K1896" i="34"/>
  <c r="K1877" i="34"/>
  <c r="K1851" i="34"/>
  <c r="K1922" i="34"/>
  <c r="K1949" i="34"/>
  <c r="K1847" i="34"/>
  <c r="K1881" i="34"/>
  <c r="K1897" i="34"/>
  <c r="K1924" i="34"/>
  <c r="K1916" i="34"/>
  <c r="K1941" i="34"/>
  <c r="K1946" i="34"/>
  <c r="K1880" i="34"/>
  <c r="K1889" i="34"/>
  <c r="K1906" i="34"/>
  <c r="K1905" i="34"/>
  <c r="K1848" i="34"/>
  <c r="K1861" i="34"/>
  <c r="K1894" i="34"/>
  <c r="K1892" i="34"/>
  <c r="K1936" i="34"/>
  <c r="K1862" i="34"/>
  <c r="K1855" i="34"/>
  <c r="K1853" i="34"/>
  <c r="K1883" i="34"/>
  <c r="K1911" i="34"/>
  <c r="K1863" i="34"/>
  <c r="K1917" i="34"/>
  <c r="K1886" i="34"/>
  <c r="C1837" i="34" l="1"/>
  <c r="K1837" i="34"/>
  <c r="C1838" i="34"/>
  <c r="K1746" i="34"/>
  <c r="K1730" i="34" l="1"/>
  <c r="K1732" i="34"/>
  <c r="K1815" i="34"/>
  <c r="K1783" i="34"/>
  <c r="K1792" i="34"/>
  <c r="K1793" i="34"/>
  <c r="K1787" i="34"/>
  <c r="K1788" i="34"/>
  <c r="K1810" i="34"/>
  <c r="K1760" i="34"/>
  <c r="K1779" i="34"/>
  <c r="K1804" i="34"/>
  <c r="K1780" i="34"/>
  <c r="K1808" i="34"/>
  <c r="K1782" i="34"/>
  <c r="K1799" i="34"/>
  <c r="K1756" i="34"/>
  <c r="K1794" i="34"/>
  <c r="K1748" i="34"/>
  <c r="K1754" i="34"/>
  <c r="K1811" i="34"/>
  <c r="K1776" i="34"/>
  <c r="K1796" i="34"/>
  <c r="K1813" i="34"/>
  <c r="K1761" i="34"/>
  <c r="K1805" i="34"/>
  <c r="K1806" i="34"/>
  <c r="K1812" i="34"/>
  <c r="K1747" i="34"/>
  <c r="K1795" i="34"/>
  <c r="K1755" i="34"/>
  <c r="K1777" i="34"/>
  <c r="K1753" i="34"/>
  <c r="K1752" i="34"/>
  <c r="K1757" i="34"/>
  <c r="K1750" i="34"/>
  <c r="K1773" i="34"/>
  <c r="K1775" i="34"/>
  <c r="K1784" i="34"/>
  <c r="K1758" i="34"/>
  <c r="K1801" i="34"/>
  <c r="K1785" i="34"/>
  <c r="K1790" i="34"/>
  <c r="K1786" i="34"/>
  <c r="K1809" i="34"/>
  <c r="K1803" i="34"/>
  <c r="K1814" i="34"/>
  <c r="K1791" i="34"/>
  <c r="K1766" i="34"/>
  <c r="K1802" i="34"/>
  <c r="K1762" i="34"/>
  <c r="K1759" i="34"/>
  <c r="K1765" i="34"/>
  <c r="K1764" i="34"/>
  <c r="K1763" i="34"/>
  <c r="K1789" i="34"/>
  <c r="K1774" i="34"/>
  <c r="K1798" i="34"/>
  <c r="K1797" i="34"/>
  <c r="K1800" i="34"/>
  <c r="K1770" i="34"/>
  <c r="K1771" i="34"/>
  <c r="K1772" i="34"/>
  <c r="K1767" i="34"/>
  <c r="K1781" i="34"/>
  <c r="K1768" i="34"/>
  <c r="K1778" i="34"/>
  <c r="K1769" i="34"/>
  <c r="K1749" i="34"/>
  <c r="K1751" i="34"/>
  <c r="K1745" i="34"/>
  <c r="K1807" i="34"/>
  <c r="K1736" i="34"/>
  <c r="K1737" i="34"/>
  <c r="K1738" i="34"/>
  <c r="K1739" i="34"/>
  <c r="K1817" i="34"/>
  <c r="K1821" i="34"/>
  <c r="K1823" i="34"/>
  <c r="K1825" i="34"/>
  <c r="K1827" i="34"/>
  <c r="K1829" i="34"/>
  <c r="K1834" i="34"/>
  <c r="K1835" i="34"/>
  <c r="K1836" i="34"/>
  <c r="K1831" i="34"/>
  <c r="K1832" i="34"/>
  <c r="K1839" i="34"/>
  <c r="K1878" i="34"/>
  <c r="K1938" i="34"/>
  <c r="K1900" i="34"/>
  <c r="K1919" i="34"/>
  <c r="K1934" i="34"/>
  <c r="K1912" i="34"/>
  <c r="K1898" i="34"/>
  <c r="K1925" i="34"/>
  <c r="K1903" i="34"/>
  <c r="K1885" i="34"/>
  <c r="K1947" i="34"/>
  <c r="K1842" i="34"/>
  <c r="K1943" i="34"/>
  <c r="K1846" i="34"/>
  <c r="K1918" i="34"/>
  <c r="K1864" i="34"/>
  <c r="K1887" i="34"/>
  <c r="K1852" i="34"/>
  <c r="K1854" i="34"/>
  <c r="K1869" i="34"/>
  <c r="K1849" i="34"/>
  <c r="K1882" i="34"/>
  <c r="K1884" i="34"/>
  <c r="K1910" i="34"/>
  <c r="K1844" i="34"/>
  <c r="K1845" i="34"/>
  <c r="K1908" i="34"/>
  <c r="K1929" i="34"/>
  <c r="K1940" i="34"/>
  <c r="K1937" i="34"/>
  <c r="K1909" i="34"/>
  <c r="K1858" i="34"/>
  <c r="K1841" i="34"/>
  <c r="K1860" i="34"/>
  <c r="K1867" i="34"/>
  <c r="K1857" i="34"/>
  <c r="K1927" i="34"/>
  <c r="K18" i="34"/>
  <c r="C18" i="34"/>
  <c r="B18" i="34" s="1"/>
  <c r="K1716" i="34"/>
  <c r="K1714" i="34"/>
  <c r="K1706" i="34"/>
  <c r="K1688" i="34"/>
  <c r="K1690" i="34"/>
  <c r="K1692" i="34"/>
  <c r="K1694" i="34"/>
  <c r="K1695" i="34"/>
  <c r="K1696" i="34"/>
  <c r="K1698" i="34"/>
  <c r="K1700" i="34"/>
  <c r="K1702" i="34"/>
  <c r="K1704" i="34"/>
  <c r="K1708" i="34"/>
  <c r="K1710" i="34"/>
  <c r="K1712" i="34"/>
  <c r="K1718" i="34"/>
  <c r="K1720" i="34"/>
  <c r="K1721" i="34"/>
  <c r="K1723" i="34"/>
  <c r="K1725" i="34"/>
  <c r="K1727" i="34"/>
  <c r="K1728" i="34"/>
  <c r="K1729" i="34"/>
  <c r="K424" i="34"/>
  <c r="K423" i="34"/>
  <c r="K422" i="34"/>
  <c r="K421" i="34"/>
  <c r="P18" i="34" l="1"/>
  <c r="Q18" i="34"/>
  <c r="U18" i="34"/>
  <c r="Z18" i="34"/>
  <c r="O18" i="34"/>
  <c r="W18" i="34"/>
  <c r="A18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712" i="34"/>
  <c r="K708" i="34"/>
  <c r="K709" i="34"/>
  <c r="K710" i="34"/>
  <c r="K707" i="34"/>
  <c r="K702" i="34"/>
  <c r="K701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82" i="34"/>
  <c r="K656" i="34"/>
  <c r="K657" i="34"/>
  <c r="K658" i="34"/>
  <c r="K659" i="34"/>
  <c r="K650" i="34"/>
  <c r="K651" i="34"/>
  <c r="K652" i="34"/>
  <c r="K653" i="34"/>
  <c r="K654" i="34"/>
  <c r="K655" i="34"/>
  <c r="K649" i="34"/>
  <c r="K645" i="34"/>
  <c r="K646" i="34"/>
  <c r="K647" i="34"/>
  <c r="K644" i="34"/>
  <c r="K625" i="34"/>
  <c r="K624" i="34"/>
  <c r="K623" i="34"/>
  <c r="K1157" i="34"/>
  <c r="K1156" i="34"/>
  <c r="K1017" i="34"/>
  <c r="K1019" i="34"/>
  <c r="K1016" i="34"/>
  <c r="K1014" i="34"/>
  <c r="K980" i="34"/>
  <c r="K967" i="34"/>
  <c r="K705" i="34"/>
  <c r="K704" i="34"/>
  <c r="K634" i="34"/>
  <c r="A34" i="70" l="1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A61" i="55" l="1"/>
  <c r="C1929" i="34" l="1"/>
  <c r="C1940" i="34"/>
  <c r="C1937" i="34"/>
  <c r="C1909" i="34"/>
  <c r="C1858" i="34"/>
  <c r="C1841" i="34"/>
  <c r="C1860" i="34"/>
  <c r="C1867" i="34"/>
  <c r="C1857" i="34"/>
  <c r="C1927" i="34"/>
  <c r="C1915" i="34"/>
  <c r="C1895" i="34"/>
  <c r="C1871" i="34"/>
  <c r="C1865" i="34"/>
  <c r="C1866" i="34"/>
  <c r="C1879" i="34"/>
  <c r="C1939" i="34"/>
  <c r="C1930" i="34"/>
  <c r="C1872" i="34"/>
  <c r="C1944" i="34"/>
  <c r="C1893" i="34"/>
  <c r="C1914" i="34"/>
  <c r="C1945" i="34"/>
  <c r="C1859" i="34"/>
  <c r="C1935" i="34"/>
  <c r="C1888" i="34"/>
  <c r="C1901" i="34"/>
  <c r="C1902" i="34"/>
  <c r="C1873" i="34"/>
  <c r="C1868" i="34"/>
  <c r="C1870" i="34"/>
  <c r="C1856" i="34"/>
  <c r="C1913" i="34"/>
  <c r="C1928" i="34"/>
  <c r="C1875" i="34"/>
  <c r="C1891" i="34"/>
  <c r="C1899" i="34"/>
  <c r="C1890" i="34"/>
  <c r="C1874" i="34"/>
  <c r="C1931" i="34"/>
  <c r="C1948" i="34"/>
  <c r="C1850" i="34"/>
  <c r="C1920" i="34"/>
  <c r="C1933" i="34"/>
  <c r="C1907" i="34"/>
  <c r="C1921" i="34"/>
  <c r="C1843" i="34"/>
  <c r="C1904" i="34"/>
  <c r="C1932" i="34"/>
  <c r="C1942" i="34"/>
  <c r="C1923" i="34"/>
  <c r="C1926" i="34"/>
  <c r="C1896" i="34"/>
  <c r="C1877" i="34"/>
  <c r="C1851" i="34"/>
  <c r="C1922" i="34"/>
  <c r="C1949" i="34"/>
  <c r="C1847" i="34"/>
  <c r="C1881" i="34"/>
  <c r="C1897" i="34"/>
  <c r="C1924" i="34"/>
  <c r="C1916" i="34"/>
  <c r="C1941" i="34"/>
  <c r="C1946" i="34"/>
  <c r="C1880" i="34"/>
  <c r="C1889" i="34"/>
  <c r="C1906" i="34"/>
  <c r="C1905" i="34"/>
  <c r="C1848" i="34"/>
  <c r="C1861" i="34"/>
  <c r="C1894" i="34"/>
  <c r="C1892" i="34"/>
  <c r="C1936" i="34"/>
  <c r="C1862" i="34"/>
  <c r="C1855" i="34"/>
  <c r="C1853" i="34"/>
  <c r="C1883" i="34"/>
  <c r="C1911" i="34"/>
  <c r="C1863" i="34"/>
  <c r="C1917" i="34"/>
  <c r="C1886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81" i="34"/>
  <c r="C2083" i="34"/>
  <c r="C2088" i="34"/>
  <c r="C2079" i="34"/>
  <c r="C2089" i="34"/>
  <c r="C2086" i="34"/>
  <c r="C2090" i="34"/>
  <c r="C2104" i="34"/>
  <c r="C2077" i="34"/>
  <c r="C2078" i="34"/>
  <c r="C2084" i="34"/>
  <c r="C2098" i="34"/>
  <c r="C2095" i="34"/>
  <c r="C2102" i="34"/>
  <c r="C2080" i="34"/>
  <c r="C2085" i="34"/>
  <c r="C2082" i="34"/>
  <c r="C2106" i="34"/>
  <c r="C2087" i="34"/>
  <c r="C2096" i="34"/>
  <c r="C2112" i="34"/>
  <c r="C2097" i="34"/>
  <c r="C2099" i="34"/>
  <c r="C2113" i="34"/>
  <c r="C2120" i="34"/>
  <c r="C2065" i="34"/>
  <c r="C2068" i="34"/>
  <c r="C2071" i="34"/>
  <c r="C2117" i="34"/>
  <c r="C2114" i="34"/>
  <c r="C2125" i="34"/>
  <c r="C2073" i="34"/>
  <c r="C2100" i="34"/>
  <c r="C2075" i="34"/>
  <c r="C2115" i="34"/>
  <c r="C2074" i="34"/>
  <c r="C2118" i="34"/>
  <c r="C2119" i="34"/>
  <c r="C2105" i="34"/>
  <c r="C2111" i="34"/>
  <c r="C2091" i="34"/>
  <c r="C2093" i="34"/>
  <c r="C2069" i="34"/>
  <c r="C2108" i="34"/>
  <c r="C2070" i="34"/>
  <c r="C2107" i="34"/>
  <c r="C2066" i="34"/>
  <c r="C2094" i="34"/>
  <c r="C2103" i="34"/>
  <c r="C2109" i="34"/>
  <c r="C2126" i="34"/>
  <c r="C2130" i="34"/>
  <c r="C2129" i="34"/>
  <c r="C2063" i="34"/>
  <c r="C2116" i="34"/>
  <c r="C2064" i="34"/>
  <c r="C2092" i="34"/>
  <c r="C2122" i="34"/>
  <c r="C2110" i="34"/>
  <c r="C2067" i="34"/>
  <c r="C2127" i="34"/>
  <c r="C2076" i="34"/>
  <c r="C2124" i="34"/>
  <c r="C2072" i="34"/>
  <c r="C2121" i="34"/>
  <c r="C2128" i="34"/>
  <c r="C2101" i="34"/>
  <c r="C2123" i="34"/>
  <c r="C2062" i="34"/>
  <c r="C213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1" i="34"/>
  <c r="C142" i="34"/>
  <c r="C144" i="34"/>
  <c r="C146" i="34"/>
  <c r="C147" i="34"/>
  <c r="C148" i="34"/>
  <c r="C150" i="34"/>
  <c r="C151" i="34"/>
  <c r="C152" i="34"/>
  <c r="C153" i="34"/>
  <c r="C154" i="34"/>
  <c r="C155" i="34"/>
  <c r="C159" i="34"/>
  <c r="C160" i="34"/>
  <c r="C161" i="34"/>
  <c r="C162" i="34"/>
  <c r="C163" i="34"/>
  <c r="C165" i="34"/>
  <c r="C166" i="34"/>
  <c r="C167" i="34"/>
  <c r="C168" i="34"/>
  <c r="C169" i="34"/>
  <c r="C171" i="34"/>
  <c r="C172" i="34"/>
  <c r="C173" i="34"/>
  <c r="C174" i="34"/>
  <c r="C175" i="34"/>
  <c r="C176" i="34"/>
  <c r="C177" i="34"/>
  <c r="C178" i="34"/>
  <c r="C179" i="34"/>
  <c r="C180" i="34"/>
  <c r="C181" i="34"/>
  <c r="T8" i="43"/>
  <c r="C1908" i="34"/>
  <c r="C1845" i="34"/>
  <c r="C1844" i="34"/>
  <c r="C1910" i="34"/>
  <c r="C1884" i="34"/>
  <c r="C1882" i="34"/>
  <c r="C1849" i="34"/>
  <c r="C1869" i="34"/>
  <c r="C1854" i="34"/>
  <c r="C1852" i="34"/>
  <c r="C1887" i="34"/>
  <c r="C1864" i="34"/>
  <c r="C1918" i="34"/>
  <c r="C1846" i="34"/>
  <c r="C1943" i="34"/>
  <c r="C1842" i="34"/>
  <c r="C1947" i="34"/>
  <c r="C1885" i="34"/>
  <c r="C1903" i="34"/>
  <c r="C1925" i="34"/>
  <c r="C1898" i="34"/>
  <c r="C1912" i="34"/>
  <c r="C1934" i="34"/>
  <c r="C1919" i="34"/>
  <c r="C1900" i="34"/>
  <c r="C1938" i="34"/>
  <c r="C1878" i="34"/>
  <c r="C1840" i="34"/>
  <c r="C1839" i="34"/>
  <c r="C1833" i="34"/>
  <c r="C1832" i="34"/>
  <c r="C1831" i="34"/>
  <c r="C1836" i="34"/>
  <c r="C1835" i="34"/>
  <c r="C1834" i="34"/>
  <c r="C1830" i="34"/>
  <c r="C1829" i="34"/>
  <c r="C1828" i="34"/>
  <c r="C1827" i="34"/>
  <c r="C1826" i="34"/>
  <c r="C1825" i="34"/>
  <c r="C1824" i="34"/>
  <c r="C1823" i="34"/>
  <c r="C1822" i="34"/>
  <c r="C1821" i="34"/>
  <c r="C1820" i="34"/>
  <c r="C1819" i="34"/>
  <c r="C1818" i="34"/>
  <c r="C1817" i="34"/>
  <c r="C1740" i="34"/>
  <c r="C1739" i="34"/>
  <c r="C1738" i="34"/>
  <c r="C1737" i="34"/>
  <c r="C1736" i="34"/>
  <c r="C1742" i="34"/>
  <c r="C1741" i="34"/>
  <c r="C1816" i="34"/>
  <c r="C1807" i="34"/>
  <c r="C1745" i="34"/>
  <c r="C1751" i="34"/>
  <c r="C1749" i="34"/>
  <c r="C1769" i="34"/>
  <c r="C1778" i="34"/>
  <c r="C1768" i="34"/>
  <c r="C1781" i="34"/>
  <c r="C1767" i="34"/>
  <c r="C1772" i="34"/>
  <c r="C1771" i="34"/>
  <c r="C1770" i="34"/>
  <c r="C1800" i="34"/>
  <c r="C1797" i="34"/>
  <c r="C1798" i="34"/>
  <c r="C1774" i="34"/>
  <c r="C1789" i="34"/>
  <c r="C1763" i="34"/>
  <c r="C1764" i="34"/>
  <c r="C1765" i="34"/>
  <c r="C1759" i="34"/>
  <c r="C1762" i="34"/>
  <c r="C1802" i="34"/>
  <c r="C1766" i="34"/>
  <c r="C1791" i="34"/>
  <c r="C1814" i="34"/>
  <c r="C1803" i="34"/>
  <c r="C1809" i="34"/>
  <c r="C1786" i="34"/>
  <c r="C1790" i="34"/>
  <c r="C1785" i="34"/>
  <c r="C1801" i="34"/>
  <c r="C1758" i="34"/>
  <c r="C1784" i="34"/>
  <c r="C1775" i="34"/>
  <c r="C1773" i="34"/>
  <c r="C1750" i="34"/>
  <c r="C1757" i="34"/>
  <c r="C1752" i="34"/>
  <c r="C1753" i="34"/>
  <c r="C1777" i="34"/>
  <c r="C1755" i="34"/>
  <c r="C1795" i="34"/>
  <c r="C1747" i="34"/>
  <c r="C1812" i="34"/>
  <c r="C1806" i="34"/>
  <c r="C1805" i="34"/>
  <c r="C1761" i="34"/>
  <c r="C1813" i="34"/>
  <c r="C1796" i="34"/>
  <c r="C1776" i="34"/>
  <c r="C1811" i="34"/>
  <c r="C1754" i="34"/>
  <c r="C1748" i="34"/>
  <c r="C1794" i="34"/>
  <c r="C1756" i="34"/>
  <c r="C1799" i="34"/>
  <c r="C1782" i="34"/>
  <c r="C1808" i="34"/>
  <c r="C1780" i="34"/>
  <c r="C1804" i="34"/>
  <c r="C1779" i="34"/>
  <c r="C1760" i="34"/>
  <c r="C1810" i="34"/>
  <c r="C1788" i="34"/>
  <c r="C1787" i="34"/>
  <c r="C1793" i="34"/>
  <c r="C1792" i="34"/>
  <c r="C1783" i="34"/>
  <c r="C1815" i="34"/>
  <c r="C1746" i="34"/>
  <c r="C1744" i="34"/>
  <c r="C1743" i="34"/>
  <c r="C1735" i="34"/>
  <c r="C1734" i="34"/>
  <c r="C1733" i="34"/>
  <c r="C1732" i="34"/>
  <c r="C1731" i="34"/>
  <c r="C1730" i="34"/>
  <c r="C1729" i="34"/>
  <c r="C1728" i="34"/>
  <c r="C1727" i="34"/>
  <c r="C1726" i="34"/>
  <c r="C1725" i="34"/>
  <c r="C1724" i="34"/>
  <c r="C1723" i="34"/>
  <c r="C1722" i="34"/>
  <c r="C1721" i="34"/>
  <c r="C1720" i="34"/>
  <c r="C1719" i="34"/>
  <c r="C1718" i="34"/>
  <c r="C1717" i="34"/>
  <c r="C1716" i="34"/>
  <c r="C1715" i="34"/>
  <c r="C1714" i="34"/>
  <c r="C1713" i="34"/>
  <c r="C1712" i="34"/>
  <c r="C1711" i="34"/>
  <c r="C1710" i="34"/>
  <c r="C1709" i="34"/>
  <c r="C1708" i="34"/>
  <c r="C1707" i="34"/>
  <c r="C1706" i="34"/>
  <c r="C1705" i="34"/>
  <c r="C1704" i="34"/>
  <c r="C1703" i="34"/>
  <c r="C1702" i="34"/>
  <c r="C1701" i="34"/>
  <c r="C1700" i="34"/>
  <c r="C1699" i="34"/>
  <c r="C1698" i="34"/>
  <c r="C1697" i="34"/>
  <c r="C1696" i="34"/>
  <c r="C1695" i="34"/>
  <c r="C1694" i="34"/>
  <c r="C1693" i="34"/>
  <c r="C1692" i="34"/>
  <c r="C1691" i="34"/>
  <c r="C1690" i="34"/>
  <c r="C1689" i="34"/>
  <c r="C1688" i="34"/>
  <c r="C1687" i="34"/>
  <c r="C1686" i="34"/>
  <c r="C450" i="34"/>
  <c r="C449" i="34"/>
  <c r="C448" i="34"/>
  <c r="C447" i="34"/>
  <c r="C446" i="34"/>
  <c r="C445" i="34"/>
  <c r="C444" i="34"/>
  <c r="C443" i="34"/>
  <c r="C442" i="34"/>
  <c r="C441" i="34"/>
  <c r="C440" i="34"/>
  <c r="C439" i="34"/>
  <c r="C438" i="34"/>
  <c r="C437" i="34"/>
  <c r="C436" i="34"/>
  <c r="C435" i="34"/>
  <c r="C434" i="34"/>
  <c r="C433" i="34"/>
  <c r="C424" i="34"/>
  <c r="C423" i="34"/>
  <c r="C422" i="34"/>
  <c r="C421" i="34"/>
  <c r="C416" i="34"/>
  <c r="C415" i="34"/>
  <c r="C414" i="34"/>
  <c r="C413" i="34"/>
  <c r="C412" i="34"/>
  <c r="C411" i="34"/>
  <c r="C410" i="34"/>
  <c r="C409" i="34"/>
  <c r="C833" i="34"/>
  <c r="C832" i="34"/>
  <c r="C831" i="34"/>
  <c r="C830" i="34"/>
  <c r="C829" i="34"/>
  <c r="C828" i="34"/>
  <c r="C827" i="34"/>
  <c r="C826" i="34"/>
  <c r="C825" i="34"/>
  <c r="C824" i="34"/>
  <c r="C823" i="34"/>
  <c r="C822" i="34"/>
  <c r="C821" i="34"/>
  <c r="C820" i="34"/>
  <c r="C819" i="34"/>
  <c r="C818" i="34"/>
  <c r="C817" i="34"/>
  <c r="C816" i="34"/>
  <c r="C815" i="34"/>
  <c r="C814" i="34"/>
  <c r="C813" i="34"/>
  <c r="C812" i="34"/>
  <c r="C811" i="34"/>
  <c r="C810" i="34"/>
  <c r="C809" i="34"/>
  <c r="C808" i="34"/>
  <c r="C807" i="34"/>
  <c r="C806" i="34"/>
  <c r="C805" i="34"/>
  <c r="C804" i="34"/>
  <c r="C803" i="34"/>
  <c r="C802" i="34"/>
  <c r="C801" i="34"/>
  <c r="C800" i="34"/>
  <c r="C799" i="34"/>
  <c r="C798" i="34"/>
  <c r="C797" i="34"/>
  <c r="C796" i="34"/>
  <c r="C795" i="34"/>
  <c r="C794" i="34"/>
  <c r="C793" i="34"/>
  <c r="C792" i="34"/>
  <c r="C791" i="34"/>
  <c r="C790" i="34"/>
  <c r="C789" i="34"/>
  <c r="C788" i="34"/>
  <c r="C787" i="34"/>
  <c r="C786" i="34"/>
  <c r="C785" i="34"/>
  <c r="C784" i="34"/>
  <c r="C783" i="34"/>
  <c r="C782" i="34"/>
  <c r="C781" i="34"/>
  <c r="C780" i="34"/>
  <c r="C779" i="34"/>
  <c r="C778" i="34"/>
  <c r="C777" i="34"/>
  <c r="C776" i="34"/>
  <c r="C775" i="34"/>
  <c r="C774" i="34"/>
  <c r="C773" i="34"/>
  <c r="C772" i="34"/>
  <c r="C771" i="34"/>
  <c r="C770" i="34"/>
  <c r="C769" i="34"/>
  <c r="C768" i="34"/>
  <c r="C767" i="34"/>
  <c r="C766" i="34"/>
  <c r="C765" i="34"/>
  <c r="C764" i="34"/>
  <c r="C763" i="34"/>
  <c r="C762" i="34"/>
  <c r="C761" i="34"/>
  <c r="C760" i="34"/>
  <c r="C759" i="34"/>
  <c r="C758" i="34"/>
  <c r="C757" i="34"/>
  <c r="C756" i="34"/>
  <c r="C755" i="34"/>
  <c r="C754" i="34"/>
  <c r="C753" i="34"/>
  <c r="C752" i="34"/>
  <c r="C751" i="34"/>
  <c r="C750" i="34"/>
  <c r="C749" i="34"/>
  <c r="C748" i="34"/>
  <c r="C747" i="34"/>
  <c r="C746" i="34"/>
  <c r="C745" i="34"/>
  <c r="C744" i="34"/>
  <c r="C743" i="34"/>
  <c r="C742" i="34"/>
  <c r="C741" i="34"/>
  <c r="C740" i="34"/>
  <c r="C739" i="34"/>
  <c r="C738" i="34"/>
  <c r="C737" i="34"/>
  <c r="C736" i="34"/>
  <c r="C735" i="34"/>
  <c r="C734" i="34"/>
  <c r="C733" i="34"/>
  <c r="C732" i="34"/>
  <c r="C731" i="34"/>
  <c r="C730" i="34"/>
  <c r="C729" i="34"/>
  <c r="C728" i="34"/>
  <c r="C727" i="34"/>
  <c r="C726" i="34"/>
  <c r="C725" i="34"/>
  <c r="C724" i="34"/>
  <c r="C723" i="34"/>
  <c r="C722" i="34"/>
  <c r="C721" i="34"/>
  <c r="C720" i="34"/>
  <c r="C719" i="34"/>
  <c r="C718" i="34"/>
  <c r="C717" i="34"/>
  <c r="C716" i="34"/>
  <c r="C715" i="34"/>
  <c r="C714" i="34"/>
  <c r="C713" i="34"/>
  <c r="C712" i="34"/>
  <c r="C711" i="34"/>
  <c r="C710" i="34"/>
  <c r="C709" i="34"/>
  <c r="C708" i="34"/>
  <c r="C707" i="34"/>
  <c r="C703" i="34"/>
  <c r="C702" i="34"/>
  <c r="C701" i="34"/>
  <c r="C698" i="34"/>
  <c r="C697" i="34"/>
  <c r="C696" i="34"/>
  <c r="C695" i="34"/>
  <c r="C694" i="34"/>
  <c r="C693" i="34"/>
  <c r="C692" i="34"/>
  <c r="C691" i="34"/>
  <c r="C690" i="34"/>
  <c r="C689" i="34"/>
  <c r="C688" i="34"/>
  <c r="C687" i="34"/>
  <c r="C686" i="34"/>
  <c r="C685" i="34"/>
  <c r="C684" i="34"/>
  <c r="C683" i="34"/>
  <c r="C682" i="34"/>
  <c r="C660" i="34"/>
  <c r="C659" i="34"/>
  <c r="C658" i="34"/>
  <c r="C657" i="34"/>
  <c r="C656" i="34"/>
  <c r="C655" i="34"/>
  <c r="C654" i="34"/>
  <c r="C653" i="34"/>
  <c r="C652" i="34"/>
  <c r="C651" i="34"/>
  <c r="C650" i="34"/>
  <c r="C649" i="34"/>
  <c r="C648" i="34"/>
  <c r="C647" i="34"/>
  <c r="C646" i="34"/>
  <c r="C645" i="34"/>
  <c r="C644" i="34"/>
  <c r="C626" i="34"/>
  <c r="C625" i="34"/>
  <c r="C624" i="34"/>
  <c r="C623" i="34"/>
  <c r="C1158" i="34"/>
  <c r="C1157" i="34"/>
  <c r="C1156" i="34"/>
  <c r="C1020" i="34"/>
  <c r="C1019" i="34"/>
  <c r="C1018" i="34"/>
  <c r="C1017" i="34"/>
  <c r="C1016" i="34"/>
  <c r="C1015" i="34"/>
  <c r="C1014" i="34"/>
  <c r="C981" i="34"/>
  <c r="C980" i="34"/>
  <c r="C968" i="34"/>
  <c r="C967" i="34"/>
  <c r="C706" i="34"/>
  <c r="C705" i="34"/>
  <c r="C704" i="34"/>
  <c r="C635" i="34"/>
  <c r="C634" i="34"/>
  <c r="C408" i="34"/>
  <c r="C407" i="34"/>
  <c r="C406" i="34"/>
  <c r="C405" i="34"/>
  <c r="A2" i="53" l="1"/>
  <c r="A1" i="53"/>
  <c r="A3" i="54" l="1"/>
  <c r="A2" i="54"/>
  <c r="C22" i="54"/>
  <c r="B2" i="55" l="1"/>
  <c r="B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5" i="60" l="1"/>
  <c r="A144" i="60"/>
  <c r="A64" i="60"/>
  <c r="A2" i="60"/>
  <c r="K14" i="34" l="1"/>
  <c r="C14" i="34"/>
  <c r="B14" i="34" s="1"/>
  <c r="P14" i="34" l="1"/>
  <c r="Q14" i="34"/>
  <c r="U14" i="34"/>
  <c r="Z14" i="34"/>
  <c r="O14" i="34"/>
  <c r="W14" i="34"/>
  <c r="A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4020" i="34" l="1"/>
  <c r="B4018" i="34"/>
  <c r="B2810" i="34"/>
  <c r="B2808" i="34"/>
  <c r="B584" i="34"/>
  <c r="B112" i="34"/>
  <c r="B110" i="34"/>
  <c r="B2635" i="34"/>
  <c r="O2635" i="34" l="1"/>
  <c r="W2635" i="34"/>
  <c r="P2635" i="34"/>
  <c r="Q2635" i="34"/>
  <c r="U2635" i="34"/>
  <c r="Z2635" i="34"/>
  <c r="A2635" i="34"/>
  <c r="Q2808" i="34"/>
  <c r="U2808" i="34"/>
  <c r="Z2808" i="34"/>
  <c r="O2808" i="34"/>
  <c r="W2808" i="34"/>
  <c r="P2808" i="34"/>
  <c r="A2808" i="34"/>
  <c r="Q110" i="34"/>
  <c r="U110" i="34"/>
  <c r="R110" i="34"/>
  <c r="Z110" i="34"/>
  <c r="O110" i="34"/>
  <c r="S110" i="34"/>
  <c r="W110" i="34"/>
  <c r="P110" i="34"/>
  <c r="T110" i="34"/>
  <c r="A110" i="34"/>
  <c r="O2810" i="34"/>
  <c r="W2810" i="34"/>
  <c r="P2810" i="34"/>
  <c r="Q2810" i="34"/>
  <c r="U2810" i="34"/>
  <c r="Z2810" i="34"/>
  <c r="A2810" i="34"/>
  <c r="O112" i="34"/>
  <c r="S112" i="34"/>
  <c r="W112" i="34"/>
  <c r="P112" i="34"/>
  <c r="T112" i="34"/>
  <c r="Q112" i="34"/>
  <c r="U112" i="34"/>
  <c r="R112" i="34"/>
  <c r="Z112" i="34"/>
  <c r="A112" i="34"/>
  <c r="Q4018" i="34"/>
  <c r="U4018" i="34"/>
  <c r="Z4018" i="34"/>
  <c r="O4018" i="34"/>
  <c r="W4018" i="34"/>
  <c r="P4018" i="34"/>
  <c r="A4018" i="34"/>
  <c r="Q584" i="34"/>
  <c r="U584" i="34"/>
  <c r="Z584" i="34"/>
  <c r="O584" i="34"/>
  <c r="W584" i="34"/>
  <c r="P584" i="34"/>
  <c r="A584" i="34"/>
  <c r="O4020" i="34"/>
  <c r="W4020" i="34"/>
  <c r="P4020" i="34"/>
  <c r="Q4020" i="34"/>
  <c r="U4020" i="34"/>
  <c r="Z4020" i="34"/>
  <c r="A4020" i="34"/>
  <c r="B4361" i="34"/>
  <c r="B2938" i="34"/>
  <c r="B3758" i="34"/>
  <c r="B3757" i="34"/>
  <c r="B3756" i="34"/>
  <c r="B3755" i="34"/>
  <c r="B3754" i="34"/>
  <c r="B3753" i="34"/>
  <c r="B3752" i="34"/>
  <c r="B3751" i="34"/>
  <c r="B2711" i="34"/>
  <c r="B2710" i="34"/>
  <c r="B2709" i="34"/>
  <c r="B2708" i="34"/>
  <c r="B2707" i="34"/>
  <c r="B2706" i="34"/>
  <c r="B2678" i="34"/>
  <c r="B2677" i="34"/>
  <c r="B2676" i="34"/>
  <c r="B2675" i="34"/>
  <c r="B2674" i="34"/>
  <c r="B2673" i="34"/>
  <c r="B2672" i="34"/>
  <c r="B2671" i="34"/>
  <c r="B2670" i="34"/>
  <c r="B3722" i="34"/>
  <c r="B3721" i="34"/>
  <c r="B3720" i="34"/>
  <c r="B3719" i="34"/>
  <c r="B3718" i="34"/>
  <c r="B3717" i="34"/>
  <c r="B3716" i="34"/>
  <c r="B3715" i="34"/>
  <c r="B3714" i="34"/>
  <c r="B3687" i="34"/>
  <c r="B3686" i="34"/>
  <c r="B3685" i="34"/>
  <c r="B3684" i="34"/>
  <c r="B3683" i="34"/>
  <c r="B3682" i="34"/>
  <c r="B3681" i="34"/>
  <c r="B3680" i="34"/>
  <c r="B3679" i="34"/>
  <c r="B375" i="34"/>
  <c r="B100" i="34"/>
  <c r="B99" i="34"/>
  <c r="B3542" i="34"/>
  <c r="B3541" i="34"/>
  <c r="B3540" i="34"/>
  <c r="B517" i="34"/>
  <c r="B482" i="34"/>
  <c r="B481" i="34"/>
  <c r="B700" i="34"/>
  <c r="B699" i="34"/>
  <c r="B668" i="34"/>
  <c r="B667" i="34"/>
  <c r="B666" i="34"/>
  <c r="B665" i="34"/>
  <c r="B664" i="34"/>
  <c r="B663" i="34"/>
  <c r="B662" i="34"/>
  <c r="B618" i="34"/>
  <c r="B617" i="34"/>
  <c r="B616" i="34"/>
  <c r="B615" i="34"/>
  <c r="B614" i="34"/>
  <c r="B613" i="34"/>
  <c r="B612" i="34"/>
  <c r="B611" i="34"/>
  <c r="B610" i="34"/>
  <c r="B557" i="34"/>
  <c r="B556" i="34"/>
  <c r="B555" i="34"/>
  <c r="B554" i="34"/>
  <c r="B553" i="34"/>
  <c r="B552" i="34"/>
  <c r="B551" i="34"/>
  <c r="B550" i="34"/>
  <c r="B549" i="34"/>
  <c r="B548" i="34"/>
  <c r="B547" i="34"/>
  <c r="B507" i="34"/>
  <c r="B506" i="34"/>
  <c r="B382" i="34"/>
  <c r="B381" i="34"/>
  <c r="B380" i="34"/>
  <c r="B379" i="34"/>
  <c r="B378" i="34"/>
  <c r="B377" i="34"/>
  <c r="B376" i="34"/>
  <c r="B528" i="34"/>
  <c r="B527" i="34"/>
  <c r="B526" i="34"/>
  <c r="B525" i="34"/>
  <c r="B524" i="34"/>
  <c r="B523" i="34"/>
  <c r="B522" i="34"/>
  <c r="B521" i="34"/>
  <c r="B520" i="34"/>
  <c r="B519" i="34"/>
  <c r="B518" i="34"/>
  <c r="B47" i="34"/>
  <c r="B45" i="34"/>
  <c r="B44" i="34"/>
  <c r="B43" i="34"/>
  <c r="B42" i="34"/>
  <c r="B41" i="34"/>
  <c r="B40" i="34"/>
  <c r="B38" i="34"/>
  <c r="B1923" i="34"/>
  <c r="P1923" i="34" l="1"/>
  <c r="Q1923" i="34"/>
  <c r="U1923" i="34"/>
  <c r="Z1923" i="34"/>
  <c r="O1923" i="34"/>
  <c r="W1923" i="34"/>
  <c r="A1923" i="34"/>
  <c r="P42" i="34"/>
  <c r="T42" i="34"/>
  <c r="Q42" i="34"/>
  <c r="U42" i="34"/>
  <c r="R42" i="34"/>
  <c r="Z42" i="34"/>
  <c r="O42" i="34"/>
  <c r="S42" i="34"/>
  <c r="W42" i="34"/>
  <c r="A42" i="34"/>
  <c r="O47" i="34"/>
  <c r="S47" i="34"/>
  <c r="W47" i="34"/>
  <c r="P47" i="34"/>
  <c r="T47" i="34"/>
  <c r="Q47" i="34"/>
  <c r="U47" i="34"/>
  <c r="R47" i="34"/>
  <c r="Z47" i="34"/>
  <c r="A47" i="34"/>
  <c r="P521" i="34"/>
  <c r="Q521" i="34"/>
  <c r="U521" i="34"/>
  <c r="Z521" i="34"/>
  <c r="O521" i="34"/>
  <c r="W521" i="34"/>
  <c r="A521" i="34"/>
  <c r="P525" i="34"/>
  <c r="Q525" i="34"/>
  <c r="U525" i="34"/>
  <c r="Z525" i="34"/>
  <c r="O525" i="34"/>
  <c r="W525" i="34"/>
  <c r="A525" i="34"/>
  <c r="O376" i="34"/>
  <c r="W376" i="34"/>
  <c r="P376" i="34"/>
  <c r="Q376" i="34"/>
  <c r="U376" i="34"/>
  <c r="Z376" i="34"/>
  <c r="A376" i="34"/>
  <c r="O380" i="34"/>
  <c r="W380" i="34"/>
  <c r="P380" i="34"/>
  <c r="Q380" i="34"/>
  <c r="U380" i="34"/>
  <c r="Z380" i="34"/>
  <c r="A380" i="34"/>
  <c r="Z507" i="34"/>
  <c r="O507" i="34"/>
  <c r="W507" i="34"/>
  <c r="P507" i="34"/>
  <c r="Q507" i="34"/>
  <c r="U507" i="34"/>
  <c r="A507" i="34"/>
  <c r="O550" i="34"/>
  <c r="W550" i="34"/>
  <c r="P550" i="34"/>
  <c r="Q550" i="34"/>
  <c r="U550" i="34"/>
  <c r="Z550" i="34"/>
  <c r="A550" i="34"/>
  <c r="O554" i="34"/>
  <c r="W554" i="34"/>
  <c r="P554" i="34"/>
  <c r="Q554" i="34"/>
  <c r="U554" i="34"/>
  <c r="Z554" i="34"/>
  <c r="A554" i="34"/>
  <c r="O610" i="34"/>
  <c r="W610" i="34"/>
  <c r="P610" i="34"/>
  <c r="Q610" i="34"/>
  <c r="U610" i="34"/>
  <c r="Z610" i="34"/>
  <c r="A610" i="34"/>
  <c r="O614" i="34"/>
  <c r="W614" i="34"/>
  <c r="P614" i="34"/>
  <c r="Q614" i="34"/>
  <c r="U614" i="34"/>
  <c r="Z614" i="34"/>
  <c r="A614" i="34"/>
  <c r="O618" i="34"/>
  <c r="W618" i="34"/>
  <c r="P618" i="34"/>
  <c r="Q618" i="34"/>
  <c r="U618" i="34"/>
  <c r="Z618" i="34"/>
  <c r="A618" i="34"/>
  <c r="P665" i="34"/>
  <c r="Q665" i="34"/>
  <c r="U665" i="34"/>
  <c r="Z665" i="34"/>
  <c r="O665" i="34"/>
  <c r="W665" i="34"/>
  <c r="A665" i="34"/>
  <c r="Z699" i="34"/>
  <c r="O699" i="34"/>
  <c r="W699" i="34"/>
  <c r="P699" i="34"/>
  <c r="Q699" i="34"/>
  <c r="U699" i="34"/>
  <c r="A699" i="34"/>
  <c r="P517" i="34"/>
  <c r="Q517" i="34"/>
  <c r="U517" i="34"/>
  <c r="Z517" i="34"/>
  <c r="O517" i="34"/>
  <c r="W517" i="34"/>
  <c r="A517" i="34"/>
  <c r="P99" i="34"/>
  <c r="T99" i="34"/>
  <c r="Q99" i="34"/>
  <c r="U99" i="34"/>
  <c r="R99" i="34"/>
  <c r="Z99" i="34"/>
  <c r="O99" i="34"/>
  <c r="S99" i="34"/>
  <c r="W99" i="34"/>
  <c r="A99" i="34"/>
  <c r="O3680" i="34"/>
  <c r="W3680" i="34"/>
  <c r="P3680" i="34"/>
  <c r="Q3680" i="34"/>
  <c r="U3680" i="34"/>
  <c r="Z3680" i="34"/>
  <c r="A3680" i="34"/>
  <c r="O3684" i="34"/>
  <c r="W3684" i="34"/>
  <c r="P3684" i="34"/>
  <c r="Q3684" i="34"/>
  <c r="U3684" i="34"/>
  <c r="Z3684" i="34"/>
  <c r="A3684" i="34"/>
  <c r="Q3714" i="34"/>
  <c r="U3714" i="34"/>
  <c r="Z3714" i="34"/>
  <c r="O3714" i="34"/>
  <c r="W3714" i="34"/>
  <c r="P3714" i="34"/>
  <c r="A3714" i="34"/>
  <c r="Q3718" i="34"/>
  <c r="U3718" i="34"/>
  <c r="Z3718" i="34"/>
  <c r="O3718" i="34"/>
  <c r="W3718" i="34"/>
  <c r="P3718" i="34"/>
  <c r="A3718" i="34"/>
  <c r="Q3722" i="34"/>
  <c r="U3722" i="34"/>
  <c r="Z3722" i="34"/>
  <c r="O3722" i="34"/>
  <c r="W3722" i="34"/>
  <c r="P3722" i="34"/>
  <c r="A3722" i="34"/>
  <c r="Q2673" i="34"/>
  <c r="U2673" i="34"/>
  <c r="Z2673" i="34"/>
  <c r="O2673" i="34"/>
  <c r="W2673" i="34"/>
  <c r="P2673" i="34"/>
  <c r="A2673" i="34"/>
  <c r="Q2677" i="34"/>
  <c r="U2677" i="34"/>
  <c r="Z2677" i="34"/>
  <c r="O2677" i="34"/>
  <c r="W2677" i="34"/>
  <c r="P2677" i="34"/>
  <c r="A2677" i="34"/>
  <c r="Z2708" i="34"/>
  <c r="O2708" i="34"/>
  <c r="W2708" i="34"/>
  <c r="P2708" i="34"/>
  <c r="Q2708" i="34"/>
  <c r="U2708" i="34"/>
  <c r="A2708" i="34"/>
  <c r="P3751" i="34"/>
  <c r="Q3751" i="34"/>
  <c r="U3751" i="34"/>
  <c r="Z3751" i="34"/>
  <c r="O3751" i="34"/>
  <c r="W3751" i="34"/>
  <c r="A3751" i="34"/>
  <c r="P3755" i="34"/>
  <c r="Q3755" i="34"/>
  <c r="U3755" i="34"/>
  <c r="Z3755" i="34"/>
  <c r="O3755" i="34"/>
  <c r="W3755" i="34"/>
  <c r="A3755" i="34"/>
  <c r="O2938" i="34"/>
  <c r="W2938" i="34"/>
  <c r="P2938" i="34"/>
  <c r="Q2938" i="34"/>
  <c r="U2938" i="34"/>
  <c r="Z2938" i="34"/>
  <c r="A2938" i="34"/>
  <c r="P38" i="34"/>
  <c r="T38" i="34"/>
  <c r="Q38" i="34"/>
  <c r="U38" i="34"/>
  <c r="R38" i="34"/>
  <c r="Z38" i="34"/>
  <c r="O38" i="34"/>
  <c r="S38" i="34"/>
  <c r="W38" i="34"/>
  <c r="A38" i="34"/>
  <c r="O43" i="34"/>
  <c r="S43" i="34"/>
  <c r="W43" i="34"/>
  <c r="P43" i="34"/>
  <c r="T43" i="34"/>
  <c r="Q43" i="34"/>
  <c r="U43" i="34"/>
  <c r="R43" i="34"/>
  <c r="Z43" i="34"/>
  <c r="A43" i="34"/>
  <c r="O518" i="34"/>
  <c r="W518" i="34"/>
  <c r="P518" i="34"/>
  <c r="Q518" i="34"/>
  <c r="U518" i="34"/>
  <c r="Z518" i="34"/>
  <c r="A518" i="34"/>
  <c r="O522" i="34"/>
  <c r="W522" i="34"/>
  <c r="P522" i="34"/>
  <c r="Q522" i="34"/>
  <c r="U522" i="34"/>
  <c r="Z522" i="34"/>
  <c r="A522" i="34"/>
  <c r="O526" i="34"/>
  <c r="W526" i="34"/>
  <c r="P526" i="34"/>
  <c r="Q526" i="34"/>
  <c r="U526" i="34"/>
  <c r="Z526" i="34"/>
  <c r="A526" i="34"/>
  <c r="Z377" i="34"/>
  <c r="O377" i="34"/>
  <c r="W377" i="34"/>
  <c r="P377" i="34"/>
  <c r="Q377" i="34"/>
  <c r="U377" i="34"/>
  <c r="A377" i="34"/>
  <c r="Z381" i="34"/>
  <c r="O381" i="34"/>
  <c r="W381" i="34"/>
  <c r="P381" i="34"/>
  <c r="Q381" i="34"/>
  <c r="U381" i="34"/>
  <c r="A381" i="34"/>
  <c r="Z547" i="34"/>
  <c r="O547" i="34"/>
  <c r="W547" i="34"/>
  <c r="P547" i="34"/>
  <c r="Q547" i="34"/>
  <c r="U547" i="34"/>
  <c r="A547" i="34"/>
  <c r="Z551" i="34"/>
  <c r="O551" i="34"/>
  <c r="W551" i="34"/>
  <c r="P551" i="34"/>
  <c r="Q551" i="34"/>
  <c r="U551" i="34"/>
  <c r="A551" i="34"/>
  <c r="O555" i="34"/>
  <c r="W555" i="34"/>
  <c r="Q555" i="34"/>
  <c r="U555" i="34"/>
  <c r="Z555" i="34"/>
  <c r="P555" i="34"/>
  <c r="A555" i="34"/>
  <c r="Z611" i="34"/>
  <c r="O611" i="34"/>
  <c r="W611" i="34"/>
  <c r="P611" i="34"/>
  <c r="Q611" i="34"/>
  <c r="U611" i="34"/>
  <c r="A611" i="34"/>
  <c r="Z615" i="34"/>
  <c r="O615" i="34"/>
  <c r="W615" i="34"/>
  <c r="P615" i="34"/>
  <c r="Q615" i="34"/>
  <c r="U615" i="34"/>
  <c r="A615" i="34"/>
  <c r="O662" i="34"/>
  <c r="W662" i="34"/>
  <c r="P662" i="34"/>
  <c r="Q662" i="34"/>
  <c r="U662" i="34"/>
  <c r="Z662" i="34"/>
  <c r="A662" i="34"/>
  <c r="O666" i="34"/>
  <c r="W666" i="34"/>
  <c r="P666" i="34"/>
  <c r="Q666" i="34"/>
  <c r="U666" i="34"/>
  <c r="Z666" i="34"/>
  <c r="A666" i="34"/>
  <c r="Q700" i="34"/>
  <c r="U700" i="34"/>
  <c r="Z700" i="34"/>
  <c r="O700" i="34"/>
  <c r="W700" i="34"/>
  <c r="P700" i="34"/>
  <c r="A700" i="34"/>
  <c r="O3540" i="34"/>
  <c r="W3540" i="34"/>
  <c r="P3540" i="34"/>
  <c r="Q3540" i="34"/>
  <c r="U3540" i="34"/>
  <c r="Z3540" i="34"/>
  <c r="A3540" i="34"/>
  <c r="O100" i="34"/>
  <c r="S100" i="34"/>
  <c r="W100" i="34"/>
  <c r="P100" i="34"/>
  <c r="T100" i="34"/>
  <c r="Q100" i="34"/>
  <c r="U100" i="34"/>
  <c r="R100" i="34"/>
  <c r="Z100" i="34"/>
  <c r="A100" i="34"/>
  <c r="Z3681" i="34"/>
  <c r="O3681" i="34"/>
  <c r="W3681" i="34"/>
  <c r="P3681" i="34"/>
  <c r="Q3681" i="34"/>
  <c r="U3681" i="34"/>
  <c r="A3681" i="34"/>
  <c r="Z3685" i="34"/>
  <c r="O3685" i="34"/>
  <c r="W3685" i="34"/>
  <c r="P3685" i="34"/>
  <c r="Q3685" i="34"/>
  <c r="U3685" i="34"/>
  <c r="A3685" i="34"/>
  <c r="P3715" i="34"/>
  <c r="Q3715" i="34"/>
  <c r="U3715" i="34"/>
  <c r="Z3715" i="34"/>
  <c r="O3715" i="34"/>
  <c r="W3715" i="34"/>
  <c r="A3715" i="34"/>
  <c r="P3719" i="34"/>
  <c r="Q3719" i="34"/>
  <c r="U3719" i="34"/>
  <c r="Z3719" i="34"/>
  <c r="O3719" i="34"/>
  <c r="W3719" i="34"/>
  <c r="A3719" i="34"/>
  <c r="P2670" i="34"/>
  <c r="Q2670" i="34"/>
  <c r="U2670" i="34"/>
  <c r="Z2670" i="34"/>
  <c r="O2670" i="34"/>
  <c r="W2670" i="34"/>
  <c r="A2670" i="34"/>
  <c r="P2674" i="34"/>
  <c r="Q2674" i="34"/>
  <c r="U2674" i="34"/>
  <c r="Z2674" i="34"/>
  <c r="O2674" i="34"/>
  <c r="W2674" i="34"/>
  <c r="A2674" i="34"/>
  <c r="P2678" i="34"/>
  <c r="Q2678" i="34"/>
  <c r="U2678" i="34"/>
  <c r="Z2678" i="34"/>
  <c r="O2678" i="34"/>
  <c r="W2678" i="34"/>
  <c r="A2678" i="34"/>
  <c r="Q2709" i="34"/>
  <c r="U2709" i="34"/>
  <c r="Z2709" i="34"/>
  <c r="O2709" i="34"/>
  <c r="W2709" i="34"/>
  <c r="P2709" i="34"/>
  <c r="A2709" i="34"/>
  <c r="O3752" i="34"/>
  <c r="W3752" i="34"/>
  <c r="P3752" i="34"/>
  <c r="Q3752" i="34"/>
  <c r="U3752" i="34"/>
  <c r="Z3752" i="34"/>
  <c r="A3752" i="34"/>
  <c r="O3756" i="34"/>
  <c r="W3756" i="34"/>
  <c r="P3756" i="34"/>
  <c r="Q3756" i="34"/>
  <c r="U3756" i="34"/>
  <c r="Z3756" i="34"/>
  <c r="A3756" i="34"/>
  <c r="P4361" i="34"/>
  <c r="Q4361" i="34"/>
  <c r="U4361" i="34"/>
  <c r="Z4361" i="34"/>
  <c r="O4361" i="34"/>
  <c r="W4361" i="34"/>
  <c r="A4361" i="34"/>
  <c r="R40" i="34"/>
  <c r="Z40" i="34"/>
  <c r="O40" i="34"/>
  <c r="S40" i="34"/>
  <c r="W40" i="34"/>
  <c r="P40" i="34"/>
  <c r="T40" i="34"/>
  <c r="Q40" i="34"/>
  <c r="U40" i="34"/>
  <c r="A40" i="34"/>
  <c r="R44" i="34"/>
  <c r="Z44" i="34"/>
  <c r="O44" i="34"/>
  <c r="S44" i="34"/>
  <c r="W44" i="34"/>
  <c r="P44" i="34"/>
  <c r="T44" i="34"/>
  <c r="Q44" i="34"/>
  <c r="U44" i="34"/>
  <c r="A44" i="34"/>
  <c r="Z519" i="34"/>
  <c r="O519" i="34"/>
  <c r="W519" i="34"/>
  <c r="P519" i="34"/>
  <c r="Q519" i="34"/>
  <c r="U519" i="34"/>
  <c r="A519" i="34"/>
  <c r="Z523" i="34"/>
  <c r="O523" i="34"/>
  <c r="W523" i="34"/>
  <c r="P523" i="34"/>
  <c r="Q523" i="34"/>
  <c r="U523" i="34"/>
  <c r="A523" i="34"/>
  <c r="Z527" i="34"/>
  <c r="O527" i="34"/>
  <c r="W527" i="34"/>
  <c r="P527" i="34"/>
  <c r="Q527" i="34"/>
  <c r="U527" i="34"/>
  <c r="A527" i="34"/>
  <c r="Q378" i="34"/>
  <c r="U378" i="34"/>
  <c r="Z378" i="34"/>
  <c r="O378" i="34"/>
  <c r="W378" i="34"/>
  <c r="P378" i="34"/>
  <c r="A378" i="34"/>
  <c r="Q382" i="34"/>
  <c r="U382" i="34"/>
  <c r="Z382" i="34"/>
  <c r="O382" i="34"/>
  <c r="W382" i="34"/>
  <c r="P382" i="34"/>
  <c r="A382" i="34"/>
  <c r="Q548" i="34"/>
  <c r="U548" i="34"/>
  <c r="Z548" i="34"/>
  <c r="O548" i="34"/>
  <c r="W548" i="34"/>
  <c r="P548" i="34"/>
  <c r="A548" i="34"/>
  <c r="Q552" i="34"/>
  <c r="U552" i="34"/>
  <c r="Z552" i="34"/>
  <c r="O552" i="34"/>
  <c r="P552" i="34"/>
  <c r="W552" i="34"/>
  <c r="A552" i="34"/>
  <c r="Q556" i="34"/>
  <c r="U556" i="34"/>
  <c r="Z556" i="34"/>
  <c r="O556" i="34"/>
  <c r="W556" i="34"/>
  <c r="P556" i="34"/>
  <c r="A556" i="34"/>
  <c r="Q612" i="34"/>
  <c r="U612" i="34"/>
  <c r="Z612" i="34"/>
  <c r="O612" i="34"/>
  <c r="W612" i="34"/>
  <c r="P612" i="34"/>
  <c r="A612" i="34"/>
  <c r="Q616" i="34"/>
  <c r="U616" i="34"/>
  <c r="Z616" i="34"/>
  <c r="O616" i="34"/>
  <c r="W616" i="34"/>
  <c r="P616" i="34"/>
  <c r="A616" i="34"/>
  <c r="Z663" i="34"/>
  <c r="O663" i="34"/>
  <c r="W663" i="34"/>
  <c r="P663" i="34"/>
  <c r="Q663" i="34"/>
  <c r="U663" i="34"/>
  <c r="A663" i="34"/>
  <c r="Z667" i="34"/>
  <c r="O667" i="34"/>
  <c r="W667" i="34"/>
  <c r="P667" i="34"/>
  <c r="Q667" i="34"/>
  <c r="U667" i="34"/>
  <c r="A667" i="34"/>
  <c r="P481" i="34"/>
  <c r="Q481" i="34"/>
  <c r="U481" i="34"/>
  <c r="Z481" i="34"/>
  <c r="O481" i="34"/>
  <c r="W481" i="34"/>
  <c r="A481" i="34"/>
  <c r="Z3541" i="34"/>
  <c r="O3541" i="34"/>
  <c r="W3541" i="34"/>
  <c r="P3541" i="34"/>
  <c r="Q3541" i="34"/>
  <c r="U3541" i="34"/>
  <c r="A3541" i="34"/>
  <c r="P375" i="34"/>
  <c r="Q375" i="34"/>
  <c r="U375" i="34"/>
  <c r="Z375" i="34"/>
  <c r="O375" i="34"/>
  <c r="W375" i="34"/>
  <c r="A375" i="34"/>
  <c r="Q3682" i="34"/>
  <c r="U3682" i="34"/>
  <c r="Z3682" i="34"/>
  <c r="O3682" i="34"/>
  <c r="W3682" i="34"/>
  <c r="P3682" i="34"/>
  <c r="A3682" i="34"/>
  <c r="Q3686" i="34"/>
  <c r="U3686" i="34"/>
  <c r="Z3686" i="34"/>
  <c r="O3686" i="34"/>
  <c r="W3686" i="34"/>
  <c r="P3686" i="34"/>
  <c r="A3686" i="34"/>
  <c r="O3716" i="34"/>
  <c r="W3716" i="34"/>
  <c r="P3716" i="34"/>
  <c r="Q3716" i="34"/>
  <c r="U3716" i="34"/>
  <c r="Z3716" i="34"/>
  <c r="A3716" i="34"/>
  <c r="O3720" i="34"/>
  <c r="W3720" i="34"/>
  <c r="P3720" i="34"/>
  <c r="Q3720" i="34"/>
  <c r="U3720" i="34"/>
  <c r="Z3720" i="34"/>
  <c r="A3720" i="34"/>
  <c r="O2671" i="34"/>
  <c r="W2671" i="34"/>
  <c r="P2671" i="34"/>
  <c r="Q2671" i="34"/>
  <c r="U2671" i="34"/>
  <c r="Z2671" i="34"/>
  <c r="A2671" i="34"/>
  <c r="O2675" i="34"/>
  <c r="W2675" i="34"/>
  <c r="P2675" i="34"/>
  <c r="Q2675" i="34"/>
  <c r="U2675" i="34"/>
  <c r="Z2675" i="34"/>
  <c r="A2675" i="34"/>
  <c r="P2706" i="34"/>
  <c r="Q2706" i="34"/>
  <c r="U2706" i="34"/>
  <c r="Z2706" i="34"/>
  <c r="O2706" i="34"/>
  <c r="W2706" i="34"/>
  <c r="A2706" i="34"/>
  <c r="P2710" i="34"/>
  <c r="Q2710" i="34"/>
  <c r="U2710" i="34"/>
  <c r="Z2710" i="34"/>
  <c r="O2710" i="34"/>
  <c r="W2710" i="34"/>
  <c r="A2710" i="34"/>
  <c r="Z3753" i="34"/>
  <c r="O3753" i="34"/>
  <c r="W3753" i="34"/>
  <c r="P3753" i="34"/>
  <c r="Q3753" i="34"/>
  <c r="U3753" i="34"/>
  <c r="A3753" i="34"/>
  <c r="Z3757" i="34"/>
  <c r="O3757" i="34"/>
  <c r="W3757" i="34"/>
  <c r="P3757" i="34"/>
  <c r="Q3757" i="34"/>
  <c r="U3757" i="34"/>
  <c r="A3757" i="34"/>
  <c r="Q41" i="34"/>
  <c r="U41" i="34"/>
  <c r="R41" i="34"/>
  <c r="Z41" i="34"/>
  <c r="O41" i="34"/>
  <c r="S41" i="34"/>
  <c r="W41" i="34"/>
  <c r="P41" i="34"/>
  <c r="T41" i="34"/>
  <c r="A41" i="34"/>
  <c r="Q45" i="34"/>
  <c r="U45" i="34"/>
  <c r="R45" i="34"/>
  <c r="Z45" i="34"/>
  <c r="O45" i="34"/>
  <c r="S45" i="34"/>
  <c r="W45" i="34"/>
  <c r="P45" i="34"/>
  <c r="T45" i="34"/>
  <c r="A45" i="34"/>
  <c r="Q520" i="34"/>
  <c r="U520" i="34"/>
  <c r="Z520" i="34"/>
  <c r="O520" i="34"/>
  <c r="W520" i="34"/>
  <c r="P520" i="34"/>
  <c r="A520" i="34"/>
  <c r="Q524" i="34"/>
  <c r="U524" i="34"/>
  <c r="Z524" i="34"/>
  <c r="O524" i="34"/>
  <c r="W524" i="34"/>
  <c r="P524" i="34"/>
  <c r="A524" i="34"/>
  <c r="Q528" i="34"/>
  <c r="U528" i="34"/>
  <c r="Z528" i="34"/>
  <c r="O528" i="34"/>
  <c r="W528" i="34"/>
  <c r="P528" i="34"/>
  <c r="A528" i="34"/>
  <c r="P379" i="34"/>
  <c r="Q379" i="34"/>
  <c r="U379" i="34"/>
  <c r="Z379" i="34"/>
  <c r="O379" i="34"/>
  <c r="W379" i="34"/>
  <c r="A379" i="34"/>
  <c r="O506" i="34"/>
  <c r="W506" i="34"/>
  <c r="P506" i="34"/>
  <c r="Q506" i="34"/>
  <c r="U506" i="34"/>
  <c r="Z506" i="34"/>
  <c r="A506" i="34"/>
  <c r="P549" i="34"/>
  <c r="Q549" i="34"/>
  <c r="U549" i="34"/>
  <c r="Z549" i="34"/>
  <c r="O549" i="34"/>
  <c r="W549" i="34"/>
  <c r="A549" i="34"/>
  <c r="P553" i="34"/>
  <c r="Q553" i="34"/>
  <c r="U553" i="34"/>
  <c r="O553" i="34"/>
  <c r="W553" i="34"/>
  <c r="Z553" i="34"/>
  <c r="A553" i="34"/>
  <c r="P557" i="34"/>
  <c r="Q557" i="34"/>
  <c r="U557" i="34"/>
  <c r="Z557" i="34"/>
  <c r="O557" i="34"/>
  <c r="W557" i="34"/>
  <c r="A557" i="34"/>
  <c r="P613" i="34"/>
  <c r="Q613" i="34"/>
  <c r="U613" i="34"/>
  <c r="Z613" i="34"/>
  <c r="O613" i="34"/>
  <c r="W613" i="34"/>
  <c r="A613" i="34"/>
  <c r="P617" i="34"/>
  <c r="Q617" i="34"/>
  <c r="U617" i="34"/>
  <c r="Z617" i="34"/>
  <c r="O617" i="34"/>
  <c r="W617" i="34"/>
  <c r="A617" i="34"/>
  <c r="Q664" i="34"/>
  <c r="U664" i="34"/>
  <c r="Z664" i="34"/>
  <c r="O664" i="34"/>
  <c r="W664" i="34"/>
  <c r="P664" i="34"/>
  <c r="A664" i="34"/>
  <c r="Q668" i="34"/>
  <c r="U668" i="34"/>
  <c r="Z668" i="34"/>
  <c r="O668" i="34"/>
  <c r="W668" i="34"/>
  <c r="P668" i="34"/>
  <c r="A668" i="34"/>
  <c r="O482" i="34"/>
  <c r="W482" i="34"/>
  <c r="P482" i="34"/>
  <c r="Q482" i="34"/>
  <c r="U482" i="34"/>
  <c r="Z482" i="34"/>
  <c r="A482" i="34"/>
  <c r="Q3542" i="34"/>
  <c r="U3542" i="34"/>
  <c r="Z3542" i="34"/>
  <c r="O3542" i="34"/>
  <c r="W3542" i="34"/>
  <c r="P3542" i="34"/>
  <c r="A3542" i="34"/>
  <c r="P3679" i="34"/>
  <c r="Q3679" i="34"/>
  <c r="U3679" i="34"/>
  <c r="Z3679" i="34"/>
  <c r="O3679" i="34"/>
  <c r="W3679" i="34"/>
  <c r="A3679" i="34"/>
  <c r="P3683" i="34"/>
  <c r="Q3683" i="34"/>
  <c r="U3683" i="34"/>
  <c r="Z3683" i="34"/>
  <c r="O3683" i="34"/>
  <c r="W3683" i="34"/>
  <c r="A3683" i="34"/>
  <c r="P3687" i="34"/>
  <c r="Q3687" i="34"/>
  <c r="U3687" i="34"/>
  <c r="Z3687" i="34"/>
  <c r="O3687" i="34"/>
  <c r="W3687" i="34"/>
  <c r="A3687" i="34"/>
  <c r="Z3717" i="34"/>
  <c r="O3717" i="34"/>
  <c r="W3717" i="34"/>
  <c r="P3717" i="34"/>
  <c r="Q3717" i="34"/>
  <c r="U3717" i="34"/>
  <c r="A3717" i="34"/>
  <c r="Z3721" i="34"/>
  <c r="O3721" i="34"/>
  <c r="W3721" i="34"/>
  <c r="P3721" i="34"/>
  <c r="Q3721" i="34"/>
  <c r="U3721" i="34"/>
  <c r="A3721" i="34"/>
  <c r="Z2672" i="34"/>
  <c r="O2672" i="34"/>
  <c r="W2672" i="34"/>
  <c r="P2672" i="34"/>
  <c r="Q2672" i="34"/>
  <c r="U2672" i="34"/>
  <c r="A2672" i="34"/>
  <c r="Z2676" i="34"/>
  <c r="O2676" i="34"/>
  <c r="W2676" i="34"/>
  <c r="P2676" i="34"/>
  <c r="Q2676" i="34"/>
  <c r="U2676" i="34"/>
  <c r="A2676" i="34"/>
  <c r="O2707" i="34"/>
  <c r="W2707" i="34"/>
  <c r="P2707" i="34"/>
  <c r="Q2707" i="34"/>
  <c r="U2707" i="34"/>
  <c r="Z2707" i="34"/>
  <c r="A2707" i="34"/>
  <c r="O2711" i="34"/>
  <c r="W2711" i="34"/>
  <c r="P2711" i="34"/>
  <c r="Q2711" i="34"/>
  <c r="U2711" i="34"/>
  <c r="Z2711" i="34"/>
  <c r="A2711" i="34"/>
  <c r="Q3754" i="34"/>
  <c r="U3754" i="34"/>
  <c r="Z3754" i="34"/>
  <c r="O3754" i="34"/>
  <c r="W3754" i="34"/>
  <c r="P3754" i="34"/>
  <c r="A3754" i="34"/>
  <c r="Q3758" i="34"/>
  <c r="U3758" i="34"/>
  <c r="Z3758" i="34"/>
  <c r="O3758" i="34"/>
  <c r="W3758" i="34"/>
  <c r="P3758" i="34"/>
  <c r="A3758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450" i="34"/>
  <c r="B449" i="34"/>
  <c r="B448" i="34"/>
  <c r="B447" i="34"/>
  <c r="B446" i="34"/>
  <c r="B445" i="34"/>
  <c r="B444" i="34"/>
  <c r="B443" i="34"/>
  <c r="B1941" i="34"/>
  <c r="B1916" i="34"/>
  <c r="B1924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740" i="34"/>
  <c r="B1739" i="34"/>
  <c r="B1738" i="34"/>
  <c r="B1737" i="34"/>
  <c r="B1736" i="34"/>
  <c r="B1742" i="34"/>
  <c r="B1741" i="34"/>
  <c r="B1816" i="34"/>
  <c r="B1807" i="34"/>
  <c r="B1745" i="34"/>
  <c r="B1751" i="34"/>
  <c r="B1749" i="34"/>
  <c r="B1769" i="34"/>
  <c r="B1778" i="34"/>
  <c r="B1768" i="34"/>
  <c r="B1781" i="34"/>
  <c r="B1767" i="34"/>
  <c r="B1772" i="34"/>
  <c r="B1771" i="34"/>
  <c r="B1770" i="34"/>
  <c r="B1800" i="34"/>
  <c r="B1797" i="34"/>
  <c r="B1798" i="34"/>
  <c r="B1774" i="34"/>
  <c r="B1789" i="34"/>
  <c r="B1763" i="34"/>
  <c r="B1764" i="34"/>
  <c r="B1765" i="34"/>
  <c r="B1759" i="34"/>
  <c r="B1762" i="34"/>
  <c r="B162" i="34"/>
  <c r="B161" i="34"/>
  <c r="B160" i="34"/>
  <c r="B159" i="34"/>
  <c r="B155" i="34"/>
  <c r="B154" i="34"/>
  <c r="B153" i="34"/>
  <c r="B152" i="34"/>
  <c r="B151" i="34"/>
  <c r="B150" i="34"/>
  <c r="B148" i="34"/>
  <c r="B147" i="34"/>
  <c r="B146" i="34"/>
  <c r="B144" i="34"/>
  <c r="B142" i="34"/>
  <c r="B141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877" i="34"/>
  <c r="B1896" i="34"/>
  <c r="B1926" i="34"/>
  <c r="B1837" i="34"/>
  <c r="B1836" i="34"/>
  <c r="B1835" i="34"/>
  <c r="B1834" i="34"/>
  <c r="B1830" i="34"/>
  <c r="B1829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99" i="34"/>
  <c r="B198" i="34"/>
  <c r="B197" i="34"/>
  <c r="B196" i="34"/>
  <c r="B195" i="34"/>
  <c r="B194" i="34"/>
  <c r="B192" i="34"/>
  <c r="B191" i="34"/>
  <c r="B190" i="34"/>
  <c r="B189" i="34"/>
  <c r="B188" i="34"/>
  <c r="B186" i="34"/>
  <c r="B185" i="34"/>
  <c r="B184" i="34"/>
  <c r="B183" i="34"/>
  <c r="B181" i="34"/>
  <c r="B180" i="34"/>
  <c r="B179" i="34"/>
  <c r="B178" i="34"/>
  <c r="B177" i="34"/>
  <c r="B176" i="34"/>
  <c r="B175" i="34"/>
  <c r="B174" i="34"/>
  <c r="B173" i="34"/>
  <c r="B172" i="34"/>
  <c r="B171" i="34"/>
  <c r="B169" i="34"/>
  <c r="B168" i="34"/>
  <c r="B167" i="34"/>
  <c r="B166" i="34"/>
  <c r="B165" i="34"/>
  <c r="B163" i="34"/>
  <c r="B2640" i="34"/>
  <c r="B2639" i="34"/>
  <c r="B1513" i="34"/>
  <c r="B1512" i="34"/>
  <c r="B1511" i="34"/>
  <c r="B1510" i="34"/>
  <c r="B1509" i="34"/>
  <c r="B1508" i="34"/>
  <c r="B1507" i="34"/>
  <c r="B1506" i="34"/>
  <c r="B1505" i="34"/>
  <c r="Q165" i="34" l="1"/>
  <c r="S165" i="34"/>
  <c r="W165" i="34"/>
  <c r="O165" i="34"/>
  <c r="T165" i="34"/>
  <c r="P165" i="34"/>
  <c r="U165" i="34"/>
  <c r="R165" i="34"/>
  <c r="Z165" i="34"/>
  <c r="A165" i="34"/>
  <c r="Q183" i="34"/>
  <c r="U183" i="34"/>
  <c r="R183" i="34"/>
  <c r="Z183" i="34"/>
  <c r="O183" i="34"/>
  <c r="S183" i="34"/>
  <c r="W183" i="34"/>
  <c r="P183" i="34"/>
  <c r="T183" i="34"/>
  <c r="A183" i="34"/>
  <c r="O1510" i="34"/>
  <c r="W1510" i="34"/>
  <c r="P1510" i="34"/>
  <c r="Q1510" i="34"/>
  <c r="U1510" i="34"/>
  <c r="Z1510" i="34"/>
  <c r="A1510" i="34"/>
  <c r="R166" i="34"/>
  <c r="Z166" i="34"/>
  <c r="O166" i="34"/>
  <c r="S166" i="34"/>
  <c r="W166" i="34"/>
  <c r="P166" i="34"/>
  <c r="T166" i="34"/>
  <c r="Q166" i="34"/>
  <c r="U166" i="34"/>
  <c r="A166" i="34"/>
  <c r="P184" i="34"/>
  <c r="T184" i="34"/>
  <c r="Q184" i="34"/>
  <c r="U184" i="34"/>
  <c r="R184" i="34"/>
  <c r="Z184" i="34"/>
  <c r="O184" i="34"/>
  <c r="S184" i="34"/>
  <c r="W184" i="34"/>
  <c r="A184" i="34"/>
  <c r="Q1508" i="34"/>
  <c r="U1508" i="34"/>
  <c r="Z1508" i="34"/>
  <c r="O1508" i="34"/>
  <c r="W1508" i="34"/>
  <c r="P1508" i="34"/>
  <c r="A1508" i="34"/>
  <c r="Q1512" i="34"/>
  <c r="U1512" i="34"/>
  <c r="Z1512" i="34"/>
  <c r="O1512" i="34"/>
  <c r="W1512" i="34"/>
  <c r="P1512" i="34"/>
  <c r="A1512" i="34"/>
  <c r="O163" i="34"/>
  <c r="S163" i="34"/>
  <c r="W163" i="34"/>
  <c r="P163" i="34"/>
  <c r="T163" i="34"/>
  <c r="Q163" i="34"/>
  <c r="U163" i="34"/>
  <c r="R163" i="34"/>
  <c r="Z163" i="34"/>
  <c r="A163" i="34"/>
  <c r="P168" i="34"/>
  <c r="T168" i="34"/>
  <c r="Q168" i="34"/>
  <c r="U168" i="34"/>
  <c r="R168" i="34"/>
  <c r="Z168" i="34"/>
  <c r="O168" i="34"/>
  <c r="S168" i="34"/>
  <c r="W168" i="34"/>
  <c r="A168" i="34"/>
  <c r="O173" i="34"/>
  <c r="S173" i="34"/>
  <c r="W173" i="34"/>
  <c r="P173" i="34"/>
  <c r="T173" i="34"/>
  <c r="Q173" i="34"/>
  <c r="U173" i="34"/>
  <c r="R173" i="34"/>
  <c r="Z173" i="34"/>
  <c r="A173" i="34"/>
  <c r="O177" i="34"/>
  <c r="S177" i="34"/>
  <c r="W177" i="34"/>
  <c r="P177" i="34"/>
  <c r="T177" i="34"/>
  <c r="Q177" i="34"/>
  <c r="U177" i="34"/>
  <c r="R177" i="34"/>
  <c r="Z177" i="34"/>
  <c r="A177" i="34"/>
  <c r="O181" i="34"/>
  <c r="S181" i="34"/>
  <c r="W181" i="34"/>
  <c r="P181" i="34"/>
  <c r="T181" i="34"/>
  <c r="Q181" i="34"/>
  <c r="U181" i="34"/>
  <c r="R181" i="34"/>
  <c r="Z181" i="34"/>
  <c r="A181" i="34"/>
  <c r="R186" i="34"/>
  <c r="Z186" i="34"/>
  <c r="O186" i="34"/>
  <c r="S186" i="34"/>
  <c r="W186" i="34"/>
  <c r="P186" i="34"/>
  <c r="T186" i="34"/>
  <c r="Q186" i="34"/>
  <c r="U186" i="34"/>
  <c r="A186" i="34"/>
  <c r="Q191" i="34"/>
  <c r="U191" i="34"/>
  <c r="R191" i="34"/>
  <c r="Z191" i="34"/>
  <c r="O191" i="34"/>
  <c r="S191" i="34"/>
  <c r="W191" i="34"/>
  <c r="P191" i="34"/>
  <c r="T191" i="34"/>
  <c r="A191" i="34"/>
  <c r="P196" i="34"/>
  <c r="T196" i="34"/>
  <c r="Q196" i="34"/>
  <c r="U196" i="34"/>
  <c r="R196" i="34"/>
  <c r="Z196" i="34"/>
  <c r="O196" i="34"/>
  <c r="S196" i="34"/>
  <c r="W196" i="34"/>
  <c r="A196" i="34"/>
  <c r="P1493" i="34"/>
  <c r="Q1493" i="34"/>
  <c r="U1493" i="34"/>
  <c r="Z1493" i="34"/>
  <c r="O1493" i="34"/>
  <c r="W1493" i="34"/>
  <c r="A1493" i="34"/>
  <c r="P1497" i="34"/>
  <c r="Q1497" i="34"/>
  <c r="U1497" i="34"/>
  <c r="Z1497" i="34"/>
  <c r="O1497" i="34"/>
  <c r="W1497" i="34"/>
  <c r="A1497" i="34"/>
  <c r="P1501" i="34"/>
  <c r="Q1501" i="34"/>
  <c r="U1501" i="34"/>
  <c r="Z1501" i="34"/>
  <c r="O1501" i="34"/>
  <c r="W1501" i="34"/>
  <c r="A1501" i="34"/>
  <c r="P1829" i="34"/>
  <c r="Q1829" i="34"/>
  <c r="U1829" i="34"/>
  <c r="Z1829" i="34"/>
  <c r="O1829" i="34"/>
  <c r="W1829" i="34"/>
  <c r="A1829" i="34"/>
  <c r="Q1836" i="34"/>
  <c r="U1836" i="34"/>
  <c r="Z1836" i="34"/>
  <c r="O1836" i="34"/>
  <c r="W1836" i="34"/>
  <c r="P1836" i="34"/>
  <c r="A1836" i="34"/>
  <c r="P1877" i="34"/>
  <c r="Q1877" i="34"/>
  <c r="U1877" i="34"/>
  <c r="Z1877" i="34"/>
  <c r="O1877" i="34"/>
  <c r="W1877" i="34"/>
  <c r="A1877" i="34"/>
  <c r="Q126" i="34"/>
  <c r="U126" i="34"/>
  <c r="R126" i="34"/>
  <c r="Z126" i="34"/>
  <c r="O126" i="34"/>
  <c r="S126" i="34"/>
  <c r="W126" i="34"/>
  <c r="T126" i="34"/>
  <c r="P126" i="34"/>
  <c r="A126" i="34"/>
  <c r="P130" i="34"/>
  <c r="T130" i="34"/>
  <c r="Q130" i="34"/>
  <c r="U130" i="34"/>
  <c r="R130" i="34"/>
  <c r="Z130" i="34"/>
  <c r="O130" i="34"/>
  <c r="S130" i="34"/>
  <c r="W130" i="34"/>
  <c r="A130" i="34"/>
  <c r="P134" i="34"/>
  <c r="T134" i="34"/>
  <c r="Q134" i="34"/>
  <c r="U134" i="34"/>
  <c r="R134" i="34"/>
  <c r="Z134" i="34"/>
  <c r="O134" i="34"/>
  <c r="S134" i="34"/>
  <c r="W134" i="34"/>
  <c r="A134" i="34"/>
  <c r="P138" i="34"/>
  <c r="T138" i="34"/>
  <c r="Q138" i="34"/>
  <c r="U138" i="34"/>
  <c r="R138" i="34"/>
  <c r="Z138" i="34"/>
  <c r="O138" i="34"/>
  <c r="S138" i="34"/>
  <c r="W138" i="34"/>
  <c r="A138" i="34"/>
  <c r="R144" i="34"/>
  <c r="Z144" i="34"/>
  <c r="O144" i="34"/>
  <c r="S144" i="34"/>
  <c r="W144" i="34"/>
  <c r="P144" i="34"/>
  <c r="T144" i="34"/>
  <c r="Q144" i="34"/>
  <c r="U144" i="34"/>
  <c r="A144" i="34"/>
  <c r="P150" i="34"/>
  <c r="T150" i="34"/>
  <c r="Q150" i="34"/>
  <c r="U150" i="34"/>
  <c r="R150" i="34"/>
  <c r="Z150" i="34"/>
  <c r="O150" i="34"/>
  <c r="S150" i="34"/>
  <c r="W150" i="34"/>
  <c r="A150" i="34"/>
  <c r="P154" i="34"/>
  <c r="T154" i="34"/>
  <c r="Q154" i="34"/>
  <c r="U154" i="34"/>
  <c r="R154" i="34"/>
  <c r="Z154" i="34"/>
  <c r="O154" i="34"/>
  <c r="S154" i="34"/>
  <c r="W154" i="34"/>
  <c r="A154" i="34"/>
  <c r="Q161" i="34"/>
  <c r="U161" i="34"/>
  <c r="R161" i="34"/>
  <c r="Z161" i="34"/>
  <c r="O161" i="34"/>
  <c r="S161" i="34"/>
  <c r="W161" i="34"/>
  <c r="P161" i="34"/>
  <c r="T161" i="34"/>
  <c r="A161" i="34"/>
  <c r="P1765" i="34"/>
  <c r="Q1765" i="34"/>
  <c r="U1765" i="34"/>
  <c r="Z1765" i="34"/>
  <c r="O1765" i="34"/>
  <c r="W1765" i="34"/>
  <c r="A1765" i="34"/>
  <c r="O1774" i="34"/>
  <c r="W1774" i="34"/>
  <c r="P1774" i="34"/>
  <c r="Q1774" i="34"/>
  <c r="U1774" i="34"/>
  <c r="Z1774" i="34"/>
  <c r="A1774" i="34"/>
  <c r="O1770" i="34"/>
  <c r="W1770" i="34"/>
  <c r="P1770" i="34"/>
  <c r="Q1770" i="34"/>
  <c r="U1770" i="34"/>
  <c r="Z1770" i="34"/>
  <c r="A1770" i="34"/>
  <c r="P1781" i="34"/>
  <c r="Q1781" i="34"/>
  <c r="U1781" i="34"/>
  <c r="Z1781" i="34"/>
  <c r="O1781" i="34"/>
  <c r="W1781" i="34"/>
  <c r="A1781" i="34"/>
  <c r="P1749" i="34"/>
  <c r="Q1749" i="34"/>
  <c r="U1749" i="34"/>
  <c r="Z1749" i="34"/>
  <c r="O1749" i="34"/>
  <c r="W1749" i="34"/>
  <c r="A1749" i="34"/>
  <c r="Q1816" i="34"/>
  <c r="U1816" i="34"/>
  <c r="Z1816" i="34"/>
  <c r="O1816" i="34"/>
  <c r="W1816" i="34"/>
  <c r="P1816" i="34"/>
  <c r="A1816" i="34"/>
  <c r="P1737" i="34"/>
  <c r="Q1737" i="34"/>
  <c r="U1737" i="34"/>
  <c r="Z1737" i="34"/>
  <c r="O1737" i="34"/>
  <c r="W1737" i="34"/>
  <c r="A1737" i="34"/>
  <c r="P1817" i="34"/>
  <c r="Q1817" i="34"/>
  <c r="U1817" i="34"/>
  <c r="Z1817" i="34"/>
  <c r="O1817" i="34"/>
  <c r="W1817" i="34"/>
  <c r="A1817" i="34"/>
  <c r="P1821" i="34"/>
  <c r="Q1821" i="34"/>
  <c r="U1821" i="34"/>
  <c r="Z1821" i="34"/>
  <c r="O1821" i="34"/>
  <c r="W1821" i="34"/>
  <c r="A1821" i="34"/>
  <c r="P1825" i="34"/>
  <c r="Q1825" i="34"/>
  <c r="U1825" i="34"/>
  <c r="Z1825" i="34"/>
  <c r="O1825" i="34"/>
  <c r="W1825" i="34"/>
  <c r="A1825" i="34"/>
  <c r="O1924" i="34"/>
  <c r="W1924" i="34"/>
  <c r="P1924" i="34"/>
  <c r="Q1924" i="34"/>
  <c r="U1924" i="34"/>
  <c r="Z1924" i="34"/>
  <c r="A1924" i="34"/>
  <c r="Q444" i="34"/>
  <c r="U444" i="34"/>
  <c r="Z444" i="34"/>
  <c r="O444" i="34"/>
  <c r="W444" i="34"/>
  <c r="P444" i="34"/>
  <c r="A444" i="34"/>
  <c r="Q448" i="34"/>
  <c r="U448" i="34"/>
  <c r="Z448" i="34"/>
  <c r="O448" i="34"/>
  <c r="W448" i="34"/>
  <c r="P448" i="34"/>
  <c r="A448" i="34"/>
  <c r="Z1687" i="34"/>
  <c r="O1687" i="34"/>
  <c r="W1687" i="34"/>
  <c r="P1687" i="34"/>
  <c r="Q1687" i="34"/>
  <c r="U1687" i="34"/>
  <c r="A1687" i="34"/>
  <c r="Z1691" i="34"/>
  <c r="O1691" i="34"/>
  <c r="W1691" i="34"/>
  <c r="P1691" i="34"/>
  <c r="Q1691" i="34"/>
  <c r="U1691" i="34"/>
  <c r="A1691" i="34"/>
  <c r="Z1695" i="34"/>
  <c r="O1695" i="34"/>
  <c r="W1695" i="34"/>
  <c r="P1695" i="34"/>
  <c r="Q1695" i="34"/>
  <c r="U1695" i="34"/>
  <c r="A1695" i="34"/>
  <c r="Z1699" i="34"/>
  <c r="O1699" i="34"/>
  <c r="W1699" i="34"/>
  <c r="P1699" i="34"/>
  <c r="Q1699" i="34"/>
  <c r="U1699" i="34"/>
  <c r="A1699" i="34"/>
  <c r="Z1703" i="34"/>
  <c r="O1703" i="34"/>
  <c r="W1703" i="34"/>
  <c r="P1703" i="34"/>
  <c r="Q1703" i="34"/>
  <c r="U1703" i="34"/>
  <c r="A1703" i="34"/>
  <c r="Z1707" i="34"/>
  <c r="O1707" i="34"/>
  <c r="W1707" i="34"/>
  <c r="P1707" i="34"/>
  <c r="Q1707" i="34"/>
  <c r="U1707" i="34"/>
  <c r="A1707" i="34"/>
  <c r="Z1711" i="34"/>
  <c r="O1711" i="34"/>
  <c r="W1711" i="34"/>
  <c r="P1711" i="34"/>
  <c r="Q1711" i="34"/>
  <c r="U1711" i="34"/>
  <c r="A1711" i="34"/>
  <c r="Z1715" i="34"/>
  <c r="O1715" i="34"/>
  <c r="W1715" i="34"/>
  <c r="P1715" i="34"/>
  <c r="Q1715" i="34"/>
  <c r="U1715" i="34"/>
  <c r="A1715" i="34"/>
  <c r="P1505" i="34"/>
  <c r="Q1505" i="34"/>
  <c r="U1505" i="34"/>
  <c r="Z1505" i="34"/>
  <c r="O1505" i="34"/>
  <c r="W1505" i="34"/>
  <c r="A1505" i="34"/>
  <c r="O169" i="34"/>
  <c r="S169" i="34"/>
  <c r="W169" i="34"/>
  <c r="P169" i="34"/>
  <c r="T169" i="34"/>
  <c r="Q169" i="34"/>
  <c r="U169" i="34"/>
  <c r="R169" i="34"/>
  <c r="Z169" i="34"/>
  <c r="A169" i="34"/>
  <c r="P188" i="34"/>
  <c r="T188" i="34"/>
  <c r="Q188" i="34"/>
  <c r="U188" i="34"/>
  <c r="R188" i="34"/>
  <c r="Z188" i="34"/>
  <c r="O188" i="34"/>
  <c r="S188" i="34"/>
  <c r="W188" i="34"/>
  <c r="A188" i="34"/>
  <c r="P192" i="34"/>
  <c r="T192" i="34"/>
  <c r="Q192" i="34"/>
  <c r="U192" i="34"/>
  <c r="R192" i="34"/>
  <c r="Z192" i="34"/>
  <c r="O192" i="34"/>
  <c r="S192" i="34"/>
  <c r="W192" i="34"/>
  <c r="A192" i="34"/>
  <c r="O197" i="34"/>
  <c r="S197" i="34"/>
  <c r="W197" i="34"/>
  <c r="P197" i="34"/>
  <c r="T197" i="34"/>
  <c r="Q197" i="34"/>
  <c r="U197" i="34"/>
  <c r="R197" i="34"/>
  <c r="Z197" i="34"/>
  <c r="A197" i="34"/>
  <c r="O1494" i="34"/>
  <c r="W1494" i="34"/>
  <c r="P1494" i="34"/>
  <c r="Q1494" i="34"/>
  <c r="U1494" i="34"/>
  <c r="Z1494" i="34"/>
  <c r="A1494" i="34"/>
  <c r="O1498" i="34"/>
  <c r="W1498" i="34"/>
  <c r="P1498" i="34"/>
  <c r="Q1498" i="34"/>
  <c r="U1498" i="34"/>
  <c r="Z1498" i="34"/>
  <c r="A1498" i="34"/>
  <c r="O1502" i="34"/>
  <c r="W1502" i="34"/>
  <c r="P1502" i="34"/>
  <c r="Q1502" i="34"/>
  <c r="U1502" i="34"/>
  <c r="Z1502" i="34"/>
  <c r="A1502" i="34"/>
  <c r="O1830" i="34"/>
  <c r="W1830" i="34"/>
  <c r="P1830" i="34"/>
  <c r="Q1830" i="34"/>
  <c r="U1830" i="34"/>
  <c r="Z1830" i="34"/>
  <c r="A1830" i="34"/>
  <c r="P1837" i="34"/>
  <c r="Q1837" i="34"/>
  <c r="U1837" i="34"/>
  <c r="Z1837" i="34"/>
  <c r="O1837" i="34"/>
  <c r="W1837" i="34"/>
  <c r="A1837" i="34"/>
  <c r="P123" i="34"/>
  <c r="T123" i="34"/>
  <c r="Q123" i="34"/>
  <c r="U123" i="34"/>
  <c r="R123" i="34"/>
  <c r="Z123" i="34"/>
  <c r="O123" i="34"/>
  <c r="S123" i="34"/>
  <c r="W123" i="34"/>
  <c r="A123" i="34"/>
  <c r="P127" i="34"/>
  <c r="T127" i="34"/>
  <c r="Q127" i="34"/>
  <c r="U127" i="34"/>
  <c r="R127" i="34"/>
  <c r="W127" i="34"/>
  <c r="O127" i="34"/>
  <c r="S127" i="34"/>
  <c r="Z127" i="34"/>
  <c r="A127" i="34"/>
  <c r="O131" i="34"/>
  <c r="S131" i="34"/>
  <c r="W131" i="34"/>
  <c r="P131" i="34"/>
  <c r="T131" i="34"/>
  <c r="Q131" i="34"/>
  <c r="U131" i="34"/>
  <c r="R131" i="34"/>
  <c r="Z131" i="34"/>
  <c r="A131" i="34"/>
  <c r="O135" i="34"/>
  <c r="S135" i="34"/>
  <c r="W135" i="34"/>
  <c r="P135" i="34"/>
  <c r="T135" i="34"/>
  <c r="Q135" i="34"/>
  <c r="U135" i="34"/>
  <c r="R135" i="34"/>
  <c r="Z135" i="34"/>
  <c r="A135" i="34"/>
  <c r="O139" i="34"/>
  <c r="S139" i="34"/>
  <c r="W139" i="34"/>
  <c r="P139" i="34"/>
  <c r="T139" i="34"/>
  <c r="Q139" i="34"/>
  <c r="U139" i="34"/>
  <c r="R139" i="34"/>
  <c r="Z139" i="34"/>
  <c r="A139" i="34"/>
  <c r="P146" i="34"/>
  <c r="T146" i="34"/>
  <c r="Q146" i="34"/>
  <c r="U146" i="34"/>
  <c r="R146" i="34"/>
  <c r="Z146" i="34"/>
  <c r="O146" i="34"/>
  <c r="S146" i="34"/>
  <c r="W146" i="34"/>
  <c r="A146" i="34"/>
  <c r="O151" i="34"/>
  <c r="S151" i="34"/>
  <c r="W151" i="34"/>
  <c r="P151" i="34"/>
  <c r="T151" i="34"/>
  <c r="Q151" i="34"/>
  <c r="U151" i="34"/>
  <c r="R151" i="34"/>
  <c r="Z151" i="34"/>
  <c r="A151" i="34"/>
  <c r="O155" i="34"/>
  <c r="S155" i="34"/>
  <c r="W155" i="34"/>
  <c r="P155" i="34"/>
  <c r="T155" i="34"/>
  <c r="Q155" i="34"/>
  <c r="U155" i="34"/>
  <c r="R155" i="34"/>
  <c r="Z155" i="34"/>
  <c r="A155" i="34"/>
  <c r="P162" i="34"/>
  <c r="T162" i="34"/>
  <c r="Q162" i="34"/>
  <c r="U162" i="34"/>
  <c r="R162" i="34"/>
  <c r="Z162" i="34"/>
  <c r="O162" i="34"/>
  <c r="S162" i="34"/>
  <c r="W162" i="34"/>
  <c r="A162" i="34"/>
  <c r="Q1764" i="34"/>
  <c r="U1764" i="34"/>
  <c r="Z1764" i="34"/>
  <c r="O1764" i="34"/>
  <c r="W1764" i="34"/>
  <c r="P1764" i="34"/>
  <c r="A1764" i="34"/>
  <c r="O1798" i="34"/>
  <c r="W1798" i="34"/>
  <c r="P1798" i="34"/>
  <c r="Q1798" i="34"/>
  <c r="U1798" i="34"/>
  <c r="Z1798" i="34"/>
  <c r="A1798" i="34"/>
  <c r="Z1771" i="34"/>
  <c r="O1771" i="34"/>
  <c r="W1771" i="34"/>
  <c r="P1771" i="34"/>
  <c r="Q1771" i="34"/>
  <c r="U1771" i="34"/>
  <c r="A1771" i="34"/>
  <c r="Q1768" i="34"/>
  <c r="U1768" i="34"/>
  <c r="Z1768" i="34"/>
  <c r="O1768" i="34"/>
  <c r="W1768" i="34"/>
  <c r="P1768" i="34"/>
  <c r="A1768" i="34"/>
  <c r="Z1751" i="34"/>
  <c r="O1751" i="34"/>
  <c r="W1751" i="34"/>
  <c r="P1751" i="34"/>
  <c r="Q1751" i="34"/>
  <c r="U1751" i="34"/>
  <c r="A1751" i="34"/>
  <c r="P1741" i="34"/>
  <c r="Q1741" i="34"/>
  <c r="U1741" i="34"/>
  <c r="Z1741" i="34"/>
  <c r="O1741" i="34"/>
  <c r="W1741" i="34"/>
  <c r="A1741" i="34"/>
  <c r="O1738" i="34"/>
  <c r="W1738" i="34"/>
  <c r="P1738" i="34"/>
  <c r="Q1738" i="34"/>
  <c r="U1738" i="34"/>
  <c r="Z1738" i="34"/>
  <c r="A1738" i="34"/>
  <c r="O1818" i="34"/>
  <c r="W1818" i="34"/>
  <c r="P1818" i="34"/>
  <c r="Q1818" i="34"/>
  <c r="U1818" i="34"/>
  <c r="Z1818" i="34"/>
  <c r="A1818" i="34"/>
  <c r="O1822" i="34"/>
  <c r="W1822" i="34"/>
  <c r="P1822" i="34"/>
  <c r="Q1822" i="34"/>
  <c r="U1822" i="34"/>
  <c r="Z1822" i="34"/>
  <c r="A1822" i="34"/>
  <c r="O1826" i="34"/>
  <c r="W1826" i="34"/>
  <c r="P1826" i="34"/>
  <c r="Q1826" i="34"/>
  <c r="U1826" i="34"/>
  <c r="Z1826" i="34"/>
  <c r="A1826" i="34"/>
  <c r="O1916" i="34"/>
  <c r="W1916" i="34"/>
  <c r="P1916" i="34"/>
  <c r="Q1916" i="34"/>
  <c r="U1916" i="34"/>
  <c r="Z1916" i="34"/>
  <c r="A1916" i="34"/>
  <c r="P445" i="34"/>
  <c r="Q445" i="34"/>
  <c r="U445" i="34"/>
  <c r="Z445" i="34"/>
  <c r="O445" i="34"/>
  <c r="W445" i="34"/>
  <c r="A445" i="34"/>
  <c r="P449" i="34"/>
  <c r="Q449" i="34"/>
  <c r="U449" i="34"/>
  <c r="Z449" i="34"/>
  <c r="O449" i="34"/>
  <c r="W449" i="34"/>
  <c r="A449" i="34"/>
  <c r="Q1688" i="34"/>
  <c r="U1688" i="34"/>
  <c r="Z1688" i="34"/>
  <c r="O1688" i="34"/>
  <c r="W1688" i="34"/>
  <c r="P1688" i="34"/>
  <c r="A1688" i="34"/>
  <c r="Q1692" i="34"/>
  <c r="U1692" i="34"/>
  <c r="Z1692" i="34"/>
  <c r="O1692" i="34"/>
  <c r="W1692" i="34"/>
  <c r="P1692" i="34"/>
  <c r="A1692" i="34"/>
  <c r="Q1696" i="34"/>
  <c r="U1696" i="34"/>
  <c r="Z1696" i="34"/>
  <c r="O1696" i="34"/>
  <c r="W1696" i="34"/>
  <c r="P1696" i="34"/>
  <c r="A1696" i="34"/>
  <c r="Q1700" i="34"/>
  <c r="U1700" i="34"/>
  <c r="Z1700" i="34"/>
  <c r="O1700" i="34"/>
  <c r="W1700" i="34"/>
  <c r="P1700" i="34"/>
  <c r="A1700" i="34"/>
  <c r="Q1704" i="34"/>
  <c r="U1704" i="34"/>
  <c r="Z1704" i="34"/>
  <c r="O1704" i="34"/>
  <c r="W1704" i="34"/>
  <c r="P1704" i="34"/>
  <c r="A1704" i="34"/>
  <c r="Q1708" i="34"/>
  <c r="U1708" i="34"/>
  <c r="Z1708" i="34"/>
  <c r="O1708" i="34"/>
  <c r="W1708" i="34"/>
  <c r="P1708" i="34"/>
  <c r="A1708" i="34"/>
  <c r="Q1712" i="34"/>
  <c r="U1712" i="34"/>
  <c r="Z1712" i="34"/>
  <c r="O1712" i="34"/>
  <c r="W1712" i="34"/>
  <c r="P1712" i="34"/>
  <c r="A1712" i="34"/>
  <c r="Q1716" i="34"/>
  <c r="U1716" i="34"/>
  <c r="Z1716" i="34"/>
  <c r="O1716" i="34"/>
  <c r="W1716" i="34"/>
  <c r="P1716" i="34"/>
  <c r="A1716" i="34"/>
  <c r="P1513" i="34"/>
  <c r="Q1513" i="34"/>
  <c r="U1513" i="34"/>
  <c r="Z1513" i="34"/>
  <c r="O1513" i="34"/>
  <c r="W1513" i="34"/>
  <c r="A1513" i="34"/>
  <c r="R178" i="34"/>
  <c r="Z178" i="34"/>
  <c r="O178" i="34"/>
  <c r="S178" i="34"/>
  <c r="W178" i="34"/>
  <c r="P178" i="34"/>
  <c r="T178" i="34"/>
  <c r="Q178" i="34"/>
  <c r="U178" i="34"/>
  <c r="A178" i="34"/>
  <c r="O2639" i="34"/>
  <c r="W2639" i="34"/>
  <c r="P2639" i="34"/>
  <c r="Q2639" i="34"/>
  <c r="U2639" i="34"/>
  <c r="Z2639" i="34"/>
  <c r="A2639" i="34"/>
  <c r="Q175" i="34"/>
  <c r="U175" i="34"/>
  <c r="R175" i="34"/>
  <c r="Z175" i="34"/>
  <c r="O175" i="34"/>
  <c r="S175" i="34"/>
  <c r="W175" i="34"/>
  <c r="P175" i="34"/>
  <c r="T175" i="34"/>
  <c r="A175" i="34"/>
  <c r="O189" i="34"/>
  <c r="S189" i="34"/>
  <c r="W189" i="34"/>
  <c r="P189" i="34"/>
  <c r="T189" i="34"/>
  <c r="Q189" i="34"/>
  <c r="U189" i="34"/>
  <c r="R189" i="34"/>
  <c r="Z189" i="34"/>
  <c r="A189" i="34"/>
  <c r="R194" i="34"/>
  <c r="Z194" i="34"/>
  <c r="O194" i="34"/>
  <c r="S194" i="34"/>
  <c r="W194" i="34"/>
  <c r="P194" i="34"/>
  <c r="T194" i="34"/>
  <c r="Q194" i="34"/>
  <c r="U194" i="34"/>
  <c r="A194" i="34"/>
  <c r="R198" i="34"/>
  <c r="Z198" i="34"/>
  <c r="O198" i="34"/>
  <c r="S198" i="34"/>
  <c r="W198" i="34"/>
  <c r="P198" i="34"/>
  <c r="T198" i="34"/>
  <c r="Q198" i="34"/>
  <c r="U198" i="34"/>
  <c r="A198" i="34"/>
  <c r="Z1495" i="34"/>
  <c r="O1495" i="34"/>
  <c r="W1495" i="34"/>
  <c r="P1495" i="34"/>
  <c r="Q1495" i="34"/>
  <c r="U1495" i="34"/>
  <c r="A1495" i="34"/>
  <c r="Z1499" i="34"/>
  <c r="O1499" i="34"/>
  <c r="W1499" i="34"/>
  <c r="P1499" i="34"/>
  <c r="Q1499" i="34"/>
  <c r="U1499" i="34"/>
  <c r="A1499" i="34"/>
  <c r="Z1503" i="34"/>
  <c r="O1503" i="34"/>
  <c r="W1503" i="34"/>
  <c r="P1503" i="34"/>
  <c r="Q1503" i="34"/>
  <c r="U1503" i="34"/>
  <c r="A1503" i="34"/>
  <c r="O1834" i="34"/>
  <c r="W1834" i="34"/>
  <c r="P1834" i="34"/>
  <c r="Q1834" i="34"/>
  <c r="U1834" i="34"/>
  <c r="Z1834" i="34"/>
  <c r="A1834" i="34"/>
  <c r="Q1926" i="34"/>
  <c r="U1926" i="34"/>
  <c r="Z1926" i="34"/>
  <c r="O1926" i="34"/>
  <c r="W1926" i="34"/>
  <c r="P1926" i="34"/>
  <c r="A1926" i="34"/>
  <c r="O124" i="34"/>
  <c r="S124" i="34"/>
  <c r="W124" i="34"/>
  <c r="P124" i="34"/>
  <c r="T124" i="34"/>
  <c r="Q124" i="34"/>
  <c r="U124" i="34"/>
  <c r="R124" i="34"/>
  <c r="Z124" i="34"/>
  <c r="A124" i="34"/>
  <c r="R128" i="34"/>
  <c r="Z128" i="34"/>
  <c r="O128" i="34"/>
  <c r="S128" i="34"/>
  <c r="W128" i="34"/>
  <c r="P128" i="34"/>
  <c r="T128" i="34"/>
  <c r="Q128" i="34"/>
  <c r="U128" i="34"/>
  <c r="A128" i="34"/>
  <c r="R132" i="34"/>
  <c r="Z132" i="34"/>
  <c r="O132" i="34"/>
  <c r="S132" i="34"/>
  <c r="W132" i="34"/>
  <c r="P132" i="34"/>
  <c r="T132" i="34"/>
  <c r="Q132" i="34"/>
  <c r="U132" i="34"/>
  <c r="A132" i="34"/>
  <c r="R136" i="34"/>
  <c r="Z136" i="34"/>
  <c r="O136" i="34"/>
  <c r="S136" i="34"/>
  <c r="W136" i="34"/>
  <c r="P136" i="34"/>
  <c r="T136" i="34"/>
  <c r="Q136" i="34"/>
  <c r="U136" i="34"/>
  <c r="A136" i="34"/>
  <c r="Q141" i="34"/>
  <c r="U141" i="34"/>
  <c r="R141" i="34"/>
  <c r="Z141" i="34"/>
  <c r="O141" i="34"/>
  <c r="S141" i="34"/>
  <c r="W141" i="34"/>
  <c r="P141" i="34"/>
  <c r="T141" i="34"/>
  <c r="A141" i="34"/>
  <c r="O147" i="34"/>
  <c r="S147" i="34"/>
  <c r="W147" i="34"/>
  <c r="P147" i="34"/>
  <c r="T147" i="34"/>
  <c r="Q147" i="34"/>
  <c r="U147" i="34"/>
  <c r="R147" i="34"/>
  <c r="Z147" i="34"/>
  <c r="A147" i="34"/>
  <c r="R152" i="34"/>
  <c r="Z152" i="34"/>
  <c r="O152" i="34"/>
  <c r="S152" i="34"/>
  <c r="W152" i="34"/>
  <c r="P152" i="34"/>
  <c r="T152" i="34"/>
  <c r="Q152" i="34"/>
  <c r="U152" i="34"/>
  <c r="A152" i="34"/>
  <c r="O159" i="34"/>
  <c r="S159" i="34"/>
  <c r="W159" i="34"/>
  <c r="P159" i="34"/>
  <c r="T159" i="34"/>
  <c r="Q159" i="34"/>
  <c r="U159" i="34"/>
  <c r="R159" i="34"/>
  <c r="Z159" i="34"/>
  <c r="A159" i="34"/>
  <c r="O1762" i="34"/>
  <c r="W1762" i="34"/>
  <c r="P1762" i="34"/>
  <c r="Q1762" i="34"/>
  <c r="U1762" i="34"/>
  <c r="Z1762" i="34"/>
  <c r="A1762" i="34"/>
  <c r="Z1763" i="34"/>
  <c r="O1763" i="34"/>
  <c r="W1763" i="34"/>
  <c r="P1763" i="34"/>
  <c r="Q1763" i="34"/>
  <c r="U1763" i="34"/>
  <c r="A1763" i="34"/>
  <c r="P1797" i="34"/>
  <c r="Q1797" i="34"/>
  <c r="U1797" i="34"/>
  <c r="Z1797" i="34"/>
  <c r="O1797" i="34"/>
  <c r="W1797" i="34"/>
  <c r="A1797" i="34"/>
  <c r="Q1772" i="34"/>
  <c r="U1772" i="34"/>
  <c r="Z1772" i="34"/>
  <c r="O1772" i="34"/>
  <c r="W1772" i="34"/>
  <c r="P1772" i="34"/>
  <c r="A1772" i="34"/>
  <c r="O1778" i="34"/>
  <c r="W1778" i="34"/>
  <c r="P1778" i="34"/>
  <c r="Q1778" i="34"/>
  <c r="U1778" i="34"/>
  <c r="Z1778" i="34"/>
  <c r="A1778" i="34"/>
  <c r="P1745" i="34"/>
  <c r="Q1745" i="34"/>
  <c r="U1745" i="34"/>
  <c r="Z1745" i="34"/>
  <c r="O1745" i="34"/>
  <c r="W1745" i="34"/>
  <c r="A1745" i="34"/>
  <c r="O1742" i="34"/>
  <c r="W1742" i="34"/>
  <c r="P1742" i="34"/>
  <c r="Q1742" i="34"/>
  <c r="U1742" i="34"/>
  <c r="Z1742" i="34"/>
  <c r="A1742" i="34"/>
  <c r="Z1739" i="34"/>
  <c r="O1739" i="34"/>
  <c r="W1739" i="34"/>
  <c r="P1739" i="34"/>
  <c r="Q1739" i="34"/>
  <c r="U1739" i="34"/>
  <c r="A1739" i="34"/>
  <c r="Z1819" i="34"/>
  <c r="O1819" i="34"/>
  <c r="W1819" i="34"/>
  <c r="P1819" i="34"/>
  <c r="Q1819" i="34"/>
  <c r="U1819" i="34"/>
  <c r="A1819" i="34"/>
  <c r="Z1823" i="34"/>
  <c r="O1823" i="34"/>
  <c r="W1823" i="34"/>
  <c r="P1823" i="34"/>
  <c r="Q1823" i="34"/>
  <c r="U1823" i="34"/>
  <c r="A1823" i="34"/>
  <c r="Z1827" i="34"/>
  <c r="O1827" i="34"/>
  <c r="W1827" i="34"/>
  <c r="P1827" i="34"/>
  <c r="Q1827" i="34"/>
  <c r="U1827" i="34"/>
  <c r="A1827" i="34"/>
  <c r="Z1941" i="34"/>
  <c r="O1941" i="34"/>
  <c r="W1941" i="34"/>
  <c r="P1941" i="34"/>
  <c r="Q1941" i="34"/>
  <c r="U1941" i="34"/>
  <c r="A1941" i="34"/>
  <c r="O446" i="34"/>
  <c r="W446" i="34"/>
  <c r="P446" i="34"/>
  <c r="Q446" i="34"/>
  <c r="U446" i="34"/>
  <c r="Z446" i="34"/>
  <c r="A446" i="34"/>
  <c r="O450" i="34"/>
  <c r="W450" i="34"/>
  <c r="P450" i="34"/>
  <c r="Q450" i="34"/>
  <c r="U450" i="34"/>
  <c r="Z450" i="34"/>
  <c r="A450" i="34"/>
  <c r="P1689" i="34"/>
  <c r="Q1689" i="34"/>
  <c r="U1689" i="34"/>
  <c r="Z1689" i="34"/>
  <c r="O1689" i="34"/>
  <c r="W1689" i="34"/>
  <c r="A1689" i="34"/>
  <c r="P1693" i="34"/>
  <c r="Q1693" i="34"/>
  <c r="U1693" i="34"/>
  <c r="Z1693" i="34"/>
  <c r="O1693" i="34"/>
  <c r="W1693" i="34"/>
  <c r="A1693" i="34"/>
  <c r="P1697" i="34"/>
  <c r="Q1697" i="34"/>
  <c r="U1697" i="34"/>
  <c r="Z1697" i="34"/>
  <c r="O1697" i="34"/>
  <c r="W1697" i="34"/>
  <c r="A1697" i="34"/>
  <c r="P1701" i="34"/>
  <c r="Q1701" i="34"/>
  <c r="U1701" i="34"/>
  <c r="Z1701" i="34"/>
  <c r="O1701" i="34"/>
  <c r="W1701" i="34"/>
  <c r="A1701" i="34"/>
  <c r="P1705" i="34"/>
  <c r="Q1705" i="34"/>
  <c r="U1705" i="34"/>
  <c r="Z1705" i="34"/>
  <c r="O1705" i="34"/>
  <c r="W1705" i="34"/>
  <c r="A1705" i="34"/>
  <c r="P1709" i="34"/>
  <c r="Q1709" i="34"/>
  <c r="U1709" i="34"/>
  <c r="Z1709" i="34"/>
  <c r="O1709" i="34"/>
  <c r="W1709" i="34"/>
  <c r="A1709" i="34"/>
  <c r="P1713" i="34"/>
  <c r="Q1713" i="34"/>
  <c r="U1713" i="34"/>
  <c r="Z1713" i="34"/>
  <c r="O1713" i="34"/>
  <c r="W1713" i="34"/>
  <c r="A1713" i="34"/>
  <c r="P1717" i="34"/>
  <c r="Q1717" i="34"/>
  <c r="U1717" i="34"/>
  <c r="Z1717" i="34"/>
  <c r="O1717" i="34"/>
  <c r="W1717" i="34"/>
  <c r="A1717" i="34"/>
  <c r="P1509" i="34"/>
  <c r="Q1509" i="34"/>
  <c r="U1509" i="34"/>
  <c r="Z1509" i="34"/>
  <c r="O1509" i="34"/>
  <c r="W1509" i="34"/>
  <c r="A1509" i="34"/>
  <c r="R174" i="34"/>
  <c r="Z174" i="34"/>
  <c r="O174" i="34"/>
  <c r="S174" i="34"/>
  <c r="W174" i="34"/>
  <c r="P174" i="34"/>
  <c r="T174" i="34"/>
  <c r="Q174" i="34"/>
  <c r="U174" i="34"/>
  <c r="A174" i="34"/>
  <c r="O1506" i="34"/>
  <c r="W1506" i="34"/>
  <c r="P1506" i="34"/>
  <c r="Q1506" i="34"/>
  <c r="U1506" i="34"/>
  <c r="Z1506" i="34"/>
  <c r="A1506" i="34"/>
  <c r="Q171" i="34"/>
  <c r="U171" i="34"/>
  <c r="R171" i="34"/>
  <c r="Z171" i="34"/>
  <c r="O171" i="34"/>
  <c r="S171" i="34"/>
  <c r="W171" i="34"/>
  <c r="P171" i="34"/>
  <c r="T171" i="34"/>
  <c r="A171" i="34"/>
  <c r="Q179" i="34"/>
  <c r="U179" i="34"/>
  <c r="R179" i="34"/>
  <c r="Z179" i="34"/>
  <c r="O179" i="34"/>
  <c r="S179" i="34"/>
  <c r="W179" i="34"/>
  <c r="P179" i="34"/>
  <c r="T179" i="34"/>
  <c r="A179" i="34"/>
  <c r="Z1507" i="34"/>
  <c r="O1507" i="34"/>
  <c r="W1507" i="34"/>
  <c r="P1507" i="34"/>
  <c r="Q1507" i="34"/>
  <c r="U1507" i="34"/>
  <c r="A1507" i="34"/>
  <c r="Z1511" i="34"/>
  <c r="O1511" i="34"/>
  <c r="W1511" i="34"/>
  <c r="P1511" i="34"/>
  <c r="Q1511" i="34"/>
  <c r="U1511" i="34"/>
  <c r="A1511" i="34"/>
  <c r="Z2640" i="34"/>
  <c r="O2640" i="34"/>
  <c r="W2640" i="34"/>
  <c r="P2640" i="34"/>
  <c r="Q2640" i="34"/>
  <c r="U2640" i="34"/>
  <c r="A2640" i="34"/>
  <c r="Q167" i="34"/>
  <c r="U167" i="34"/>
  <c r="R167" i="34"/>
  <c r="Z167" i="34"/>
  <c r="O167" i="34"/>
  <c r="S167" i="34"/>
  <c r="W167" i="34"/>
  <c r="P167" i="34"/>
  <c r="T167" i="34"/>
  <c r="A167" i="34"/>
  <c r="P172" i="34"/>
  <c r="T172" i="34"/>
  <c r="Q172" i="34"/>
  <c r="U172" i="34"/>
  <c r="R172" i="34"/>
  <c r="Z172" i="34"/>
  <c r="O172" i="34"/>
  <c r="S172" i="34"/>
  <c r="W172" i="34"/>
  <c r="A172" i="34"/>
  <c r="P176" i="34"/>
  <c r="T176" i="34"/>
  <c r="Q176" i="34"/>
  <c r="U176" i="34"/>
  <c r="R176" i="34"/>
  <c r="Z176" i="34"/>
  <c r="O176" i="34"/>
  <c r="S176" i="34"/>
  <c r="W176" i="34"/>
  <c r="A176" i="34"/>
  <c r="P180" i="34"/>
  <c r="T180" i="34"/>
  <c r="Q180" i="34"/>
  <c r="U180" i="34"/>
  <c r="R180" i="34"/>
  <c r="Z180" i="34"/>
  <c r="O180" i="34"/>
  <c r="S180" i="34"/>
  <c r="W180" i="34"/>
  <c r="A180" i="34"/>
  <c r="O185" i="34"/>
  <c r="S185" i="34"/>
  <c r="W185" i="34"/>
  <c r="P185" i="34"/>
  <c r="T185" i="34"/>
  <c r="Q185" i="34"/>
  <c r="U185" i="34"/>
  <c r="R185" i="34"/>
  <c r="Z185" i="34"/>
  <c r="A185" i="34"/>
  <c r="R190" i="34"/>
  <c r="Z190" i="34"/>
  <c r="O190" i="34"/>
  <c r="S190" i="34"/>
  <c r="W190" i="34"/>
  <c r="P190" i="34"/>
  <c r="T190" i="34"/>
  <c r="Q190" i="34"/>
  <c r="U190" i="34"/>
  <c r="A190" i="34"/>
  <c r="Q195" i="34"/>
  <c r="U195" i="34"/>
  <c r="R195" i="34"/>
  <c r="Z195" i="34"/>
  <c r="O195" i="34"/>
  <c r="S195" i="34"/>
  <c r="W195" i="34"/>
  <c r="P195" i="34"/>
  <c r="T195" i="34"/>
  <c r="A195" i="34"/>
  <c r="Q199" i="34"/>
  <c r="U199" i="34"/>
  <c r="R199" i="34"/>
  <c r="Z199" i="34"/>
  <c r="O199" i="34"/>
  <c r="S199" i="34"/>
  <c r="W199" i="34"/>
  <c r="P199" i="34"/>
  <c r="T199" i="34"/>
  <c r="A199" i="34"/>
  <c r="Q1496" i="34"/>
  <c r="U1496" i="34"/>
  <c r="Z1496" i="34"/>
  <c r="O1496" i="34"/>
  <c r="W1496" i="34"/>
  <c r="P1496" i="34"/>
  <c r="A1496" i="34"/>
  <c r="Q1500" i="34"/>
  <c r="U1500" i="34"/>
  <c r="Z1500" i="34"/>
  <c r="O1500" i="34"/>
  <c r="W1500" i="34"/>
  <c r="P1500" i="34"/>
  <c r="A1500" i="34"/>
  <c r="Q1504" i="34"/>
  <c r="U1504" i="34"/>
  <c r="Z1504" i="34"/>
  <c r="O1504" i="34"/>
  <c r="W1504" i="34"/>
  <c r="P1504" i="34"/>
  <c r="A1504" i="34"/>
  <c r="Z1835" i="34"/>
  <c r="O1835" i="34"/>
  <c r="W1835" i="34"/>
  <c r="P1835" i="34"/>
  <c r="Q1835" i="34"/>
  <c r="U1835" i="34"/>
  <c r="A1835" i="34"/>
  <c r="Q1896" i="34"/>
  <c r="U1896" i="34"/>
  <c r="Z1896" i="34"/>
  <c r="P1896" i="34"/>
  <c r="O1896" i="34"/>
  <c r="W1896" i="34"/>
  <c r="A1896" i="34"/>
  <c r="R125" i="34"/>
  <c r="Z125" i="34"/>
  <c r="O125" i="34"/>
  <c r="S125" i="34"/>
  <c r="W125" i="34"/>
  <c r="P125" i="34"/>
  <c r="T125" i="34"/>
  <c r="Q125" i="34"/>
  <c r="U125" i="34"/>
  <c r="A125" i="34"/>
  <c r="Q129" i="34"/>
  <c r="U129" i="34"/>
  <c r="R129" i="34"/>
  <c r="Z129" i="34"/>
  <c r="O129" i="34"/>
  <c r="S129" i="34"/>
  <c r="W129" i="34"/>
  <c r="P129" i="34"/>
  <c r="T129" i="34"/>
  <c r="A129" i="34"/>
  <c r="Q133" i="34"/>
  <c r="U133" i="34"/>
  <c r="R133" i="34"/>
  <c r="Z133" i="34"/>
  <c r="O133" i="34"/>
  <c r="S133" i="34"/>
  <c r="W133" i="34"/>
  <c r="P133" i="34"/>
  <c r="T133" i="34"/>
  <c r="A133" i="34"/>
  <c r="Q137" i="34"/>
  <c r="U137" i="34"/>
  <c r="R137" i="34"/>
  <c r="Z137" i="34"/>
  <c r="O137" i="34"/>
  <c r="S137" i="34"/>
  <c r="W137" i="34"/>
  <c r="P137" i="34"/>
  <c r="T137" i="34"/>
  <c r="A137" i="34"/>
  <c r="P142" i="34"/>
  <c r="T142" i="34"/>
  <c r="Q142" i="34"/>
  <c r="U142" i="34"/>
  <c r="R142" i="34"/>
  <c r="Z142" i="34"/>
  <c r="O142" i="34"/>
  <c r="S142" i="34"/>
  <c r="W142" i="34"/>
  <c r="A142" i="34"/>
  <c r="R148" i="34"/>
  <c r="Z148" i="34"/>
  <c r="O148" i="34"/>
  <c r="S148" i="34"/>
  <c r="W148" i="34"/>
  <c r="P148" i="34"/>
  <c r="T148" i="34"/>
  <c r="Q148" i="34"/>
  <c r="U148" i="34"/>
  <c r="A148" i="34"/>
  <c r="Q153" i="34"/>
  <c r="U153" i="34"/>
  <c r="R153" i="34"/>
  <c r="Z153" i="34"/>
  <c r="O153" i="34"/>
  <c r="S153" i="34"/>
  <c r="W153" i="34"/>
  <c r="P153" i="34"/>
  <c r="T153" i="34"/>
  <c r="A153" i="34"/>
  <c r="R160" i="34"/>
  <c r="Z160" i="34"/>
  <c r="O160" i="34"/>
  <c r="S160" i="34"/>
  <c r="W160" i="34"/>
  <c r="P160" i="34"/>
  <c r="T160" i="34"/>
  <c r="Q160" i="34"/>
  <c r="U160" i="34"/>
  <c r="A160" i="34"/>
  <c r="Z1759" i="34"/>
  <c r="O1759" i="34"/>
  <c r="W1759" i="34"/>
  <c r="P1759" i="34"/>
  <c r="Q1759" i="34"/>
  <c r="U1759" i="34"/>
  <c r="A1759" i="34"/>
  <c r="P1789" i="34"/>
  <c r="Q1789" i="34"/>
  <c r="U1789" i="34"/>
  <c r="Z1789" i="34"/>
  <c r="O1789" i="34"/>
  <c r="W1789" i="34"/>
  <c r="A1789" i="34"/>
  <c r="Q1800" i="34"/>
  <c r="U1800" i="34"/>
  <c r="Z1800" i="34"/>
  <c r="O1800" i="34"/>
  <c r="W1800" i="34"/>
  <c r="P1800" i="34"/>
  <c r="A1800" i="34"/>
  <c r="Z1767" i="34"/>
  <c r="O1767" i="34"/>
  <c r="W1767" i="34"/>
  <c r="P1767" i="34"/>
  <c r="Q1767" i="34"/>
  <c r="U1767" i="34"/>
  <c r="A1767" i="34"/>
  <c r="P1769" i="34"/>
  <c r="Q1769" i="34"/>
  <c r="U1769" i="34"/>
  <c r="Z1769" i="34"/>
  <c r="O1769" i="34"/>
  <c r="W1769" i="34"/>
  <c r="A1769" i="34"/>
  <c r="Z1807" i="34"/>
  <c r="O1807" i="34"/>
  <c r="W1807" i="34"/>
  <c r="P1807" i="34"/>
  <c r="Q1807" i="34"/>
  <c r="U1807" i="34"/>
  <c r="A1807" i="34"/>
  <c r="Q1736" i="34"/>
  <c r="U1736" i="34"/>
  <c r="Z1736" i="34"/>
  <c r="O1736" i="34"/>
  <c r="W1736" i="34"/>
  <c r="P1736" i="34"/>
  <c r="A1736" i="34"/>
  <c r="Q1740" i="34"/>
  <c r="U1740" i="34"/>
  <c r="Z1740" i="34"/>
  <c r="O1740" i="34"/>
  <c r="W1740" i="34"/>
  <c r="P1740" i="34"/>
  <c r="A1740" i="34"/>
  <c r="Q1820" i="34"/>
  <c r="U1820" i="34"/>
  <c r="Z1820" i="34"/>
  <c r="O1820" i="34"/>
  <c r="W1820" i="34"/>
  <c r="P1820" i="34"/>
  <c r="A1820" i="34"/>
  <c r="Q1824" i="34"/>
  <c r="U1824" i="34"/>
  <c r="Z1824" i="34"/>
  <c r="O1824" i="34"/>
  <c r="W1824" i="34"/>
  <c r="P1824" i="34"/>
  <c r="A1824" i="34"/>
  <c r="Q1828" i="34"/>
  <c r="U1828" i="34"/>
  <c r="Z1828" i="34"/>
  <c r="O1828" i="34"/>
  <c r="W1828" i="34"/>
  <c r="P1828" i="34"/>
  <c r="A1828" i="34"/>
  <c r="Z443" i="34"/>
  <c r="O443" i="34"/>
  <c r="W443" i="34"/>
  <c r="P443" i="34"/>
  <c r="Q443" i="34"/>
  <c r="U443" i="34"/>
  <c r="A443" i="34"/>
  <c r="Z447" i="34"/>
  <c r="O447" i="34"/>
  <c r="W447" i="34"/>
  <c r="P447" i="34"/>
  <c r="Q447" i="34"/>
  <c r="U447" i="34"/>
  <c r="A447" i="34"/>
  <c r="O1686" i="34"/>
  <c r="W1686" i="34"/>
  <c r="P1686" i="34"/>
  <c r="Q1686" i="34"/>
  <c r="U1686" i="34"/>
  <c r="Z1686" i="34"/>
  <c r="A1686" i="34"/>
  <c r="O1690" i="34"/>
  <c r="W1690" i="34"/>
  <c r="P1690" i="34"/>
  <c r="Q1690" i="34"/>
  <c r="U1690" i="34"/>
  <c r="Z1690" i="34"/>
  <c r="A1690" i="34"/>
  <c r="O1694" i="34"/>
  <c r="W1694" i="34"/>
  <c r="P1694" i="34"/>
  <c r="Q1694" i="34"/>
  <c r="U1694" i="34"/>
  <c r="Z1694" i="34"/>
  <c r="A1694" i="34"/>
  <c r="O1698" i="34"/>
  <c r="W1698" i="34"/>
  <c r="P1698" i="34"/>
  <c r="Q1698" i="34"/>
  <c r="U1698" i="34"/>
  <c r="Z1698" i="34"/>
  <c r="A1698" i="34"/>
  <c r="O1702" i="34"/>
  <c r="W1702" i="34"/>
  <c r="P1702" i="34"/>
  <c r="Q1702" i="34"/>
  <c r="U1702" i="34"/>
  <c r="Z1702" i="34"/>
  <c r="A1702" i="34"/>
  <c r="O1706" i="34"/>
  <c r="W1706" i="34"/>
  <c r="P1706" i="34"/>
  <c r="Q1706" i="34"/>
  <c r="U1706" i="34"/>
  <c r="Z1706" i="34"/>
  <c r="A1706" i="34"/>
  <c r="O1710" i="34"/>
  <c r="W1710" i="34"/>
  <c r="P1710" i="34"/>
  <c r="Q1710" i="34"/>
  <c r="U1710" i="34"/>
  <c r="Z1710" i="34"/>
  <c r="A1710" i="34"/>
  <c r="O1714" i="34"/>
  <c r="W1714" i="34"/>
  <c r="P1714" i="34"/>
  <c r="Q1714" i="34"/>
  <c r="U1714" i="34"/>
  <c r="Z1714" i="34"/>
  <c r="A1714" i="34"/>
  <c r="O1718" i="34"/>
  <c r="W1718" i="34"/>
  <c r="P1718" i="34"/>
  <c r="Q1718" i="34"/>
  <c r="U1718" i="34"/>
  <c r="Z1718" i="34"/>
  <c r="A1718" i="34"/>
  <c r="B723" i="34"/>
  <c r="B722" i="34"/>
  <c r="O722" i="34" l="1"/>
  <c r="W722" i="34"/>
  <c r="P722" i="34"/>
  <c r="Q722" i="34"/>
  <c r="U722" i="34"/>
  <c r="Z722" i="34"/>
  <c r="A722" i="34"/>
  <c r="Z723" i="34"/>
  <c r="O723" i="34"/>
  <c r="W723" i="34"/>
  <c r="P723" i="34"/>
  <c r="Q723" i="34"/>
  <c r="U723" i="34"/>
  <c r="A723" i="34"/>
  <c r="B115" i="34"/>
  <c r="B4329" i="34"/>
  <c r="P4329" i="34" l="1"/>
  <c r="Q4329" i="34"/>
  <c r="U4329" i="34"/>
  <c r="Z4329" i="34"/>
  <c r="O4329" i="34"/>
  <c r="W4329" i="34"/>
  <c r="A4329" i="34"/>
  <c r="P115" i="34"/>
  <c r="T115" i="34"/>
  <c r="Q115" i="34"/>
  <c r="U115" i="34"/>
  <c r="R115" i="34"/>
  <c r="Z115" i="34"/>
  <c r="O115" i="34"/>
  <c r="S115" i="34"/>
  <c r="W115" i="34"/>
  <c r="A115" i="34"/>
  <c r="B4328" i="34"/>
  <c r="B4327" i="34"/>
  <c r="B1157" i="34"/>
  <c r="Z4327" i="34" l="1"/>
  <c r="O4327" i="34"/>
  <c r="W4327" i="34"/>
  <c r="P4327" i="34"/>
  <c r="Q4327" i="34"/>
  <c r="U4327" i="34"/>
  <c r="A4327" i="34"/>
  <c r="Z1157" i="34"/>
  <c r="O1157" i="34"/>
  <c r="W1157" i="34"/>
  <c r="P1157" i="34"/>
  <c r="Q1157" i="34"/>
  <c r="U1157" i="34"/>
  <c r="A1157" i="34"/>
  <c r="Q4328" i="34"/>
  <c r="U4328" i="34"/>
  <c r="Z4328" i="34"/>
  <c r="O4328" i="34"/>
  <c r="W4328" i="34"/>
  <c r="P4328" i="34"/>
  <c r="A4328" i="34"/>
  <c r="B4407" i="34"/>
  <c r="B4408" i="34"/>
  <c r="B4409" i="34"/>
  <c r="B4410" i="34"/>
  <c r="B4411" i="34"/>
  <c r="B4412" i="34"/>
  <c r="B4413" i="34"/>
  <c r="B4414" i="34"/>
  <c r="B4415" i="34"/>
  <c r="B4416" i="34"/>
  <c r="B4418" i="34"/>
  <c r="B4419" i="34"/>
  <c r="B4420" i="34"/>
  <c r="B4421" i="34"/>
  <c r="B4422" i="34"/>
  <c r="B4423" i="34"/>
  <c r="B4424" i="34"/>
  <c r="B4426" i="34"/>
  <c r="B4427" i="34"/>
  <c r="B4428" i="34"/>
  <c r="B4429" i="34"/>
  <c r="B4103" i="34"/>
  <c r="B4104" i="34"/>
  <c r="B4105" i="34"/>
  <c r="B4106" i="34"/>
  <c r="B4107" i="34"/>
  <c r="B4117" i="34"/>
  <c r="B4118" i="34"/>
  <c r="B4119" i="34"/>
  <c r="B4120" i="34"/>
  <c r="B4121" i="34"/>
  <c r="B4122" i="34"/>
  <c r="B4123" i="34"/>
  <c r="B4125" i="34"/>
  <c r="B4126" i="34"/>
  <c r="B4127" i="34"/>
  <c r="B4128" i="34"/>
  <c r="B4129" i="34"/>
  <c r="B4130" i="34"/>
  <c r="B4134" i="34"/>
  <c r="B4135" i="34"/>
  <c r="B4136" i="34"/>
  <c r="B4137" i="34"/>
  <c r="B4138" i="34"/>
  <c r="B4139" i="34"/>
  <c r="B4140" i="34"/>
  <c r="B4141" i="34"/>
  <c r="B4142" i="34"/>
  <c r="B4143" i="34"/>
  <c r="B4149" i="34"/>
  <c r="B4150" i="34"/>
  <c r="B4151" i="34"/>
  <c r="B4152" i="34"/>
  <c r="B4190" i="34"/>
  <c r="B4191" i="34"/>
  <c r="B4192" i="34"/>
  <c r="B4193" i="34"/>
  <c r="B4194" i="34"/>
  <c r="B4195" i="34"/>
  <c r="B4196" i="34"/>
  <c r="B4197" i="34"/>
  <c r="B4198" i="34"/>
  <c r="B4199" i="34"/>
  <c r="B4200" i="34"/>
  <c r="B4201" i="34"/>
  <c r="B4294" i="34"/>
  <c r="B4295" i="34"/>
  <c r="B4296" i="34"/>
  <c r="B4297" i="34"/>
  <c r="B4298" i="34"/>
  <c r="B4299" i="34"/>
  <c r="B4300" i="34"/>
  <c r="B4301" i="34"/>
  <c r="B4330" i="34"/>
  <c r="B4331" i="34"/>
  <c r="B4332" i="34"/>
  <c r="B4333" i="34"/>
  <c r="B4334" i="34"/>
  <c r="B4335" i="34"/>
  <c r="B4336" i="34"/>
  <c r="B4337" i="34"/>
  <c r="B4338" i="34"/>
  <c r="B4339" i="34"/>
  <c r="B4340" i="34"/>
  <c r="B4341" i="34"/>
  <c r="B4342" i="34"/>
  <c r="B4343" i="34"/>
  <c r="B4344" i="34"/>
  <c r="B4346" i="34"/>
  <c r="B4347" i="34"/>
  <c r="B4348" i="34"/>
  <c r="B4349" i="34"/>
  <c r="B4350" i="34"/>
  <c r="B4351" i="34"/>
  <c r="B4352" i="34"/>
  <c r="B4353" i="34"/>
  <c r="B4354" i="34"/>
  <c r="B4355" i="34"/>
  <c r="B4356" i="34"/>
  <c r="B4357" i="34"/>
  <c r="B4358" i="34"/>
  <c r="B4153" i="34"/>
  <c r="B4112" i="34"/>
  <c r="B4202" i="34"/>
  <c r="B4203" i="34"/>
  <c r="B4204" i="34"/>
  <c r="B4205" i="34"/>
  <c r="B4206" i="34"/>
  <c r="B4207" i="34"/>
  <c r="B4208" i="34"/>
  <c r="B4209" i="34"/>
  <c r="B4210" i="34"/>
  <c r="B4292" i="34"/>
  <c r="B4291" i="34"/>
  <c r="B4290" i="34"/>
  <c r="B4289" i="34"/>
  <c r="B4288" i="34"/>
  <c r="B4287" i="34"/>
  <c r="B4286" i="34"/>
  <c r="B4285" i="34"/>
  <c r="B4284" i="34"/>
  <c r="B4283" i="34"/>
  <c r="B4282" i="34"/>
  <c r="B4281" i="34"/>
  <c r="B4280" i="34"/>
  <c r="B4273" i="34"/>
  <c r="B4272" i="34"/>
  <c r="B4271" i="34"/>
  <c r="B4270" i="34"/>
  <c r="B4189" i="34"/>
  <c r="B4188" i="34"/>
  <c r="B4187" i="34"/>
  <c r="B4186" i="34"/>
  <c r="B4185" i="34"/>
  <c r="B4184" i="34"/>
  <c r="B4183" i="34"/>
  <c r="B4182" i="34"/>
  <c r="B4181" i="34"/>
  <c r="B4180" i="34"/>
  <c r="B4179" i="34"/>
  <c r="B4178" i="34"/>
  <c r="B4177" i="34"/>
  <c r="B4176" i="34"/>
  <c r="B4175" i="34"/>
  <c r="B4174" i="34"/>
  <c r="B4173" i="34"/>
  <c r="B4172" i="34"/>
  <c r="B4171" i="34"/>
  <c r="B4170" i="34"/>
  <c r="B4169" i="34"/>
  <c r="B4168" i="34"/>
  <c r="B4167" i="34"/>
  <c r="B4166" i="34"/>
  <c r="B4165" i="34"/>
  <c r="B4164" i="34"/>
  <c r="B4163" i="34"/>
  <c r="B4162" i="34"/>
  <c r="B4161" i="34"/>
  <c r="B4160" i="34"/>
  <c r="B4159" i="34"/>
  <c r="B4158" i="34"/>
  <c r="B4157" i="34"/>
  <c r="B4156" i="34"/>
  <c r="B4155" i="34"/>
  <c r="B4111" i="34"/>
  <c r="B4110" i="34"/>
  <c r="B4148" i="34"/>
  <c r="B4147" i="34"/>
  <c r="B4483" i="34"/>
  <c r="B4482" i="34"/>
  <c r="B4481" i="34"/>
  <c r="B4326" i="34"/>
  <c r="B4146" i="34"/>
  <c r="B4145" i="34"/>
  <c r="B4144" i="34"/>
  <c r="B4116" i="34"/>
  <c r="B4115" i="34"/>
  <c r="B4114" i="34"/>
  <c r="B4109" i="34"/>
  <c r="B4108" i="34"/>
  <c r="B4133" i="34"/>
  <c r="B4132" i="34"/>
  <c r="B4131" i="34"/>
  <c r="B4124" i="34"/>
  <c r="B4102" i="34"/>
  <c r="B4100" i="34"/>
  <c r="B4101" i="34"/>
  <c r="B4401" i="34"/>
  <c r="B4400" i="34"/>
  <c r="B4399" i="34"/>
  <c r="B4398" i="34"/>
  <c r="B4397" i="34"/>
  <c r="B4396" i="34"/>
  <c r="B4395" i="34"/>
  <c r="B4394" i="34"/>
  <c r="B4393" i="34"/>
  <c r="B4392" i="34"/>
  <c r="B4391" i="34"/>
  <c r="B4390" i="34"/>
  <c r="B4389" i="34"/>
  <c r="B4388" i="34"/>
  <c r="B4387" i="34"/>
  <c r="B4386" i="34"/>
  <c r="B4385" i="34"/>
  <c r="B4384" i="34"/>
  <c r="B4383" i="34"/>
  <c r="B4382" i="34"/>
  <c r="B4381" i="34"/>
  <c r="B4380" i="34"/>
  <c r="B4379" i="34"/>
  <c r="B4378" i="34"/>
  <c r="B4377" i="34"/>
  <c r="B4376" i="34"/>
  <c r="B4375" i="34"/>
  <c r="B4374" i="34"/>
  <c r="B4373" i="34"/>
  <c r="B4372" i="34"/>
  <c r="B4371" i="34"/>
  <c r="B4370" i="34"/>
  <c r="B4369" i="34"/>
  <c r="B4368" i="34"/>
  <c r="B4367" i="34"/>
  <c r="B4366" i="34"/>
  <c r="B4365" i="34"/>
  <c r="B4364" i="34"/>
  <c r="B4363" i="34"/>
  <c r="B4362" i="34"/>
  <c r="B4360" i="34"/>
  <c r="B4359" i="34"/>
  <c r="B4345" i="34"/>
  <c r="B4293" i="34"/>
  <c r="B4417" i="34"/>
  <c r="B4406" i="34"/>
  <c r="B4405" i="34"/>
  <c r="B4404" i="34"/>
  <c r="B4403" i="34"/>
  <c r="B4402" i="34"/>
  <c r="B4313" i="34"/>
  <c r="B4312" i="34"/>
  <c r="B4311" i="34"/>
  <c r="B4310" i="34"/>
  <c r="B4309" i="34"/>
  <c r="B4308" i="34"/>
  <c r="B4307" i="34"/>
  <c r="B4306" i="34"/>
  <c r="B4305" i="34"/>
  <c r="B4304" i="34"/>
  <c r="B4303" i="34"/>
  <c r="B4302" i="34"/>
  <c r="B4276" i="34"/>
  <c r="B4275" i="34"/>
  <c r="B4274" i="34"/>
  <c r="B4235" i="34"/>
  <c r="B4234" i="34"/>
  <c r="B4233" i="34"/>
  <c r="B4232" i="34"/>
  <c r="B4231" i="34"/>
  <c r="B4230" i="34"/>
  <c r="B4229" i="34"/>
  <c r="B4228" i="34"/>
  <c r="B4227" i="34"/>
  <c r="B4226" i="34"/>
  <c r="B4225" i="34"/>
  <c r="B4224" i="34"/>
  <c r="B4223" i="34"/>
  <c r="B4222" i="34"/>
  <c r="B4221" i="34"/>
  <c r="B4220" i="34"/>
  <c r="B4219" i="34"/>
  <c r="B4218" i="34"/>
  <c r="B4217" i="34"/>
  <c r="B4216" i="34"/>
  <c r="B4215" i="34"/>
  <c r="B4214" i="34"/>
  <c r="B4213" i="34"/>
  <c r="B4212" i="34"/>
  <c r="B4211" i="34"/>
  <c r="B4440" i="34"/>
  <c r="B4325" i="34"/>
  <c r="B4324" i="34"/>
  <c r="B4323" i="34"/>
  <c r="B4322" i="34"/>
  <c r="B4321" i="34"/>
  <c r="B4320" i="34"/>
  <c r="B4319" i="34"/>
  <c r="B4318" i="34"/>
  <c r="B4317" i="34"/>
  <c r="B4316" i="34"/>
  <c r="B4315" i="34"/>
  <c r="B4314" i="34"/>
  <c r="B4279" i="34"/>
  <c r="B4278" i="34"/>
  <c r="B4277" i="34"/>
  <c r="B4269" i="34"/>
  <c r="B4268" i="34"/>
  <c r="B4267" i="34"/>
  <c r="B4266" i="34"/>
  <c r="B4265" i="34"/>
  <c r="B4264" i="34"/>
  <c r="B4263" i="34"/>
  <c r="B4262" i="34"/>
  <c r="B4261" i="34"/>
  <c r="B4260" i="34"/>
  <c r="B4259" i="34"/>
  <c r="B4258" i="34"/>
  <c r="B4257" i="34"/>
  <c r="B4256" i="34"/>
  <c r="B4255" i="34"/>
  <c r="B4254" i="34"/>
  <c r="B4253" i="34"/>
  <c r="B4252" i="34"/>
  <c r="B4251" i="34"/>
  <c r="B4250" i="34"/>
  <c r="B4249" i="34"/>
  <c r="B4248" i="34"/>
  <c r="B4247" i="34"/>
  <c r="B4246" i="34"/>
  <c r="B4245" i="34"/>
  <c r="B4244" i="34"/>
  <c r="B4243" i="34"/>
  <c r="B4242" i="34"/>
  <c r="B4241" i="34"/>
  <c r="B4240" i="34"/>
  <c r="B4239" i="34"/>
  <c r="B4238" i="34"/>
  <c r="B4237" i="34"/>
  <c r="B4236" i="34"/>
  <c r="B4113" i="34"/>
  <c r="B4154" i="34"/>
  <c r="B4439" i="34"/>
  <c r="B4438" i="34"/>
  <c r="B4437" i="34"/>
  <c r="B4436" i="34"/>
  <c r="B4435" i="34"/>
  <c r="B4434" i="34"/>
  <c r="B4433" i="34"/>
  <c r="B4432" i="34"/>
  <c r="B4431" i="34"/>
  <c r="B4430" i="34"/>
  <c r="B4425" i="34"/>
  <c r="B3760" i="34"/>
  <c r="B3761" i="34"/>
  <c r="B3762" i="34"/>
  <c r="B3763" i="34"/>
  <c r="B3764" i="34"/>
  <c r="B3765" i="34"/>
  <c r="B3766" i="34"/>
  <c r="B3767" i="34"/>
  <c r="B3768" i="34"/>
  <c r="B3769" i="34"/>
  <c r="B3770" i="34"/>
  <c r="B3771" i="34"/>
  <c r="B3772" i="34"/>
  <c r="B3773" i="34"/>
  <c r="B3774" i="34"/>
  <c r="B3822" i="34"/>
  <c r="B3823" i="34"/>
  <c r="B3824" i="34"/>
  <c r="B3825" i="34"/>
  <c r="B3827" i="34"/>
  <c r="B3828" i="34"/>
  <c r="B3829" i="34"/>
  <c r="B3830" i="34"/>
  <c r="B3831" i="34"/>
  <c r="B3832" i="34"/>
  <c r="B3833" i="34"/>
  <c r="B3834" i="34"/>
  <c r="B3835" i="34"/>
  <c r="B3836" i="34"/>
  <c r="B3837" i="34"/>
  <c r="B3838" i="34"/>
  <c r="B3839" i="34"/>
  <c r="B3840" i="34"/>
  <c r="B3927" i="34"/>
  <c r="B3928" i="34"/>
  <c r="B3929" i="34"/>
  <c r="B3930" i="34"/>
  <c r="B3931" i="34"/>
  <c r="B3932" i="34"/>
  <c r="B3933" i="34"/>
  <c r="B3934" i="34"/>
  <c r="B3935" i="34"/>
  <c r="B3936" i="34"/>
  <c r="B3937" i="34"/>
  <c r="B3938" i="34"/>
  <c r="B3939" i="34"/>
  <c r="B3940" i="34"/>
  <c r="B3941" i="34"/>
  <c r="B3943" i="34"/>
  <c r="B3944" i="34"/>
  <c r="B3945" i="34"/>
  <c r="B3946" i="34"/>
  <c r="B3947" i="34"/>
  <c r="B3948" i="34"/>
  <c r="B3949" i="34"/>
  <c r="B3950" i="34"/>
  <c r="B3951" i="34"/>
  <c r="B3952" i="34"/>
  <c r="B3953" i="34"/>
  <c r="B267" i="34"/>
  <c r="B268" i="34"/>
  <c r="B269" i="34"/>
  <c r="B270" i="34"/>
  <c r="B271" i="34"/>
  <c r="B272" i="34"/>
  <c r="B273" i="34"/>
  <c r="B276" i="34"/>
  <c r="B277" i="34"/>
  <c r="B278" i="34"/>
  <c r="B280" i="34"/>
  <c r="B281" i="34"/>
  <c r="B282" i="34"/>
  <c r="B283" i="34"/>
  <c r="B284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1280" i="34"/>
  <c r="B1281" i="34"/>
  <c r="B3977" i="34"/>
  <c r="B2947" i="34"/>
  <c r="B4033" i="34"/>
  <c r="B4034" i="34"/>
  <c r="B4035" i="34"/>
  <c r="B4036" i="34"/>
  <c r="B4037" i="34"/>
  <c r="B4038" i="34"/>
  <c r="B4039" i="34"/>
  <c r="B4089" i="34"/>
  <c r="B4090" i="34"/>
  <c r="B4091" i="34"/>
  <c r="B4092" i="34"/>
  <c r="B4093" i="34"/>
  <c r="B3775" i="34"/>
  <c r="B3776" i="34"/>
  <c r="B3777" i="34"/>
  <c r="B3778" i="34"/>
  <c r="B3779" i="34"/>
  <c r="B3780" i="34"/>
  <c r="B3781" i="34"/>
  <c r="B3782" i="34"/>
  <c r="B3783" i="34"/>
  <c r="B3784" i="34"/>
  <c r="B3785" i="34"/>
  <c r="B3786" i="34"/>
  <c r="B3787" i="34"/>
  <c r="B3788" i="34"/>
  <c r="B3789" i="34"/>
  <c r="B3790" i="34"/>
  <c r="B3841" i="34"/>
  <c r="B3842" i="34"/>
  <c r="B3844" i="34"/>
  <c r="B3845" i="34"/>
  <c r="B3846" i="34"/>
  <c r="B3847" i="34"/>
  <c r="B3848" i="34"/>
  <c r="B3849" i="34"/>
  <c r="B3850" i="34"/>
  <c r="B3851" i="34"/>
  <c r="B3852" i="34"/>
  <c r="B3853" i="34"/>
  <c r="B3854" i="34"/>
  <c r="B3855" i="34"/>
  <c r="B3856" i="34"/>
  <c r="B3857" i="34"/>
  <c r="B3858" i="34"/>
  <c r="B3954" i="34"/>
  <c r="B3955" i="34"/>
  <c r="B3956" i="34"/>
  <c r="B3957" i="34"/>
  <c r="B3958" i="34"/>
  <c r="B3959" i="34"/>
  <c r="B3960" i="34"/>
  <c r="B3961" i="34"/>
  <c r="B3962" i="34"/>
  <c r="B3963" i="34"/>
  <c r="B3964" i="34"/>
  <c r="B3965" i="34"/>
  <c r="B3966" i="34"/>
  <c r="B3967" i="34"/>
  <c r="B3968" i="34"/>
  <c r="B3969" i="34"/>
  <c r="B3970" i="34"/>
  <c r="B3971" i="34"/>
  <c r="B3972" i="34"/>
  <c r="B3973" i="34"/>
  <c r="B3974" i="34"/>
  <c r="B3975" i="34"/>
  <c r="B3976" i="34"/>
  <c r="B201" i="34"/>
  <c r="B202" i="34"/>
  <c r="B203" i="34"/>
  <c r="B204" i="34"/>
  <c r="B3978" i="34"/>
  <c r="B3979" i="34"/>
  <c r="B3980" i="34"/>
  <c r="B3981" i="34"/>
  <c r="B3982" i="34"/>
  <c r="B3983" i="34"/>
  <c r="B3984" i="34"/>
  <c r="B3985" i="34"/>
  <c r="B3986" i="34"/>
  <c r="B3987" i="34"/>
  <c r="B3988" i="34"/>
  <c r="B3759" i="34"/>
  <c r="B3942" i="34"/>
  <c r="B3843" i="34"/>
  <c r="A201" i="60"/>
  <c r="Q3942" i="34" l="1"/>
  <c r="U3942" i="34"/>
  <c r="Z3942" i="34"/>
  <c r="O3942" i="34"/>
  <c r="W3942" i="34"/>
  <c r="P3942" i="34"/>
  <c r="A3942" i="34"/>
  <c r="Q3986" i="34"/>
  <c r="U3986" i="34"/>
  <c r="Z3986" i="34"/>
  <c r="O3986" i="34"/>
  <c r="W3986" i="34"/>
  <c r="P3986" i="34"/>
  <c r="A3986" i="34"/>
  <c r="Q3982" i="34"/>
  <c r="U3982" i="34"/>
  <c r="Z3982" i="34"/>
  <c r="O3982" i="34"/>
  <c r="W3982" i="34"/>
  <c r="P3982" i="34"/>
  <c r="A3982" i="34"/>
  <c r="Q3978" i="34"/>
  <c r="U3978" i="34"/>
  <c r="Z3978" i="34"/>
  <c r="O3978" i="34"/>
  <c r="W3978" i="34"/>
  <c r="P3978" i="34"/>
  <c r="A3978" i="34"/>
  <c r="O201" i="34"/>
  <c r="S201" i="34"/>
  <c r="W201" i="34"/>
  <c r="P201" i="34"/>
  <c r="T201" i="34"/>
  <c r="Q201" i="34"/>
  <c r="U201" i="34"/>
  <c r="R201" i="34"/>
  <c r="Z201" i="34"/>
  <c r="A201" i="34"/>
  <c r="Z3973" i="34"/>
  <c r="O3973" i="34"/>
  <c r="W3973" i="34"/>
  <c r="P3973" i="34"/>
  <c r="Q3973" i="34"/>
  <c r="U3973" i="34"/>
  <c r="A3973" i="34"/>
  <c r="Z3969" i="34"/>
  <c r="O3969" i="34"/>
  <c r="W3969" i="34"/>
  <c r="P3969" i="34"/>
  <c r="Q3969" i="34"/>
  <c r="U3969" i="34"/>
  <c r="A3969" i="34"/>
  <c r="Z3965" i="34"/>
  <c r="O3965" i="34"/>
  <c r="W3965" i="34"/>
  <c r="P3965" i="34"/>
  <c r="Q3965" i="34"/>
  <c r="U3965" i="34"/>
  <c r="A3965" i="34"/>
  <c r="Z3961" i="34"/>
  <c r="O3961" i="34"/>
  <c r="W3961" i="34"/>
  <c r="P3961" i="34"/>
  <c r="Q3961" i="34"/>
  <c r="U3961" i="34"/>
  <c r="A3961" i="34"/>
  <c r="Z3957" i="34"/>
  <c r="O3957" i="34"/>
  <c r="W3957" i="34"/>
  <c r="P3957" i="34"/>
  <c r="Q3957" i="34"/>
  <c r="U3957" i="34"/>
  <c r="A3957" i="34"/>
  <c r="Q3858" i="34"/>
  <c r="U3858" i="34"/>
  <c r="Z3858" i="34"/>
  <c r="O3858" i="34"/>
  <c r="W3858" i="34"/>
  <c r="P3858" i="34"/>
  <c r="A3858" i="34"/>
  <c r="Q3854" i="34"/>
  <c r="U3854" i="34"/>
  <c r="Z3854" i="34"/>
  <c r="O3854" i="34"/>
  <c r="W3854" i="34"/>
  <c r="P3854" i="34"/>
  <c r="A3854" i="34"/>
  <c r="Q3850" i="34"/>
  <c r="U3850" i="34"/>
  <c r="Z3850" i="34"/>
  <c r="O3850" i="34"/>
  <c r="W3850" i="34"/>
  <c r="P3850" i="34"/>
  <c r="A3850" i="34"/>
  <c r="Q3846" i="34"/>
  <c r="U3846" i="34"/>
  <c r="Z3846" i="34"/>
  <c r="O3846" i="34"/>
  <c r="W3846" i="34"/>
  <c r="P3846" i="34"/>
  <c r="A3846" i="34"/>
  <c r="Z3841" i="34"/>
  <c r="O3841" i="34"/>
  <c r="W3841" i="34"/>
  <c r="P3841" i="34"/>
  <c r="Q3841" i="34"/>
  <c r="U3841" i="34"/>
  <c r="A3841" i="34"/>
  <c r="P3787" i="34"/>
  <c r="Q3787" i="34"/>
  <c r="U3787" i="34"/>
  <c r="Z3787" i="34"/>
  <c r="O3787" i="34"/>
  <c r="W3787" i="34"/>
  <c r="A3787" i="34"/>
  <c r="P3783" i="34"/>
  <c r="Q3783" i="34"/>
  <c r="U3783" i="34"/>
  <c r="Z3783" i="34"/>
  <c r="O3783" i="34"/>
  <c r="W3783" i="34"/>
  <c r="A3783" i="34"/>
  <c r="P3779" i="34"/>
  <c r="Q3779" i="34"/>
  <c r="U3779" i="34"/>
  <c r="Z3779" i="34"/>
  <c r="O3779" i="34"/>
  <c r="W3779" i="34"/>
  <c r="A3779" i="34"/>
  <c r="P3775" i="34"/>
  <c r="Q3775" i="34"/>
  <c r="U3775" i="34"/>
  <c r="Z3775" i="34"/>
  <c r="O3775" i="34"/>
  <c r="W3775" i="34"/>
  <c r="A3775" i="34"/>
  <c r="Q4090" i="34"/>
  <c r="U4090" i="34"/>
  <c r="Z4090" i="34"/>
  <c r="O4090" i="34"/>
  <c r="W4090" i="34"/>
  <c r="P4090" i="34"/>
  <c r="A4090" i="34"/>
  <c r="Z4037" i="34"/>
  <c r="O4037" i="34"/>
  <c r="W4037" i="34"/>
  <c r="P4037" i="34"/>
  <c r="Q4037" i="34"/>
  <c r="U4037" i="34"/>
  <c r="A4037" i="34"/>
  <c r="Z4033" i="34"/>
  <c r="O4033" i="34"/>
  <c r="W4033" i="34"/>
  <c r="P4033" i="34"/>
  <c r="Q4033" i="34"/>
  <c r="U4033" i="34"/>
  <c r="A4033" i="34"/>
  <c r="O1280" i="34"/>
  <c r="W1280" i="34"/>
  <c r="P1280" i="34"/>
  <c r="Q1280" i="34"/>
  <c r="U1280" i="34"/>
  <c r="Z1280" i="34"/>
  <c r="A1280" i="34"/>
  <c r="Z459" i="34"/>
  <c r="O459" i="34"/>
  <c r="W459" i="34"/>
  <c r="P459" i="34"/>
  <c r="Q459" i="34"/>
  <c r="U459" i="34"/>
  <c r="A459" i="34"/>
  <c r="Z455" i="34"/>
  <c r="O455" i="34"/>
  <c r="W455" i="34"/>
  <c r="P455" i="34"/>
  <c r="Q455" i="34"/>
  <c r="U455" i="34"/>
  <c r="A455" i="34"/>
  <c r="Z451" i="34"/>
  <c r="O451" i="34"/>
  <c r="W451" i="34"/>
  <c r="P451" i="34"/>
  <c r="Q451" i="34"/>
  <c r="U451" i="34"/>
  <c r="A451" i="34"/>
  <c r="P281" i="34"/>
  <c r="T281" i="34"/>
  <c r="Q281" i="34"/>
  <c r="U281" i="34"/>
  <c r="R281" i="34"/>
  <c r="Z281" i="34"/>
  <c r="O281" i="34"/>
  <c r="S281" i="34"/>
  <c r="W281" i="34"/>
  <c r="A281" i="34"/>
  <c r="Q276" i="34"/>
  <c r="U276" i="34"/>
  <c r="R276" i="34"/>
  <c r="Z276" i="34"/>
  <c r="O276" i="34"/>
  <c r="S276" i="34"/>
  <c r="W276" i="34"/>
  <c r="P276" i="34"/>
  <c r="T276" i="34"/>
  <c r="A276" i="34"/>
  <c r="O270" i="34"/>
  <c r="S270" i="34"/>
  <c r="W270" i="34"/>
  <c r="P270" i="34"/>
  <c r="T270" i="34"/>
  <c r="Q270" i="34"/>
  <c r="U270" i="34"/>
  <c r="R270" i="34"/>
  <c r="Z270" i="34"/>
  <c r="A270" i="34"/>
  <c r="Z3953" i="34"/>
  <c r="O3953" i="34"/>
  <c r="W3953" i="34"/>
  <c r="P3953" i="34"/>
  <c r="Q3953" i="34"/>
  <c r="U3953" i="34"/>
  <c r="A3953" i="34"/>
  <c r="Z3949" i="34"/>
  <c r="O3949" i="34"/>
  <c r="W3949" i="34"/>
  <c r="P3949" i="34"/>
  <c r="Q3949" i="34"/>
  <c r="U3949" i="34"/>
  <c r="A3949" i="34"/>
  <c r="Z3945" i="34"/>
  <c r="O3945" i="34"/>
  <c r="W3945" i="34"/>
  <c r="P3945" i="34"/>
  <c r="Q3945" i="34"/>
  <c r="U3945" i="34"/>
  <c r="A3945" i="34"/>
  <c r="O3940" i="34"/>
  <c r="W3940" i="34"/>
  <c r="P3940" i="34"/>
  <c r="Q3940" i="34"/>
  <c r="U3940" i="34"/>
  <c r="Z3940" i="34"/>
  <c r="A3940" i="34"/>
  <c r="O3936" i="34"/>
  <c r="W3936" i="34"/>
  <c r="P3936" i="34"/>
  <c r="Q3936" i="34"/>
  <c r="U3936" i="34"/>
  <c r="Z3936" i="34"/>
  <c r="A3936" i="34"/>
  <c r="O3932" i="34"/>
  <c r="W3932" i="34"/>
  <c r="P3932" i="34"/>
  <c r="Q3932" i="34"/>
  <c r="U3932" i="34"/>
  <c r="Z3932" i="34"/>
  <c r="A3932" i="34"/>
  <c r="O3928" i="34"/>
  <c r="W3928" i="34"/>
  <c r="P3928" i="34"/>
  <c r="Q3928" i="34"/>
  <c r="U3928" i="34"/>
  <c r="Z3928" i="34"/>
  <c r="A3928" i="34"/>
  <c r="Q3838" i="34"/>
  <c r="U3838" i="34"/>
  <c r="Z3838" i="34"/>
  <c r="O3838" i="34"/>
  <c r="W3838" i="34"/>
  <c r="P3838" i="34"/>
  <c r="A3838" i="34"/>
  <c r="Q3834" i="34"/>
  <c r="U3834" i="34"/>
  <c r="Z3834" i="34"/>
  <c r="O3834" i="34"/>
  <c r="W3834" i="34"/>
  <c r="P3834" i="34"/>
  <c r="A3834" i="34"/>
  <c r="Q3830" i="34"/>
  <c r="U3830" i="34"/>
  <c r="Z3830" i="34"/>
  <c r="O3830" i="34"/>
  <c r="W3830" i="34"/>
  <c r="P3830" i="34"/>
  <c r="A3830" i="34"/>
  <c r="Z3825" i="34"/>
  <c r="O3825" i="34"/>
  <c r="W3825" i="34"/>
  <c r="P3825" i="34"/>
  <c r="Q3825" i="34"/>
  <c r="U3825" i="34"/>
  <c r="A3825" i="34"/>
  <c r="Q3774" i="34"/>
  <c r="U3774" i="34"/>
  <c r="Z3774" i="34"/>
  <c r="O3774" i="34"/>
  <c r="W3774" i="34"/>
  <c r="P3774" i="34"/>
  <c r="A3774" i="34"/>
  <c r="Q3770" i="34"/>
  <c r="U3770" i="34"/>
  <c r="Z3770" i="34"/>
  <c r="O3770" i="34"/>
  <c r="W3770" i="34"/>
  <c r="P3770" i="34"/>
  <c r="A3770" i="34"/>
  <c r="Q3766" i="34"/>
  <c r="U3766" i="34"/>
  <c r="Z3766" i="34"/>
  <c r="O3766" i="34"/>
  <c r="W3766" i="34"/>
  <c r="P3766" i="34"/>
  <c r="A3766" i="34"/>
  <c r="Q3762" i="34"/>
  <c r="U3762" i="34"/>
  <c r="Z3762" i="34"/>
  <c r="O3762" i="34"/>
  <c r="W3762" i="34"/>
  <c r="P3762" i="34"/>
  <c r="A3762" i="34"/>
  <c r="O4430" i="34"/>
  <c r="W4430" i="34"/>
  <c r="P4430" i="34"/>
  <c r="Q4430" i="34"/>
  <c r="U4430" i="34"/>
  <c r="Z4430" i="34"/>
  <c r="A4430" i="34"/>
  <c r="O4434" i="34"/>
  <c r="W4434" i="34"/>
  <c r="P4434" i="34"/>
  <c r="Q4434" i="34"/>
  <c r="U4434" i="34"/>
  <c r="Z4434" i="34"/>
  <c r="A4434" i="34"/>
  <c r="O4438" i="34"/>
  <c r="W4438" i="34"/>
  <c r="P4438" i="34"/>
  <c r="Q4438" i="34"/>
  <c r="U4438" i="34"/>
  <c r="Z4438" i="34"/>
  <c r="A4438" i="34"/>
  <c r="Q4236" i="34"/>
  <c r="U4236" i="34"/>
  <c r="Z4236" i="34"/>
  <c r="O4236" i="34"/>
  <c r="W4236" i="34"/>
  <c r="P4236" i="34"/>
  <c r="A4236" i="34"/>
  <c r="Q4240" i="34"/>
  <c r="U4240" i="34"/>
  <c r="Z4240" i="34"/>
  <c r="O4240" i="34"/>
  <c r="W4240" i="34"/>
  <c r="P4240" i="34"/>
  <c r="A4240" i="34"/>
  <c r="Q4244" i="34"/>
  <c r="U4244" i="34"/>
  <c r="Z4244" i="34"/>
  <c r="O4244" i="34"/>
  <c r="W4244" i="34"/>
  <c r="P4244" i="34"/>
  <c r="A4244" i="34"/>
  <c r="Q4248" i="34"/>
  <c r="U4248" i="34"/>
  <c r="Z4248" i="34"/>
  <c r="O4248" i="34"/>
  <c r="W4248" i="34"/>
  <c r="P4248" i="34"/>
  <c r="A4248" i="34"/>
  <c r="Q4252" i="34"/>
  <c r="U4252" i="34"/>
  <c r="Z4252" i="34"/>
  <c r="O4252" i="34"/>
  <c r="W4252" i="34"/>
  <c r="P4252" i="34"/>
  <c r="A4252" i="34"/>
  <c r="Q4256" i="34"/>
  <c r="U4256" i="34"/>
  <c r="Z4256" i="34"/>
  <c r="O4256" i="34"/>
  <c r="W4256" i="34"/>
  <c r="P4256" i="34"/>
  <c r="A4256" i="34"/>
  <c r="Q4260" i="34"/>
  <c r="U4260" i="34"/>
  <c r="Z4260" i="34"/>
  <c r="O4260" i="34"/>
  <c r="W4260" i="34"/>
  <c r="P4260" i="34"/>
  <c r="A4260" i="34"/>
  <c r="Q4264" i="34"/>
  <c r="U4264" i="34"/>
  <c r="Z4264" i="34"/>
  <c r="O4264" i="34"/>
  <c r="W4264" i="34"/>
  <c r="P4264" i="34"/>
  <c r="A4264" i="34"/>
  <c r="Q4268" i="34"/>
  <c r="U4268" i="34"/>
  <c r="Z4268" i="34"/>
  <c r="O4268" i="34"/>
  <c r="W4268" i="34"/>
  <c r="P4268" i="34"/>
  <c r="A4268" i="34"/>
  <c r="Z4279" i="34"/>
  <c r="O4279" i="34"/>
  <c r="W4279" i="34"/>
  <c r="P4279" i="34"/>
  <c r="Q4279" i="34"/>
  <c r="U4279" i="34"/>
  <c r="A4279" i="34"/>
  <c r="P4317" i="34"/>
  <c r="Q4317" i="34"/>
  <c r="U4317" i="34"/>
  <c r="Z4317" i="34"/>
  <c r="O4317" i="34"/>
  <c r="W4317" i="34"/>
  <c r="A4317" i="34"/>
  <c r="P4321" i="34"/>
  <c r="Q4321" i="34"/>
  <c r="U4321" i="34"/>
  <c r="Z4321" i="34"/>
  <c r="O4321" i="34"/>
  <c r="W4321" i="34"/>
  <c r="A4321" i="34"/>
  <c r="P4325" i="34"/>
  <c r="Q4325" i="34"/>
  <c r="U4325" i="34"/>
  <c r="Z4325" i="34"/>
  <c r="O4325" i="34"/>
  <c r="W4325" i="34"/>
  <c r="A4325" i="34"/>
  <c r="P4213" i="34"/>
  <c r="Q4213" i="34"/>
  <c r="U4213" i="34"/>
  <c r="Z4213" i="34"/>
  <c r="O4213" i="34"/>
  <c r="W4213" i="34"/>
  <c r="A4213" i="34"/>
  <c r="P4217" i="34"/>
  <c r="Q4217" i="34"/>
  <c r="U4217" i="34"/>
  <c r="Z4217" i="34"/>
  <c r="O4217" i="34"/>
  <c r="W4217" i="34"/>
  <c r="A4217" i="34"/>
  <c r="P4221" i="34"/>
  <c r="Q4221" i="34"/>
  <c r="U4221" i="34"/>
  <c r="Z4221" i="34"/>
  <c r="O4221" i="34"/>
  <c r="W4221" i="34"/>
  <c r="A4221" i="34"/>
  <c r="P4225" i="34"/>
  <c r="Q4225" i="34"/>
  <c r="U4225" i="34"/>
  <c r="Z4225" i="34"/>
  <c r="O4225" i="34"/>
  <c r="W4225" i="34"/>
  <c r="A4225" i="34"/>
  <c r="P4229" i="34"/>
  <c r="Q4229" i="34"/>
  <c r="U4229" i="34"/>
  <c r="Z4229" i="34"/>
  <c r="O4229" i="34"/>
  <c r="W4229" i="34"/>
  <c r="A4229" i="34"/>
  <c r="P4233" i="34"/>
  <c r="Q4233" i="34"/>
  <c r="U4233" i="34"/>
  <c r="Z4233" i="34"/>
  <c r="O4233" i="34"/>
  <c r="W4233" i="34"/>
  <c r="A4233" i="34"/>
  <c r="Z4275" i="34"/>
  <c r="O4275" i="34"/>
  <c r="W4275" i="34"/>
  <c r="P4275" i="34"/>
  <c r="Q4275" i="34"/>
  <c r="U4275" i="34"/>
  <c r="A4275" i="34"/>
  <c r="Q4304" i="34"/>
  <c r="U4304" i="34"/>
  <c r="Z4304" i="34"/>
  <c r="O4304" i="34"/>
  <c r="W4304" i="34"/>
  <c r="P4304" i="34"/>
  <c r="A4304" i="34"/>
  <c r="Q4308" i="34"/>
  <c r="U4308" i="34"/>
  <c r="Z4308" i="34"/>
  <c r="O4308" i="34"/>
  <c r="W4308" i="34"/>
  <c r="P4308" i="34"/>
  <c r="A4308" i="34"/>
  <c r="Q4312" i="34"/>
  <c r="U4312" i="34"/>
  <c r="Z4312" i="34"/>
  <c r="O4312" i="34"/>
  <c r="W4312" i="34"/>
  <c r="P4312" i="34"/>
  <c r="A4312" i="34"/>
  <c r="Q4404" i="34"/>
  <c r="U4404" i="34"/>
  <c r="Z4404" i="34"/>
  <c r="O4404" i="34"/>
  <c r="W4404" i="34"/>
  <c r="P4404" i="34"/>
  <c r="A4404" i="34"/>
  <c r="P4293" i="34"/>
  <c r="Q4293" i="34"/>
  <c r="U4293" i="34"/>
  <c r="Z4293" i="34"/>
  <c r="O4293" i="34"/>
  <c r="W4293" i="34"/>
  <c r="A4293" i="34"/>
  <c r="O4362" i="34"/>
  <c r="W4362" i="34"/>
  <c r="P4362" i="34"/>
  <c r="Q4362" i="34"/>
  <c r="U4362" i="34"/>
  <c r="Z4362" i="34"/>
  <c r="A4362" i="34"/>
  <c r="O4366" i="34"/>
  <c r="W4366" i="34"/>
  <c r="P4366" i="34"/>
  <c r="Q4366" i="34"/>
  <c r="U4366" i="34"/>
  <c r="Z4366" i="34"/>
  <c r="A4366" i="34"/>
  <c r="O4370" i="34"/>
  <c r="W4370" i="34"/>
  <c r="P4370" i="34"/>
  <c r="Q4370" i="34"/>
  <c r="U4370" i="34"/>
  <c r="Z4370" i="34"/>
  <c r="A4370" i="34"/>
  <c r="O4374" i="34"/>
  <c r="W4374" i="34"/>
  <c r="P4374" i="34"/>
  <c r="Q4374" i="34"/>
  <c r="U4374" i="34"/>
  <c r="Z4374" i="34"/>
  <c r="A4374" i="34"/>
  <c r="O4378" i="34"/>
  <c r="W4378" i="34"/>
  <c r="P4378" i="34"/>
  <c r="Q4378" i="34"/>
  <c r="U4378" i="34"/>
  <c r="Z4378" i="34"/>
  <c r="A4378" i="34"/>
  <c r="O4382" i="34"/>
  <c r="W4382" i="34"/>
  <c r="P4382" i="34"/>
  <c r="Q4382" i="34"/>
  <c r="U4382" i="34"/>
  <c r="Z4382" i="34"/>
  <c r="A4382" i="34"/>
  <c r="O4386" i="34"/>
  <c r="W4386" i="34"/>
  <c r="P4386" i="34"/>
  <c r="Q4386" i="34"/>
  <c r="U4386" i="34"/>
  <c r="Z4386" i="34"/>
  <c r="A4386" i="34"/>
  <c r="O4390" i="34"/>
  <c r="W4390" i="34"/>
  <c r="P4390" i="34"/>
  <c r="Q4390" i="34"/>
  <c r="U4390" i="34"/>
  <c r="Z4390" i="34"/>
  <c r="A4390" i="34"/>
  <c r="O4394" i="34"/>
  <c r="W4394" i="34"/>
  <c r="P4394" i="34"/>
  <c r="Q4394" i="34"/>
  <c r="U4394" i="34"/>
  <c r="Z4394" i="34"/>
  <c r="A4394" i="34"/>
  <c r="O4398" i="34"/>
  <c r="W4398" i="34"/>
  <c r="P4398" i="34"/>
  <c r="Q4398" i="34"/>
  <c r="U4398" i="34"/>
  <c r="Z4398" i="34"/>
  <c r="A4398" i="34"/>
  <c r="Z4101" i="34"/>
  <c r="O4101" i="34"/>
  <c r="W4101" i="34"/>
  <c r="P4101" i="34"/>
  <c r="Q4101" i="34"/>
  <c r="U4101" i="34"/>
  <c r="A4101" i="34"/>
  <c r="P4131" i="34"/>
  <c r="Q4131" i="34"/>
  <c r="U4131" i="34"/>
  <c r="Z4131" i="34"/>
  <c r="O4131" i="34"/>
  <c r="W4131" i="34"/>
  <c r="A4131" i="34"/>
  <c r="Z4109" i="34"/>
  <c r="O4109" i="34"/>
  <c r="W4109" i="34"/>
  <c r="P4109" i="34"/>
  <c r="Q4109" i="34"/>
  <c r="U4109" i="34"/>
  <c r="A4109" i="34"/>
  <c r="O4144" i="34"/>
  <c r="W4144" i="34"/>
  <c r="P4144" i="34"/>
  <c r="Q4144" i="34"/>
  <c r="U4144" i="34"/>
  <c r="Z4144" i="34"/>
  <c r="A4144" i="34"/>
  <c r="P4481" i="34"/>
  <c r="Q4481" i="34"/>
  <c r="U4481" i="34"/>
  <c r="Z4481" i="34"/>
  <c r="O4481" i="34"/>
  <c r="W4481" i="34"/>
  <c r="A4481" i="34"/>
  <c r="O4148" i="34"/>
  <c r="W4148" i="34"/>
  <c r="P4148" i="34"/>
  <c r="Q4148" i="34"/>
  <c r="U4148" i="34"/>
  <c r="Z4148" i="34"/>
  <c r="A4148" i="34"/>
  <c r="O4156" i="34"/>
  <c r="W4156" i="34"/>
  <c r="P4156" i="34"/>
  <c r="Q4156" i="34"/>
  <c r="U4156" i="34"/>
  <c r="Z4156" i="34"/>
  <c r="A4156" i="34"/>
  <c r="O4160" i="34"/>
  <c r="W4160" i="34"/>
  <c r="P4160" i="34"/>
  <c r="Q4160" i="34"/>
  <c r="U4160" i="34"/>
  <c r="Z4160" i="34"/>
  <c r="A4160" i="34"/>
  <c r="O4164" i="34"/>
  <c r="W4164" i="34"/>
  <c r="P4164" i="34"/>
  <c r="Q4164" i="34"/>
  <c r="U4164" i="34"/>
  <c r="Z4164" i="34"/>
  <c r="A4164" i="34"/>
  <c r="O4168" i="34"/>
  <c r="W4168" i="34"/>
  <c r="P4168" i="34"/>
  <c r="Q4168" i="34"/>
  <c r="U4168" i="34"/>
  <c r="Z4168" i="34"/>
  <c r="A4168" i="34"/>
  <c r="Q4172" i="34"/>
  <c r="U4172" i="34"/>
  <c r="Z4172" i="34"/>
  <c r="O4172" i="34"/>
  <c r="W4172" i="34"/>
  <c r="P4172" i="34"/>
  <c r="A4172" i="34"/>
  <c r="Q4176" i="34"/>
  <c r="U4176" i="34"/>
  <c r="Z4176" i="34"/>
  <c r="O4176" i="34"/>
  <c r="W4176" i="34"/>
  <c r="P4176" i="34"/>
  <c r="A4176" i="34"/>
  <c r="Q4180" i="34"/>
  <c r="U4180" i="34"/>
  <c r="Z4180" i="34"/>
  <c r="O4180" i="34"/>
  <c r="W4180" i="34"/>
  <c r="P4180" i="34"/>
  <c r="A4180" i="34"/>
  <c r="Q4184" i="34"/>
  <c r="U4184" i="34"/>
  <c r="Z4184" i="34"/>
  <c r="O4184" i="34"/>
  <c r="W4184" i="34"/>
  <c r="P4184" i="34"/>
  <c r="A4184" i="34"/>
  <c r="Q4188" i="34"/>
  <c r="U4188" i="34"/>
  <c r="Z4188" i="34"/>
  <c r="O4188" i="34"/>
  <c r="W4188" i="34"/>
  <c r="P4188" i="34"/>
  <c r="A4188" i="34"/>
  <c r="Q4272" i="34"/>
  <c r="U4272" i="34"/>
  <c r="Z4272" i="34"/>
  <c r="O4272" i="34"/>
  <c r="W4272" i="34"/>
  <c r="P4272" i="34"/>
  <c r="A4272" i="34"/>
  <c r="O4282" i="34"/>
  <c r="W4282" i="34"/>
  <c r="P4282" i="34"/>
  <c r="Q4282" i="34"/>
  <c r="U4282" i="34"/>
  <c r="Z4282" i="34"/>
  <c r="A4282" i="34"/>
  <c r="O4286" i="34"/>
  <c r="W4286" i="34"/>
  <c r="P4286" i="34"/>
  <c r="Q4286" i="34"/>
  <c r="U4286" i="34"/>
  <c r="Z4286" i="34"/>
  <c r="A4286" i="34"/>
  <c r="O4290" i="34"/>
  <c r="W4290" i="34"/>
  <c r="P4290" i="34"/>
  <c r="Q4290" i="34"/>
  <c r="U4290" i="34"/>
  <c r="Z4290" i="34"/>
  <c r="A4290" i="34"/>
  <c r="P4209" i="34"/>
  <c r="Q4209" i="34"/>
  <c r="U4209" i="34"/>
  <c r="Z4209" i="34"/>
  <c r="O4209" i="34"/>
  <c r="W4209" i="34"/>
  <c r="A4209" i="34"/>
  <c r="P4205" i="34"/>
  <c r="Q4205" i="34"/>
  <c r="U4205" i="34"/>
  <c r="Z4205" i="34"/>
  <c r="O4205" i="34"/>
  <c r="W4205" i="34"/>
  <c r="A4205" i="34"/>
  <c r="O4112" i="34"/>
  <c r="W4112" i="34"/>
  <c r="P4112" i="34"/>
  <c r="Q4112" i="34"/>
  <c r="U4112" i="34"/>
  <c r="Z4112" i="34"/>
  <c r="A4112" i="34"/>
  <c r="Q4356" i="34"/>
  <c r="U4356" i="34"/>
  <c r="Z4356" i="34"/>
  <c r="O4356" i="34"/>
  <c r="W4356" i="34"/>
  <c r="P4356" i="34"/>
  <c r="A4356" i="34"/>
  <c r="Q4352" i="34"/>
  <c r="U4352" i="34"/>
  <c r="Z4352" i="34"/>
  <c r="O4352" i="34"/>
  <c r="W4352" i="34"/>
  <c r="P4352" i="34"/>
  <c r="A4352" i="34"/>
  <c r="Q4348" i="34"/>
  <c r="U4348" i="34"/>
  <c r="Z4348" i="34"/>
  <c r="O4348" i="34"/>
  <c r="W4348" i="34"/>
  <c r="P4348" i="34"/>
  <c r="A4348" i="34"/>
  <c r="Z4343" i="34"/>
  <c r="O4343" i="34"/>
  <c r="W4343" i="34"/>
  <c r="P4343" i="34"/>
  <c r="Q4343" i="34"/>
  <c r="U4343" i="34"/>
  <c r="A4343" i="34"/>
  <c r="Z4339" i="34"/>
  <c r="O4339" i="34"/>
  <c r="W4339" i="34"/>
  <c r="P4339" i="34"/>
  <c r="Q4339" i="34"/>
  <c r="U4339" i="34"/>
  <c r="A4339" i="34"/>
  <c r="Z4335" i="34"/>
  <c r="O4335" i="34"/>
  <c r="W4335" i="34"/>
  <c r="P4335" i="34"/>
  <c r="Q4335" i="34"/>
  <c r="U4335" i="34"/>
  <c r="A4335" i="34"/>
  <c r="Z4331" i="34"/>
  <c r="O4331" i="34"/>
  <c r="W4331" i="34"/>
  <c r="P4331" i="34"/>
  <c r="Q4331" i="34"/>
  <c r="U4331" i="34"/>
  <c r="A4331" i="34"/>
  <c r="Z4299" i="34"/>
  <c r="O4299" i="34"/>
  <c r="W4299" i="34"/>
  <c r="P4299" i="34"/>
  <c r="Q4299" i="34"/>
  <c r="U4299" i="34"/>
  <c r="A4299" i="34"/>
  <c r="Z4295" i="34"/>
  <c r="O4295" i="34"/>
  <c r="W4295" i="34"/>
  <c r="P4295" i="34"/>
  <c r="Q4295" i="34"/>
  <c r="U4295" i="34"/>
  <c r="A4295" i="34"/>
  <c r="Z4199" i="34"/>
  <c r="O4199" i="34"/>
  <c r="W4199" i="34"/>
  <c r="P4199" i="34"/>
  <c r="Q4199" i="34"/>
  <c r="U4199" i="34"/>
  <c r="A4199" i="34"/>
  <c r="Z4195" i="34"/>
  <c r="O4195" i="34"/>
  <c r="W4195" i="34"/>
  <c r="P4195" i="34"/>
  <c r="Q4195" i="34"/>
  <c r="U4195" i="34"/>
  <c r="A4195" i="34"/>
  <c r="Z4191" i="34"/>
  <c r="O4191" i="34"/>
  <c r="W4191" i="34"/>
  <c r="P4191" i="34"/>
  <c r="Q4191" i="34"/>
  <c r="U4191" i="34"/>
  <c r="A4191" i="34"/>
  <c r="Q4150" i="34"/>
  <c r="U4150" i="34"/>
  <c r="Z4150" i="34"/>
  <c r="P4150" i="34"/>
  <c r="W4150" i="34"/>
  <c r="O4150" i="34"/>
  <c r="A4150" i="34"/>
  <c r="Z4141" i="34"/>
  <c r="O4141" i="34"/>
  <c r="W4141" i="34"/>
  <c r="P4141" i="34"/>
  <c r="Q4141" i="34"/>
  <c r="U4141" i="34"/>
  <c r="A4141" i="34"/>
  <c r="Z4137" i="34"/>
  <c r="O4137" i="34"/>
  <c r="W4137" i="34"/>
  <c r="P4137" i="34"/>
  <c r="Q4137" i="34"/>
  <c r="U4137" i="34"/>
  <c r="A4137" i="34"/>
  <c r="Q4130" i="34"/>
  <c r="U4130" i="34"/>
  <c r="Z4130" i="34"/>
  <c r="O4130" i="34"/>
  <c r="W4130" i="34"/>
  <c r="P4130" i="34"/>
  <c r="A4130" i="34"/>
  <c r="Q4126" i="34"/>
  <c r="U4126" i="34"/>
  <c r="Z4126" i="34"/>
  <c r="O4126" i="34"/>
  <c r="W4126" i="34"/>
  <c r="P4126" i="34"/>
  <c r="A4126" i="34"/>
  <c r="Z4121" i="34"/>
  <c r="O4121" i="34"/>
  <c r="W4121" i="34"/>
  <c r="P4121" i="34"/>
  <c r="Q4121" i="34"/>
  <c r="U4121" i="34"/>
  <c r="A4121" i="34"/>
  <c r="Z4117" i="34"/>
  <c r="O4117" i="34"/>
  <c r="W4117" i="34"/>
  <c r="P4117" i="34"/>
  <c r="Q4117" i="34"/>
  <c r="U4117" i="34"/>
  <c r="A4117" i="34"/>
  <c r="O4104" i="34"/>
  <c r="W4104" i="34"/>
  <c r="P4104" i="34"/>
  <c r="Q4104" i="34"/>
  <c r="U4104" i="34"/>
  <c r="Z4104" i="34"/>
  <c r="A4104" i="34"/>
  <c r="Z4427" i="34"/>
  <c r="O4427" i="34"/>
  <c r="W4427" i="34"/>
  <c r="P4427" i="34"/>
  <c r="Q4427" i="34"/>
  <c r="U4427" i="34"/>
  <c r="A4427" i="34"/>
  <c r="O4422" i="34"/>
  <c r="W4422" i="34"/>
  <c r="P4422" i="34"/>
  <c r="Q4422" i="34"/>
  <c r="U4422" i="34"/>
  <c r="Z4422" i="34"/>
  <c r="A4422" i="34"/>
  <c r="O4418" i="34"/>
  <c r="W4418" i="34"/>
  <c r="P4418" i="34"/>
  <c r="Q4418" i="34"/>
  <c r="U4418" i="34"/>
  <c r="Z4418" i="34"/>
  <c r="A4418" i="34"/>
  <c r="P4413" i="34"/>
  <c r="Q4413" i="34"/>
  <c r="U4413" i="34"/>
  <c r="Z4413" i="34"/>
  <c r="O4413" i="34"/>
  <c r="W4413" i="34"/>
  <c r="A4413" i="34"/>
  <c r="P4409" i="34"/>
  <c r="Q4409" i="34"/>
  <c r="U4409" i="34"/>
  <c r="Z4409" i="34"/>
  <c r="O4409" i="34"/>
  <c r="W4409" i="34"/>
  <c r="A4409" i="34"/>
  <c r="P3759" i="34"/>
  <c r="Q3759" i="34"/>
  <c r="U3759" i="34"/>
  <c r="Z3759" i="34"/>
  <c r="O3759" i="34"/>
  <c r="W3759" i="34"/>
  <c r="A3759" i="34"/>
  <c r="Z3985" i="34"/>
  <c r="O3985" i="34"/>
  <c r="W3985" i="34"/>
  <c r="P3985" i="34"/>
  <c r="Q3985" i="34"/>
  <c r="U3985" i="34"/>
  <c r="A3985" i="34"/>
  <c r="Z3981" i="34"/>
  <c r="O3981" i="34"/>
  <c r="W3981" i="34"/>
  <c r="P3981" i="34"/>
  <c r="Q3981" i="34"/>
  <c r="U3981" i="34"/>
  <c r="A3981" i="34"/>
  <c r="P204" i="34"/>
  <c r="T204" i="34"/>
  <c r="Q204" i="34"/>
  <c r="U204" i="34"/>
  <c r="R204" i="34"/>
  <c r="Z204" i="34"/>
  <c r="O204" i="34"/>
  <c r="S204" i="34"/>
  <c r="W204" i="34"/>
  <c r="A204" i="34"/>
  <c r="O3976" i="34"/>
  <c r="W3976" i="34"/>
  <c r="P3976" i="34"/>
  <c r="Q3976" i="34"/>
  <c r="U3976" i="34"/>
  <c r="Z3976" i="34"/>
  <c r="A3976" i="34"/>
  <c r="O3972" i="34"/>
  <c r="W3972" i="34"/>
  <c r="P3972" i="34"/>
  <c r="Q3972" i="34"/>
  <c r="U3972" i="34"/>
  <c r="Z3972" i="34"/>
  <c r="A3972" i="34"/>
  <c r="O3968" i="34"/>
  <c r="W3968" i="34"/>
  <c r="P3968" i="34"/>
  <c r="Q3968" i="34"/>
  <c r="U3968" i="34"/>
  <c r="Z3968" i="34"/>
  <c r="A3968" i="34"/>
  <c r="O3964" i="34"/>
  <c r="W3964" i="34"/>
  <c r="P3964" i="34"/>
  <c r="Q3964" i="34"/>
  <c r="U3964" i="34"/>
  <c r="Z3964" i="34"/>
  <c r="A3964" i="34"/>
  <c r="O3960" i="34"/>
  <c r="W3960" i="34"/>
  <c r="P3960" i="34"/>
  <c r="Q3960" i="34"/>
  <c r="U3960" i="34"/>
  <c r="Z3960" i="34"/>
  <c r="A3960" i="34"/>
  <c r="O3956" i="34"/>
  <c r="W3956" i="34"/>
  <c r="P3956" i="34"/>
  <c r="Q3956" i="34"/>
  <c r="U3956" i="34"/>
  <c r="Z3956" i="34"/>
  <c r="A3956" i="34"/>
  <c r="Z3857" i="34"/>
  <c r="O3857" i="34"/>
  <c r="W3857" i="34"/>
  <c r="P3857" i="34"/>
  <c r="Q3857" i="34"/>
  <c r="U3857" i="34"/>
  <c r="A3857" i="34"/>
  <c r="Z3853" i="34"/>
  <c r="O3853" i="34"/>
  <c r="W3853" i="34"/>
  <c r="P3853" i="34"/>
  <c r="Q3853" i="34"/>
  <c r="U3853" i="34"/>
  <c r="A3853" i="34"/>
  <c r="Z3849" i="34"/>
  <c r="O3849" i="34"/>
  <c r="W3849" i="34"/>
  <c r="P3849" i="34"/>
  <c r="Q3849" i="34"/>
  <c r="U3849" i="34"/>
  <c r="A3849" i="34"/>
  <c r="Z3845" i="34"/>
  <c r="O3845" i="34"/>
  <c r="W3845" i="34"/>
  <c r="P3845" i="34"/>
  <c r="Q3845" i="34"/>
  <c r="U3845" i="34"/>
  <c r="A3845" i="34"/>
  <c r="Q3790" i="34"/>
  <c r="U3790" i="34"/>
  <c r="Z3790" i="34"/>
  <c r="O3790" i="34"/>
  <c r="W3790" i="34"/>
  <c r="P3790" i="34"/>
  <c r="A3790" i="34"/>
  <c r="Q3786" i="34"/>
  <c r="U3786" i="34"/>
  <c r="Z3786" i="34"/>
  <c r="O3786" i="34"/>
  <c r="W3786" i="34"/>
  <c r="P3786" i="34"/>
  <c r="A3786" i="34"/>
  <c r="Q3782" i="34"/>
  <c r="U3782" i="34"/>
  <c r="Z3782" i="34"/>
  <c r="O3782" i="34"/>
  <c r="W3782" i="34"/>
  <c r="P3782" i="34"/>
  <c r="A3782" i="34"/>
  <c r="Q3778" i="34"/>
  <c r="U3778" i="34"/>
  <c r="Z3778" i="34"/>
  <c r="O3778" i="34"/>
  <c r="W3778" i="34"/>
  <c r="P3778" i="34"/>
  <c r="A3778" i="34"/>
  <c r="Z4093" i="34"/>
  <c r="O4093" i="34"/>
  <c r="W4093" i="34"/>
  <c r="P4093" i="34"/>
  <c r="Q4093" i="34"/>
  <c r="U4093" i="34"/>
  <c r="A4093" i="34"/>
  <c r="Z4089" i="34"/>
  <c r="O4089" i="34"/>
  <c r="W4089" i="34"/>
  <c r="P4089" i="34"/>
  <c r="Q4089" i="34"/>
  <c r="U4089" i="34"/>
  <c r="A4089" i="34"/>
  <c r="O4036" i="34"/>
  <c r="W4036" i="34"/>
  <c r="P4036" i="34"/>
  <c r="Q4036" i="34"/>
  <c r="U4036" i="34"/>
  <c r="Z4036" i="34"/>
  <c r="A4036" i="34"/>
  <c r="Z2947" i="34"/>
  <c r="O2947" i="34"/>
  <c r="W2947" i="34"/>
  <c r="P2947" i="34"/>
  <c r="Q2947" i="34"/>
  <c r="U2947" i="34"/>
  <c r="A2947" i="34"/>
  <c r="O462" i="34"/>
  <c r="W462" i="34"/>
  <c r="P462" i="34"/>
  <c r="Q462" i="34"/>
  <c r="U462" i="34"/>
  <c r="Z462" i="34"/>
  <c r="A462" i="34"/>
  <c r="O458" i="34"/>
  <c r="W458" i="34"/>
  <c r="P458" i="34"/>
  <c r="Q458" i="34"/>
  <c r="U458" i="34"/>
  <c r="Z458" i="34"/>
  <c r="A458" i="34"/>
  <c r="O454" i="34"/>
  <c r="W454" i="34"/>
  <c r="P454" i="34"/>
  <c r="Q454" i="34"/>
  <c r="U454" i="34"/>
  <c r="Z454" i="34"/>
  <c r="A454" i="34"/>
  <c r="Q284" i="34"/>
  <c r="U284" i="34"/>
  <c r="R284" i="34"/>
  <c r="Z284" i="34"/>
  <c r="O284" i="34"/>
  <c r="S284" i="34"/>
  <c r="W284" i="34"/>
  <c r="P284" i="34"/>
  <c r="T284" i="34"/>
  <c r="A284" i="34"/>
  <c r="Q280" i="34"/>
  <c r="U280" i="34"/>
  <c r="R280" i="34"/>
  <c r="Z280" i="34"/>
  <c r="O280" i="34"/>
  <c r="S280" i="34"/>
  <c r="W280" i="34"/>
  <c r="P280" i="34"/>
  <c r="T280" i="34"/>
  <c r="A280" i="34"/>
  <c r="P273" i="34"/>
  <c r="T273" i="34"/>
  <c r="Q273" i="34"/>
  <c r="U273" i="34"/>
  <c r="R273" i="34"/>
  <c r="Z273" i="34"/>
  <c r="O273" i="34"/>
  <c r="S273" i="34"/>
  <c r="W273" i="34"/>
  <c r="A273" i="34"/>
  <c r="P269" i="34"/>
  <c r="T269" i="34"/>
  <c r="Q269" i="34"/>
  <c r="U269" i="34"/>
  <c r="R269" i="34"/>
  <c r="Z269" i="34"/>
  <c r="O269" i="34"/>
  <c r="S269" i="34"/>
  <c r="W269" i="34"/>
  <c r="A269" i="34"/>
  <c r="O3952" i="34"/>
  <c r="W3952" i="34"/>
  <c r="P3952" i="34"/>
  <c r="Q3952" i="34"/>
  <c r="U3952" i="34"/>
  <c r="Z3952" i="34"/>
  <c r="A3952" i="34"/>
  <c r="O3948" i="34"/>
  <c r="W3948" i="34"/>
  <c r="P3948" i="34"/>
  <c r="Q3948" i="34"/>
  <c r="U3948" i="34"/>
  <c r="Z3948" i="34"/>
  <c r="A3948" i="34"/>
  <c r="O3944" i="34"/>
  <c r="W3944" i="34"/>
  <c r="P3944" i="34"/>
  <c r="Q3944" i="34"/>
  <c r="U3944" i="34"/>
  <c r="Z3944" i="34"/>
  <c r="A3944" i="34"/>
  <c r="P3939" i="34"/>
  <c r="Q3939" i="34"/>
  <c r="U3939" i="34"/>
  <c r="Z3939" i="34"/>
  <c r="O3939" i="34"/>
  <c r="W3939" i="34"/>
  <c r="A3939" i="34"/>
  <c r="P3935" i="34"/>
  <c r="Q3935" i="34"/>
  <c r="U3935" i="34"/>
  <c r="Z3935" i="34"/>
  <c r="O3935" i="34"/>
  <c r="W3935" i="34"/>
  <c r="A3935" i="34"/>
  <c r="P3931" i="34"/>
  <c r="Q3931" i="34"/>
  <c r="U3931" i="34"/>
  <c r="Z3931" i="34"/>
  <c r="O3931" i="34"/>
  <c r="W3931" i="34"/>
  <c r="A3931" i="34"/>
  <c r="P3927" i="34"/>
  <c r="Q3927" i="34"/>
  <c r="U3927" i="34"/>
  <c r="Z3927" i="34"/>
  <c r="O3927" i="34"/>
  <c r="W3927" i="34"/>
  <c r="A3927" i="34"/>
  <c r="Z3837" i="34"/>
  <c r="O3837" i="34"/>
  <c r="W3837" i="34"/>
  <c r="P3837" i="34"/>
  <c r="Q3837" i="34"/>
  <c r="U3837" i="34"/>
  <c r="A3837" i="34"/>
  <c r="Z3833" i="34"/>
  <c r="O3833" i="34"/>
  <c r="W3833" i="34"/>
  <c r="P3833" i="34"/>
  <c r="Q3833" i="34"/>
  <c r="U3833" i="34"/>
  <c r="A3833" i="34"/>
  <c r="Z3829" i="34"/>
  <c r="O3829" i="34"/>
  <c r="W3829" i="34"/>
  <c r="P3829" i="34"/>
  <c r="Q3829" i="34"/>
  <c r="U3829" i="34"/>
  <c r="A3829" i="34"/>
  <c r="O3824" i="34"/>
  <c r="W3824" i="34"/>
  <c r="P3824" i="34"/>
  <c r="Q3824" i="34"/>
  <c r="U3824" i="34"/>
  <c r="Z3824" i="34"/>
  <c r="A3824" i="34"/>
  <c r="Z3773" i="34"/>
  <c r="O3773" i="34"/>
  <c r="W3773" i="34"/>
  <c r="P3773" i="34"/>
  <c r="Q3773" i="34"/>
  <c r="U3773" i="34"/>
  <c r="A3773" i="34"/>
  <c r="Z3769" i="34"/>
  <c r="O3769" i="34"/>
  <c r="W3769" i="34"/>
  <c r="P3769" i="34"/>
  <c r="Q3769" i="34"/>
  <c r="U3769" i="34"/>
  <c r="A3769" i="34"/>
  <c r="Z3765" i="34"/>
  <c r="O3765" i="34"/>
  <c r="W3765" i="34"/>
  <c r="P3765" i="34"/>
  <c r="Q3765" i="34"/>
  <c r="U3765" i="34"/>
  <c r="A3765" i="34"/>
  <c r="Z3761" i="34"/>
  <c r="O3761" i="34"/>
  <c r="W3761" i="34"/>
  <c r="P3761" i="34"/>
  <c r="Q3761" i="34"/>
  <c r="U3761" i="34"/>
  <c r="A3761" i="34"/>
  <c r="Z4431" i="34"/>
  <c r="O4431" i="34"/>
  <c r="W4431" i="34"/>
  <c r="P4431" i="34"/>
  <c r="Q4431" i="34"/>
  <c r="U4431" i="34"/>
  <c r="A4431" i="34"/>
  <c r="Z4435" i="34"/>
  <c r="O4435" i="34"/>
  <c r="W4435" i="34"/>
  <c r="P4435" i="34"/>
  <c r="Q4435" i="34"/>
  <c r="U4435" i="34"/>
  <c r="A4435" i="34"/>
  <c r="Z4439" i="34"/>
  <c r="O4439" i="34"/>
  <c r="W4439" i="34"/>
  <c r="P4439" i="34"/>
  <c r="Q4439" i="34"/>
  <c r="U4439" i="34"/>
  <c r="A4439" i="34"/>
  <c r="P4237" i="34"/>
  <c r="Q4237" i="34"/>
  <c r="U4237" i="34"/>
  <c r="Z4237" i="34"/>
  <c r="O4237" i="34"/>
  <c r="W4237" i="34"/>
  <c r="A4237" i="34"/>
  <c r="P4241" i="34"/>
  <c r="Q4241" i="34"/>
  <c r="U4241" i="34"/>
  <c r="Z4241" i="34"/>
  <c r="O4241" i="34"/>
  <c r="W4241" i="34"/>
  <c r="A4241" i="34"/>
  <c r="P4245" i="34"/>
  <c r="Q4245" i="34"/>
  <c r="U4245" i="34"/>
  <c r="Z4245" i="34"/>
  <c r="O4245" i="34"/>
  <c r="W4245" i="34"/>
  <c r="A4245" i="34"/>
  <c r="P4249" i="34"/>
  <c r="Q4249" i="34"/>
  <c r="U4249" i="34"/>
  <c r="Z4249" i="34"/>
  <c r="O4249" i="34"/>
  <c r="W4249" i="34"/>
  <c r="A4249" i="34"/>
  <c r="P4253" i="34"/>
  <c r="Q4253" i="34"/>
  <c r="U4253" i="34"/>
  <c r="Z4253" i="34"/>
  <c r="O4253" i="34"/>
  <c r="W4253" i="34"/>
  <c r="A4253" i="34"/>
  <c r="P4257" i="34"/>
  <c r="Q4257" i="34"/>
  <c r="U4257" i="34"/>
  <c r="Z4257" i="34"/>
  <c r="O4257" i="34"/>
  <c r="W4257" i="34"/>
  <c r="A4257" i="34"/>
  <c r="P4261" i="34"/>
  <c r="Q4261" i="34"/>
  <c r="U4261" i="34"/>
  <c r="Z4261" i="34"/>
  <c r="O4261" i="34"/>
  <c r="W4261" i="34"/>
  <c r="A4261" i="34"/>
  <c r="P4265" i="34"/>
  <c r="Q4265" i="34"/>
  <c r="U4265" i="34"/>
  <c r="Z4265" i="34"/>
  <c r="O4265" i="34"/>
  <c r="W4265" i="34"/>
  <c r="A4265" i="34"/>
  <c r="P4269" i="34"/>
  <c r="Q4269" i="34"/>
  <c r="U4269" i="34"/>
  <c r="Z4269" i="34"/>
  <c r="O4269" i="34"/>
  <c r="W4269" i="34"/>
  <c r="A4269" i="34"/>
  <c r="O4314" i="34"/>
  <c r="W4314" i="34"/>
  <c r="P4314" i="34"/>
  <c r="Q4314" i="34"/>
  <c r="U4314" i="34"/>
  <c r="Z4314" i="34"/>
  <c r="A4314" i="34"/>
  <c r="O4318" i="34"/>
  <c r="W4318" i="34"/>
  <c r="P4318" i="34"/>
  <c r="Q4318" i="34"/>
  <c r="U4318" i="34"/>
  <c r="Z4318" i="34"/>
  <c r="A4318" i="34"/>
  <c r="O4322" i="34"/>
  <c r="W4322" i="34"/>
  <c r="P4322" i="34"/>
  <c r="Q4322" i="34"/>
  <c r="U4322" i="34"/>
  <c r="Z4322" i="34"/>
  <c r="A4322" i="34"/>
  <c r="Q4440" i="34"/>
  <c r="U4440" i="34"/>
  <c r="Z4440" i="34"/>
  <c r="O4440" i="34"/>
  <c r="W4440" i="34"/>
  <c r="P4440" i="34"/>
  <c r="A4440" i="34"/>
  <c r="O4214" i="34"/>
  <c r="W4214" i="34"/>
  <c r="P4214" i="34"/>
  <c r="Q4214" i="34"/>
  <c r="U4214" i="34"/>
  <c r="Z4214" i="34"/>
  <c r="A4214" i="34"/>
  <c r="O4218" i="34"/>
  <c r="W4218" i="34"/>
  <c r="P4218" i="34"/>
  <c r="Q4218" i="34"/>
  <c r="U4218" i="34"/>
  <c r="Z4218" i="34"/>
  <c r="A4218" i="34"/>
  <c r="O4222" i="34"/>
  <c r="W4222" i="34"/>
  <c r="P4222" i="34"/>
  <c r="Q4222" i="34"/>
  <c r="U4222" i="34"/>
  <c r="Z4222" i="34"/>
  <c r="A4222" i="34"/>
  <c r="O4226" i="34"/>
  <c r="W4226" i="34"/>
  <c r="P4226" i="34"/>
  <c r="Q4226" i="34"/>
  <c r="U4226" i="34"/>
  <c r="Z4226" i="34"/>
  <c r="A4226" i="34"/>
  <c r="O4230" i="34"/>
  <c r="W4230" i="34"/>
  <c r="P4230" i="34"/>
  <c r="Q4230" i="34"/>
  <c r="U4230" i="34"/>
  <c r="Z4230" i="34"/>
  <c r="A4230" i="34"/>
  <c r="O4234" i="34"/>
  <c r="W4234" i="34"/>
  <c r="P4234" i="34"/>
  <c r="Q4234" i="34"/>
  <c r="U4234" i="34"/>
  <c r="Z4234" i="34"/>
  <c r="A4234" i="34"/>
  <c r="Q4276" i="34"/>
  <c r="U4276" i="34"/>
  <c r="Z4276" i="34"/>
  <c r="O4276" i="34"/>
  <c r="W4276" i="34"/>
  <c r="P4276" i="34"/>
  <c r="A4276" i="34"/>
  <c r="P4305" i="34"/>
  <c r="Q4305" i="34"/>
  <c r="U4305" i="34"/>
  <c r="Z4305" i="34"/>
  <c r="O4305" i="34"/>
  <c r="W4305" i="34"/>
  <c r="A4305" i="34"/>
  <c r="P4309" i="34"/>
  <c r="Q4309" i="34"/>
  <c r="U4309" i="34"/>
  <c r="Z4309" i="34"/>
  <c r="O4309" i="34"/>
  <c r="W4309" i="34"/>
  <c r="A4309" i="34"/>
  <c r="P4313" i="34"/>
  <c r="Q4313" i="34"/>
  <c r="U4313" i="34"/>
  <c r="Z4313" i="34"/>
  <c r="O4313" i="34"/>
  <c r="W4313" i="34"/>
  <c r="A4313" i="34"/>
  <c r="P4405" i="34"/>
  <c r="Q4405" i="34"/>
  <c r="U4405" i="34"/>
  <c r="Z4405" i="34"/>
  <c r="O4405" i="34"/>
  <c r="W4405" i="34"/>
  <c r="A4405" i="34"/>
  <c r="P4345" i="34"/>
  <c r="Q4345" i="34"/>
  <c r="U4345" i="34"/>
  <c r="Z4345" i="34"/>
  <c r="O4345" i="34"/>
  <c r="W4345" i="34"/>
  <c r="A4345" i="34"/>
  <c r="Z4363" i="34"/>
  <c r="O4363" i="34"/>
  <c r="W4363" i="34"/>
  <c r="P4363" i="34"/>
  <c r="Q4363" i="34"/>
  <c r="U4363" i="34"/>
  <c r="A4363" i="34"/>
  <c r="Z4367" i="34"/>
  <c r="O4367" i="34"/>
  <c r="W4367" i="34"/>
  <c r="P4367" i="34"/>
  <c r="Q4367" i="34"/>
  <c r="U4367" i="34"/>
  <c r="A4367" i="34"/>
  <c r="Z4371" i="34"/>
  <c r="O4371" i="34"/>
  <c r="W4371" i="34"/>
  <c r="P4371" i="34"/>
  <c r="Q4371" i="34"/>
  <c r="U4371" i="34"/>
  <c r="A4371" i="34"/>
  <c r="Z4375" i="34"/>
  <c r="O4375" i="34"/>
  <c r="W4375" i="34"/>
  <c r="P4375" i="34"/>
  <c r="Q4375" i="34"/>
  <c r="U4375" i="34"/>
  <c r="A4375" i="34"/>
  <c r="Z4379" i="34"/>
  <c r="O4379" i="34"/>
  <c r="W4379" i="34"/>
  <c r="P4379" i="34"/>
  <c r="Q4379" i="34"/>
  <c r="U4379" i="34"/>
  <c r="A4379" i="34"/>
  <c r="Z4383" i="34"/>
  <c r="O4383" i="34"/>
  <c r="W4383" i="34"/>
  <c r="P4383" i="34"/>
  <c r="Q4383" i="34"/>
  <c r="U4383" i="34"/>
  <c r="A4383" i="34"/>
  <c r="Z4387" i="34"/>
  <c r="O4387" i="34"/>
  <c r="W4387" i="34"/>
  <c r="P4387" i="34"/>
  <c r="Q4387" i="34"/>
  <c r="U4387" i="34"/>
  <c r="A4387" i="34"/>
  <c r="Z4391" i="34"/>
  <c r="O4391" i="34"/>
  <c r="W4391" i="34"/>
  <c r="P4391" i="34"/>
  <c r="Q4391" i="34"/>
  <c r="U4391" i="34"/>
  <c r="A4391" i="34"/>
  <c r="Z4395" i="34"/>
  <c r="O4395" i="34"/>
  <c r="W4395" i="34"/>
  <c r="P4395" i="34"/>
  <c r="Q4395" i="34"/>
  <c r="U4395" i="34"/>
  <c r="A4395" i="34"/>
  <c r="Z4399" i="34"/>
  <c r="O4399" i="34"/>
  <c r="W4399" i="34"/>
  <c r="P4399" i="34"/>
  <c r="Q4399" i="34"/>
  <c r="U4399" i="34"/>
  <c r="A4399" i="34"/>
  <c r="O4100" i="34"/>
  <c r="W4100" i="34"/>
  <c r="P4100" i="34"/>
  <c r="Q4100" i="34"/>
  <c r="U4100" i="34"/>
  <c r="Z4100" i="34"/>
  <c r="A4100" i="34"/>
  <c r="O4132" i="34"/>
  <c r="W4132" i="34"/>
  <c r="P4132" i="34"/>
  <c r="Q4132" i="34"/>
  <c r="U4132" i="34"/>
  <c r="Z4132" i="34"/>
  <c r="A4132" i="34"/>
  <c r="Q4114" i="34"/>
  <c r="U4114" i="34"/>
  <c r="Z4114" i="34"/>
  <c r="O4114" i="34"/>
  <c r="W4114" i="34"/>
  <c r="P4114" i="34"/>
  <c r="A4114" i="34"/>
  <c r="Z4145" i="34"/>
  <c r="O4145" i="34"/>
  <c r="W4145" i="34"/>
  <c r="P4145" i="34"/>
  <c r="Q4145" i="34"/>
  <c r="U4145" i="34"/>
  <c r="A4145" i="34"/>
  <c r="O4482" i="34"/>
  <c r="W4482" i="34"/>
  <c r="P4482" i="34"/>
  <c r="Q4482" i="34"/>
  <c r="U4482" i="34"/>
  <c r="Z4482" i="34"/>
  <c r="A4482" i="34"/>
  <c r="Q4110" i="34"/>
  <c r="U4110" i="34"/>
  <c r="Z4110" i="34"/>
  <c r="O4110" i="34"/>
  <c r="W4110" i="34"/>
  <c r="P4110" i="34"/>
  <c r="A4110" i="34"/>
  <c r="Z4157" i="34"/>
  <c r="O4157" i="34"/>
  <c r="W4157" i="34"/>
  <c r="P4157" i="34"/>
  <c r="Q4157" i="34"/>
  <c r="U4157" i="34"/>
  <c r="A4157" i="34"/>
  <c r="Z4161" i="34"/>
  <c r="O4161" i="34"/>
  <c r="W4161" i="34"/>
  <c r="P4161" i="34"/>
  <c r="Q4161" i="34"/>
  <c r="U4161" i="34"/>
  <c r="A4161" i="34"/>
  <c r="Z4165" i="34"/>
  <c r="P4165" i="34"/>
  <c r="Q4165" i="34"/>
  <c r="U4165" i="34"/>
  <c r="O4165" i="34"/>
  <c r="W4165" i="34"/>
  <c r="A4165" i="34"/>
  <c r="Z4169" i="34"/>
  <c r="O4169" i="34"/>
  <c r="W4169" i="34"/>
  <c r="P4169" i="34"/>
  <c r="Q4169" i="34"/>
  <c r="U4169" i="34"/>
  <c r="A4169" i="34"/>
  <c r="P4173" i="34"/>
  <c r="Q4173" i="34"/>
  <c r="U4173" i="34"/>
  <c r="Z4173" i="34"/>
  <c r="O4173" i="34"/>
  <c r="W4173" i="34"/>
  <c r="A4173" i="34"/>
  <c r="P4177" i="34"/>
  <c r="Q4177" i="34"/>
  <c r="U4177" i="34"/>
  <c r="Z4177" i="34"/>
  <c r="O4177" i="34"/>
  <c r="W4177" i="34"/>
  <c r="A4177" i="34"/>
  <c r="P4181" i="34"/>
  <c r="Q4181" i="34"/>
  <c r="U4181" i="34"/>
  <c r="Z4181" i="34"/>
  <c r="O4181" i="34"/>
  <c r="W4181" i="34"/>
  <c r="A4181" i="34"/>
  <c r="P4185" i="34"/>
  <c r="Q4185" i="34"/>
  <c r="U4185" i="34"/>
  <c r="Z4185" i="34"/>
  <c r="O4185" i="34"/>
  <c r="W4185" i="34"/>
  <c r="A4185" i="34"/>
  <c r="P4189" i="34"/>
  <c r="Q4189" i="34"/>
  <c r="U4189" i="34"/>
  <c r="Z4189" i="34"/>
  <c r="O4189" i="34"/>
  <c r="W4189" i="34"/>
  <c r="A4189" i="34"/>
  <c r="P4273" i="34"/>
  <c r="Q4273" i="34"/>
  <c r="U4273" i="34"/>
  <c r="Z4273" i="34"/>
  <c r="O4273" i="34"/>
  <c r="W4273" i="34"/>
  <c r="A4273" i="34"/>
  <c r="Z4283" i="34"/>
  <c r="O4283" i="34"/>
  <c r="W4283" i="34"/>
  <c r="P4283" i="34"/>
  <c r="Q4283" i="34"/>
  <c r="U4283" i="34"/>
  <c r="A4283" i="34"/>
  <c r="Z4287" i="34"/>
  <c r="O4287" i="34"/>
  <c r="W4287" i="34"/>
  <c r="P4287" i="34"/>
  <c r="Q4287" i="34"/>
  <c r="U4287" i="34"/>
  <c r="A4287" i="34"/>
  <c r="Z4291" i="34"/>
  <c r="O4291" i="34"/>
  <c r="W4291" i="34"/>
  <c r="P4291" i="34"/>
  <c r="Q4291" i="34"/>
  <c r="U4291" i="34"/>
  <c r="A4291" i="34"/>
  <c r="Q4208" i="34"/>
  <c r="U4208" i="34"/>
  <c r="Z4208" i="34"/>
  <c r="O4208" i="34"/>
  <c r="W4208" i="34"/>
  <c r="P4208" i="34"/>
  <c r="A4208" i="34"/>
  <c r="Q4204" i="34"/>
  <c r="U4204" i="34"/>
  <c r="Z4204" i="34"/>
  <c r="O4204" i="34"/>
  <c r="W4204" i="34"/>
  <c r="P4204" i="34"/>
  <c r="A4204" i="34"/>
  <c r="Z4153" i="34"/>
  <c r="O4153" i="34"/>
  <c r="W4153" i="34"/>
  <c r="P4153" i="34"/>
  <c r="Q4153" i="34"/>
  <c r="U4153" i="34"/>
  <c r="A4153" i="34"/>
  <c r="Z4355" i="34"/>
  <c r="O4355" i="34"/>
  <c r="W4355" i="34"/>
  <c r="P4355" i="34"/>
  <c r="Q4355" i="34"/>
  <c r="U4355" i="34"/>
  <c r="A4355" i="34"/>
  <c r="Z4351" i="34"/>
  <c r="O4351" i="34"/>
  <c r="W4351" i="34"/>
  <c r="P4351" i="34"/>
  <c r="Q4351" i="34"/>
  <c r="U4351" i="34"/>
  <c r="A4351" i="34"/>
  <c r="Z4347" i="34"/>
  <c r="O4347" i="34"/>
  <c r="W4347" i="34"/>
  <c r="P4347" i="34"/>
  <c r="Q4347" i="34"/>
  <c r="U4347" i="34"/>
  <c r="A4347" i="34"/>
  <c r="O4342" i="34"/>
  <c r="W4342" i="34"/>
  <c r="P4342" i="34"/>
  <c r="Q4342" i="34"/>
  <c r="U4342" i="34"/>
  <c r="Z4342" i="34"/>
  <c r="A4342" i="34"/>
  <c r="O4338" i="34"/>
  <c r="W4338" i="34"/>
  <c r="P4338" i="34"/>
  <c r="Q4338" i="34"/>
  <c r="U4338" i="34"/>
  <c r="Z4338" i="34"/>
  <c r="A4338" i="34"/>
  <c r="O4334" i="34"/>
  <c r="W4334" i="34"/>
  <c r="P4334" i="34"/>
  <c r="Q4334" i="34"/>
  <c r="U4334" i="34"/>
  <c r="Z4334" i="34"/>
  <c r="A4334" i="34"/>
  <c r="O4330" i="34"/>
  <c r="W4330" i="34"/>
  <c r="P4330" i="34"/>
  <c r="Q4330" i="34"/>
  <c r="U4330" i="34"/>
  <c r="Z4330" i="34"/>
  <c r="A4330" i="34"/>
  <c r="O4298" i="34"/>
  <c r="W4298" i="34"/>
  <c r="P4298" i="34"/>
  <c r="Q4298" i="34"/>
  <c r="U4298" i="34"/>
  <c r="Z4298" i="34"/>
  <c r="A4298" i="34"/>
  <c r="O4294" i="34"/>
  <c r="W4294" i="34"/>
  <c r="P4294" i="34"/>
  <c r="Q4294" i="34"/>
  <c r="U4294" i="34"/>
  <c r="Z4294" i="34"/>
  <c r="A4294" i="34"/>
  <c r="O4198" i="34"/>
  <c r="W4198" i="34"/>
  <c r="P4198" i="34"/>
  <c r="Q4198" i="34"/>
  <c r="U4198" i="34"/>
  <c r="Z4198" i="34"/>
  <c r="A4198" i="34"/>
  <c r="O4194" i="34"/>
  <c r="W4194" i="34"/>
  <c r="P4194" i="34"/>
  <c r="Q4194" i="34"/>
  <c r="U4194" i="34"/>
  <c r="Z4194" i="34"/>
  <c r="A4194" i="34"/>
  <c r="O4190" i="34"/>
  <c r="W4190" i="34"/>
  <c r="P4190" i="34"/>
  <c r="Q4190" i="34"/>
  <c r="U4190" i="34"/>
  <c r="Z4190" i="34"/>
  <c r="A4190" i="34"/>
  <c r="Z4149" i="34"/>
  <c r="O4149" i="34"/>
  <c r="W4149" i="34"/>
  <c r="P4149" i="34"/>
  <c r="Q4149" i="34"/>
  <c r="U4149" i="34"/>
  <c r="A4149" i="34"/>
  <c r="O4140" i="34"/>
  <c r="W4140" i="34"/>
  <c r="P4140" i="34"/>
  <c r="Q4140" i="34"/>
  <c r="U4140" i="34"/>
  <c r="Z4140" i="34"/>
  <c r="A4140" i="34"/>
  <c r="O4136" i="34"/>
  <c r="W4136" i="34"/>
  <c r="P4136" i="34"/>
  <c r="Q4136" i="34"/>
  <c r="U4136" i="34"/>
  <c r="Z4136" i="34"/>
  <c r="A4136" i="34"/>
  <c r="Z4129" i="34"/>
  <c r="O4129" i="34"/>
  <c r="W4129" i="34"/>
  <c r="P4129" i="34"/>
  <c r="Q4129" i="34"/>
  <c r="U4129" i="34"/>
  <c r="A4129" i="34"/>
  <c r="Z4125" i="34"/>
  <c r="O4125" i="34"/>
  <c r="W4125" i="34"/>
  <c r="P4125" i="34"/>
  <c r="Q4125" i="34"/>
  <c r="U4125" i="34"/>
  <c r="A4125" i="34"/>
  <c r="O4120" i="34"/>
  <c r="W4120" i="34"/>
  <c r="P4120" i="34"/>
  <c r="Q4120" i="34"/>
  <c r="U4120" i="34"/>
  <c r="Z4120" i="34"/>
  <c r="A4120" i="34"/>
  <c r="P4107" i="34"/>
  <c r="Q4107" i="34"/>
  <c r="U4107" i="34"/>
  <c r="Z4107" i="34"/>
  <c r="O4107" i="34"/>
  <c r="W4107" i="34"/>
  <c r="A4107" i="34"/>
  <c r="P4103" i="34"/>
  <c r="Q4103" i="34"/>
  <c r="U4103" i="34"/>
  <c r="Z4103" i="34"/>
  <c r="O4103" i="34"/>
  <c r="W4103" i="34"/>
  <c r="A4103" i="34"/>
  <c r="O4426" i="34"/>
  <c r="W4426" i="34"/>
  <c r="P4426" i="34"/>
  <c r="Q4426" i="34"/>
  <c r="U4426" i="34"/>
  <c r="Z4426" i="34"/>
  <c r="A4426" i="34"/>
  <c r="P4421" i="34"/>
  <c r="Q4421" i="34"/>
  <c r="U4421" i="34"/>
  <c r="Z4421" i="34"/>
  <c r="O4421" i="34"/>
  <c r="W4421" i="34"/>
  <c r="A4421" i="34"/>
  <c r="Q4416" i="34"/>
  <c r="U4416" i="34"/>
  <c r="Z4416" i="34"/>
  <c r="O4416" i="34"/>
  <c r="W4416" i="34"/>
  <c r="P4416" i="34"/>
  <c r="A4416" i="34"/>
  <c r="Q4412" i="34"/>
  <c r="U4412" i="34"/>
  <c r="Z4412" i="34"/>
  <c r="O4412" i="34"/>
  <c r="W4412" i="34"/>
  <c r="P4412" i="34"/>
  <c r="A4412" i="34"/>
  <c r="Q4408" i="34"/>
  <c r="U4408" i="34"/>
  <c r="Z4408" i="34"/>
  <c r="O4408" i="34"/>
  <c r="W4408" i="34"/>
  <c r="P4408" i="34"/>
  <c r="A4408" i="34"/>
  <c r="O3988" i="34"/>
  <c r="W3988" i="34"/>
  <c r="P3988" i="34"/>
  <c r="Q3988" i="34"/>
  <c r="U3988" i="34"/>
  <c r="Z3988" i="34"/>
  <c r="A3988" i="34"/>
  <c r="O3984" i="34"/>
  <c r="W3984" i="34"/>
  <c r="P3984" i="34"/>
  <c r="Q3984" i="34"/>
  <c r="U3984" i="34"/>
  <c r="Z3984" i="34"/>
  <c r="A3984" i="34"/>
  <c r="O3980" i="34"/>
  <c r="W3980" i="34"/>
  <c r="P3980" i="34"/>
  <c r="Q3980" i="34"/>
  <c r="U3980" i="34"/>
  <c r="Z3980" i="34"/>
  <c r="A3980" i="34"/>
  <c r="Q203" i="34"/>
  <c r="U203" i="34"/>
  <c r="R203" i="34"/>
  <c r="Z203" i="34"/>
  <c r="O203" i="34"/>
  <c r="S203" i="34"/>
  <c r="W203" i="34"/>
  <c r="P203" i="34"/>
  <c r="T203" i="34"/>
  <c r="A203" i="34"/>
  <c r="P3975" i="34"/>
  <c r="Q3975" i="34"/>
  <c r="U3975" i="34"/>
  <c r="Z3975" i="34"/>
  <c r="O3975" i="34"/>
  <c r="W3975" i="34"/>
  <c r="A3975" i="34"/>
  <c r="P3971" i="34"/>
  <c r="Q3971" i="34"/>
  <c r="U3971" i="34"/>
  <c r="Z3971" i="34"/>
  <c r="O3971" i="34"/>
  <c r="W3971" i="34"/>
  <c r="A3971" i="34"/>
  <c r="P3967" i="34"/>
  <c r="Q3967" i="34"/>
  <c r="U3967" i="34"/>
  <c r="Z3967" i="34"/>
  <c r="O3967" i="34"/>
  <c r="W3967" i="34"/>
  <c r="A3967" i="34"/>
  <c r="P3963" i="34"/>
  <c r="Q3963" i="34"/>
  <c r="U3963" i="34"/>
  <c r="Z3963" i="34"/>
  <c r="O3963" i="34"/>
  <c r="W3963" i="34"/>
  <c r="A3963" i="34"/>
  <c r="P3959" i="34"/>
  <c r="Q3959" i="34"/>
  <c r="U3959" i="34"/>
  <c r="Z3959" i="34"/>
  <c r="O3959" i="34"/>
  <c r="W3959" i="34"/>
  <c r="A3959" i="34"/>
  <c r="P3955" i="34"/>
  <c r="Q3955" i="34"/>
  <c r="U3955" i="34"/>
  <c r="Z3955" i="34"/>
  <c r="O3955" i="34"/>
  <c r="W3955" i="34"/>
  <c r="A3955" i="34"/>
  <c r="O3856" i="34"/>
  <c r="W3856" i="34"/>
  <c r="P3856" i="34"/>
  <c r="Q3856" i="34"/>
  <c r="U3856" i="34"/>
  <c r="Z3856" i="34"/>
  <c r="A3856" i="34"/>
  <c r="O3852" i="34"/>
  <c r="W3852" i="34"/>
  <c r="P3852" i="34"/>
  <c r="Q3852" i="34"/>
  <c r="U3852" i="34"/>
  <c r="Z3852" i="34"/>
  <c r="A3852" i="34"/>
  <c r="O3848" i="34"/>
  <c r="W3848" i="34"/>
  <c r="P3848" i="34"/>
  <c r="Q3848" i="34"/>
  <c r="U3848" i="34"/>
  <c r="Z3848" i="34"/>
  <c r="A3848" i="34"/>
  <c r="O3844" i="34"/>
  <c r="W3844" i="34"/>
  <c r="P3844" i="34"/>
  <c r="Q3844" i="34"/>
  <c r="U3844" i="34"/>
  <c r="Z3844" i="34"/>
  <c r="A3844" i="34"/>
  <c r="Z3789" i="34"/>
  <c r="O3789" i="34"/>
  <c r="W3789" i="34"/>
  <c r="P3789" i="34"/>
  <c r="Q3789" i="34"/>
  <c r="U3789" i="34"/>
  <c r="A3789" i="34"/>
  <c r="Z3785" i="34"/>
  <c r="O3785" i="34"/>
  <c r="W3785" i="34"/>
  <c r="P3785" i="34"/>
  <c r="Q3785" i="34"/>
  <c r="U3785" i="34"/>
  <c r="A3785" i="34"/>
  <c r="Z3781" i="34"/>
  <c r="O3781" i="34"/>
  <c r="W3781" i="34"/>
  <c r="P3781" i="34"/>
  <c r="Q3781" i="34"/>
  <c r="U3781" i="34"/>
  <c r="A3781" i="34"/>
  <c r="Z3777" i="34"/>
  <c r="O3777" i="34"/>
  <c r="W3777" i="34"/>
  <c r="P3777" i="34"/>
  <c r="Q3777" i="34"/>
  <c r="U3777" i="34"/>
  <c r="A3777" i="34"/>
  <c r="O4092" i="34"/>
  <c r="W4092" i="34"/>
  <c r="P4092" i="34"/>
  <c r="Q4092" i="34"/>
  <c r="U4092" i="34"/>
  <c r="Z4092" i="34"/>
  <c r="A4092" i="34"/>
  <c r="P4039" i="34"/>
  <c r="Q4039" i="34"/>
  <c r="U4039" i="34"/>
  <c r="Z4039" i="34"/>
  <c r="O4039" i="34"/>
  <c r="W4039" i="34"/>
  <c r="A4039" i="34"/>
  <c r="P4035" i="34"/>
  <c r="Q4035" i="34"/>
  <c r="U4035" i="34"/>
  <c r="Z4035" i="34"/>
  <c r="O4035" i="34"/>
  <c r="W4035" i="34"/>
  <c r="A4035" i="34"/>
  <c r="Z3977" i="34"/>
  <c r="O3977" i="34"/>
  <c r="W3977" i="34"/>
  <c r="P3977" i="34"/>
  <c r="Q3977" i="34"/>
  <c r="U3977" i="34"/>
  <c r="A3977" i="34"/>
  <c r="P461" i="34"/>
  <c r="Q461" i="34"/>
  <c r="U461" i="34"/>
  <c r="Z461" i="34"/>
  <c r="O461" i="34"/>
  <c r="W461" i="34"/>
  <c r="A461" i="34"/>
  <c r="P457" i="34"/>
  <c r="Q457" i="34"/>
  <c r="U457" i="34"/>
  <c r="Z457" i="34"/>
  <c r="O457" i="34"/>
  <c r="W457" i="34"/>
  <c r="A457" i="34"/>
  <c r="P453" i="34"/>
  <c r="Q453" i="34"/>
  <c r="U453" i="34"/>
  <c r="Z453" i="34"/>
  <c r="O453" i="34"/>
  <c r="W453" i="34"/>
  <c r="A453" i="34"/>
  <c r="R283" i="34"/>
  <c r="Z283" i="34"/>
  <c r="O283" i="34"/>
  <c r="S283" i="34"/>
  <c r="W283" i="34"/>
  <c r="P283" i="34"/>
  <c r="T283" i="34"/>
  <c r="Q283" i="34"/>
  <c r="U283" i="34"/>
  <c r="A283" i="34"/>
  <c r="O278" i="34"/>
  <c r="S278" i="34"/>
  <c r="W278" i="34"/>
  <c r="P278" i="34"/>
  <c r="T278" i="34"/>
  <c r="Q278" i="34"/>
  <c r="U278" i="34"/>
  <c r="R278" i="34"/>
  <c r="Z278" i="34"/>
  <c r="A278" i="34"/>
  <c r="Q272" i="34"/>
  <c r="U272" i="34"/>
  <c r="R272" i="34"/>
  <c r="Z272" i="34"/>
  <c r="O272" i="34"/>
  <c r="S272" i="34"/>
  <c r="W272" i="34"/>
  <c r="P272" i="34"/>
  <c r="T272" i="34"/>
  <c r="A272" i="34"/>
  <c r="Q268" i="34"/>
  <c r="U268" i="34"/>
  <c r="R268" i="34"/>
  <c r="Z268" i="34"/>
  <c r="O268" i="34"/>
  <c r="S268" i="34"/>
  <c r="W268" i="34"/>
  <c r="P268" i="34"/>
  <c r="T268" i="34"/>
  <c r="A268" i="34"/>
  <c r="P3951" i="34"/>
  <c r="Q3951" i="34"/>
  <c r="U3951" i="34"/>
  <c r="Z3951" i="34"/>
  <c r="O3951" i="34"/>
  <c r="W3951" i="34"/>
  <c r="A3951" i="34"/>
  <c r="P3947" i="34"/>
  <c r="Q3947" i="34"/>
  <c r="U3947" i="34"/>
  <c r="Z3947" i="34"/>
  <c r="O3947" i="34"/>
  <c r="W3947" i="34"/>
  <c r="A3947" i="34"/>
  <c r="P3943" i="34"/>
  <c r="Q3943" i="34"/>
  <c r="U3943" i="34"/>
  <c r="Z3943" i="34"/>
  <c r="O3943" i="34"/>
  <c r="W3943" i="34"/>
  <c r="A3943" i="34"/>
  <c r="Q3938" i="34"/>
  <c r="U3938" i="34"/>
  <c r="Z3938" i="34"/>
  <c r="O3938" i="34"/>
  <c r="W3938" i="34"/>
  <c r="P3938" i="34"/>
  <c r="A3938" i="34"/>
  <c r="Q3934" i="34"/>
  <c r="U3934" i="34"/>
  <c r="Z3934" i="34"/>
  <c r="O3934" i="34"/>
  <c r="W3934" i="34"/>
  <c r="P3934" i="34"/>
  <c r="A3934" i="34"/>
  <c r="Q3930" i="34"/>
  <c r="U3930" i="34"/>
  <c r="Z3930" i="34"/>
  <c r="O3930" i="34"/>
  <c r="W3930" i="34"/>
  <c r="P3930" i="34"/>
  <c r="A3930" i="34"/>
  <c r="O3840" i="34"/>
  <c r="W3840" i="34"/>
  <c r="P3840" i="34"/>
  <c r="Q3840" i="34"/>
  <c r="U3840" i="34"/>
  <c r="Z3840" i="34"/>
  <c r="A3840" i="34"/>
  <c r="O3836" i="34"/>
  <c r="W3836" i="34"/>
  <c r="P3836" i="34"/>
  <c r="Q3836" i="34"/>
  <c r="U3836" i="34"/>
  <c r="Z3836" i="34"/>
  <c r="A3836" i="34"/>
  <c r="O3832" i="34"/>
  <c r="W3832" i="34"/>
  <c r="P3832" i="34"/>
  <c r="Q3832" i="34"/>
  <c r="U3832" i="34"/>
  <c r="Z3832" i="34"/>
  <c r="A3832" i="34"/>
  <c r="O3828" i="34"/>
  <c r="W3828" i="34"/>
  <c r="P3828" i="34"/>
  <c r="Q3828" i="34"/>
  <c r="U3828" i="34"/>
  <c r="Z3828" i="34"/>
  <c r="A3828" i="34"/>
  <c r="P3823" i="34"/>
  <c r="Q3823" i="34"/>
  <c r="U3823" i="34"/>
  <c r="Z3823" i="34"/>
  <c r="O3823" i="34"/>
  <c r="W3823" i="34"/>
  <c r="A3823" i="34"/>
  <c r="O3772" i="34"/>
  <c r="W3772" i="34"/>
  <c r="P3772" i="34"/>
  <c r="Q3772" i="34"/>
  <c r="U3772" i="34"/>
  <c r="Z3772" i="34"/>
  <c r="A3772" i="34"/>
  <c r="O3768" i="34"/>
  <c r="W3768" i="34"/>
  <c r="P3768" i="34"/>
  <c r="Q3768" i="34"/>
  <c r="U3768" i="34"/>
  <c r="Z3768" i="34"/>
  <c r="A3768" i="34"/>
  <c r="O3764" i="34"/>
  <c r="W3764" i="34"/>
  <c r="P3764" i="34"/>
  <c r="Q3764" i="34"/>
  <c r="U3764" i="34"/>
  <c r="Z3764" i="34"/>
  <c r="A3764" i="34"/>
  <c r="O3760" i="34"/>
  <c r="W3760" i="34"/>
  <c r="P3760" i="34"/>
  <c r="Q3760" i="34"/>
  <c r="U3760" i="34"/>
  <c r="Z3760" i="34"/>
  <c r="A3760" i="34"/>
  <c r="Q4432" i="34"/>
  <c r="U4432" i="34"/>
  <c r="Z4432" i="34"/>
  <c r="O4432" i="34"/>
  <c r="W4432" i="34"/>
  <c r="P4432" i="34"/>
  <c r="A4432" i="34"/>
  <c r="Q4436" i="34"/>
  <c r="U4436" i="34"/>
  <c r="Z4436" i="34"/>
  <c r="O4436" i="34"/>
  <c r="W4436" i="34"/>
  <c r="P4436" i="34"/>
  <c r="A4436" i="34"/>
  <c r="Q4154" i="34"/>
  <c r="U4154" i="34"/>
  <c r="Z4154" i="34"/>
  <c r="P4154" i="34"/>
  <c r="W4154" i="34"/>
  <c r="O4154" i="34"/>
  <c r="A4154" i="34"/>
  <c r="O4238" i="34"/>
  <c r="W4238" i="34"/>
  <c r="P4238" i="34"/>
  <c r="Q4238" i="34"/>
  <c r="U4238" i="34"/>
  <c r="Z4238" i="34"/>
  <c r="A4238" i="34"/>
  <c r="O4242" i="34"/>
  <c r="W4242" i="34"/>
  <c r="P4242" i="34"/>
  <c r="Q4242" i="34"/>
  <c r="U4242" i="34"/>
  <c r="Z4242" i="34"/>
  <c r="A4242" i="34"/>
  <c r="O4246" i="34"/>
  <c r="W4246" i="34"/>
  <c r="P4246" i="34"/>
  <c r="Q4246" i="34"/>
  <c r="U4246" i="34"/>
  <c r="Z4246" i="34"/>
  <c r="A4246" i="34"/>
  <c r="O4250" i="34"/>
  <c r="W4250" i="34"/>
  <c r="P4250" i="34"/>
  <c r="Q4250" i="34"/>
  <c r="U4250" i="34"/>
  <c r="Z4250" i="34"/>
  <c r="A4250" i="34"/>
  <c r="O4254" i="34"/>
  <c r="W4254" i="34"/>
  <c r="P4254" i="34"/>
  <c r="Q4254" i="34"/>
  <c r="U4254" i="34"/>
  <c r="Z4254" i="34"/>
  <c r="A4254" i="34"/>
  <c r="O4258" i="34"/>
  <c r="W4258" i="34"/>
  <c r="P4258" i="34"/>
  <c r="Q4258" i="34"/>
  <c r="U4258" i="34"/>
  <c r="Z4258" i="34"/>
  <c r="A4258" i="34"/>
  <c r="O4262" i="34"/>
  <c r="W4262" i="34"/>
  <c r="P4262" i="34"/>
  <c r="Q4262" i="34"/>
  <c r="U4262" i="34"/>
  <c r="Z4262" i="34"/>
  <c r="A4262" i="34"/>
  <c r="O4266" i="34"/>
  <c r="W4266" i="34"/>
  <c r="P4266" i="34"/>
  <c r="Q4266" i="34"/>
  <c r="U4266" i="34"/>
  <c r="Z4266" i="34"/>
  <c r="A4266" i="34"/>
  <c r="P4277" i="34"/>
  <c r="Q4277" i="34"/>
  <c r="U4277" i="34"/>
  <c r="Z4277" i="34"/>
  <c r="O4277" i="34"/>
  <c r="W4277" i="34"/>
  <c r="A4277" i="34"/>
  <c r="Z4315" i="34"/>
  <c r="O4315" i="34"/>
  <c r="W4315" i="34"/>
  <c r="P4315" i="34"/>
  <c r="Q4315" i="34"/>
  <c r="U4315" i="34"/>
  <c r="A4315" i="34"/>
  <c r="Z4319" i="34"/>
  <c r="O4319" i="34"/>
  <c r="W4319" i="34"/>
  <c r="P4319" i="34"/>
  <c r="Q4319" i="34"/>
  <c r="U4319" i="34"/>
  <c r="A4319" i="34"/>
  <c r="Z4323" i="34"/>
  <c r="O4323" i="34"/>
  <c r="W4323" i="34"/>
  <c r="P4323" i="34"/>
  <c r="Q4323" i="34"/>
  <c r="U4323" i="34"/>
  <c r="A4323" i="34"/>
  <c r="Z4211" i="34"/>
  <c r="O4211" i="34"/>
  <c r="W4211" i="34"/>
  <c r="P4211" i="34"/>
  <c r="Q4211" i="34"/>
  <c r="U4211" i="34"/>
  <c r="A4211" i="34"/>
  <c r="Z4215" i="34"/>
  <c r="O4215" i="34"/>
  <c r="W4215" i="34"/>
  <c r="P4215" i="34"/>
  <c r="Q4215" i="34"/>
  <c r="U4215" i="34"/>
  <c r="A4215" i="34"/>
  <c r="Z4219" i="34"/>
  <c r="O4219" i="34"/>
  <c r="W4219" i="34"/>
  <c r="P4219" i="34"/>
  <c r="Q4219" i="34"/>
  <c r="U4219" i="34"/>
  <c r="A4219" i="34"/>
  <c r="Z4223" i="34"/>
  <c r="O4223" i="34"/>
  <c r="W4223" i="34"/>
  <c r="P4223" i="34"/>
  <c r="Q4223" i="34"/>
  <c r="U4223" i="34"/>
  <c r="A4223" i="34"/>
  <c r="Z4227" i="34"/>
  <c r="O4227" i="34"/>
  <c r="W4227" i="34"/>
  <c r="P4227" i="34"/>
  <c r="Q4227" i="34"/>
  <c r="U4227" i="34"/>
  <c r="A4227" i="34"/>
  <c r="Z4231" i="34"/>
  <c r="O4231" i="34"/>
  <c r="W4231" i="34"/>
  <c r="P4231" i="34"/>
  <c r="Q4231" i="34"/>
  <c r="U4231" i="34"/>
  <c r="A4231" i="34"/>
  <c r="Z4235" i="34"/>
  <c r="O4235" i="34"/>
  <c r="W4235" i="34"/>
  <c r="P4235" i="34"/>
  <c r="Q4235" i="34"/>
  <c r="U4235" i="34"/>
  <c r="A4235" i="34"/>
  <c r="O4302" i="34"/>
  <c r="W4302" i="34"/>
  <c r="P4302" i="34"/>
  <c r="Q4302" i="34"/>
  <c r="U4302" i="34"/>
  <c r="Z4302" i="34"/>
  <c r="A4302" i="34"/>
  <c r="O4306" i="34"/>
  <c r="W4306" i="34"/>
  <c r="P4306" i="34"/>
  <c r="Q4306" i="34"/>
  <c r="U4306" i="34"/>
  <c r="Z4306" i="34"/>
  <c r="A4306" i="34"/>
  <c r="O4310" i="34"/>
  <c r="W4310" i="34"/>
  <c r="P4310" i="34"/>
  <c r="Q4310" i="34"/>
  <c r="U4310" i="34"/>
  <c r="Z4310" i="34"/>
  <c r="A4310" i="34"/>
  <c r="O4402" i="34"/>
  <c r="W4402" i="34"/>
  <c r="P4402" i="34"/>
  <c r="Q4402" i="34"/>
  <c r="U4402" i="34"/>
  <c r="Z4402" i="34"/>
  <c r="A4402" i="34"/>
  <c r="O4406" i="34"/>
  <c r="W4406" i="34"/>
  <c r="P4406" i="34"/>
  <c r="Q4406" i="34"/>
  <c r="U4406" i="34"/>
  <c r="Z4406" i="34"/>
  <c r="A4406" i="34"/>
  <c r="Z4359" i="34"/>
  <c r="O4359" i="34"/>
  <c r="W4359" i="34"/>
  <c r="P4359" i="34"/>
  <c r="Q4359" i="34"/>
  <c r="U4359" i="34"/>
  <c r="A4359" i="34"/>
  <c r="Q4364" i="34"/>
  <c r="U4364" i="34"/>
  <c r="Z4364" i="34"/>
  <c r="O4364" i="34"/>
  <c r="W4364" i="34"/>
  <c r="P4364" i="34"/>
  <c r="A4364" i="34"/>
  <c r="Q4368" i="34"/>
  <c r="U4368" i="34"/>
  <c r="Z4368" i="34"/>
  <c r="O4368" i="34"/>
  <c r="W4368" i="34"/>
  <c r="P4368" i="34"/>
  <c r="A4368" i="34"/>
  <c r="Q4372" i="34"/>
  <c r="U4372" i="34"/>
  <c r="Z4372" i="34"/>
  <c r="O4372" i="34"/>
  <c r="W4372" i="34"/>
  <c r="P4372" i="34"/>
  <c r="A4372" i="34"/>
  <c r="Q4376" i="34"/>
  <c r="U4376" i="34"/>
  <c r="Z4376" i="34"/>
  <c r="O4376" i="34"/>
  <c r="W4376" i="34"/>
  <c r="P4376" i="34"/>
  <c r="A4376" i="34"/>
  <c r="Q4380" i="34"/>
  <c r="U4380" i="34"/>
  <c r="Z4380" i="34"/>
  <c r="O4380" i="34"/>
  <c r="W4380" i="34"/>
  <c r="P4380" i="34"/>
  <c r="A4380" i="34"/>
  <c r="Q4384" i="34"/>
  <c r="U4384" i="34"/>
  <c r="Z4384" i="34"/>
  <c r="O4384" i="34"/>
  <c r="W4384" i="34"/>
  <c r="P4384" i="34"/>
  <c r="A4384" i="34"/>
  <c r="Q4388" i="34"/>
  <c r="U4388" i="34"/>
  <c r="Z4388" i="34"/>
  <c r="O4388" i="34"/>
  <c r="W4388" i="34"/>
  <c r="P4388" i="34"/>
  <c r="A4388" i="34"/>
  <c r="Q4392" i="34"/>
  <c r="U4392" i="34"/>
  <c r="Z4392" i="34"/>
  <c r="O4392" i="34"/>
  <c r="W4392" i="34"/>
  <c r="P4392" i="34"/>
  <c r="A4392" i="34"/>
  <c r="Q4396" i="34"/>
  <c r="U4396" i="34"/>
  <c r="Z4396" i="34"/>
  <c r="O4396" i="34"/>
  <c r="W4396" i="34"/>
  <c r="P4396" i="34"/>
  <c r="A4396" i="34"/>
  <c r="Q4400" i="34"/>
  <c r="U4400" i="34"/>
  <c r="Z4400" i="34"/>
  <c r="O4400" i="34"/>
  <c r="W4400" i="34"/>
  <c r="P4400" i="34"/>
  <c r="A4400" i="34"/>
  <c r="Q4102" i="34"/>
  <c r="U4102" i="34"/>
  <c r="Z4102" i="34"/>
  <c r="O4102" i="34"/>
  <c r="W4102" i="34"/>
  <c r="P4102" i="34"/>
  <c r="A4102" i="34"/>
  <c r="Z4133" i="34"/>
  <c r="O4133" i="34"/>
  <c r="W4133" i="34"/>
  <c r="P4133" i="34"/>
  <c r="Q4133" i="34"/>
  <c r="U4133" i="34"/>
  <c r="A4133" i="34"/>
  <c r="P4115" i="34"/>
  <c r="Q4115" i="34"/>
  <c r="U4115" i="34"/>
  <c r="Z4115" i="34"/>
  <c r="O4115" i="34"/>
  <c r="W4115" i="34"/>
  <c r="A4115" i="34"/>
  <c r="Q4146" i="34"/>
  <c r="U4146" i="34"/>
  <c r="Z4146" i="34"/>
  <c r="O4146" i="34"/>
  <c r="W4146" i="34"/>
  <c r="P4146" i="34"/>
  <c r="A4146" i="34"/>
  <c r="Z4483" i="34"/>
  <c r="O4483" i="34"/>
  <c r="W4483" i="34"/>
  <c r="P4483" i="34"/>
  <c r="Q4483" i="34"/>
  <c r="U4483" i="34"/>
  <c r="A4483" i="34"/>
  <c r="P4111" i="34"/>
  <c r="Q4111" i="34"/>
  <c r="U4111" i="34"/>
  <c r="Z4111" i="34"/>
  <c r="O4111" i="34"/>
  <c r="W4111" i="34"/>
  <c r="A4111" i="34"/>
  <c r="Q4158" i="34"/>
  <c r="U4158" i="34"/>
  <c r="Z4158" i="34"/>
  <c r="P4158" i="34"/>
  <c r="W4158" i="34"/>
  <c r="O4158" i="34"/>
  <c r="A4158" i="34"/>
  <c r="Q4162" i="34"/>
  <c r="U4162" i="34"/>
  <c r="O4162" i="34"/>
  <c r="P4162" i="34"/>
  <c r="Z4162" i="34"/>
  <c r="W4162" i="34"/>
  <c r="A4162" i="34"/>
  <c r="Q4166" i="34"/>
  <c r="U4166" i="34"/>
  <c r="P4166" i="34"/>
  <c r="Z4166" i="34"/>
  <c r="W4166" i="34"/>
  <c r="O4166" i="34"/>
  <c r="A4166" i="34"/>
  <c r="Q4170" i="34"/>
  <c r="W4170" i="34"/>
  <c r="O4170" i="34"/>
  <c r="P4170" i="34"/>
  <c r="U4170" i="34"/>
  <c r="Z4170" i="34"/>
  <c r="A4170" i="34"/>
  <c r="O4174" i="34"/>
  <c r="W4174" i="34"/>
  <c r="P4174" i="34"/>
  <c r="Q4174" i="34"/>
  <c r="U4174" i="34"/>
  <c r="Z4174" i="34"/>
  <c r="A4174" i="34"/>
  <c r="O4178" i="34"/>
  <c r="W4178" i="34"/>
  <c r="P4178" i="34"/>
  <c r="Q4178" i="34"/>
  <c r="U4178" i="34"/>
  <c r="Z4178" i="34"/>
  <c r="A4178" i="34"/>
  <c r="O4182" i="34"/>
  <c r="W4182" i="34"/>
  <c r="P4182" i="34"/>
  <c r="Q4182" i="34"/>
  <c r="U4182" i="34"/>
  <c r="Z4182" i="34"/>
  <c r="A4182" i="34"/>
  <c r="O4186" i="34"/>
  <c r="W4186" i="34"/>
  <c r="P4186" i="34"/>
  <c r="Q4186" i="34"/>
  <c r="U4186" i="34"/>
  <c r="Z4186" i="34"/>
  <c r="A4186" i="34"/>
  <c r="O4270" i="34"/>
  <c r="W4270" i="34"/>
  <c r="P4270" i="34"/>
  <c r="Q4270" i="34"/>
  <c r="U4270" i="34"/>
  <c r="Z4270" i="34"/>
  <c r="A4270" i="34"/>
  <c r="Q4280" i="34"/>
  <c r="U4280" i="34"/>
  <c r="Z4280" i="34"/>
  <c r="O4280" i="34"/>
  <c r="W4280" i="34"/>
  <c r="P4280" i="34"/>
  <c r="A4280" i="34"/>
  <c r="Q4284" i="34"/>
  <c r="U4284" i="34"/>
  <c r="Z4284" i="34"/>
  <c r="O4284" i="34"/>
  <c r="W4284" i="34"/>
  <c r="P4284" i="34"/>
  <c r="A4284" i="34"/>
  <c r="Q4288" i="34"/>
  <c r="U4288" i="34"/>
  <c r="Z4288" i="34"/>
  <c r="O4288" i="34"/>
  <c r="W4288" i="34"/>
  <c r="P4288" i="34"/>
  <c r="A4288" i="34"/>
  <c r="Q4292" i="34"/>
  <c r="U4292" i="34"/>
  <c r="Z4292" i="34"/>
  <c r="O4292" i="34"/>
  <c r="W4292" i="34"/>
  <c r="P4292" i="34"/>
  <c r="A4292" i="34"/>
  <c r="Z4207" i="34"/>
  <c r="O4207" i="34"/>
  <c r="W4207" i="34"/>
  <c r="P4207" i="34"/>
  <c r="Q4207" i="34"/>
  <c r="U4207" i="34"/>
  <c r="A4207" i="34"/>
  <c r="Z4203" i="34"/>
  <c r="O4203" i="34"/>
  <c r="W4203" i="34"/>
  <c r="P4203" i="34"/>
  <c r="Q4203" i="34"/>
  <c r="U4203" i="34"/>
  <c r="A4203" i="34"/>
  <c r="O4358" i="34"/>
  <c r="W4358" i="34"/>
  <c r="P4358" i="34"/>
  <c r="Q4358" i="34"/>
  <c r="U4358" i="34"/>
  <c r="Z4358" i="34"/>
  <c r="A4358" i="34"/>
  <c r="O4354" i="34"/>
  <c r="W4354" i="34"/>
  <c r="P4354" i="34"/>
  <c r="Q4354" i="34"/>
  <c r="U4354" i="34"/>
  <c r="Z4354" i="34"/>
  <c r="A4354" i="34"/>
  <c r="O4350" i="34"/>
  <c r="W4350" i="34"/>
  <c r="P4350" i="34"/>
  <c r="Q4350" i="34"/>
  <c r="U4350" i="34"/>
  <c r="Z4350" i="34"/>
  <c r="A4350" i="34"/>
  <c r="O4346" i="34"/>
  <c r="W4346" i="34"/>
  <c r="P4346" i="34"/>
  <c r="Q4346" i="34"/>
  <c r="U4346" i="34"/>
  <c r="Z4346" i="34"/>
  <c r="A4346" i="34"/>
  <c r="P4341" i="34"/>
  <c r="Q4341" i="34"/>
  <c r="U4341" i="34"/>
  <c r="Z4341" i="34"/>
  <c r="O4341" i="34"/>
  <c r="W4341" i="34"/>
  <c r="A4341" i="34"/>
  <c r="P4337" i="34"/>
  <c r="Q4337" i="34"/>
  <c r="U4337" i="34"/>
  <c r="Z4337" i="34"/>
  <c r="O4337" i="34"/>
  <c r="W4337" i="34"/>
  <c r="A4337" i="34"/>
  <c r="P4333" i="34"/>
  <c r="Q4333" i="34"/>
  <c r="U4333" i="34"/>
  <c r="Z4333" i="34"/>
  <c r="O4333" i="34"/>
  <c r="W4333" i="34"/>
  <c r="A4333" i="34"/>
  <c r="P4301" i="34"/>
  <c r="Q4301" i="34"/>
  <c r="U4301" i="34"/>
  <c r="Z4301" i="34"/>
  <c r="O4301" i="34"/>
  <c r="W4301" i="34"/>
  <c r="A4301" i="34"/>
  <c r="P4297" i="34"/>
  <c r="Q4297" i="34"/>
  <c r="U4297" i="34"/>
  <c r="Z4297" i="34"/>
  <c r="O4297" i="34"/>
  <c r="W4297" i="34"/>
  <c r="A4297" i="34"/>
  <c r="P4201" i="34"/>
  <c r="Q4201" i="34"/>
  <c r="U4201" i="34"/>
  <c r="Z4201" i="34"/>
  <c r="O4201" i="34"/>
  <c r="W4201" i="34"/>
  <c r="A4201" i="34"/>
  <c r="P4197" i="34"/>
  <c r="Q4197" i="34"/>
  <c r="U4197" i="34"/>
  <c r="Z4197" i="34"/>
  <c r="O4197" i="34"/>
  <c r="W4197" i="34"/>
  <c r="A4197" i="34"/>
  <c r="P4193" i="34"/>
  <c r="Q4193" i="34"/>
  <c r="U4193" i="34"/>
  <c r="Z4193" i="34"/>
  <c r="O4193" i="34"/>
  <c r="W4193" i="34"/>
  <c r="A4193" i="34"/>
  <c r="O4152" i="34"/>
  <c r="W4152" i="34"/>
  <c r="P4152" i="34"/>
  <c r="Q4152" i="34"/>
  <c r="U4152" i="34"/>
  <c r="Z4152" i="34"/>
  <c r="A4152" i="34"/>
  <c r="P4143" i="34"/>
  <c r="Q4143" i="34"/>
  <c r="U4143" i="34"/>
  <c r="Z4143" i="34"/>
  <c r="O4143" i="34"/>
  <c r="W4143" i="34"/>
  <c r="A4143" i="34"/>
  <c r="P4139" i="34"/>
  <c r="Q4139" i="34"/>
  <c r="U4139" i="34"/>
  <c r="Z4139" i="34"/>
  <c r="O4139" i="34"/>
  <c r="W4139" i="34"/>
  <c r="A4139" i="34"/>
  <c r="P4135" i="34"/>
  <c r="Q4135" i="34"/>
  <c r="U4135" i="34"/>
  <c r="Z4135" i="34"/>
  <c r="O4135" i="34"/>
  <c r="W4135" i="34"/>
  <c r="A4135" i="34"/>
  <c r="O4128" i="34"/>
  <c r="W4128" i="34"/>
  <c r="P4128" i="34"/>
  <c r="Q4128" i="34"/>
  <c r="U4128" i="34"/>
  <c r="Z4128" i="34"/>
  <c r="A4128" i="34"/>
  <c r="P4123" i="34"/>
  <c r="Q4123" i="34"/>
  <c r="U4123" i="34"/>
  <c r="Z4123" i="34"/>
  <c r="O4123" i="34"/>
  <c r="W4123" i="34"/>
  <c r="A4123" i="34"/>
  <c r="P4119" i="34"/>
  <c r="Q4119" i="34"/>
  <c r="U4119" i="34"/>
  <c r="Z4119" i="34"/>
  <c r="O4119" i="34"/>
  <c r="W4119" i="34"/>
  <c r="A4119" i="34"/>
  <c r="Q4106" i="34"/>
  <c r="U4106" i="34"/>
  <c r="Z4106" i="34"/>
  <c r="O4106" i="34"/>
  <c r="W4106" i="34"/>
  <c r="P4106" i="34"/>
  <c r="A4106" i="34"/>
  <c r="P4429" i="34"/>
  <c r="Q4429" i="34"/>
  <c r="U4429" i="34"/>
  <c r="Z4429" i="34"/>
  <c r="O4429" i="34"/>
  <c r="W4429" i="34"/>
  <c r="A4429" i="34"/>
  <c r="Q4424" i="34"/>
  <c r="U4424" i="34"/>
  <c r="Z4424" i="34"/>
  <c r="O4424" i="34"/>
  <c r="W4424" i="34"/>
  <c r="P4424" i="34"/>
  <c r="A4424" i="34"/>
  <c r="Q4420" i="34"/>
  <c r="U4420" i="34"/>
  <c r="Z4420" i="34"/>
  <c r="O4420" i="34"/>
  <c r="W4420" i="34"/>
  <c r="P4420" i="34"/>
  <c r="A4420" i="34"/>
  <c r="Z4415" i="34"/>
  <c r="O4415" i="34"/>
  <c r="W4415" i="34"/>
  <c r="P4415" i="34"/>
  <c r="Q4415" i="34"/>
  <c r="U4415" i="34"/>
  <c r="A4415" i="34"/>
  <c r="Z4411" i="34"/>
  <c r="O4411" i="34"/>
  <c r="W4411" i="34"/>
  <c r="P4411" i="34"/>
  <c r="Q4411" i="34"/>
  <c r="U4411" i="34"/>
  <c r="A4411" i="34"/>
  <c r="Z4407" i="34"/>
  <c r="O4407" i="34"/>
  <c r="W4407" i="34"/>
  <c r="P4407" i="34"/>
  <c r="Q4407" i="34"/>
  <c r="U4407" i="34"/>
  <c r="A4407" i="34"/>
  <c r="P3843" i="34"/>
  <c r="Q3843" i="34"/>
  <c r="U3843" i="34"/>
  <c r="Z3843" i="34"/>
  <c r="O3843" i="34"/>
  <c r="W3843" i="34"/>
  <c r="A3843" i="34"/>
  <c r="P3987" i="34"/>
  <c r="Q3987" i="34"/>
  <c r="U3987" i="34"/>
  <c r="Z3987" i="34"/>
  <c r="O3987" i="34"/>
  <c r="W3987" i="34"/>
  <c r="A3987" i="34"/>
  <c r="P3983" i="34"/>
  <c r="Q3983" i="34"/>
  <c r="U3983" i="34"/>
  <c r="Z3983" i="34"/>
  <c r="O3983" i="34"/>
  <c r="W3983" i="34"/>
  <c r="A3983" i="34"/>
  <c r="P3979" i="34"/>
  <c r="Q3979" i="34"/>
  <c r="U3979" i="34"/>
  <c r="Z3979" i="34"/>
  <c r="O3979" i="34"/>
  <c r="W3979" i="34"/>
  <c r="A3979" i="34"/>
  <c r="R202" i="34"/>
  <c r="Z202" i="34"/>
  <c r="O202" i="34"/>
  <c r="S202" i="34"/>
  <c r="W202" i="34"/>
  <c r="P202" i="34"/>
  <c r="T202" i="34"/>
  <c r="Q202" i="34"/>
  <c r="U202" i="34"/>
  <c r="A202" i="34"/>
  <c r="Q3974" i="34"/>
  <c r="U3974" i="34"/>
  <c r="Z3974" i="34"/>
  <c r="O3974" i="34"/>
  <c r="W3974" i="34"/>
  <c r="P3974" i="34"/>
  <c r="A3974" i="34"/>
  <c r="Q3970" i="34"/>
  <c r="U3970" i="34"/>
  <c r="Z3970" i="34"/>
  <c r="O3970" i="34"/>
  <c r="W3970" i="34"/>
  <c r="P3970" i="34"/>
  <c r="A3970" i="34"/>
  <c r="Q3966" i="34"/>
  <c r="U3966" i="34"/>
  <c r="Z3966" i="34"/>
  <c r="O3966" i="34"/>
  <c r="W3966" i="34"/>
  <c r="P3966" i="34"/>
  <c r="A3966" i="34"/>
  <c r="Q3962" i="34"/>
  <c r="U3962" i="34"/>
  <c r="Z3962" i="34"/>
  <c r="O3962" i="34"/>
  <c r="W3962" i="34"/>
  <c r="P3962" i="34"/>
  <c r="A3962" i="34"/>
  <c r="Q3958" i="34"/>
  <c r="U3958" i="34"/>
  <c r="Z3958" i="34"/>
  <c r="O3958" i="34"/>
  <c r="W3958" i="34"/>
  <c r="P3958" i="34"/>
  <c r="A3958" i="34"/>
  <c r="Q3954" i="34"/>
  <c r="U3954" i="34"/>
  <c r="Z3954" i="34"/>
  <c r="O3954" i="34"/>
  <c r="W3954" i="34"/>
  <c r="P3954" i="34"/>
  <c r="A3954" i="34"/>
  <c r="P3855" i="34"/>
  <c r="Q3855" i="34"/>
  <c r="U3855" i="34"/>
  <c r="Z3855" i="34"/>
  <c r="O3855" i="34"/>
  <c r="W3855" i="34"/>
  <c r="A3855" i="34"/>
  <c r="P3851" i="34"/>
  <c r="Q3851" i="34"/>
  <c r="U3851" i="34"/>
  <c r="Z3851" i="34"/>
  <c r="O3851" i="34"/>
  <c r="W3851" i="34"/>
  <c r="A3851" i="34"/>
  <c r="P3847" i="34"/>
  <c r="Q3847" i="34"/>
  <c r="U3847" i="34"/>
  <c r="Z3847" i="34"/>
  <c r="O3847" i="34"/>
  <c r="W3847" i="34"/>
  <c r="A3847" i="34"/>
  <c r="Q3842" i="34"/>
  <c r="U3842" i="34"/>
  <c r="Z3842" i="34"/>
  <c r="O3842" i="34"/>
  <c r="W3842" i="34"/>
  <c r="P3842" i="34"/>
  <c r="A3842" i="34"/>
  <c r="O3788" i="34"/>
  <c r="W3788" i="34"/>
  <c r="P3788" i="34"/>
  <c r="Q3788" i="34"/>
  <c r="U3788" i="34"/>
  <c r="Z3788" i="34"/>
  <c r="A3788" i="34"/>
  <c r="O3784" i="34"/>
  <c r="W3784" i="34"/>
  <c r="P3784" i="34"/>
  <c r="Q3784" i="34"/>
  <c r="U3784" i="34"/>
  <c r="Z3784" i="34"/>
  <c r="A3784" i="34"/>
  <c r="O3780" i="34"/>
  <c r="W3780" i="34"/>
  <c r="P3780" i="34"/>
  <c r="Q3780" i="34"/>
  <c r="U3780" i="34"/>
  <c r="Z3780" i="34"/>
  <c r="A3780" i="34"/>
  <c r="O3776" i="34"/>
  <c r="W3776" i="34"/>
  <c r="P3776" i="34"/>
  <c r="Q3776" i="34"/>
  <c r="U3776" i="34"/>
  <c r="Z3776" i="34"/>
  <c r="A3776" i="34"/>
  <c r="P4091" i="34"/>
  <c r="Q4091" i="34"/>
  <c r="U4091" i="34"/>
  <c r="Z4091" i="34"/>
  <c r="O4091" i="34"/>
  <c r="W4091" i="34"/>
  <c r="A4091" i="34"/>
  <c r="Q4038" i="34"/>
  <c r="U4038" i="34"/>
  <c r="Z4038" i="34"/>
  <c r="O4038" i="34"/>
  <c r="W4038" i="34"/>
  <c r="P4038" i="34"/>
  <c r="A4038" i="34"/>
  <c r="Q4034" i="34"/>
  <c r="U4034" i="34"/>
  <c r="Z4034" i="34"/>
  <c r="O4034" i="34"/>
  <c r="W4034" i="34"/>
  <c r="P4034" i="34"/>
  <c r="A4034" i="34"/>
  <c r="Z1281" i="34"/>
  <c r="O1281" i="34"/>
  <c r="W1281" i="34"/>
  <c r="P1281" i="34"/>
  <c r="Q1281" i="34"/>
  <c r="U1281" i="34"/>
  <c r="A1281" i="34"/>
  <c r="Q460" i="34"/>
  <c r="U460" i="34"/>
  <c r="Z460" i="34"/>
  <c r="O460" i="34"/>
  <c r="W460" i="34"/>
  <c r="P460" i="34"/>
  <c r="A460" i="34"/>
  <c r="Q456" i="34"/>
  <c r="U456" i="34"/>
  <c r="Z456" i="34"/>
  <c r="O456" i="34"/>
  <c r="W456" i="34"/>
  <c r="P456" i="34"/>
  <c r="A456" i="34"/>
  <c r="Q452" i="34"/>
  <c r="U452" i="34"/>
  <c r="Z452" i="34"/>
  <c r="O452" i="34"/>
  <c r="W452" i="34"/>
  <c r="P452" i="34"/>
  <c r="A452" i="34"/>
  <c r="O282" i="34"/>
  <c r="S282" i="34"/>
  <c r="W282" i="34"/>
  <c r="P282" i="34"/>
  <c r="T282" i="34"/>
  <c r="Q282" i="34"/>
  <c r="U282" i="34"/>
  <c r="R282" i="34"/>
  <c r="Z282" i="34"/>
  <c r="A282" i="34"/>
  <c r="P277" i="34"/>
  <c r="T277" i="34"/>
  <c r="Q277" i="34"/>
  <c r="U277" i="34"/>
  <c r="R277" i="34"/>
  <c r="Z277" i="34"/>
  <c r="O277" i="34"/>
  <c r="S277" i="34"/>
  <c r="W277" i="34"/>
  <c r="A277" i="34"/>
  <c r="R271" i="34"/>
  <c r="Z271" i="34"/>
  <c r="O271" i="34"/>
  <c r="S271" i="34"/>
  <c r="W271" i="34"/>
  <c r="P271" i="34"/>
  <c r="T271" i="34"/>
  <c r="Q271" i="34"/>
  <c r="U271" i="34"/>
  <c r="A271" i="34"/>
  <c r="R267" i="34"/>
  <c r="Z267" i="34"/>
  <c r="O267" i="34"/>
  <c r="S267" i="34"/>
  <c r="W267" i="34"/>
  <c r="P267" i="34"/>
  <c r="T267" i="34"/>
  <c r="Q267" i="34"/>
  <c r="U267" i="34"/>
  <c r="A267" i="34"/>
  <c r="Q3950" i="34"/>
  <c r="U3950" i="34"/>
  <c r="Z3950" i="34"/>
  <c r="O3950" i="34"/>
  <c r="W3950" i="34"/>
  <c r="P3950" i="34"/>
  <c r="A3950" i="34"/>
  <c r="Q3946" i="34"/>
  <c r="U3946" i="34"/>
  <c r="Z3946" i="34"/>
  <c r="O3946" i="34"/>
  <c r="W3946" i="34"/>
  <c r="P3946" i="34"/>
  <c r="A3946" i="34"/>
  <c r="Z3941" i="34"/>
  <c r="O3941" i="34"/>
  <c r="W3941" i="34"/>
  <c r="P3941" i="34"/>
  <c r="Q3941" i="34"/>
  <c r="U3941" i="34"/>
  <c r="A3941" i="34"/>
  <c r="Z3937" i="34"/>
  <c r="O3937" i="34"/>
  <c r="W3937" i="34"/>
  <c r="P3937" i="34"/>
  <c r="Q3937" i="34"/>
  <c r="U3937" i="34"/>
  <c r="A3937" i="34"/>
  <c r="Z3933" i="34"/>
  <c r="O3933" i="34"/>
  <c r="W3933" i="34"/>
  <c r="P3933" i="34"/>
  <c r="Q3933" i="34"/>
  <c r="U3933" i="34"/>
  <c r="A3933" i="34"/>
  <c r="Z3929" i="34"/>
  <c r="O3929" i="34"/>
  <c r="W3929" i="34"/>
  <c r="P3929" i="34"/>
  <c r="Q3929" i="34"/>
  <c r="U3929" i="34"/>
  <c r="A3929" i="34"/>
  <c r="P3839" i="34"/>
  <c r="Q3839" i="34"/>
  <c r="U3839" i="34"/>
  <c r="Z3839" i="34"/>
  <c r="O3839" i="34"/>
  <c r="W3839" i="34"/>
  <c r="A3839" i="34"/>
  <c r="P3835" i="34"/>
  <c r="Q3835" i="34"/>
  <c r="U3835" i="34"/>
  <c r="Z3835" i="34"/>
  <c r="O3835" i="34"/>
  <c r="W3835" i="34"/>
  <c r="A3835" i="34"/>
  <c r="P3831" i="34"/>
  <c r="Q3831" i="34"/>
  <c r="U3831" i="34"/>
  <c r="Z3831" i="34"/>
  <c r="O3831" i="34"/>
  <c r="W3831" i="34"/>
  <c r="A3831" i="34"/>
  <c r="P3827" i="34"/>
  <c r="Q3827" i="34"/>
  <c r="U3827" i="34"/>
  <c r="Z3827" i="34"/>
  <c r="O3827" i="34"/>
  <c r="W3827" i="34"/>
  <c r="A3827" i="34"/>
  <c r="Q3822" i="34"/>
  <c r="U3822" i="34"/>
  <c r="Z3822" i="34"/>
  <c r="O3822" i="34"/>
  <c r="W3822" i="34"/>
  <c r="P3822" i="34"/>
  <c r="A3822" i="34"/>
  <c r="P3771" i="34"/>
  <c r="Q3771" i="34"/>
  <c r="U3771" i="34"/>
  <c r="Z3771" i="34"/>
  <c r="O3771" i="34"/>
  <c r="W3771" i="34"/>
  <c r="A3771" i="34"/>
  <c r="P3767" i="34"/>
  <c r="Q3767" i="34"/>
  <c r="U3767" i="34"/>
  <c r="Z3767" i="34"/>
  <c r="O3767" i="34"/>
  <c r="W3767" i="34"/>
  <c r="A3767" i="34"/>
  <c r="P3763" i="34"/>
  <c r="Q3763" i="34"/>
  <c r="U3763" i="34"/>
  <c r="Z3763" i="34"/>
  <c r="O3763" i="34"/>
  <c r="W3763" i="34"/>
  <c r="A3763" i="34"/>
  <c r="P4425" i="34"/>
  <c r="Q4425" i="34"/>
  <c r="U4425" i="34"/>
  <c r="Z4425" i="34"/>
  <c r="O4425" i="34"/>
  <c r="W4425" i="34"/>
  <c r="A4425" i="34"/>
  <c r="P4433" i="34"/>
  <c r="Q4433" i="34"/>
  <c r="U4433" i="34"/>
  <c r="Z4433" i="34"/>
  <c r="O4433" i="34"/>
  <c r="W4433" i="34"/>
  <c r="A4433" i="34"/>
  <c r="P4437" i="34"/>
  <c r="Q4437" i="34"/>
  <c r="U4437" i="34"/>
  <c r="Z4437" i="34"/>
  <c r="O4437" i="34"/>
  <c r="W4437" i="34"/>
  <c r="A4437" i="34"/>
  <c r="Z4113" i="34"/>
  <c r="O4113" i="34"/>
  <c r="W4113" i="34"/>
  <c r="P4113" i="34"/>
  <c r="Q4113" i="34"/>
  <c r="U4113" i="34"/>
  <c r="A4113" i="34"/>
  <c r="Z4239" i="34"/>
  <c r="O4239" i="34"/>
  <c r="W4239" i="34"/>
  <c r="P4239" i="34"/>
  <c r="Q4239" i="34"/>
  <c r="U4239" i="34"/>
  <c r="A4239" i="34"/>
  <c r="Z4243" i="34"/>
  <c r="O4243" i="34"/>
  <c r="W4243" i="34"/>
  <c r="P4243" i="34"/>
  <c r="Q4243" i="34"/>
  <c r="U4243" i="34"/>
  <c r="A4243" i="34"/>
  <c r="Z4247" i="34"/>
  <c r="O4247" i="34"/>
  <c r="W4247" i="34"/>
  <c r="P4247" i="34"/>
  <c r="Q4247" i="34"/>
  <c r="U4247" i="34"/>
  <c r="A4247" i="34"/>
  <c r="Z4251" i="34"/>
  <c r="O4251" i="34"/>
  <c r="W4251" i="34"/>
  <c r="P4251" i="34"/>
  <c r="Q4251" i="34"/>
  <c r="U4251" i="34"/>
  <c r="A4251" i="34"/>
  <c r="Z4255" i="34"/>
  <c r="O4255" i="34"/>
  <c r="W4255" i="34"/>
  <c r="P4255" i="34"/>
  <c r="Q4255" i="34"/>
  <c r="U4255" i="34"/>
  <c r="A4255" i="34"/>
  <c r="Z4259" i="34"/>
  <c r="O4259" i="34"/>
  <c r="W4259" i="34"/>
  <c r="P4259" i="34"/>
  <c r="Q4259" i="34"/>
  <c r="U4259" i="34"/>
  <c r="A4259" i="34"/>
  <c r="Z4263" i="34"/>
  <c r="O4263" i="34"/>
  <c r="W4263" i="34"/>
  <c r="P4263" i="34"/>
  <c r="Q4263" i="34"/>
  <c r="U4263" i="34"/>
  <c r="A4263" i="34"/>
  <c r="Z4267" i="34"/>
  <c r="O4267" i="34"/>
  <c r="W4267" i="34"/>
  <c r="P4267" i="34"/>
  <c r="Q4267" i="34"/>
  <c r="U4267" i="34"/>
  <c r="A4267" i="34"/>
  <c r="O4278" i="34"/>
  <c r="W4278" i="34"/>
  <c r="P4278" i="34"/>
  <c r="Q4278" i="34"/>
  <c r="U4278" i="34"/>
  <c r="Z4278" i="34"/>
  <c r="A4278" i="34"/>
  <c r="Q4316" i="34"/>
  <c r="U4316" i="34"/>
  <c r="Z4316" i="34"/>
  <c r="O4316" i="34"/>
  <c r="W4316" i="34"/>
  <c r="P4316" i="34"/>
  <c r="A4316" i="34"/>
  <c r="Q4320" i="34"/>
  <c r="U4320" i="34"/>
  <c r="Z4320" i="34"/>
  <c r="O4320" i="34"/>
  <c r="W4320" i="34"/>
  <c r="P4320" i="34"/>
  <c r="A4320" i="34"/>
  <c r="Q4324" i="34"/>
  <c r="U4324" i="34"/>
  <c r="Z4324" i="34"/>
  <c r="O4324" i="34"/>
  <c r="W4324" i="34"/>
  <c r="P4324" i="34"/>
  <c r="A4324" i="34"/>
  <c r="Q4212" i="34"/>
  <c r="U4212" i="34"/>
  <c r="Z4212" i="34"/>
  <c r="O4212" i="34"/>
  <c r="W4212" i="34"/>
  <c r="P4212" i="34"/>
  <c r="A4212" i="34"/>
  <c r="Q4216" i="34"/>
  <c r="U4216" i="34"/>
  <c r="Z4216" i="34"/>
  <c r="O4216" i="34"/>
  <c r="W4216" i="34"/>
  <c r="P4216" i="34"/>
  <c r="A4216" i="34"/>
  <c r="Q4220" i="34"/>
  <c r="U4220" i="34"/>
  <c r="Z4220" i="34"/>
  <c r="O4220" i="34"/>
  <c r="W4220" i="34"/>
  <c r="P4220" i="34"/>
  <c r="A4220" i="34"/>
  <c r="Q4224" i="34"/>
  <c r="U4224" i="34"/>
  <c r="Z4224" i="34"/>
  <c r="O4224" i="34"/>
  <c r="W4224" i="34"/>
  <c r="P4224" i="34"/>
  <c r="A4224" i="34"/>
  <c r="Q4228" i="34"/>
  <c r="U4228" i="34"/>
  <c r="Z4228" i="34"/>
  <c r="O4228" i="34"/>
  <c r="W4228" i="34"/>
  <c r="P4228" i="34"/>
  <c r="A4228" i="34"/>
  <c r="Q4232" i="34"/>
  <c r="U4232" i="34"/>
  <c r="Z4232" i="34"/>
  <c r="O4232" i="34"/>
  <c r="W4232" i="34"/>
  <c r="P4232" i="34"/>
  <c r="A4232" i="34"/>
  <c r="O4274" i="34"/>
  <c r="W4274" i="34"/>
  <c r="P4274" i="34"/>
  <c r="Q4274" i="34"/>
  <c r="U4274" i="34"/>
  <c r="Z4274" i="34"/>
  <c r="A4274" i="34"/>
  <c r="Z4303" i="34"/>
  <c r="O4303" i="34"/>
  <c r="W4303" i="34"/>
  <c r="P4303" i="34"/>
  <c r="Q4303" i="34"/>
  <c r="U4303" i="34"/>
  <c r="A4303" i="34"/>
  <c r="Z4307" i="34"/>
  <c r="O4307" i="34"/>
  <c r="W4307" i="34"/>
  <c r="P4307" i="34"/>
  <c r="Q4307" i="34"/>
  <c r="U4307" i="34"/>
  <c r="A4307" i="34"/>
  <c r="Z4311" i="34"/>
  <c r="O4311" i="34"/>
  <c r="W4311" i="34"/>
  <c r="P4311" i="34"/>
  <c r="Q4311" i="34"/>
  <c r="U4311" i="34"/>
  <c r="A4311" i="34"/>
  <c r="Z4403" i="34"/>
  <c r="O4403" i="34"/>
  <c r="W4403" i="34"/>
  <c r="P4403" i="34"/>
  <c r="Q4403" i="34"/>
  <c r="U4403" i="34"/>
  <c r="A4403" i="34"/>
  <c r="P4417" i="34"/>
  <c r="Q4417" i="34"/>
  <c r="U4417" i="34"/>
  <c r="Z4417" i="34"/>
  <c r="O4417" i="34"/>
  <c r="W4417" i="34"/>
  <c r="A4417" i="34"/>
  <c r="Q4360" i="34"/>
  <c r="U4360" i="34"/>
  <c r="Z4360" i="34"/>
  <c r="O4360" i="34"/>
  <c r="W4360" i="34"/>
  <c r="P4360" i="34"/>
  <c r="A4360" i="34"/>
  <c r="P4365" i="34"/>
  <c r="Q4365" i="34"/>
  <c r="U4365" i="34"/>
  <c r="Z4365" i="34"/>
  <c r="O4365" i="34"/>
  <c r="W4365" i="34"/>
  <c r="A4365" i="34"/>
  <c r="P4369" i="34"/>
  <c r="Q4369" i="34"/>
  <c r="U4369" i="34"/>
  <c r="Z4369" i="34"/>
  <c r="O4369" i="34"/>
  <c r="W4369" i="34"/>
  <c r="A4369" i="34"/>
  <c r="P4373" i="34"/>
  <c r="Q4373" i="34"/>
  <c r="U4373" i="34"/>
  <c r="Z4373" i="34"/>
  <c r="O4373" i="34"/>
  <c r="W4373" i="34"/>
  <c r="A4373" i="34"/>
  <c r="P4377" i="34"/>
  <c r="Q4377" i="34"/>
  <c r="U4377" i="34"/>
  <c r="Z4377" i="34"/>
  <c r="O4377" i="34"/>
  <c r="W4377" i="34"/>
  <c r="A4377" i="34"/>
  <c r="P4381" i="34"/>
  <c r="Q4381" i="34"/>
  <c r="U4381" i="34"/>
  <c r="Z4381" i="34"/>
  <c r="O4381" i="34"/>
  <c r="W4381" i="34"/>
  <c r="A4381" i="34"/>
  <c r="P4385" i="34"/>
  <c r="Q4385" i="34"/>
  <c r="U4385" i="34"/>
  <c r="Z4385" i="34"/>
  <c r="O4385" i="34"/>
  <c r="W4385" i="34"/>
  <c r="A4385" i="34"/>
  <c r="P4389" i="34"/>
  <c r="Q4389" i="34"/>
  <c r="U4389" i="34"/>
  <c r="Z4389" i="34"/>
  <c r="O4389" i="34"/>
  <c r="W4389" i="34"/>
  <c r="A4389" i="34"/>
  <c r="P4393" i="34"/>
  <c r="Q4393" i="34"/>
  <c r="U4393" i="34"/>
  <c r="Z4393" i="34"/>
  <c r="O4393" i="34"/>
  <c r="W4393" i="34"/>
  <c r="A4393" i="34"/>
  <c r="P4397" i="34"/>
  <c r="Q4397" i="34"/>
  <c r="U4397" i="34"/>
  <c r="Z4397" i="34"/>
  <c r="O4397" i="34"/>
  <c r="W4397" i="34"/>
  <c r="A4397" i="34"/>
  <c r="P4401" i="34"/>
  <c r="Q4401" i="34"/>
  <c r="U4401" i="34"/>
  <c r="Z4401" i="34"/>
  <c r="O4401" i="34"/>
  <c r="W4401" i="34"/>
  <c r="A4401" i="34"/>
  <c r="O4124" i="34"/>
  <c r="W4124" i="34"/>
  <c r="P4124" i="34"/>
  <c r="Q4124" i="34"/>
  <c r="U4124" i="34"/>
  <c r="Z4124" i="34"/>
  <c r="A4124" i="34"/>
  <c r="O4108" i="34"/>
  <c r="W4108" i="34"/>
  <c r="P4108" i="34"/>
  <c r="Q4108" i="34"/>
  <c r="U4108" i="34"/>
  <c r="Z4108" i="34"/>
  <c r="A4108" i="34"/>
  <c r="O4116" i="34"/>
  <c r="W4116" i="34"/>
  <c r="P4116" i="34"/>
  <c r="Q4116" i="34"/>
  <c r="U4116" i="34"/>
  <c r="Z4116" i="34"/>
  <c r="A4116" i="34"/>
  <c r="O4326" i="34"/>
  <c r="W4326" i="34"/>
  <c r="P4326" i="34"/>
  <c r="Q4326" i="34"/>
  <c r="U4326" i="34"/>
  <c r="Z4326" i="34"/>
  <c r="A4326" i="34"/>
  <c r="P4147" i="34"/>
  <c r="Q4147" i="34"/>
  <c r="U4147" i="34"/>
  <c r="Z4147" i="34"/>
  <c r="O4147" i="34"/>
  <c r="W4147" i="34"/>
  <c r="A4147" i="34"/>
  <c r="P4155" i="34"/>
  <c r="Q4155" i="34"/>
  <c r="U4155" i="34"/>
  <c r="O4155" i="34"/>
  <c r="Z4155" i="34"/>
  <c r="W4155" i="34"/>
  <c r="A4155" i="34"/>
  <c r="P4159" i="34"/>
  <c r="Q4159" i="34"/>
  <c r="U4159" i="34"/>
  <c r="O4159" i="34"/>
  <c r="Z4159" i="34"/>
  <c r="W4159" i="34"/>
  <c r="A4159" i="34"/>
  <c r="P4163" i="34"/>
  <c r="O4163" i="34"/>
  <c r="Q4163" i="34"/>
  <c r="U4163" i="34"/>
  <c r="Z4163" i="34"/>
  <c r="W4163" i="34"/>
  <c r="A4163" i="34"/>
  <c r="P4167" i="34"/>
  <c r="Z4167" i="34"/>
  <c r="W4167" i="34"/>
  <c r="O4167" i="34"/>
  <c r="Q4167" i="34"/>
  <c r="U4167" i="34"/>
  <c r="A4167" i="34"/>
  <c r="Z4171" i="34"/>
  <c r="O4171" i="34"/>
  <c r="W4171" i="34"/>
  <c r="P4171" i="34"/>
  <c r="Q4171" i="34"/>
  <c r="U4171" i="34"/>
  <c r="A4171" i="34"/>
  <c r="Z4175" i="34"/>
  <c r="O4175" i="34"/>
  <c r="W4175" i="34"/>
  <c r="P4175" i="34"/>
  <c r="Q4175" i="34"/>
  <c r="U4175" i="34"/>
  <c r="A4175" i="34"/>
  <c r="Z4179" i="34"/>
  <c r="O4179" i="34"/>
  <c r="W4179" i="34"/>
  <c r="P4179" i="34"/>
  <c r="Q4179" i="34"/>
  <c r="U4179" i="34"/>
  <c r="A4179" i="34"/>
  <c r="Z4183" i="34"/>
  <c r="O4183" i="34"/>
  <c r="W4183" i="34"/>
  <c r="P4183" i="34"/>
  <c r="Q4183" i="34"/>
  <c r="U4183" i="34"/>
  <c r="A4183" i="34"/>
  <c r="Z4187" i="34"/>
  <c r="O4187" i="34"/>
  <c r="W4187" i="34"/>
  <c r="P4187" i="34"/>
  <c r="Q4187" i="34"/>
  <c r="U4187" i="34"/>
  <c r="A4187" i="34"/>
  <c r="Z4271" i="34"/>
  <c r="O4271" i="34"/>
  <c r="W4271" i="34"/>
  <c r="P4271" i="34"/>
  <c r="Q4271" i="34"/>
  <c r="U4271" i="34"/>
  <c r="A4271" i="34"/>
  <c r="P4281" i="34"/>
  <c r="Q4281" i="34"/>
  <c r="U4281" i="34"/>
  <c r="Z4281" i="34"/>
  <c r="O4281" i="34"/>
  <c r="W4281" i="34"/>
  <c r="A4281" i="34"/>
  <c r="P4285" i="34"/>
  <c r="Q4285" i="34"/>
  <c r="U4285" i="34"/>
  <c r="Z4285" i="34"/>
  <c r="O4285" i="34"/>
  <c r="W4285" i="34"/>
  <c r="A4285" i="34"/>
  <c r="P4289" i="34"/>
  <c r="Q4289" i="34"/>
  <c r="U4289" i="34"/>
  <c r="Z4289" i="34"/>
  <c r="O4289" i="34"/>
  <c r="W4289" i="34"/>
  <c r="A4289" i="34"/>
  <c r="O4210" i="34"/>
  <c r="W4210" i="34"/>
  <c r="P4210" i="34"/>
  <c r="Q4210" i="34"/>
  <c r="U4210" i="34"/>
  <c r="Z4210" i="34"/>
  <c r="A4210" i="34"/>
  <c r="O4206" i="34"/>
  <c r="W4206" i="34"/>
  <c r="P4206" i="34"/>
  <c r="Q4206" i="34"/>
  <c r="U4206" i="34"/>
  <c r="Z4206" i="34"/>
  <c r="A4206" i="34"/>
  <c r="O4202" i="34"/>
  <c r="W4202" i="34"/>
  <c r="P4202" i="34"/>
  <c r="Q4202" i="34"/>
  <c r="U4202" i="34"/>
  <c r="Z4202" i="34"/>
  <c r="A4202" i="34"/>
  <c r="P4357" i="34"/>
  <c r="Q4357" i="34"/>
  <c r="U4357" i="34"/>
  <c r="Z4357" i="34"/>
  <c r="O4357" i="34"/>
  <c r="W4357" i="34"/>
  <c r="A4357" i="34"/>
  <c r="P4353" i="34"/>
  <c r="Q4353" i="34"/>
  <c r="U4353" i="34"/>
  <c r="Z4353" i="34"/>
  <c r="O4353" i="34"/>
  <c r="W4353" i="34"/>
  <c r="A4353" i="34"/>
  <c r="P4349" i="34"/>
  <c r="Q4349" i="34"/>
  <c r="U4349" i="34"/>
  <c r="Z4349" i="34"/>
  <c r="O4349" i="34"/>
  <c r="W4349" i="34"/>
  <c r="A4349" i="34"/>
  <c r="Q4344" i="34"/>
  <c r="U4344" i="34"/>
  <c r="Z4344" i="34"/>
  <c r="O4344" i="34"/>
  <c r="W4344" i="34"/>
  <c r="P4344" i="34"/>
  <c r="A4344" i="34"/>
  <c r="Q4340" i="34"/>
  <c r="U4340" i="34"/>
  <c r="Z4340" i="34"/>
  <c r="O4340" i="34"/>
  <c r="W4340" i="34"/>
  <c r="P4340" i="34"/>
  <c r="A4340" i="34"/>
  <c r="Q4336" i="34"/>
  <c r="U4336" i="34"/>
  <c r="Z4336" i="34"/>
  <c r="O4336" i="34"/>
  <c r="W4336" i="34"/>
  <c r="P4336" i="34"/>
  <c r="A4336" i="34"/>
  <c r="Q4332" i="34"/>
  <c r="U4332" i="34"/>
  <c r="Z4332" i="34"/>
  <c r="O4332" i="34"/>
  <c r="W4332" i="34"/>
  <c r="P4332" i="34"/>
  <c r="A4332" i="34"/>
  <c r="Q4300" i="34"/>
  <c r="U4300" i="34"/>
  <c r="Z4300" i="34"/>
  <c r="O4300" i="34"/>
  <c r="W4300" i="34"/>
  <c r="P4300" i="34"/>
  <c r="A4300" i="34"/>
  <c r="Q4296" i="34"/>
  <c r="U4296" i="34"/>
  <c r="Z4296" i="34"/>
  <c r="O4296" i="34"/>
  <c r="W4296" i="34"/>
  <c r="P4296" i="34"/>
  <c r="A4296" i="34"/>
  <c r="Q4200" i="34"/>
  <c r="U4200" i="34"/>
  <c r="Z4200" i="34"/>
  <c r="O4200" i="34"/>
  <c r="W4200" i="34"/>
  <c r="P4200" i="34"/>
  <c r="A4200" i="34"/>
  <c r="Q4196" i="34"/>
  <c r="U4196" i="34"/>
  <c r="Z4196" i="34"/>
  <c r="O4196" i="34"/>
  <c r="W4196" i="34"/>
  <c r="P4196" i="34"/>
  <c r="A4196" i="34"/>
  <c r="Q4192" i="34"/>
  <c r="U4192" i="34"/>
  <c r="Z4192" i="34"/>
  <c r="O4192" i="34"/>
  <c r="W4192" i="34"/>
  <c r="P4192" i="34"/>
  <c r="A4192" i="34"/>
  <c r="P4151" i="34"/>
  <c r="Q4151" i="34"/>
  <c r="U4151" i="34"/>
  <c r="O4151" i="34"/>
  <c r="Z4151" i="34"/>
  <c r="W4151" i="34"/>
  <c r="A4151" i="34"/>
  <c r="Q4142" i="34"/>
  <c r="U4142" i="34"/>
  <c r="Z4142" i="34"/>
  <c r="O4142" i="34"/>
  <c r="W4142" i="34"/>
  <c r="P4142" i="34"/>
  <c r="A4142" i="34"/>
  <c r="Q4138" i="34"/>
  <c r="U4138" i="34"/>
  <c r="Z4138" i="34"/>
  <c r="O4138" i="34"/>
  <c r="W4138" i="34"/>
  <c r="P4138" i="34"/>
  <c r="A4138" i="34"/>
  <c r="Q4134" i="34"/>
  <c r="U4134" i="34"/>
  <c r="Z4134" i="34"/>
  <c r="O4134" i="34"/>
  <c r="W4134" i="34"/>
  <c r="P4134" i="34"/>
  <c r="A4134" i="34"/>
  <c r="P4127" i="34"/>
  <c r="Q4127" i="34"/>
  <c r="U4127" i="34"/>
  <c r="Z4127" i="34"/>
  <c r="O4127" i="34"/>
  <c r="W4127" i="34"/>
  <c r="A4127" i="34"/>
  <c r="Q4122" i="34"/>
  <c r="U4122" i="34"/>
  <c r="Z4122" i="34"/>
  <c r="O4122" i="34"/>
  <c r="W4122" i="34"/>
  <c r="P4122" i="34"/>
  <c r="A4122" i="34"/>
  <c r="Q4118" i="34"/>
  <c r="U4118" i="34"/>
  <c r="Z4118" i="34"/>
  <c r="O4118" i="34"/>
  <c r="W4118" i="34"/>
  <c r="P4118" i="34"/>
  <c r="A4118" i="34"/>
  <c r="Z4105" i="34"/>
  <c r="O4105" i="34"/>
  <c r="W4105" i="34"/>
  <c r="P4105" i="34"/>
  <c r="Q4105" i="34"/>
  <c r="U4105" i="34"/>
  <c r="A4105" i="34"/>
  <c r="Q4428" i="34"/>
  <c r="U4428" i="34"/>
  <c r="Z4428" i="34"/>
  <c r="O4428" i="34"/>
  <c r="W4428" i="34"/>
  <c r="P4428" i="34"/>
  <c r="A4428" i="34"/>
  <c r="Z4423" i="34"/>
  <c r="O4423" i="34"/>
  <c r="W4423" i="34"/>
  <c r="P4423" i="34"/>
  <c r="Q4423" i="34"/>
  <c r="U4423" i="34"/>
  <c r="A4423" i="34"/>
  <c r="Z4419" i="34"/>
  <c r="O4419" i="34"/>
  <c r="W4419" i="34"/>
  <c r="P4419" i="34"/>
  <c r="Q4419" i="34"/>
  <c r="U4419" i="34"/>
  <c r="A4419" i="34"/>
  <c r="O4414" i="34"/>
  <c r="W4414" i="34"/>
  <c r="P4414" i="34"/>
  <c r="Q4414" i="34"/>
  <c r="U4414" i="34"/>
  <c r="Z4414" i="34"/>
  <c r="A4414" i="34"/>
  <c r="O4410" i="34"/>
  <c r="W4410" i="34"/>
  <c r="P4410" i="34"/>
  <c r="Q4410" i="34"/>
  <c r="U4410" i="34"/>
  <c r="Z4410" i="34"/>
  <c r="A4410" i="34"/>
  <c r="Q224" i="60"/>
  <c r="C224" i="60" s="1"/>
  <c r="Q223" i="60"/>
  <c r="C223" i="60" s="1"/>
  <c r="Q222" i="60"/>
  <c r="C222" i="60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B2894" i="34" l="1"/>
  <c r="B2893" i="34"/>
  <c r="B2892" i="34"/>
  <c r="B2871" i="34"/>
  <c r="B2896" i="34"/>
  <c r="B2895" i="34"/>
  <c r="B2897" i="34"/>
  <c r="B2866" i="34"/>
  <c r="B2865" i="34"/>
  <c r="B2864" i="34"/>
  <c r="B2863" i="34"/>
  <c r="B2868" i="34"/>
  <c r="B2867" i="34"/>
  <c r="B2869" i="34"/>
  <c r="B2829" i="34"/>
  <c r="B2828" i="34"/>
  <c r="B2827" i="34"/>
  <c r="B2861" i="34"/>
  <c r="B2830" i="34"/>
  <c r="B4479" i="34"/>
  <c r="B4068" i="34"/>
  <c r="B2929" i="34"/>
  <c r="Z4479" i="34" l="1"/>
  <c r="O4479" i="34"/>
  <c r="W4479" i="34"/>
  <c r="P4479" i="34"/>
  <c r="Q4479" i="34"/>
  <c r="U4479" i="34"/>
  <c r="A4479" i="34"/>
  <c r="Q2828" i="34"/>
  <c r="U2828" i="34"/>
  <c r="Z2828" i="34"/>
  <c r="O2828" i="34"/>
  <c r="W2828" i="34"/>
  <c r="P2828" i="34"/>
  <c r="A2828" i="34"/>
  <c r="Q2868" i="34"/>
  <c r="U2868" i="34"/>
  <c r="Z2868" i="34"/>
  <c r="O2868" i="34"/>
  <c r="W2868" i="34"/>
  <c r="P2868" i="34"/>
  <c r="A2868" i="34"/>
  <c r="O2866" i="34"/>
  <c r="W2866" i="34"/>
  <c r="P2866" i="34"/>
  <c r="Q2866" i="34"/>
  <c r="U2866" i="34"/>
  <c r="Z2866" i="34"/>
  <c r="A2866" i="34"/>
  <c r="Z2871" i="34"/>
  <c r="O2871" i="34"/>
  <c r="W2871" i="34"/>
  <c r="P2871" i="34"/>
  <c r="Q2871" i="34"/>
  <c r="U2871" i="34"/>
  <c r="A2871" i="34"/>
  <c r="O2830" i="34"/>
  <c r="W2830" i="34"/>
  <c r="P2830" i="34"/>
  <c r="Q2830" i="34"/>
  <c r="U2830" i="34"/>
  <c r="Z2830" i="34"/>
  <c r="A2830" i="34"/>
  <c r="P2829" i="34"/>
  <c r="Q2829" i="34"/>
  <c r="U2829" i="34"/>
  <c r="Z2829" i="34"/>
  <c r="O2829" i="34"/>
  <c r="W2829" i="34"/>
  <c r="A2829" i="34"/>
  <c r="Z2863" i="34"/>
  <c r="O2863" i="34"/>
  <c r="W2863" i="34"/>
  <c r="P2863" i="34"/>
  <c r="Q2863" i="34"/>
  <c r="U2863" i="34"/>
  <c r="A2863" i="34"/>
  <c r="P2897" i="34"/>
  <c r="Q2897" i="34"/>
  <c r="U2897" i="34"/>
  <c r="Z2897" i="34"/>
  <c r="O2897" i="34"/>
  <c r="W2897" i="34"/>
  <c r="A2897" i="34"/>
  <c r="Q2892" i="34"/>
  <c r="U2892" i="34"/>
  <c r="Z2892" i="34"/>
  <c r="O2892" i="34"/>
  <c r="W2892" i="34"/>
  <c r="P2892" i="34"/>
  <c r="A2892" i="34"/>
  <c r="P2929" i="34"/>
  <c r="Q2929" i="34"/>
  <c r="U2929" i="34"/>
  <c r="Z2929" i="34"/>
  <c r="O2929" i="34"/>
  <c r="W2929" i="34"/>
  <c r="A2929" i="34"/>
  <c r="P2861" i="34"/>
  <c r="Q2861" i="34"/>
  <c r="U2861" i="34"/>
  <c r="Z2861" i="34"/>
  <c r="O2861" i="34"/>
  <c r="W2861" i="34"/>
  <c r="A2861" i="34"/>
  <c r="P2869" i="34"/>
  <c r="Q2869" i="34"/>
  <c r="U2869" i="34"/>
  <c r="Z2869" i="34"/>
  <c r="O2869" i="34"/>
  <c r="W2869" i="34"/>
  <c r="A2869" i="34"/>
  <c r="Q2864" i="34"/>
  <c r="U2864" i="34"/>
  <c r="Z2864" i="34"/>
  <c r="O2864" i="34"/>
  <c r="W2864" i="34"/>
  <c r="P2864" i="34"/>
  <c r="A2864" i="34"/>
  <c r="Z2895" i="34"/>
  <c r="O2895" i="34"/>
  <c r="W2895" i="34"/>
  <c r="P2895" i="34"/>
  <c r="Q2895" i="34"/>
  <c r="U2895" i="34"/>
  <c r="A2895" i="34"/>
  <c r="P2893" i="34"/>
  <c r="Q2893" i="34"/>
  <c r="U2893" i="34"/>
  <c r="Z2893" i="34"/>
  <c r="O2893" i="34"/>
  <c r="W2893" i="34"/>
  <c r="A2893" i="34"/>
  <c r="O4068" i="34"/>
  <c r="W4068" i="34"/>
  <c r="P4068" i="34"/>
  <c r="Q4068" i="34"/>
  <c r="U4068" i="34"/>
  <c r="Z4068" i="34"/>
  <c r="A4068" i="34"/>
  <c r="Z2827" i="34"/>
  <c r="O2827" i="34"/>
  <c r="W2827" i="34"/>
  <c r="P2827" i="34"/>
  <c r="Q2827" i="34"/>
  <c r="U2827" i="34"/>
  <c r="A2827" i="34"/>
  <c r="Z2867" i="34"/>
  <c r="O2867" i="34"/>
  <c r="W2867" i="34"/>
  <c r="P2867" i="34"/>
  <c r="Q2867" i="34"/>
  <c r="U2867" i="34"/>
  <c r="A2867" i="34"/>
  <c r="P2865" i="34"/>
  <c r="Q2865" i="34"/>
  <c r="U2865" i="34"/>
  <c r="Z2865" i="34"/>
  <c r="O2865" i="34"/>
  <c r="W2865" i="34"/>
  <c r="A2865" i="34"/>
  <c r="Q2896" i="34"/>
  <c r="U2896" i="34"/>
  <c r="Z2896" i="34"/>
  <c r="O2896" i="34"/>
  <c r="W2896" i="34"/>
  <c r="P2896" i="34"/>
  <c r="A2896" i="34"/>
  <c r="O2894" i="34"/>
  <c r="W2894" i="34"/>
  <c r="P2894" i="34"/>
  <c r="Q2894" i="34"/>
  <c r="U2894" i="34"/>
  <c r="Z2894" i="34"/>
  <c r="A2894" i="34"/>
  <c r="B575" i="34"/>
  <c r="B569" i="34"/>
  <c r="B568" i="34"/>
  <c r="B567" i="34"/>
  <c r="B566" i="34"/>
  <c r="B565" i="34"/>
  <c r="B544" i="34"/>
  <c r="B543" i="34"/>
  <c r="B542" i="34"/>
  <c r="B541" i="34"/>
  <c r="B540" i="34"/>
  <c r="B479" i="34"/>
  <c r="B478" i="34"/>
  <c r="B477" i="34"/>
  <c r="B681" i="34"/>
  <c r="B680" i="34"/>
  <c r="B679" i="34"/>
  <c r="B678" i="34"/>
  <c r="B677" i="34"/>
  <c r="B661" i="34"/>
  <c r="B643" i="34"/>
  <c r="B642" i="34"/>
  <c r="B641" i="34"/>
  <c r="B640" i="34"/>
  <c r="B639" i="34"/>
  <c r="B638" i="34"/>
  <c r="B637" i="34"/>
  <c r="B609" i="34"/>
  <c r="B608" i="34"/>
  <c r="B607" i="34"/>
  <c r="B606" i="34"/>
  <c r="B605" i="34"/>
  <c r="B604" i="34"/>
  <c r="B574" i="34"/>
  <c r="B573" i="34"/>
  <c r="B572" i="34"/>
  <c r="B516" i="34"/>
  <c r="B486" i="34"/>
  <c r="B485" i="34"/>
  <c r="B484" i="34"/>
  <c r="B483" i="34"/>
  <c r="B495" i="34"/>
  <c r="B494" i="34"/>
  <c r="B392" i="34"/>
  <c r="B391" i="34"/>
  <c r="B103" i="34"/>
  <c r="B63" i="34"/>
  <c r="B62" i="34"/>
  <c r="B61" i="34"/>
  <c r="B59" i="34"/>
  <c r="B57" i="34"/>
  <c r="B56" i="34"/>
  <c r="B55" i="34"/>
  <c r="B36" i="34"/>
  <c r="B34" i="34"/>
  <c r="B33" i="34"/>
  <c r="B31" i="34"/>
  <c r="B30" i="34"/>
  <c r="B29" i="34"/>
  <c r="B28" i="34"/>
  <c r="B27" i="34"/>
  <c r="B26" i="34"/>
  <c r="B25" i="34"/>
  <c r="B24" i="34"/>
  <c r="B23" i="34"/>
  <c r="B2702" i="34"/>
  <c r="B2701" i="34"/>
  <c r="B2700" i="34"/>
  <c r="B2699" i="34"/>
  <c r="B2698" i="34"/>
  <c r="B2697" i="34"/>
  <c r="B2696" i="34"/>
  <c r="B2695" i="34"/>
  <c r="B3744" i="34"/>
  <c r="B3743" i="34"/>
  <c r="B3742" i="34"/>
  <c r="B3741" i="34"/>
  <c r="B3740" i="34"/>
  <c r="B3739" i="34"/>
  <c r="B3738" i="34"/>
  <c r="B3737" i="34"/>
  <c r="B3712" i="34"/>
  <c r="B3711" i="34"/>
  <c r="B2843" i="34"/>
  <c r="B2842" i="34"/>
  <c r="B2841" i="34"/>
  <c r="B2840" i="34"/>
  <c r="B2839" i="34"/>
  <c r="B2838" i="34"/>
  <c r="B2837" i="34"/>
  <c r="B2836" i="34"/>
  <c r="B2835" i="34"/>
  <c r="B2834" i="34"/>
  <c r="B283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48" i="34"/>
  <c r="B596" i="34"/>
  <c r="B2832" i="34"/>
  <c r="B2831" i="34"/>
  <c r="B2757" i="34"/>
  <c r="B2756" i="34"/>
  <c r="B2755" i="34"/>
  <c r="B2754" i="34"/>
  <c r="B2753" i="34"/>
  <c r="B2752" i="34"/>
  <c r="B2751" i="34"/>
  <c r="B2750" i="34"/>
  <c r="B2780" i="34"/>
  <c r="B2779" i="34"/>
  <c r="B2778" i="34"/>
  <c r="B2777" i="34"/>
  <c r="B2776" i="34"/>
  <c r="B2775" i="34"/>
  <c r="B2774" i="34"/>
  <c r="B2773" i="34"/>
  <c r="B2772" i="34"/>
  <c r="B2771" i="34"/>
  <c r="B2747" i="34"/>
  <c r="B2746" i="34"/>
  <c r="B2745" i="34"/>
  <c r="B2744" i="34"/>
  <c r="B2743" i="34"/>
  <c r="B2742" i="34"/>
  <c r="B2741" i="34"/>
  <c r="B2740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39" i="34"/>
  <c r="B2738" i="34"/>
  <c r="B595" i="34"/>
  <c r="B594" i="34"/>
  <c r="B2721" i="34"/>
  <c r="B2720" i="34"/>
  <c r="B2719" i="34"/>
  <c r="B590" i="34"/>
  <c r="B589" i="34"/>
  <c r="B2919" i="34"/>
  <c r="B2918" i="34"/>
  <c r="B2917" i="34"/>
  <c r="B2900" i="34"/>
  <c r="B2899" i="34"/>
  <c r="B2898" i="34"/>
  <c r="B2870" i="34"/>
  <c r="B2862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770" i="34"/>
  <c r="B2769" i="34"/>
  <c r="B2768" i="34"/>
  <c r="B2767" i="34"/>
  <c r="B2766" i="34"/>
  <c r="B2765" i="34"/>
  <c r="B2764" i="34"/>
  <c r="B2763" i="34"/>
  <c r="B2762" i="34"/>
  <c r="B2761" i="34"/>
  <c r="B2760" i="34"/>
  <c r="B2759" i="34"/>
  <c r="B2758" i="34"/>
  <c r="B2933" i="34"/>
  <c r="B2932" i="34"/>
  <c r="B2931" i="34"/>
  <c r="B2927" i="34"/>
  <c r="B2926" i="34"/>
  <c r="B2925" i="34"/>
  <c r="B2924" i="34"/>
  <c r="B2815" i="34"/>
  <c r="B2814" i="34"/>
  <c r="B2813" i="34"/>
  <c r="B2812" i="34"/>
  <c r="B2811" i="34"/>
  <c r="B2809" i="34"/>
  <c r="B2807" i="34"/>
  <c r="B2806" i="34"/>
  <c r="B2805" i="34"/>
  <c r="B2737" i="34"/>
  <c r="B602" i="34"/>
  <c r="B601" i="34"/>
  <c r="B600" i="34"/>
  <c r="B599" i="34"/>
  <c r="B598" i="34"/>
  <c r="B593" i="34"/>
  <c r="B592" i="34"/>
  <c r="B591" i="34"/>
  <c r="B4480" i="34"/>
  <c r="B4478" i="34"/>
  <c r="B4069" i="34"/>
  <c r="B4067" i="34"/>
  <c r="B2930" i="34"/>
  <c r="B2928" i="34"/>
  <c r="B586" i="34"/>
  <c r="B585" i="34"/>
  <c r="B3813" i="34"/>
  <c r="B3812" i="34"/>
  <c r="B3811" i="34"/>
  <c r="B3810" i="34"/>
  <c r="B3809" i="34"/>
  <c r="B3808" i="34"/>
  <c r="B3807" i="34"/>
  <c r="B3806" i="34"/>
  <c r="B3805" i="34"/>
  <c r="B3804" i="34"/>
  <c r="B3801" i="34"/>
  <c r="B3800" i="34"/>
  <c r="B4081" i="34"/>
  <c r="B4080" i="34"/>
  <c r="B4079" i="34"/>
  <c r="B4078" i="34"/>
  <c r="B4077" i="34"/>
  <c r="B4076" i="34"/>
  <c r="B4075" i="34"/>
  <c r="B4074" i="34"/>
  <c r="B4073" i="34"/>
  <c r="B4072" i="34"/>
  <c r="B4071" i="34"/>
  <c r="B4070" i="34"/>
  <c r="B4066" i="34"/>
  <c r="B4065" i="34"/>
  <c r="B4064" i="34"/>
  <c r="B4063" i="34"/>
  <c r="B4062" i="34"/>
  <c r="B4061" i="34"/>
  <c r="B4055" i="34"/>
  <c r="B4054" i="34"/>
  <c r="B4053" i="34"/>
  <c r="B4052" i="34"/>
  <c r="B4051" i="34"/>
  <c r="B4050" i="34"/>
  <c r="B4049" i="34"/>
  <c r="B4048" i="34"/>
  <c r="B4047" i="34"/>
  <c r="B4024" i="34"/>
  <c r="B4023" i="34"/>
  <c r="B4022" i="34"/>
  <c r="B4021" i="34"/>
  <c r="B4019" i="34"/>
  <c r="B4017" i="34"/>
  <c r="B4016" i="34"/>
  <c r="B4015" i="34"/>
  <c r="B3889" i="34"/>
  <c r="B3861" i="34"/>
  <c r="B3860" i="34"/>
  <c r="B3859" i="34"/>
  <c r="B2950" i="34"/>
  <c r="B2949" i="34"/>
  <c r="B2935" i="34"/>
  <c r="B2923" i="34"/>
  <c r="B2922" i="34"/>
  <c r="B2916" i="34"/>
  <c r="B2915" i="34"/>
  <c r="B2914" i="34"/>
  <c r="B2913" i="34"/>
  <c r="B2912" i="34"/>
  <c r="B2911" i="34"/>
  <c r="B2910" i="34"/>
  <c r="B2909" i="34"/>
  <c r="B2891" i="34"/>
  <c r="B2890" i="34"/>
  <c r="B2889" i="34"/>
  <c r="B2888" i="34"/>
  <c r="B2887" i="34"/>
  <c r="B2886" i="34"/>
  <c r="B2885" i="34"/>
  <c r="B2884" i="34"/>
  <c r="B2883" i="34"/>
  <c r="B2882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49" i="34"/>
  <c r="B597" i="34"/>
  <c r="B2921" i="34"/>
  <c r="B2920" i="34"/>
  <c r="B2908" i="34"/>
  <c r="B2907" i="34"/>
  <c r="B2906" i="34"/>
  <c r="B2905" i="34"/>
  <c r="B2904" i="34"/>
  <c r="B2903" i="34"/>
  <c r="B2902" i="34"/>
  <c r="B2901" i="34"/>
  <c r="B2881" i="34"/>
  <c r="B2880" i="34"/>
  <c r="B2879" i="34"/>
  <c r="B2878" i="34"/>
  <c r="B2877" i="34"/>
  <c r="B2876" i="34"/>
  <c r="B2875" i="34"/>
  <c r="B2874" i="34"/>
  <c r="B2873" i="34"/>
  <c r="B2872" i="34"/>
  <c r="B2846" i="34"/>
  <c r="B2845" i="34"/>
  <c r="B2844" i="34"/>
  <c r="B3888" i="34"/>
  <c r="B3887" i="34"/>
  <c r="B3886" i="34"/>
  <c r="B3885" i="34"/>
  <c r="B3884" i="34"/>
  <c r="B3883" i="34"/>
  <c r="B3882" i="34"/>
  <c r="B3881" i="34"/>
  <c r="B3880" i="34"/>
  <c r="B3879" i="34"/>
  <c r="B3878" i="34"/>
  <c r="B3877" i="34"/>
  <c r="B3876" i="34"/>
  <c r="B3875" i="34"/>
  <c r="B3874" i="34"/>
  <c r="B3873" i="34"/>
  <c r="B3872" i="34"/>
  <c r="B3871" i="34"/>
  <c r="B3870" i="34"/>
  <c r="B3869" i="34"/>
  <c r="B3868" i="34"/>
  <c r="B3867" i="34"/>
  <c r="B3866" i="34"/>
  <c r="B3865" i="34"/>
  <c r="B3864" i="34"/>
  <c r="B3863" i="34"/>
  <c r="B3862" i="34"/>
  <c r="B3799" i="34"/>
  <c r="B3798" i="34"/>
  <c r="B3797" i="34"/>
  <c r="B3796" i="34"/>
  <c r="B3795" i="34"/>
  <c r="B3794" i="34"/>
  <c r="B3793" i="34"/>
  <c r="B3792" i="34"/>
  <c r="B3791" i="34"/>
  <c r="B2963" i="34"/>
  <c r="B2962" i="34"/>
  <c r="B2961" i="34"/>
  <c r="B2960" i="34"/>
  <c r="B2959" i="34"/>
  <c r="B2958" i="34"/>
  <c r="B2957" i="34"/>
  <c r="B2956" i="34"/>
  <c r="B2955" i="34"/>
  <c r="B2954" i="34"/>
  <c r="B2953" i="34"/>
  <c r="B2952" i="34"/>
  <c r="B2951" i="34"/>
  <c r="B2946" i="34"/>
  <c r="B2945" i="34"/>
  <c r="B2944" i="34"/>
  <c r="B2943" i="34"/>
  <c r="B2942" i="34"/>
  <c r="B2941" i="34"/>
  <c r="B2940" i="34"/>
  <c r="B4088" i="34"/>
  <c r="B4087" i="34"/>
  <c r="B4086" i="34"/>
  <c r="B4085" i="34"/>
  <c r="B4084" i="34"/>
  <c r="B4083" i="34"/>
  <c r="B4082" i="34"/>
  <c r="B4032" i="34"/>
  <c r="B4031" i="34"/>
  <c r="B4030" i="34"/>
  <c r="B4029" i="34"/>
  <c r="B4028" i="34"/>
  <c r="B4027" i="34"/>
  <c r="B4026" i="34"/>
  <c r="B4025" i="34"/>
  <c r="B2937" i="34"/>
  <c r="B2936" i="34"/>
  <c r="B266" i="34"/>
  <c r="B265" i="34"/>
  <c r="B264" i="34"/>
  <c r="B262" i="34"/>
  <c r="B261" i="34"/>
  <c r="B260" i="34"/>
  <c r="B258" i="34"/>
  <c r="B256" i="34"/>
  <c r="B255" i="34"/>
  <c r="B254" i="34"/>
  <c r="B253" i="34"/>
  <c r="B252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5" i="34"/>
  <c r="B233" i="34"/>
  <c r="B232" i="34"/>
  <c r="B229" i="34"/>
  <c r="B228" i="34"/>
  <c r="B3917" i="34"/>
  <c r="B3916" i="34"/>
  <c r="B3915" i="34"/>
  <c r="B3914" i="34"/>
  <c r="B3913" i="34"/>
  <c r="B3912" i="34"/>
  <c r="B3911" i="34"/>
  <c r="B3910" i="34"/>
  <c r="B3909" i="34"/>
  <c r="B3908" i="34"/>
  <c r="B3907" i="34"/>
  <c r="B3906" i="34"/>
  <c r="B3905" i="34"/>
  <c r="B3904" i="34"/>
  <c r="B3903" i="34"/>
  <c r="B3902" i="34"/>
  <c r="B3901" i="34"/>
  <c r="B3900" i="34"/>
  <c r="B3899" i="34"/>
  <c r="B3898" i="34"/>
  <c r="B3897" i="34"/>
  <c r="B3896" i="34"/>
  <c r="B3895" i="34"/>
  <c r="B3894" i="34"/>
  <c r="B3893" i="34"/>
  <c r="B3892" i="34"/>
  <c r="B3891" i="34"/>
  <c r="B3890" i="34"/>
  <c r="B3821" i="34"/>
  <c r="B3820" i="34"/>
  <c r="B3819" i="34"/>
  <c r="B3817" i="34"/>
  <c r="B3816" i="34"/>
  <c r="B3815" i="34"/>
  <c r="B3814" i="34"/>
  <c r="Z3817" i="34" l="1"/>
  <c r="O3817" i="34"/>
  <c r="W3817" i="34"/>
  <c r="P3817" i="34"/>
  <c r="Q3817" i="34"/>
  <c r="U3817" i="34"/>
  <c r="A3817" i="34"/>
  <c r="Q3890" i="34"/>
  <c r="U3890" i="34"/>
  <c r="Z3890" i="34"/>
  <c r="O3890" i="34"/>
  <c r="W3890" i="34"/>
  <c r="P3890" i="34"/>
  <c r="A3890" i="34"/>
  <c r="Q3894" i="34"/>
  <c r="U3894" i="34"/>
  <c r="Z3894" i="34"/>
  <c r="O3894" i="34"/>
  <c r="W3894" i="34"/>
  <c r="P3894" i="34"/>
  <c r="A3894" i="34"/>
  <c r="Q3898" i="34"/>
  <c r="U3898" i="34"/>
  <c r="Z3898" i="34"/>
  <c r="O3898" i="34"/>
  <c r="W3898" i="34"/>
  <c r="P3898" i="34"/>
  <c r="A3898" i="34"/>
  <c r="Q3902" i="34"/>
  <c r="U3902" i="34"/>
  <c r="Z3902" i="34"/>
  <c r="O3902" i="34"/>
  <c r="W3902" i="34"/>
  <c r="P3902" i="34"/>
  <c r="A3902" i="34"/>
  <c r="Q3906" i="34"/>
  <c r="U3906" i="34"/>
  <c r="Z3906" i="34"/>
  <c r="O3906" i="34"/>
  <c r="W3906" i="34"/>
  <c r="P3906" i="34"/>
  <c r="A3906" i="34"/>
  <c r="Q3910" i="34"/>
  <c r="U3910" i="34"/>
  <c r="Z3910" i="34"/>
  <c r="O3910" i="34"/>
  <c r="W3910" i="34"/>
  <c r="P3910" i="34"/>
  <c r="A3910" i="34"/>
  <c r="Q3914" i="34"/>
  <c r="U3914" i="34"/>
  <c r="Z3914" i="34"/>
  <c r="O3914" i="34"/>
  <c r="W3914" i="34"/>
  <c r="P3914" i="34"/>
  <c r="A3914" i="34"/>
  <c r="P228" i="34"/>
  <c r="T228" i="34"/>
  <c r="Q228" i="34"/>
  <c r="U228" i="34"/>
  <c r="R228" i="34"/>
  <c r="Z228" i="34"/>
  <c r="O228" i="34"/>
  <c r="S228" i="34"/>
  <c r="W228" i="34"/>
  <c r="A228" i="34"/>
  <c r="Q235" i="34"/>
  <c r="U235" i="34"/>
  <c r="R235" i="34"/>
  <c r="Z235" i="34"/>
  <c r="O235" i="34"/>
  <c r="S235" i="34"/>
  <c r="W235" i="34"/>
  <c r="P235" i="34"/>
  <c r="T235" i="34"/>
  <c r="A235" i="34"/>
  <c r="P240" i="34"/>
  <c r="Q240" i="34"/>
  <c r="U240" i="34"/>
  <c r="R240" i="34"/>
  <c r="Z240" i="34"/>
  <c r="S240" i="34"/>
  <c r="W240" i="34"/>
  <c r="O240" i="34"/>
  <c r="T240" i="34"/>
  <c r="A240" i="34"/>
  <c r="Q244" i="34"/>
  <c r="U244" i="34"/>
  <c r="R244" i="34"/>
  <c r="Z244" i="34"/>
  <c r="O244" i="34"/>
  <c r="S244" i="34"/>
  <c r="W244" i="34"/>
  <c r="P244" i="34"/>
  <c r="T244" i="34"/>
  <c r="A244" i="34"/>
  <c r="Q248" i="34"/>
  <c r="U248" i="34"/>
  <c r="R248" i="34"/>
  <c r="Z248" i="34"/>
  <c r="O248" i="34"/>
  <c r="S248" i="34"/>
  <c r="W248" i="34"/>
  <c r="P248" i="34"/>
  <c r="T248" i="34"/>
  <c r="A248" i="34"/>
  <c r="P253" i="34"/>
  <c r="T253" i="34"/>
  <c r="Q253" i="34"/>
  <c r="U253" i="34"/>
  <c r="R253" i="34"/>
  <c r="Z253" i="34"/>
  <c r="O253" i="34"/>
  <c r="S253" i="34"/>
  <c r="W253" i="34"/>
  <c r="A253" i="34"/>
  <c r="O258" i="34"/>
  <c r="S258" i="34"/>
  <c r="W258" i="34"/>
  <c r="P258" i="34"/>
  <c r="T258" i="34"/>
  <c r="Q258" i="34"/>
  <c r="U258" i="34"/>
  <c r="R258" i="34"/>
  <c r="Z258" i="34"/>
  <c r="A258" i="34"/>
  <c r="Q264" i="34"/>
  <c r="U264" i="34"/>
  <c r="R264" i="34"/>
  <c r="Z264" i="34"/>
  <c r="O264" i="34"/>
  <c r="S264" i="34"/>
  <c r="W264" i="34"/>
  <c r="P264" i="34"/>
  <c r="T264" i="34"/>
  <c r="A264" i="34"/>
  <c r="P2937" i="34"/>
  <c r="Q2937" i="34"/>
  <c r="U2937" i="34"/>
  <c r="Z2937" i="34"/>
  <c r="O2937" i="34"/>
  <c r="W2937" i="34"/>
  <c r="A2937" i="34"/>
  <c r="O4028" i="34"/>
  <c r="W4028" i="34"/>
  <c r="P4028" i="34"/>
  <c r="Q4028" i="34"/>
  <c r="U4028" i="34"/>
  <c r="Z4028" i="34"/>
  <c r="A4028" i="34"/>
  <c r="O4032" i="34"/>
  <c r="W4032" i="34"/>
  <c r="P4032" i="34"/>
  <c r="Q4032" i="34"/>
  <c r="U4032" i="34"/>
  <c r="Z4032" i="34"/>
  <c r="A4032" i="34"/>
  <c r="Z4085" i="34"/>
  <c r="O4085" i="34"/>
  <c r="W4085" i="34"/>
  <c r="P4085" i="34"/>
  <c r="Q4085" i="34"/>
  <c r="U4085" i="34"/>
  <c r="A4085" i="34"/>
  <c r="Q2940" i="34"/>
  <c r="U2940" i="34"/>
  <c r="Z2940" i="34"/>
  <c r="O2940" i="34"/>
  <c r="W2940" i="34"/>
  <c r="P2940" i="34"/>
  <c r="A2940" i="34"/>
  <c r="Q2944" i="34"/>
  <c r="U2944" i="34"/>
  <c r="Z2944" i="34"/>
  <c r="O2944" i="34"/>
  <c r="W2944" i="34"/>
  <c r="P2944" i="34"/>
  <c r="A2944" i="34"/>
  <c r="Q2952" i="34"/>
  <c r="U2952" i="34"/>
  <c r="Z2952" i="34"/>
  <c r="O2952" i="34"/>
  <c r="W2952" i="34"/>
  <c r="P2952" i="34"/>
  <c r="A2952" i="34"/>
  <c r="Q2956" i="34"/>
  <c r="U2956" i="34"/>
  <c r="Z2956" i="34"/>
  <c r="O2956" i="34"/>
  <c r="W2956" i="34"/>
  <c r="P2956" i="34"/>
  <c r="A2956" i="34"/>
  <c r="Q2960" i="34"/>
  <c r="U2960" i="34"/>
  <c r="Z2960" i="34"/>
  <c r="O2960" i="34"/>
  <c r="W2960" i="34"/>
  <c r="P2960" i="34"/>
  <c r="A2960" i="34"/>
  <c r="P3791" i="34"/>
  <c r="Q3791" i="34"/>
  <c r="U3791" i="34"/>
  <c r="Z3791" i="34"/>
  <c r="O3791" i="34"/>
  <c r="W3791" i="34"/>
  <c r="A3791" i="34"/>
  <c r="P3795" i="34"/>
  <c r="Q3795" i="34"/>
  <c r="U3795" i="34"/>
  <c r="Z3795" i="34"/>
  <c r="O3795" i="34"/>
  <c r="W3795" i="34"/>
  <c r="A3795" i="34"/>
  <c r="P3799" i="34"/>
  <c r="Q3799" i="34"/>
  <c r="U3799" i="34"/>
  <c r="Z3799" i="34"/>
  <c r="O3799" i="34"/>
  <c r="W3799" i="34"/>
  <c r="A3799" i="34"/>
  <c r="Z3865" i="34"/>
  <c r="O3865" i="34"/>
  <c r="W3865" i="34"/>
  <c r="P3865" i="34"/>
  <c r="Q3865" i="34"/>
  <c r="U3865" i="34"/>
  <c r="A3865" i="34"/>
  <c r="Z3869" i="34"/>
  <c r="O3869" i="34"/>
  <c r="W3869" i="34"/>
  <c r="P3869" i="34"/>
  <c r="Q3869" i="34"/>
  <c r="U3869" i="34"/>
  <c r="A3869" i="34"/>
  <c r="Z3873" i="34"/>
  <c r="O3873" i="34"/>
  <c r="W3873" i="34"/>
  <c r="P3873" i="34"/>
  <c r="Q3873" i="34"/>
  <c r="U3873" i="34"/>
  <c r="A3873" i="34"/>
  <c r="Z3877" i="34"/>
  <c r="O3877" i="34"/>
  <c r="W3877" i="34"/>
  <c r="P3877" i="34"/>
  <c r="Q3877" i="34"/>
  <c r="U3877" i="34"/>
  <c r="A3877" i="34"/>
  <c r="Z3881" i="34"/>
  <c r="O3881" i="34"/>
  <c r="W3881" i="34"/>
  <c r="P3881" i="34"/>
  <c r="Q3881" i="34"/>
  <c r="U3881" i="34"/>
  <c r="A3881" i="34"/>
  <c r="Z3885" i="34"/>
  <c r="O3885" i="34"/>
  <c r="W3885" i="34"/>
  <c r="P3885" i="34"/>
  <c r="Q3885" i="34"/>
  <c r="U3885" i="34"/>
  <c r="A3885" i="34"/>
  <c r="Q2844" i="34"/>
  <c r="U2844" i="34"/>
  <c r="Z2844" i="34"/>
  <c r="O2844" i="34"/>
  <c r="W2844" i="34"/>
  <c r="P2844" i="34"/>
  <c r="A2844" i="34"/>
  <c r="P2873" i="34"/>
  <c r="Q2873" i="34"/>
  <c r="U2873" i="34"/>
  <c r="Z2873" i="34"/>
  <c r="O2873" i="34"/>
  <c r="W2873" i="34"/>
  <c r="A2873" i="34"/>
  <c r="P2877" i="34"/>
  <c r="Q2877" i="34"/>
  <c r="U2877" i="34"/>
  <c r="Z2877" i="34"/>
  <c r="O2877" i="34"/>
  <c r="W2877" i="34"/>
  <c r="A2877" i="34"/>
  <c r="P2881" i="34"/>
  <c r="Q2881" i="34"/>
  <c r="U2881" i="34"/>
  <c r="Z2881" i="34"/>
  <c r="O2881" i="34"/>
  <c r="W2881" i="34"/>
  <c r="A2881" i="34"/>
  <c r="Q2904" i="34"/>
  <c r="U2904" i="34"/>
  <c r="Z2904" i="34"/>
  <c r="O2904" i="34"/>
  <c r="W2904" i="34"/>
  <c r="P2904" i="34"/>
  <c r="A2904" i="34"/>
  <c r="Q2908" i="34"/>
  <c r="U2908" i="34"/>
  <c r="Z2908" i="34"/>
  <c r="O2908" i="34"/>
  <c r="W2908" i="34"/>
  <c r="P2908" i="34"/>
  <c r="A2908" i="34"/>
  <c r="Q2749" i="34"/>
  <c r="U2749" i="34"/>
  <c r="Z2749" i="34"/>
  <c r="O2749" i="34"/>
  <c r="W2749" i="34"/>
  <c r="P2749" i="34"/>
  <c r="A2749" i="34"/>
  <c r="Z2796" i="34"/>
  <c r="O2796" i="34"/>
  <c r="W2796" i="34"/>
  <c r="Q2796" i="34"/>
  <c r="U2796" i="34"/>
  <c r="P2796" i="34"/>
  <c r="A2796" i="34"/>
  <c r="Z2800" i="34"/>
  <c r="O2800" i="34"/>
  <c r="W2800" i="34"/>
  <c r="Q2800" i="34"/>
  <c r="U2800" i="34"/>
  <c r="P2800" i="34"/>
  <c r="A2800" i="34"/>
  <c r="O2804" i="34"/>
  <c r="W2804" i="34"/>
  <c r="P2804" i="34"/>
  <c r="Q2804" i="34"/>
  <c r="U2804" i="34"/>
  <c r="Z2804" i="34"/>
  <c r="A2804" i="34"/>
  <c r="O2850" i="34"/>
  <c r="W2850" i="34"/>
  <c r="P2850" i="34"/>
  <c r="Q2850" i="34"/>
  <c r="U2850" i="34"/>
  <c r="Z2850" i="34"/>
  <c r="A2850" i="34"/>
  <c r="O2854" i="34"/>
  <c r="W2854" i="34"/>
  <c r="P2854" i="34"/>
  <c r="Q2854" i="34"/>
  <c r="U2854" i="34"/>
  <c r="Z2854" i="34"/>
  <c r="A2854" i="34"/>
  <c r="O2858" i="34"/>
  <c r="W2858" i="34"/>
  <c r="P2858" i="34"/>
  <c r="Q2858" i="34"/>
  <c r="U2858" i="34"/>
  <c r="Z2858" i="34"/>
  <c r="A2858" i="34"/>
  <c r="Z2883" i="34"/>
  <c r="O2883" i="34"/>
  <c r="W2883" i="34"/>
  <c r="P2883" i="34"/>
  <c r="Q2883" i="34"/>
  <c r="U2883" i="34"/>
  <c r="A2883" i="34"/>
  <c r="Z2887" i="34"/>
  <c r="O2887" i="34"/>
  <c r="W2887" i="34"/>
  <c r="P2887" i="34"/>
  <c r="Q2887" i="34"/>
  <c r="U2887" i="34"/>
  <c r="A2887" i="34"/>
  <c r="Z2891" i="34"/>
  <c r="O2891" i="34"/>
  <c r="W2891" i="34"/>
  <c r="P2891" i="34"/>
  <c r="Q2891" i="34"/>
  <c r="U2891" i="34"/>
  <c r="A2891" i="34"/>
  <c r="Q2912" i="34"/>
  <c r="U2912" i="34"/>
  <c r="Z2912" i="34"/>
  <c r="O2912" i="34"/>
  <c r="W2912" i="34"/>
  <c r="P2912" i="34"/>
  <c r="A2912" i="34"/>
  <c r="Q2916" i="34"/>
  <c r="U2916" i="34"/>
  <c r="Z2916" i="34"/>
  <c r="O2916" i="34"/>
  <c r="W2916" i="34"/>
  <c r="P2916" i="34"/>
  <c r="A2916" i="34"/>
  <c r="P2949" i="34"/>
  <c r="Q2949" i="34"/>
  <c r="U2949" i="34"/>
  <c r="Z2949" i="34"/>
  <c r="O2949" i="34"/>
  <c r="W2949" i="34"/>
  <c r="A2949" i="34"/>
  <c r="Z3861" i="34"/>
  <c r="O3861" i="34"/>
  <c r="W3861" i="34"/>
  <c r="P3861" i="34"/>
  <c r="Q3861" i="34"/>
  <c r="U3861" i="34"/>
  <c r="A3861" i="34"/>
  <c r="Z4017" i="34"/>
  <c r="O4017" i="34"/>
  <c r="W4017" i="34"/>
  <c r="P4017" i="34"/>
  <c r="Q4017" i="34"/>
  <c r="U4017" i="34"/>
  <c r="A4017" i="34"/>
  <c r="P4023" i="34"/>
  <c r="Q4023" i="34"/>
  <c r="U4023" i="34"/>
  <c r="Z4023" i="34"/>
  <c r="O4023" i="34"/>
  <c r="W4023" i="34"/>
  <c r="A4023" i="34"/>
  <c r="Z4049" i="34"/>
  <c r="O4049" i="34"/>
  <c r="W4049" i="34"/>
  <c r="P4049" i="34"/>
  <c r="Q4049" i="34"/>
  <c r="U4049" i="34"/>
  <c r="A4049" i="34"/>
  <c r="Z4053" i="34"/>
  <c r="O4053" i="34"/>
  <c r="W4053" i="34"/>
  <c r="P4053" i="34"/>
  <c r="Q4053" i="34"/>
  <c r="U4053" i="34"/>
  <c r="A4053" i="34"/>
  <c r="Q4062" i="34"/>
  <c r="U4062" i="34"/>
  <c r="Z4062" i="34"/>
  <c r="O4062" i="34"/>
  <c r="W4062" i="34"/>
  <c r="P4062" i="34"/>
  <c r="A4062" i="34"/>
  <c r="Q4066" i="34"/>
  <c r="U4066" i="34"/>
  <c r="Z4066" i="34"/>
  <c r="O4066" i="34"/>
  <c r="W4066" i="34"/>
  <c r="P4066" i="34"/>
  <c r="A4066" i="34"/>
  <c r="Z4073" i="34"/>
  <c r="O4073" i="34"/>
  <c r="W4073" i="34"/>
  <c r="P4073" i="34"/>
  <c r="Q4073" i="34"/>
  <c r="U4073" i="34"/>
  <c r="A4073" i="34"/>
  <c r="Z4077" i="34"/>
  <c r="O4077" i="34"/>
  <c r="W4077" i="34"/>
  <c r="P4077" i="34"/>
  <c r="Q4077" i="34"/>
  <c r="U4077" i="34"/>
  <c r="A4077" i="34"/>
  <c r="Z4081" i="34"/>
  <c r="O4081" i="34"/>
  <c r="W4081" i="34"/>
  <c r="P4081" i="34"/>
  <c r="Q4081" i="34"/>
  <c r="U4081" i="34"/>
  <c r="A4081" i="34"/>
  <c r="Z3805" i="34"/>
  <c r="O3805" i="34"/>
  <c r="W3805" i="34"/>
  <c r="P3805" i="34"/>
  <c r="Q3805" i="34"/>
  <c r="U3805" i="34"/>
  <c r="A3805" i="34"/>
  <c r="Z3809" i="34"/>
  <c r="O3809" i="34"/>
  <c r="W3809" i="34"/>
  <c r="P3809" i="34"/>
  <c r="Q3809" i="34"/>
  <c r="U3809" i="34"/>
  <c r="A3809" i="34"/>
  <c r="Z3813" i="34"/>
  <c r="O3813" i="34"/>
  <c r="W3813" i="34"/>
  <c r="P3813" i="34"/>
  <c r="Q3813" i="34"/>
  <c r="U3813" i="34"/>
  <c r="A3813" i="34"/>
  <c r="O2930" i="34"/>
  <c r="W2930" i="34"/>
  <c r="P2930" i="34"/>
  <c r="Q2930" i="34"/>
  <c r="U2930" i="34"/>
  <c r="Z2930" i="34"/>
  <c r="A2930" i="34"/>
  <c r="Q4480" i="34"/>
  <c r="U4480" i="34"/>
  <c r="Z4480" i="34"/>
  <c r="O4480" i="34"/>
  <c r="W4480" i="34"/>
  <c r="P4480" i="34"/>
  <c r="A4480" i="34"/>
  <c r="O598" i="34"/>
  <c r="W598" i="34"/>
  <c r="P598" i="34"/>
  <c r="Q598" i="34"/>
  <c r="U598" i="34"/>
  <c r="Z598" i="34"/>
  <c r="A598" i="34"/>
  <c r="O602" i="34"/>
  <c r="W602" i="34"/>
  <c r="P602" i="34"/>
  <c r="Q602" i="34"/>
  <c r="U602" i="34"/>
  <c r="Z602" i="34"/>
  <c r="A602" i="34"/>
  <c r="Z2807" i="34"/>
  <c r="O2807" i="34"/>
  <c r="W2807" i="34"/>
  <c r="P2807" i="34"/>
  <c r="Q2807" i="34"/>
  <c r="U2807" i="34"/>
  <c r="A2807" i="34"/>
  <c r="P2813" i="34"/>
  <c r="Q2813" i="34"/>
  <c r="U2813" i="34"/>
  <c r="Z2813" i="34"/>
  <c r="O2813" i="34"/>
  <c r="W2813" i="34"/>
  <c r="A2813" i="34"/>
  <c r="P2925" i="34"/>
  <c r="Q2925" i="34"/>
  <c r="U2925" i="34"/>
  <c r="Z2925" i="34"/>
  <c r="O2925" i="34"/>
  <c r="W2925" i="34"/>
  <c r="A2925" i="34"/>
  <c r="Q2932" i="34"/>
  <c r="U2932" i="34"/>
  <c r="Z2932" i="34"/>
  <c r="O2932" i="34"/>
  <c r="W2932" i="34"/>
  <c r="P2932" i="34"/>
  <c r="A2932" i="34"/>
  <c r="Z2760" i="34"/>
  <c r="O2760" i="34"/>
  <c r="W2760" i="34"/>
  <c r="P2760" i="34"/>
  <c r="Q2760" i="34"/>
  <c r="U2760" i="34"/>
  <c r="A2760" i="34"/>
  <c r="Z2764" i="34"/>
  <c r="O2764" i="34"/>
  <c r="W2764" i="34"/>
  <c r="P2764" i="34"/>
  <c r="Q2764" i="34"/>
  <c r="U2764" i="34"/>
  <c r="A2764" i="34"/>
  <c r="Z2768" i="34"/>
  <c r="O2768" i="34"/>
  <c r="W2768" i="34"/>
  <c r="P2768" i="34"/>
  <c r="Q2768" i="34"/>
  <c r="U2768" i="34"/>
  <c r="A2768" i="34"/>
  <c r="P2817" i="34"/>
  <c r="Q2817" i="34"/>
  <c r="U2817" i="34"/>
  <c r="Z2817" i="34"/>
  <c r="O2817" i="34"/>
  <c r="W2817" i="34"/>
  <c r="A2817" i="34"/>
  <c r="P2821" i="34"/>
  <c r="Q2821" i="34"/>
  <c r="U2821" i="34"/>
  <c r="Z2821" i="34"/>
  <c r="O2821" i="34"/>
  <c r="W2821" i="34"/>
  <c r="A2821" i="34"/>
  <c r="P2825" i="34"/>
  <c r="Q2825" i="34"/>
  <c r="U2825" i="34"/>
  <c r="Z2825" i="34"/>
  <c r="O2825" i="34"/>
  <c r="W2825" i="34"/>
  <c r="A2825" i="34"/>
  <c r="O2898" i="34"/>
  <c r="W2898" i="34"/>
  <c r="P2898" i="34"/>
  <c r="Q2898" i="34"/>
  <c r="U2898" i="34"/>
  <c r="Z2898" i="34"/>
  <c r="A2898" i="34"/>
  <c r="O2918" i="34"/>
  <c r="W2918" i="34"/>
  <c r="P2918" i="34"/>
  <c r="Q2918" i="34"/>
  <c r="U2918" i="34"/>
  <c r="Z2918" i="34"/>
  <c r="A2918" i="34"/>
  <c r="O2719" i="34"/>
  <c r="W2719" i="34"/>
  <c r="P2719" i="34"/>
  <c r="Q2719" i="34"/>
  <c r="U2719" i="34"/>
  <c r="Z2719" i="34"/>
  <c r="A2719" i="34"/>
  <c r="Z595" i="34"/>
  <c r="O595" i="34"/>
  <c r="W595" i="34"/>
  <c r="P595" i="34"/>
  <c r="Q595" i="34"/>
  <c r="U595" i="34"/>
  <c r="A595" i="34"/>
  <c r="O2723" i="34"/>
  <c r="W2723" i="34"/>
  <c r="P2723" i="34"/>
  <c r="Q2723" i="34"/>
  <c r="U2723" i="34"/>
  <c r="Z2723" i="34"/>
  <c r="A2723" i="34"/>
  <c r="O2727" i="34"/>
  <c r="W2727" i="34"/>
  <c r="P2727" i="34"/>
  <c r="Q2727" i="34"/>
  <c r="U2727" i="34"/>
  <c r="Z2727" i="34"/>
  <c r="A2727" i="34"/>
  <c r="O2731" i="34"/>
  <c r="W2731" i="34"/>
  <c r="P2731" i="34"/>
  <c r="Q2731" i="34"/>
  <c r="U2731" i="34"/>
  <c r="Z2731" i="34"/>
  <c r="A2731" i="34"/>
  <c r="O2735" i="34"/>
  <c r="W2735" i="34"/>
  <c r="P2735" i="34"/>
  <c r="Q2735" i="34"/>
  <c r="U2735" i="34"/>
  <c r="Z2735" i="34"/>
  <c r="A2735" i="34"/>
  <c r="P2742" i="34"/>
  <c r="Q2742" i="34"/>
  <c r="U2742" i="34"/>
  <c r="Z2742" i="34"/>
  <c r="O2742" i="34"/>
  <c r="W2742" i="34"/>
  <c r="A2742" i="34"/>
  <c r="P2746" i="34"/>
  <c r="Q2746" i="34"/>
  <c r="U2746" i="34"/>
  <c r="Z2746" i="34"/>
  <c r="O2746" i="34"/>
  <c r="W2746" i="34"/>
  <c r="A2746" i="34"/>
  <c r="Q2773" i="34"/>
  <c r="U2773" i="34"/>
  <c r="Z2773" i="34"/>
  <c r="O2773" i="34"/>
  <c r="W2773" i="34"/>
  <c r="P2773" i="34"/>
  <c r="A2773" i="34"/>
  <c r="Q2777" i="34"/>
  <c r="U2777" i="34"/>
  <c r="Z2777" i="34"/>
  <c r="O2777" i="34"/>
  <c r="W2777" i="34"/>
  <c r="P2777" i="34"/>
  <c r="A2777" i="34"/>
  <c r="P2750" i="34"/>
  <c r="Q2750" i="34"/>
  <c r="U2750" i="34"/>
  <c r="Z2750" i="34"/>
  <c r="O2750" i="34"/>
  <c r="W2750" i="34"/>
  <c r="A2750" i="34"/>
  <c r="P2754" i="34"/>
  <c r="Q2754" i="34"/>
  <c r="U2754" i="34"/>
  <c r="Z2754" i="34"/>
  <c r="O2754" i="34"/>
  <c r="W2754" i="34"/>
  <c r="A2754" i="34"/>
  <c r="Z2831" i="34"/>
  <c r="O2831" i="34"/>
  <c r="W2831" i="34"/>
  <c r="P2831" i="34"/>
  <c r="Q2831" i="34"/>
  <c r="U2831" i="34"/>
  <c r="A2831" i="34"/>
  <c r="Q2781" i="34"/>
  <c r="U2781" i="34"/>
  <c r="Z2781" i="34"/>
  <c r="O2781" i="34"/>
  <c r="W2781" i="34"/>
  <c r="P2781" i="34"/>
  <c r="A2781" i="34"/>
  <c r="Q2785" i="34"/>
  <c r="U2785" i="34"/>
  <c r="Z2785" i="34"/>
  <c r="O2785" i="34"/>
  <c r="W2785" i="34"/>
  <c r="P2785" i="34"/>
  <c r="A2785" i="34"/>
  <c r="Q2789" i="34"/>
  <c r="U2789" i="34"/>
  <c r="Z2789" i="34"/>
  <c r="P2789" i="34"/>
  <c r="O2789" i="34"/>
  <c r="W2789" i="34"/>
  <c r="A2789" i="34"/>
  <c r="P2833" i="34"/>
  <c r="Q2833" i="34"/>
  <c r="U2833" i="34"/>
  <c r="Z2833" i="34"/>
  <c r="O2833" i="34"/>
  <c r="W2833" i="34"/>
  <c r="A2833" i="34"/>
  <c r="P2837" i="34"/>
  <c r="Q2837" i="34"/>
  <c r="U2837" i="34"/>
  <c r="Z2837" i="34"/>
  <c r="O2837" i="34"/>
  <c r="W2837" i="34"/>
  <c r="A2837" i="34"/>
  <c r="P2841" i="34"/>
  <c r="Q2841" i="34"/>
  <c r="U2841" i="34"/>
  <c r="Z2841" i="34"/>
  <c r="O2841" i="34"/>
  <c r="W2841" i="34"/>
  <c r="A2841" i="34"/>
  <c r="O3712" i="34"/>
  <c r="W3712" i="34"/>
  <c r="P3712" i="34"/>
  <c r="Q3712" i="34"/>
  <c r="U3712" i="34"/>
  <c r="Z3712" i="34"/>
  <c r="A3712" i="34"/>
  <c r="O3740" i="34"/>
  <c r="W3740" i="34"/>
  <c r="P3740" i="34"/>
  <c r="Q3740" i="34"/>
  <c r="U3740" i="34"/>
  <c r="Z3740" i="34"/>
  <c r="A3740" i="34"/>
  <c r="O3744" i="34"/>
  <c r="W3744" i="34"/>
  <c r="P3744" i="34"/>
  <c r="Q3744" i="34"/>
  <c r="U3744" i="34"/>
  <c r="Z3744" i="34"/>
  <c r="A3744" i="34"/>
  <c r="P2698" i="34"/>
  <c r="Q2698" i="34"/>
  <c r="U2698" i="34"/>
  <c r="Z2698" i="34"/>
  <c r="O2698" i="34"/>
  <c r="W2698" i="34"/>
  <c r="A2698" i="34"/>
  <c r="P2702" i="34"/>
  <c r="Q2702" i="34"/>
  <c r="U2702" i="34"/>
  <c r="Z2702" i="34"/>
  <c r="O2702" i="34"/>
  <c r="W2702" i="34"/>
  <c r="A2702" i="34"/>
  <c r="P26" i="34"/>
  <c r="T26" i="34"/>
  <c r="Q26" i="34"/>
  <c r="U26" i="34"/>
  <c r="R26" i="34"/>
  <c r="Z26" i="34"/>
  <c r="O26" i="34"/>
  <c r="S26" i="34"/>
  <c r="W26" i="34"/>
  <c r="A26" i="34"/>
  <c r="P30" i="34"/>
  <c r="T30" i="34"/>
  <c r="Q30" i="34"/>
  <c r="U30" i="34"/>
  <c r="R30" i="34"/>
  <c r="Z30" i="34"/>
  <c r="O30" i="34"/>
  <c r="S30" i="34"/>
  <c r="W30" i="34"/>
  <c r="A30" i="34"/>
  <c r="R36" i="34"/>
  <c r="Z36" i="34"/>
  <c r="O36" i="34"/>
  <c r="S36" i="34"/>
  <c r="W36" i="34"/>
  <c r="P36" i="34"/>
  <c r="T36" i="34"/>
  <c r="Q36" i="34"/>
  <c r="U36" i="34"/>
  <c r="A36" i="34"/>
  <c r="O59" i="34"/>
  <c r="S59" i="34"/>
  <c r="W59" i="34"/>
  <c r="P59" i="34"/>
  <c r="T59" i="34"/>
  <c r="Q59" i="34"/>
  <c r="U59" i="34"/>
  <c r="R59" i="34"/>
  <c r="Z59" i="34"/>
  <c r="A59" i="34"/>
  <c r="P103" i="34"/>
  <c r="T103" i="34"/>
  <c r="Q103" i="34"/>
  <c r="U103" i="34"/>
  <c r="R103" i="34"/>
  <c r="Z103" i="34"/>
  <c r="O103" i="34"/>
  <c r="S103" i="34"/>
  <c r="W103" i="34"/>
  <c r="A103" i="34"/>
  <c r="Z495" i="34"/>
  <c r="O495" i="34"/>
  <c r="W495" i="34"/>
  <c r="P495" i="34"/>
  <c r="Q495" i="34"/>
  <c r="U495" i="34"/>
  <c r="A495" i="34"/>
  <c r="O486" i="34"/>
  <c r="W486" i="34"/>
  <c r="P486" i="34"/>
  <c r="Q486" i="34"/>
  <c r="U486" i="34"/>
  <c r="Z486" i="34"/>
  <c r="A486" i="34"/>
  <c r="O574" i="34"/>
  <c r="W574" i="34"/>
  <c r="P574" i="34"/>
  <c r="Q574" i="34"/>
  <c r="U574" i="34"/>
  <c r="Z574" i="34"/>
  <c r="A574" i="34"/>
  <c r="Z607" i="34"/>
  <c r="O607" i="34"/>
  <c r="W607" i="34"/>
  <c r="P607" i="34"/>
  <c r="Q607" i="34"/>
  <c r="U607" i="34"/>
  <c r="A607" i="34"/>
  <c r="O638" i="34"/>
  <c r="W638" i="34"/>
  <c r="P638" i="34"/>
  <c r="Q638" i="34"/>
  <c r="U638" i="34"/>
  <c r="Z638" i="34"/>
  <c r="A638" i="34"/>
  <c r="O642" i="34"/>
  <c r="W642" i="34"/>
  <c r="P642" i="34"/>
  <c r="Q642" i="34"/>
  <c r="U642" i="34"/>
  <c r="Z642" i="34"/>
  <c r="A642" i="34"/>
  <c r="O678" i="34"/>
  <c r="W678" i="34"/>
  <c r="P678" i="34"/>
  <c r="Q678" i="34"/>
  <c r="U678" i="34"/>
  <c r="Z678" i="34"/>
  <c r="A678" i="34"/>
  <c r="P477" i="34"/>
  <c r="Q477" i="34"/>
  <c r="U477" i="34"/>
  <c r="Z477" i="34"/>
  <c r="O477" i="34"/>
  <c r="W477" i="34"/>
  <c r="A477" i="34"/>
  <c r="P541" i="34"/>
  <c r="Q541" i="34"/>
  <c r="U541" i="34"/>
  <c r="Z541" i="34"/>
  <c r="O541" i="34"/>
  <c r="W541" i="34"/>
  <c r="A541" i="34"/>
  <c r="P565" i="34"/>
  <c r="Q565" i="34"/>
  <c r="U565" i="34"/>
  <c r="Z565" i="34"/>
  <c r="O565" i="34"/>
  <c r="W565" i="34"/>
  <c r="A565" i="34"/>
  <c r="P569" i="34"/>
  <c r="Q569" i="34"/>
  <c r="U569" i="34"/>
  <c r="Z569" i="34"/>
  <c r="O569" i="34"/>
  <c r="W569" i="34"/>
  <c r="A569" i="34"/>
  <c r="Q3814" i="34"/>
  <c r="U3814" i="34"/>
  <c r="Z3814" i="34"/>
  <c r="O3814" i="34"/>
  <c r="W3814" i="34"/>
  <c r="P3814" i="34"/>
  <c r="A3814" i="34"/>
  <c r="P3819" i="34"/>
  <c r="Q3819" i="34"/>
  <c r="U3819" i="34"/>
  <c r="Z3819" i="34"/>
  <c r="O3819" i="34"/>
  <c r="W3819" i="34"/>
  <c r="A3819" i="34"/>
  <c r="P3891" i="34"/>
  <c r="Q3891" i="34"/>
  <c r="U3891" i="34"/>
  <c r="Z3891" i="34"/>
  <c r="O3891" i="34"/>
  <c r="W3891" i="34"/>
  <c r="A3891" i="34"/>
  <c r="P3895" i="34"/>
  <c r="Q3895" i="34"/>
  <c r="U3895" i="34"/>
  <c r="Z3895" i="34"/>
  <c r="O3895" i="34"/>
  <c r="W3895" i="34"/>
  <c r="A3895" i="34"/>
  <c r="P3899" i="34"/>
  <c r="Q3899" i="34"/>
  <c r="U3899" i="34"/>
  <c r="Z3899" i="34"/>
  <c r="O3899" i="34"/>
  <c r="W3899" i="34"/>
  <c r="A3899" i="34"/>
  <c r="P3903" i="34"/>
  <c r="Q3903" i="34"/>
  <c r="U3903" i="34"/>
  <c r="Z3903" i="34"/>
  <c r="O3903" i="34"/>
  <c r="W3903" i="34"/>
  <c r="A3903" i="34"/>
  <c r="P3907" i="34"/>
  <c r="Q3907" i="34"/>
  <c r="U3907" i="34"/>
  <c r="Z3907" i="34"/>
  <c r="O3907" i="34"/>
  <c r="W3907" i="34"/>
  <c r="A3907" i="34"/>
  <c r="P3911" i="34"/>
  <c r="Q3911" i="34"/>
  <c r="U3911" i="34"/>
  <c r="Z3911" i="34"/>
  <c r="O3911" i="34"/>
  <c r="W3911" i="34"/>
  <c r="A3911" i="34"/>
  <c r="P3915" i="34"/>
  <c r="Q3915" i="34"/>
  <c r="U3915" i="34"/>
  <c r="Z3915" i="34"/>
  <c r="O3915" i="34"/>
  <c r="W3915" i="34"/>
  <c r="A3915" i="34"/>
  <c r="O229" i="34"/>
  <c r="S229" i="34"/>
  <c r="W229" i="34"/>
  <c r="P229" i="34"/>
  <c r="T229" i="34"/>
  <c r="Q229" i="34"/>
  <c r="U229" i="34"/>
  <c r="R229" i="34"/>
  <c r="Z229" i="34"/>
  <c r="A229" i="34"/>
  <c r="O237" i="34"/>
  <c r="S237" i="34"/>
  <c r="W237" i="34"/>
  <c r="P237" i="34"/>
  <c r="T237" i="34"/>
  <c r="Q237" i="34"/>
  <c r="U237" i="34"/>
  <c r="R237" i="34"/>
  <c r="Z237" i="34"/>
  <c r="A237" i="34"/>
  <c r="P241" i="34"/>
  <c r="T241" i="34"/>
  <c r="Q241" i="34"/>
  <c r="U241" i="34"/>
  <c r="R241" i="34"/>
  <c r="Z241" i="34"/>
  <c r="O241" i="34"/>
  <c r="S241" i="34"/>
  <c r="W241" i="34"/>
  <c r="A241" i="34"/>
  <c r="P245" i="34"/>
  <c r="T245" i="34"/>
  <c r="Q245" i="34"/>
  <c r="U245" i="34"/>
  <c r="R245" i="34"/>
  <c r="Z245" i="34"/>
  <c r="O245" i="34"/>
  <c r="S245" i="34"/>
  <c r="W245" i="34"/>
  <c r="A245" i="34"/>
  <c r="P249" i="34"/>
  <c r="T249" i="34"/>
  <c r="Q249" i="34"/>
  <c r="U249" i="34"/>
  <c r="R249" i="34"/>
  <c r="Z249" i="34"/>
  <c r="O249" i="34"/>
  <c r="S249" i="34"/>
  <c r="W249" i="34"/>
  <c r="A249" i="34"/>
  <c r="O254" i="34"/>
  <c r="S254" i="34"/>
  <c r="W254" i="34"/>
  <c r="P254" i="34"/>
  <c r="T254" i="34"/>
  <c r="Q254" i="34"/>
  <c r="U254" i="34"/>
  <c r="R254" i="34"/>
  <c r="Z254" i="34"/>
  <c r="A254" i="34"/>
  <c r="Q260" i="34"/>
  <c r="U260" i="34"/>
  <c r="R260" i="34"/>
  <c r="Z260" i="34"/>
  <c r="O260" i="34"/>
  <c r="S260" i="34"/>
  <c r="W260" i="34"/>
  <c r="P260" i="34"/>
  <c r="T260" i="34"/>
  <c r="A260" i="34"/>
  <c r="P265" i="34"/>
  <c r="T265" i="34"/>
  <c r="Q265" i="34"/>
  <c r="U265" i="34"/>
  <c r="R265" i="34"/>
  <c r="Z265" i="34"/>
  <c r="O265" i="34"/>
  <c r="S265" i="34"/>
  <c r="W265" i="34"/>
  <c r="A265" i="34"/>
  <c r="Z4025" i="34"/>
  <c r="O4025" i="34"/>
  <c r="W4025" i="34"/>
  <c r="P4025" i="34"/>
  <c r="Q4025" i="34"/>
  <c r="U4025" i="34"/>
  <c r="A4025" i="34"/>
  <c r="Z4029" i="34"/>
  <c r="O4029" i="34"/>
  <c r="W4029" i="34"/>
  <c r="P4029" i="34"/>
  <c r="Q4029" i="34"/>
  <c r="U4029" i="34"/>
  <c r="A4029" i="34"/>
  <c r="Q4082" i="34"/>
  <c r="U4082" i="34"/>
  <c r="Z4082" i="34"/>
  <c r="O4082" i="34"/>
  <c r="W4082" i="34"/>
  <c r="P4082" i="34"/>
  <c r="A4082" i="34"/>
  <c r="Q4086" i="34"/>
  <c r="U4086" i="34"/>
  <c r="Z4086" i="34"/>
  <c r="O4086" i="34"/>
  <c r="W4086" i="34"/>
  <c r="P4086" i="34"/>
  <c r="A4086" i="34"/>
  <c r="P2941" i="34"/>
  <c r="Q2941" i="34"/>
  <c r="U2941" i="34"/>
  <c r="Z2941" i="34"/>
  <c r="O2941" i="34"/>
  <c r="W2941" i="34"/>
  <c r="A2941" i="34"/>
  <c r="P2945" i="34"/>
  <c r="Q2945" i="34"/>
  <c r="U2945" i="34"/>
  <c r="Z2945" i="34"/>
  <c r="O2945" i="34"/>
  <c r="W2945" i="34"/>
  <c r="A2945" i="34"/>
  <c r="P2953" i="34"/>
  <c r="Q2953" i="34"/>
  <c r="U2953" i="34"/>
  <c r="Z2953" i="34"/>
  <c r="O2953" i="34"/>
  <c r="W2953" i="34"/>
  <c r="A2953" i="34"/>
  <c r="P2957" i="34"/>
  <c r="Q2957" i="34"/>
  <c r="U2957" i="34"/>
  <c r="Z2957" i="34"/>
  <c r="O2957" i="34"/>
  <c r="W2957" i="34"/>
  <c r="A2957" i="34"/>
  <c r="P2961" i="34"/>
  <c r="Q2961" i="34"/>
  <c r="U2961" i="34"/>
  <c r="Z2961" i="34"/>
  <c r="O2961" i="34"/>
  <c r="W2961" i="34"/>
  <c r="A2961" i="34"/>
  <c r="O3792" i="34"/>
  <c r="W3792" i="34"/>
  <c r="P3792" i="34"/>
  <c r="Q3792" i="34"/>
  <c r="U3792" i="34"/>
  <c r="Z3792" i="34"/>
  <c r="A3792" i="34"/>
  <c r="O3796" i="34"/>
  <c r="W3796" i="34"/>
  <c r="P3796" i="34"/>
  <c r="Q3796" i="34"/>
  <c r="U3796" i="34"/>
  <c r="Z3796" i="34"/>
  <c r="A3796" i="34"/>
  <c r="Q3862" i="34"/>
  <c r="U3862" i="34"/>
  <c r="Z3862" i="34"/>
  <c r="O3862" i="34"/>
  <c r="W3862" i="34"/>
  <c r="P3862" i="34"/>
  <c r="A3862" i="34"/>
  <c r="Q3866" i="34"/>
  <c r="U3866" i="34"/>
  <c r="Z3866" i="34"/>
  <c r="O3866" i="34"/>
  <c r="W3866" i="34"/>
  <c r="P3866" i="34"/>
  <c r="A3866" i="34"/>
  <c r="Q3870" i="34"/>
  <c r="U3870" i="34"/>
  <c r="Z3870" i="34"/>
  <c r="O3870" i="34"/>
  <c r="W3870" i="34"/>
  <c r="P3870" i="34"/>
  <c r="A3870" i="34"/>
  <c r="Q3874" i="34"/>
  <c r="U3874" i="34"/>
  <c r="Z3874" i="34"/>
  <c r="O3874" i="34"/>
  <c r="W3874" i="34"/>
  <c r="P3874" i="34"/>
  <c r="A3874" i="34"/>
  <c r="Q3878" i="34"/>
  <c r="U3878" i="34"/>
  <c r="Z3878" i="34"/>
  <c r="O3878" i="34"/>
  <c r="W3878" i="34"/>
  <c r="P3878" i="34"/>
  <c r="A3878" i="34"/>
  <c r="Q3882" i="34"/>
  <c r="U3882" i="34"/>
  <c r="Z3882" i="34"/>
  <c r="O3882" i="34"/>
  <c r="W3882" i="34"/>
  <c r="P3882" i="34"/>
  <c r="A3882" i="34"/>
  <c r="Q3886" i="34"/>
  <c r="U3886" i="34"/>
  <c r="Z3886" i="34"/>
  <c r="O3886" i="34"/>
  <c r="W3886" i="34"/>
  <c r="P3886" i="34"/>
  <c r="A3886" i="34"/>
  <c r="P2845" i="34"/>
  <c r="Q2845" i="34"/>
  <c r="U2845" i="34"/>
  <c r="Z2845" i="34"/>
  <c r="O2845" i="34"/>
  <c r="W2845" i="34"/>
  <c r="A2845" i="34"/>
  <c r="O2874" i="34"/>
  <c r="W2874" i="34"/>
  <c r="P2874" i="34"/>
  <c r="Q2874" i="34"/>
  <c r="U2874" i="34"/>
  <c r="Z2874" i="34"/>
  <c r="A2874" i="34"/>
  <c r="O2878" i="34"/>
  <c r="W2878" i="34"/>
  <c r="P2878" i="34"/>
  <c r="Q2878" i="34"/>
  <c r="U2878" i="34"/>
  <c r="Z2878" i="34"/>
  <c r="A2878" i="34"/>
  <c r="P2901" i="34"/>
  <c r="Q2901" i="34"/>
  <c r="U2901" i="34"/>
  <c r="Z2901" i="34"/>
  <c r="O2901" i="34"/>
  <c r="W2901" i="34"/>
  <c r="A2901" i="34"/>
  <c r="P2905" i="34"/>
  <c r="Q2905" i="34"/>
  <c r="U2905" i="34"/>
  <c r="Z2905" i="34"/>
  <c r="O2905" i="34"/>
  <c r="W2905" i="34"/>
  <c r="A2905" i="34"/>
  <c r="Q2920" i="34"/>
  <c r="U2920" i="34"/>
  <c r="Z2920" i="34"/>
  <c r="O2920" i="34"/>
  <c r="W2920" i="34"/>
  <c r="P2920" i="34"/>
  <c r="A2920" i="34"/>
  <c r="Q2793" i="34"/>
  <c r="U2793" i="34"/>
  <c r="Z2793" i="34"/>
  <c r="P2793" i="34"/>
  <c r="O2793" i="34"/>
  <c r="W2793" i="34"/>
  <c r="A2793" i="34"/>
  <c r="Q2797" i="34"/>
  <c r="U2797" i="34"/>
  <c r="Z2797" i="34"/>
  <c r="P2797" i="34"/>
  <c r="O2797" i="34"/>
  <c r="W2797" i="34"/>
  <c r="A2797" i="34"/>
  <c r="Q2801" i="34"/>
  <c r="U2801" i="34"/>
  <c r="Z2801" i="34"/>
  <c r="P2801" i="34"/>
  <c r="O2801" i="34"/>
  <c r="W2801" i="34"/>
  <c r="A2801" i="34"/>
  <c r="Z2847" i="34"/>
  <c r="O2847" i="34"/>
  <c r="W2847" i="34"/>
  <c r="P2847" i="34"/>
  <c r="Q2847" i="34"/>
  <c r="U2847" i="34"/>
  <c r="A2847" i="34"/>
  <c r="Z2851" i="34"/>
  <c r="O2851" i="34"/>
  <c r="W2851" i="34"/>
  <c r="P2851" i="34"/>
  <c r="Q2851" i="34"/>
  <c r="U2851" i="34"/>
  <c r="A2851" i="34"/>
  <c r="Z2855" i="34"/>
  <c r="O2855" i="34"/>
  <c r="W2855" i="34"/>
  <c r="P2855" i="34"/>
  <c r="Q2855" i="34"/>
  <c r="U2855" i="34"/>
  <c r="A2855" i="34"/>
  <c r="Z2859" i="34"/>
  <c r="O2859" i="34"/>
  <c r="W2859" i="34"/>
  <c r="P2859" i="34"/>
  <c r="Q2859" i="34"/>
  <c r="U2859" i="34"/>
  <c r="A2859" i="34"/>
  <c r="Q2884" i="34"/>
  <c r="U2884" i="34"/>
  <c r="Z2884" i="34"/>
  <c r="O2884" i="34"/>
  <c r="W2884" i="34"/>
  <c r="P2884" i="34"/>
  <c r="A2884" i="34"/>
  <c r="Q2888" i="34"/>
  <c r="U2888" i="34"/>
  <c r="Z2888" i="34"/>
  <c r="O2888" i="34"/>
  <c r="W2888" i="34"/>
  <c r="P2888" i="34"/>
  <c r="A2888" i="34"/>
  <c r="P2909" i="34"/>
  <c r="Q2909" i="34"/>
  <c r="U2909" i="34"/>
  <c r="Z2909" i="34"/>
  <c r="O2909" i="34"/>
  <c r="W2909" i="34"/>
  <c r="A2909" i="34"/>
  <c r="P2913" i="34"/>
  <c r="Q2913" i="34"/>
  <c r="U2913" i="34"/>
  <c r="Z2913" i="34"/>
  <c r="O2913" i="34"/>
  <c r="W2913" i="34"/>
  <c r="A2913" i="34"/>
  <c r="O2922" i="34"/>
  <c r="W2922" i="34"/>
  <c r="P2922" i="34"/>
  <c r="Q2922" i="34"/>
  <c r="U2922" i="34"/>
  <c r="Z2922" i="34"/>
  <c r="A2922" i="34"/>
  <c r="O2950" i="34"/>
  <c r="W2950" i="34"/>
  <c r="P2950" i="34"/>
  <c r="Q2950" i="34"/>
  <c r="U2950" i="34"/>
  <c r="Z2950" i="34"/>
  <c r="A2950" i="34"/>
  <c r="Z3889" i="34"/>
  <c r="O3889" i="34"/>
  <c r="W3889" i="34"/>
  <c r="P3889" i="34"/>
  <c r="Q3889" i="34"/>
  <c r="U3889" i="34"/>
  <c r="A3889" i="34"/>
  <c r="P4019" i="34"/>
  <c r="Q4019" i="34"/>
  <c r="U4019" i="34"/>
  <c r="Z4019" i="34"/>
  <c r="O4019" i="34"/>
  <c r="W4019" i="34"/>
  <c r="A4019" i="34"/>
  <c r="O4024" i="34"/>
  <c r="W4024" i="34"/>
  <c r="P4024" i="34"/>
  <c r="Q4024" i="34"/>
  <c r="U4024" i="34"/>
  <c r="Z4024" i="34"/>
  <c r="A4024" i="34"/>
  <c r="Q4050" i="34"/>
  <c r="U4050" i="34"/>
  <c r="Z4050" i="34"/>
  <c r="O4050" i="34"/>
  <c r="W4050" i="34"/>
  <c r="P4050" i="34"/>
  <c r="A4050" i="34"/>
  <c r="Q4054" i="34"/>
  <c r="U4054" i="34"/>
  <c r="Z4054" i="34"/>
  <c r="O4054" i="34"/>
  <c r="W4054" i="34"/>
  <c r="P4054" i="34"/>
  <c r="A4054" i="34"/>
  <c r="P4063" i="34"/>
  <c r="Q4063" i="34"/>
  <c r="U4063" i="34"/>
  <c r="Z4063" i="34"/>
  <c r="O4063" i="34"/>
  <c r="W4063" i="34"/>
  <c r="A4063" i="34"/>
  <c r="Q4070" i="34"/>
  <c r="U4070" i="34"/>
  <c r="Z4070" i="34"/>
  <c r="O4070" i="34"/>
  <c r="W4070" i="34"/>
  <c r="P4070" i="34"/>
  <c r="A4070" i="34"/>
  <c r="Q4074" i="34"/>
  <c r="U4074" i="34"/>
  <c r="Z4074" i="34"/>
  <c r="O4074" i="34"/>
  <c r="W4074" i="34"/>
  <c r="P4074" i="34"/>
  <c r="A4074" i="34"/>
  <c r="Q4078" i="34"/>
  <c r="U4078" i="34"/>
  <c r="Z4078" i="34"/>
  <c r="O4078" i="34"/>
  <c r="W4078" i="34"/>
  <c r="P4078" i="34"/>
  <c r="A4078" i="34"/>
  <c r="O3800" i="34"/>
  <c r="W3800" i="34"/>
  <c r="P3800" i="34"/>
  <c r="Q3800" i="34"/>
  <c r="U3800" i="34"/>
  <c r="Z3800" i="34"/>
  <c r="A3800" i="34"/>
  <c r="Q3806" i="34"/>
  <c r="U3806" i="34"/>
  <c r="Z3806" i="34"/>
  <c r="O3806" i="34"/>
  <c r="W3806" i="34"/>
  <c r="P3806" i="34"/>
  <c r="A3806" i="34"/>
  <c r="Q3810" i="34"/>
  <c r="U3810" i="34"/>
  <c r="Z3810" i="34"/>
  <c r="O3810" i="34"/>
  <c r="W3810" i="34"/>
  <c r="P3810" i="34"/>
  <c r="A3810" i="34"/>
  <c r="P585" i="34"/>
  <c r="Q585" i="34"/>
  <c r="U585" i="34"/>
  <c r="Z585" i="34"/>
  <c r="O585" i="34"/>
  <c r="W585" i="34"/>
  <c r="A585" i="34"/>
  <c r="P4067" i="34"/>
  <c r="Q4067" i="34"/>
  <c r="U4067" i="34"/>
  <c r="Z4067" i="34"/>
  <c r="O4067" i="34"/>
  <c r="W4067" i="34"/>
  <c r="A4067" i="34"/>
  <c r="Z591" i="34"/>
  <c r="O591" i="34"/>
  <c r="W591" i="34"/>
  <c r="P591" i="34"/>
  <c r="Q591" i="34"/>
  <c r="U591" i="34"/>
  <c r="A591" i="34"/>
  <c r="Z599" i="34"/>
  <c r="O599" i="34"/>
  <c r="W599" i="34"/>
  <c r="P599" i="34"/>
  <c r="Q599" i="34"/>
  <c r="U599" i="34"/>
  <c r="A599" i="34"/>
  <c r="Q2737" i="34"/>
  <c r="U2737" i="34"/>
  <c r="Z2737" i="34"/>
  <c r="O2737" i="34"/>
  <c r="W2737" i="34"/>
  <c r="P2737" i="34"/>
  <c r="A2737" i="34"/>
  <c r="P2809" i="34"/>
  <c r="Q2809" i="34"/>
  <c r="U2809" i="34"/>
  <c r="Z2809" i="34"/>
  <c r="O2809" i="34"/>
  <c r="W2809" i="34"/>
  <c r="A2809" i="34"/>
  <c r="O2814" i="34"/>
  <c r="W2814" i="34"/>
  <c r="P2814" i="34"/>
  <c r="Q2814" i="34"/>
  <c r="U2814" i="34"/>
  <c r="Z2814" i="34"/>
  <c r="A2814" i="34"/>
  <c r="O2926" i="34"/>
  <c r="W2926" i="34"/>
  <c r="P2926" i="34"/>
  <c r="Q2926" i="34"/>
  <c r="U2926" i="34"/>
  <c r="Z2926" i="34"/>
  <c r="A2926" i="34"/>
  <c r="P2933" i="34"/>
  <c r="Q2933" i="34"/>
  <c r="U2933" i="34"/>
  <c r="Z2933" i="34"/>
  <c r="O2933" i="34"/>
  <c r="W2933" i="34"/>
  <c r="A2933" i="34"/>
  <c r="Q2761" i="34"/>
  <c r="U2761" i="34"/>
  <c r="Z2761" i="34"/>
  <c r="O2761" i="34"/>
  <c r="W2761" i="34"/>
  <c r="P2761" i="34"/>
  <c r="A2761" i="34"/>
  <c r="Q2765" i="34"/>
  <c r="U2765" i="34"/>
  <c r="Z2765" i="34"/>
  <c r="O2765" i="34"/>
  <c r="W2765" i="34"/>
  <c r="P2765" i="34"/>
  <c r="A2765" i="34"/>
  <c r="Q2769" i="34"/>
  <c r="U2769" i="34"/>
  <c r="Z2769" i="34"/>
  <c r="O2769" i="34"/>
  <c r="W2769" i="34"/>
  <c r="P2769" i="34"/>
  <c r="A2769" i="34"/>
  <c r="O2818" i="34"/>
  <c r="W2818" i="34"/>
  <c r="P2818" i="34"/>
  <c r="Q2818" i="34"/>
  <c r="U2818" i="34"/>
  <c r="Z2818" i="34"/>
  <c r="A2818" i="34"/>
  <c r="O2822" i="34"/>
  <c r="W2822" i="34"/>
  <c r="P2822" i="34"/>
  <c r="Q2822" i="34"/>
  <c r="U2822" i="34"/>
  <c r="Z2822" i="34"/>
  <c r="A2822" i="34"/>
  <c r="O2826" i="34"/>
  <c r="W2826" i="34"/>
  <c r="P2826" i="34"/>
  <c r="Q2826" i="34"/>
  <c r="U2826" i="34"/>
  <c r="Z2826" i="34"/>
  <c r="A2826" i="34"/>
  <c r="Z2899" i="34"/>
  <c r="O2899" i="34"/>
  <c r="W2899" i="34"/>
  <c r="P2899" i="34"/>
  <c r="Q2899" i="34"/>
  <c r="U2899" i="34"/>
  <c r="A2899" i="34"/>
  <c r="Z2919" i="34"/>
  <c r="O2919" i="34"/>
  <c r="W2919" i="34"/>
  <c r="P2919" i="34"/>
  <c r="Q2919" i="34"/>
  <c r="U2919" i="34"/>
  <c r="A2919" i="34"/>
  <c r="Z2720" i="34"/>
  <c r="O2720" i="34"/>
  <c r="W2720" i="34"/>
  <c r="P2720" i="34"/>
  <c r="Q2720" i="34"/>
  <c r="U2720" i="34"/>
  <c r="A2720" i="34"/>
  <c r="P2738" i="34"/>
  <c r="Q2738" i="34"/>
  <c r="U2738" i="34"/>
  <c r="Z2738" i="34"/>
  <c r="O2738" i="34"/>
  <c r="W2738" i="34"/>
  <c r="A2738" i="34"/>
  <c r="Z2724" i="34"/>
  <c r="O2724" i="34"/>
  <c r="W2724" i="34"/>
  <c r="P2724" i="34"/>
  <c r="Q2724" i="34"/>
  <c r="U2724" i="34"/>
  <c r="A2724" i="34"/>
  <c r="Z2728" i="34"/>
  <c r="O2728" i="34"/>
  <c r="W2728" i="34"/>
  <c r="P2728" i="34"/>
  <c r="Q2728" i="34"/>
  <c r="U2728" i="34"/>
  <c r="A2728" i="34"/>
  <c r="Z2732" i="34"/>
  <c r="O2732" i="34"/>
  <c r="W2732" i="34"/>
  <c r="P2732" i="34"/>
  <c r="Q2732" i="34"/>
  <c r="U2732" i="34"/>
  <c r="A2732" i="34"/>
  <c r="Z2736" i="34"/>
  <c r="O2736" i="34"/>
  <c r="W2736" i="34"/>
  <c r="P2736" i="34"/>
  <c r="Q2736" i="34"/>
  <c r="U2736" i="34"/>
  <c r="A2736" i="34"/>
  <c r="O2743" i="34"/>
  <c r="W2743" i="34"/>
  <c r="P2743" i="34"/>
  <c r="Q2743" i="34"/>
  <c r="U2743" i="34"/>
  <c r="Z2743" i="34"/>
  <c r="A2743" i="34"/>
  <c r="O2747" i="34"/>
  <c r="W2747" i="34"/>
  <c r="P2747" i="34"/>
  <c r="Q2747" i="34"/>
  <c r="U2747" i="34"/>
  <c r="Z2747" i="34"/>
  <c r="A2747" i="34"/>
  <c r="P2774" i="34"/>
  <c r="Q2774" i="34"/>
  <c r="U2774" i="34"/>
  <c r="Z2774" i="34"/>
  <c r="O2774" i="34"/>
  <c r="W2774" i="34"/>
  <c r="A2774" i="34"/>
  <c r="P2778" i="34"/>
  <c r="Q2778" i="34"/>
  <c r="U2778" i="34"/>
  <c r="Z2778" i="34"/>
  <c r="O2778" i="34"/>
  <c r="W2778" i="34"/>
  <c r="A2778" i="34"/>
  <c r="O2751" i="34"/>
  <c r="W2751" i="34"/>
  <c r="P2751" i="34"/>
  <c r="Q2751" i="34"/>
  <c r="U2751" i="34"/>
  <c r="Z2751" i="34"/>
  <c r="A2751" i="34"/>
  <c r="O2755" i="34"/>
  <c r="W2755" i="34"/>
  <c r="P2755" i="34"/>
  <c r="Q2755" i="34"/>
  <c r="U2755" i="34"/>
  <c r="Z2755" i="34"/>
  <c r="A2755" i="34"/>
  <c r="Q2832" i="34"/>
  <c r="U2832" i="34"/>
  <c r="Z2832" i="34"/>
  <c r="O2832" i="34"/>
  <c r="W2832" i="34"/>
  <c r="P2832" i="34"/>
  <c r="A2832" i="34"/>
  <c r="P2782" i="34"/>
  <c r="Q2782" i="34"/>
  <c r="U2782" i="34"/>
  <c r="Z2782" i="34"/>
  <c r="O2782" i="34"/>
  <c r="W2782" i="34"/>
  <c r="A2782" i="34"/>
  <c r="P2786" i="34"/>
  <c r="Q2786" i="34"/>
  <c r="U2786" i="34"/>
  <c r="Z2786" i="34"/>
  <c r="O2786" i="34"/>
  <c r="W2786" i="34"/>
  <c r="A2786" i="34"/>
  <c r="P2790" i="34"/>
  <c r="Q2790" i="34"/>
  <c r="U2790" i="34"/>
  <c r="O2790" i="34"/>
  <c r="W2790" i="34"/>
  <c r="Z2790" i="34"/>
  <c r="A2790" i="34"/>
  <c r="O2834" i="34"/>
  <c r="W2834" i="34"/>
  <c r="P2834" i="34"/>
  <c r="Q2834" i="34"/>
  <c r="U2834" i="34"/>
  <c r="Z2834" i="34"/>
  <c r="A2834" i="34"/>
  <c r="O2838" i="34"/>
  <c r="W2838" i="34"/>
  <c r="P2838" i="34"/>
  <c r="Q2838" i="34"/>
  <c r="U2838" i="34"/>
  <c r="Z2838" i="34"/>
  <c r="A2838" i="34"/>
  <c r="O2842" i="34"/>
  <c r="W2842" i="34"/>
  <c r="P2842" i="34"/>
  <c r="Q2842" i="34"/>
  <c r="U2842" i="34"/>
  <c r="Z2842" i="34"/>
  <c r="A2842" i="34"/>
  <c r="Z3737" i="34"/>
  <c r="O3737" i="34"/>
  <c r="W3737" i="34"/>
  <c r="P3737" i="34"/>
  <c r="Q3737" i="34"/>
  <c r="U3737" i="34"/>
  <c r="A3737" i="34"/>
  <c r="Z3741" i="34"/>
  <c r="O3741" i="34"/>
  <c r="W3741" i="34"/>
  <c r="P3741" i="34"/>
  <c r="Q3741" i="34"/>
  <c r="U3741" i="34"/>
  <c r="A3741" i="34"/>
  <c r="O2695" i="34"/>
  <c r="W2695" i="34"/>
  <c r="P2695" i="34"/>
  <c r="Q2695" i="34"/>
  <c r="U2695" i="34"/>
  <c r="Z2695" i="34"/>
  <c r="A2695" i="34"/>
  <c r="O2699" i="34"/>
  <c r="W2699" i="34"/>
  <c r="P2699" i="34"/>
  <c r="Q2699" i="34"/>
  <c r="U2699" i="34"/>
  <c r="Z2699" i="34"/>
  <c r="A2699" i="34"/>
  <c r="O23" i="34"/>
  <c r="S23" i="34"/>
  <c r="W23" i="34"/>
  <c r="P23" i="34"/>
  <c r="T23" i="34"/>
  <c r="Q23" i="34"/>
  <c r="U23" i="34"/>
  <c r="R23" i="34"/>
  <c r="Z23" i="34"/>
  <c r="A23" i="34"/>
  <c r="O27" i="34"/>
  <c r="S27" i="34"/>
  <c r="W27" i="34"/>
  <c r="P27" i="34"/>
  <c r="T27" i="34"/>
  <c r="Q27" i="34"/>
  <c r="U27" i="34"/>
  <c r="R27" i="34"/>
  <c r="Z27" i="34"/>
  <c r="A27" i="34"/>
  <c r="O31" i="34"/>
  <c r="S31" i="34"/>
  <c r="W31" i="34"/>
  <c r="P31" i="34"/>
  <c r="T31" i="34"/>
  <c r="Q31" i="34"/>
  <c r="U31" i="34"/>
  <c r="R31" i="34"/>
  <c r="Z31" i="34"/>
  <c r="A31" i="34"/>
  <c r="O55" i="34"/>
  <c r="S55" i="34"/>
  <c r="W55" i="34"/>
  <c r="P55" i="34"/>
  <c r="T55" i="34"/>
  <c r="Q55" i="34"/>
  <c r="U55" i="34"/>
  <c r="R55" i="34"/>
  <c r="Z55" i="34"/>
  <c r="A55" i="34"/>
  <c r="Q61" i="34"/>
  <c r="U61" i="34"/>
  <c r="R61" i="34"/>
  <c r="Z61" i="34"/>
  <c r="O61" i="34"/>
  <c r="S61" i="34"/>
  <c r="W61" i="34"/>
  <c r="P61" i="34"/>
  <c r="T61" i="34"/>
  <c r="A61" i="34"/>
  <c r="P391" i="34"/>
  <c r="Q391" i="34"/>
  <c r="U391" i="34"/>
  <c r="Z391" i="34"/>
  <c r="O391" i="34"/>
  <c r="W391" i="34"/>
  <c r="A391" i="34"/>
  <c r="Z483" i="34"/>
  <c r="O483" i="34"/>
  <c r="W483" i="34"/>
  <c r="P483" i="34"/>
  <c r="Q483" i="34"/>
  <c r="U483" i="34"/>
  <c r="A483" i="34"/>
  <c r="Q516" i="34"/>
  <c r="U516" i="34"/>
  <c r="Z516" i="34"/>
  <c r="O516" i="34"/>
  <c r="W516" i="34"/>
  <c r="P516" i="34"/>
  <c r="A516" i="34"/>
  <c r="Q604" i="34"/>
  <c r="U604" i="34"/>
  <c r="Z604" i="34"/>
  <c r="O604" i="34"/>
  <c r="W604" i="34"/>
  <c r="P604" i="34"/>
  <c r="A604" i="34"/>
  <c r="Q608" i="34"/>
  <c r="U608" i="34"/>
  <c r="Z608" i="34"/>
  <c r="O608" i="34"/>
  <c r="W608" i="34"/>
  <c r="P608" i="34"/>
  <c r="A608" i="34"/>
  <c r="Z639" i="34"/>
  <c r="O639" i="34"/>
  <c r="W639" i="34"/>
  <c r="P639" i="34"/>
  <c r="Q639" i="34"/>
  <c r="U639" i="34"/>
  <c r="A639" i="34"/>
  <c r="Z643" i="34"/>
  <c r="O643" i="34"/>
  <c r="W643" i="34"/>
  <c r="P643" i="34"/>
  <c r="Q643" i="34"/>
  <c r="U643" i="34"/>
  <c r="A643" i="34"/>
  <c r="Z679" i="34"/>
  <c r="O679" i="34"/>
  <c r="W679" i="34"/>
  <c r="P679" i="34"/>
  <c r="Q679" i="34"/>
  <c r="U679" i="34"/>
  <c r="A679" i="34"/>
  <c r="O478" i="34"/>
  <c r="W478" i="34"/>
  <c r="P478" i="34"/>
  <c r="Q478" i="34"/>
  <c r="U478" i="34"/>
  <c r="Z478" i="34"/>
  <c r="A478" i="34"/>
  <c r="O542" i="34"/>
  <c r="W542" i="34"/>
  <c r="P542" i="34"/>
  <c r="Q542" i="34"/>
  <c r="U542" i="34"/>
  <c r="Z542" i="34"/>
  <c r="A542" i="34"/>
  <c r="O566" i="34"/>
  <c r="W566" i="34"/>
  <c r="P566" i="34"/>
  <c r="Q566" i="34"/>
  <c r="U566" i="34"/>
  <c r="Z566" i="34"/>
  <c r="A566" i="34"/>
  <c r="Z575" i="34"/>
  <c r="O575" i="34"/>
  <c r="W575" i="34"/>
  <c r="P575" i="34"/>
  <c r="Q575" i="34"/>
  <c r="U575" i="34"/>
  <c r="A575" i="34"/>
  <c r="P3815" i="34"/>
  <c r="Q3815" i="34"/>
  <c r="U3815" i="34"/>
  <c r="Z3815" i="34"/>
  <c r="O3815" i="34"/>
  <c r="W3815" i="34"/>
  <c r="A3815" i="34"/>
  <c r="O3820" i="34"/>
  <c r="W3820" i="34"/>
  <c r="P3820" i="34"/>
  <c r="Q3820" i="34"/>
  <c r="U3820" i="34"/>
  <c r="Z3820" i="34"/>
  <c r="A3820" i="34"/>
  <c r="O3892" i="34"/>
  <c r="W3892" i="34"/>
  <c r="P3892" i="34"/>
  <c r="Q3892" i="34"/>
  <c r="U3892" i="34"/>
  <c r="Z3892" i="34"/>
  <c r="A3892" i="34"/>
  <c r="O3896" i="34"/>
  <c r="W3896" i="34"/>
  <c r="P3896" i="34"/>
  <c r="Q3896" i="34"/>
  <c r="U3896" i="34"/>
  <c r="Z3896" i="34"/>
  <c r="A3896" i="34"/>
  <c r="O3900" i="34"/>
  <c r="W3900" i="34"/>
  <c r="P3900" i="34"/>
  <c r="Q3900" i="34"/>
  <c r="U3900" i="34"/>
  <c r="Z3900" i="34"/>
  <c r="A3900" i="34"/>
  <c r="O3904" i="34"/>
  <c r="W3904" i="34"/>
  <c r="P3904" i="34"/>
  <c r="Q3904" i="34"/>
  <c r="U3904" i="34"/>
  <c r="Z3904" i="34"/>
  <c r="A3904" i="34"/>
  <c r="O3908" i="34"/>
  <c r="W3908" i="34"/>
  <c r="P3908" i="34"/>
  <c r="Q3908" i="34"/>
  <c r="U3908" i="34"/>
  <c r="Z3908" i="34"/>
  <c r="A3908" i="34"/>
  <c r="O3912" i="34"/>
  <c r="W3912" i="34"/>
  <c r="P3912" i="34"/>
  <c r="Q3912" i="34"/>
  <c r="U3912" i="34"/>
  <c r="Z3912" i="34"/>
  <c r="A3912" i="34"/>
  <c r="O3916" i="34"/>
  <c r="W3916" i="34"/>
  <c r="P3916" i="34"/>
  <c r="Q3916" i="34"/>
  <c r="U3916" i="34"/>
  <c r="Z3916" i="34"/>
  <c r="A3916" i="34"/>
  <c r="P232" i="34"/>
  <c r="T232" i="34"/>
  <c r="Q232" i="34"/>
  <c r="U232" i="34"/>
  <c r="R232" i="34"/>
  <c r="Z232" i="34"/>
  <c r="O232" i="34"/>
  <c r="S232" i="34"/>
  <c r="W232" i="34"/>
  <c r="A232" i="34"/>
  <c r="R238" i="34"/>
  <c r="Z238" i="34"/>
  <c r="O238" i="34"/>
  <c r="S238" i="34"/>
  <c r="W238" i="34"/>
  <c r="P238" i="34"/>
  <c r="T238" i="34"/>
  <c r="Q238" i="34"/>
  <c r="U238" i="34"/>
  <c r="A238" i="34"/>
  <c r="O242" i="34"/>
  <c r="S242" i="34"/>
  <c r="W242" i="34"/>
  <c r="P242" i="34"/>
  <c r="T242" i="34"/>
  <c r="Q242" i="34"/>
  <c r="U242" i="34"/>
  <c r="R242" i="34"/>
  <c r="Z242" i="34"/>
  <c r="A242" i="34"/>
  <c r="O246" i="34"/>
  <c r="S246" i="34"/>
  <c r="W246" i="34"/>
  <c r="P246" i="34"/>
  <c r="T246" i="34"/>
  <c r="Q246" i="34"/>
  <c r="U246" i="34"/>
  <c r="R246" i="34"/>
  <c r="Z246" i="34"/>
  <c r="A246" i="34"/>
  <c r="O250" i="34"/>
  <c r="S250" i="34"/>
  <c r="W250" i="34"/>
  <c r="P250" i="34"/>
  <c r="T250" i="34"/>
  <c r="Q250" i="34"/>
  <c r="U250" i="34"/>
  <c r="R250" i="34"/>
  <c r="Z250" i="34"/>
  <c r="A250" i="34"/>
  <c r="R255" i="34"/>
  <c r="Z255" i="34"/>
  <c r="O255" i="34"/>
  <c r="S255" i="34"/>
  <c r="W255" i="34"/>
  <c r="P255" i="34"/>
  <c r="T255" i="34"/>
  <c r="Q255" i="34"/>
  <c r="U255" i="34"/>
  <c r="A255" i="34"/>
  <c r="P261" i="34"/>
  <c r="T261" i="34"/>
  <c r="Q261" i="34"/>
  <c r="U261" i="34"/>
  <c r="R261" i="34"/>
  <c r="Z261" i="34"/>
  <c r="O261" i="34"/>
  <c r="S261" i="34"/>
  <c r="W261" i="34"/>
  <c r="A261" i="34"/>
  <c r="O266" i="34"/>
  <c r="S266" i="34"/>
  <c r="W266" i="34"/>
  <c r="P266" i="34"/>
  <c r="T266" i="34"/>
  <c r="Q266" i="34"/>
  <c r="U266" i="34"/>
  <c r="R266" i="34"/>
  <c r="Z266" i="34"/>
  <c r="A266" i="34"/>
  <c r="Q4026" i="34"/>
  <c r="U4026" i="34"/>
  <c r="Z4026" i="34"/>
  <c r="O4026" i="34"/>
  <c r="W4026" i="34"/>
  <c r="P4026" i="34"/>
  <c r="A4026" i="34"/>
  <c r="Q4030" i="34"/>
  <c r="U4030" i="34"/>
  <c r="Z4030" i="34"/>
  <c r="O4030" i="34"/>
  <c r="W4030" i="34"/>
  <c r="P4030" i="34"/>
  <c r="A4030" i="34"/>
  <c r="P4083" i="34"/>
  <c r="Q4083" i="34"/>
  <c r="U4083" i="34"/>
  <c r="Z4083" i="34"/>
  <c r="O4083" i="34"/>
  <c r="W4083" i="34"/>
  <c r="A4083" i="34"/>
  <c r="P4087" i="34"/>
  <c r="Q4087" i="34"/>
  <c r="U4087" i="34"/>
  <c r="Z4087" i="34"/>
  <c r="O4087" i="34"/>
  <c r="W4087" i="34"/>
  <c r="A4087" i="34"/>
  <c r="O2942" i="34"/>
  <c r="W2942" i="34"/>
  <c r="P2942" i="34"/>
  <c r="Q2942" i="34"/>
  <c r="U2942" i="34"/>
  <c r="Z2942" i="34"/>
  <c r="A2942" i="34"/>
  <c r="O2946" i="34"/>
  <c r="W2946" i="34"/>
  <c r="P2946" i="34"/>
  <c r="Q2946" i="34"/>
  <c r="U2946" i="34"/>
  <c r="Z2946" i="34"/>
  <c r="A2946" i="34"/>
  <c r="O2954" i="34"/>
  <c r="W2954" i="34"/>
  <c r="P2954" i="34"/>
  <c r="Q2954" i="34"/>
  <c r="U2954" i="34"/>
  <c r="Z2954" i="34"/>
  <c r="A2954" i="34"/>
  <c r="O2958" i="34"/>
  <c r="W2958" i="34"/>
  <c r="P2958" i="34"/>
  <c r="Q2958" i="34"/>
  <c r="U2958" i="34"/>
  <c r="Z2958" i="34"/>
  <c r="A2958" i="34"/>
  <c r="O2962" i="34"/>
  <c r="W2962" i="34"/>
  <c r="P2962" i="34"/>
  <c r="Q2962" i="34"/>
  <c r="U2962" i="34"/>
  <c r="Z2962" i="34"/>
  <c r="A2962" i="34"/>
  <c r="Z3793" i="34"/>
  <c r="O3793" i="34"/>
  <c r="W3793" i="34"/>
  <c r="P3793" i="34"/>
  <c r="Q3793" i="34"/>
  <c r="U3793" i="34"/>
  <c r="A3793" i="34"/>
  <c r="Z3797" i="34"/>
  <c r="O3797" i="34"/>
  <c r="W3797" i="34"/>
  <c r="P3797" i="34"/>
  <c r="Q3797" i="34"/>
  <c r="U3797" i="34"/>
  <c r="A3797" i="34"/>
  <c r="P3863" i="34"/>
  <c r="Q3863" i="34"/>
  <c r="U3863" i="34"/>
  <c r="Z3863" i="34"/>
  <c r="O3863" i="34"/>
  <c r="W3863" i="34"/>
  <c r="A3863" i="34"/>
  <c r="P3867" i="34"/>
  <c r="Q3867" i="34"/>
  <c r="U3867" i="34"/>
  <c r="Z3867" i="34"/>
  <c r="O3867" i="34"/>
  <c r="W3867" i="34"/>
  <c r="A3867" i="34"/>
  <c r="P3871" i="34"/>
  <c r="Q3871" i="34"/>
  <c r="U3871" i="34"/>
  <c r="Z3871" i="34"/>
  <c r="O3871" i="34"/>
  <c r="W3871" i="34"/>
  <c r="A3871" i="34"/>
  <c r="P3875" i="34"/>
  <c r="Q3875" i="34"/>
  <c r="U3875" i="34"/>
  <c r="Z3875" i="34"/>
  <c r="O3875" i="34"/>
  <c r="W3875" i="34"/>
  <c r="A3875" i="34"/>
  <c r="P3879" i="34"/>
  <c r="Q3879" i="34"/>
  <c r="U3879" i="34"/>
  <c r="Z3879" i="34"/>
  <c r="O3879" i="34"/>
  <c r="W3879" i="34"/>
  <c r="A3879" i="34"/>
  <c r="P3883" i="34"/>
  <c r="Q3883" i="34"/>
  <c r="U3883" i="34"/>
  <c r="Z3883" i="34"/>
  <c r="O3883" i="34"/>
  <c r="W3883" i="34"/>
  <c r="A3883" i="34"/>
  <c r="P3887" i="34"/>
  <c r="Q3887" i="34"/>
  <c r="U3887" i="34"/>
  <c r="Z3887" i="34"/>
  <c r="O3887" i="34"/>
  <c r="W3887" i="34"/>
  <c r="A3887" i="34"/>
  <c r="O2846" i="34"/>
  <c r="W2846" i="34"/>
  <c r="P2846" i="34"/>
  <c r="Q2846" i="34"/>
  <c r="U2846" i="34"/>
  <c r="Z2846" i="34"/>
  <c r="A2846" i="34"/>
  <c r="Z2875" i="34"/>
  <c r="O2875" i="34"/>
  <c r="W2875" i="34"/>
  <c r="P2875" i="34"/>
  <c r="Q2875" i="34"/>
  <c r="U2875" i="34"/>
  <c r="A2875" i="34"/>
  <c r="Z2879" i="34"/>
  <c r="O2879" i="34"/>
  <c r="W2879" i="34"/>
  <c r="P2879" i="34"/>
  <c r="Q2879" i="34"/>
  <c r="U2879" i="34"/>
  <c r="A2879" i="34"/>
  <c r="O2902" i="34"/>
  <c r="W2902" i="34"/>
  <c r="P2902" i="34"/>
  <c r="Q2902" i="34"/>
  <c r="U2902" i="34"/>
  <c r="Z2902" i="34"/>
  <c r="A2902" i="34"/>
  <c r="O2906" i="34"/>
  <c r="W2906" i="34"/>
  <c r="P2906" i="34"/>
  <c r="Q2906" i="34"/>
  <c r="U2906" i="34"/>
  <c r="Z2906" i="34"/>
  <c r="A2906" i="34"/>
  <c r="P2921" i="34"/>
  <c r="Q2921" i="34"/>
  <c r="U2921" i="34"/>
  <c r="Z2921" i="34"/>
  <c r="O2921" i="34"/>
  <c r="W2921" i="34"/>
  <c r="A2921" i="34"/>
  <c r="P2794" i="34"/>
  <c r="Q2794" i="34"/>
  <c r="U2794" i="34"/>
  <c r="O2794" i="34"/>
  <c r="W2794" i="34"/>
  <c r="Z2794" i="34"/>
  <c r="A2794" i="34"/>
  <c r="P2798" i="34"/>
  <c r="Q2798" i="34"/>
  <c r="U2798" i="34"/>
  <c r="O2798" i="34"/>
  <c r="W2798" i="34"/>
  <c r="Z2798" i="34"/>
  <c r="A2798" i="34"/>
  <c r="P2802" i="34"/>
  <c r="Q2802" i="34"/>
  <c r="U2802" i="34"/>
  <c r="O2802" i="34"/>
  <c r="W2802" i="34"/>
  <c r="Z2802" i="34"/>
  <c r="A2802" i="34"/>
  <c r="Q2848" i="34"/>
  <c r="U2848" i="34"/>
  <c r="Z2848" i="34"/>
  <c r="O2848" i="34"/>
  <c r="W2848" i="34"/>
  <c r="P2848" i="34"/>
  <c r="A2848" i="34"/>
  <c r="Q2852" i="34"/>
  <c r="U2852" i="34"/>
  <c r="Z2852" i="34"/>
  <c r="O2852" i="34"/>
  <c r="W2852" i="34"/>
  <c r="P2852" i="34"/>
  <c r="A2852" i="34"/>
  <c r="Q2856" i="34"/>
  <c r="U2856" i="34"/>
  <c r="Z2856" i="34"/>
  <c r="O2856" i="34"/>
  <c r="W2856" i="34"/>
  <c r="P2856" i="34"/>
  <c r="A2856" i="34"/>
  <c r="Q2860" i="34"/>
  <c r="U2860" i="34"/>
  <c r="Z2860" i="34"/>
  <c r="O2860" i="34"/>
  <c r="W2860" i="34"/>
  <c r="P2860" i="34"/>
  <c r="A2860" i="34"/>
  <c r="P2885" i="34"/>
  <c r="Q2885" i="34"/>
  <c r="U2885" i="34"/>
  <c r="Z2885" i="34"/>
  <c r="O2885" i="34"/>
  <c r="W2885" i="34"/>
  <c r="A2885" i="34"/>
  <c r="P2889" i="34"/>
  <c r="Q2889" i="34"/>
  <c r="U2889" i="34"/>
  <c r="Z2889" i="34"/>
  <c r="O2889" i="34"/>
  <c r="W2889" i="34"/>
  <c r="A2889" i="34"/>
  <c r="O2910" i="34"/>
  <c r="W2910" i="34"/>
  <c r="P2910" i="34"/>
  <c r="Q2910" i="34"/>
  <c r="U2910" i="34"/>
  <c r="Z2910" i="34"/>
  <c r="A2910" i="34"/>
  <c r="O2914" i="34"/>
  <c r="W2914" i="34"/>
  <c r="P2914" i="34"/>
  <c r="Q2914" i="34"/>
  <c r="U2914" i="34"/>
  <c r="Z2914" i="34"/>
  <c r="A2914" i="34"/>
  <c r="Z2923" i="34"/>
  <c r="O2923" i="34"/>
  <c r="W2923" i="34"/>
  <c r="P2923" i="34"/>
  <c r="Q2923" i="34"/>
  <c r="U2923" i="34"/>
  <c r="A2923" i="34"/>
  <c r="P3859" i="34"/>
  <c r="Q3859" i="34"/>
  <c r="U3859" i="34"/>
  <c r="Z3859" i="34"/>
  <c r="O3859" i="34"/>
  <c r="W3859" i="34"/>
  <c r="A3859" i="34"/>
  <c r="P4015" i="34"/>
  <c r="Q4015" i="34"/>
  <c r="U4015" i="34"/>
  <c r="Z4015" i="34"/>
  <c r="O4015" i="34"/>
  <c r="W4015" i="34"/>
  <c r="A4015" i="34"/>
  <c r="Z4021" i="34"/>
  <c r="O4021" i="34"/>
  <c r="W4021" i="34"/>
  <c r="P4021" i="34"/>
  <c r="Q4021" i="34"/>
  <c r="U4021" i="34"/>
  <c r="A4021" i="34"/>
  <c r="P4047" i="34"/>
  <c r="Q4047" i="34"/>
  <c r="U4047" i="34"/>
  <c r="Z4047" i="34"/>
  <c r="O4047" i="34"/>
  <c r="W4047" i="34"/>
  <c r="A4047" i="34"/>
  <c r="P4051" i="34"/>
  <c r="Q4051" i="34"/>
  <c r="U4051" i="34"/>
  <c r="Z4051" i="34"/>
  <c r="O4051" i="34"/>
  <c r="W4051" i="34"/>
  <c r="A4051" i="34"/>
  <c r="P4055" i="34"/>
  <c r="Q4055" i="34"/>
  <c r="U4055" i="34"/>
  <c r="Z4055" i="34"/>
  <c r="O4055" i="34"/>
  <c r="W4055" i="34"/>
  <c r="A4055" i="34"/>
  <c r="O4064" i="34"/>
  <c r="W4064" i="34"/>
  <c r="P4064" i="34"/>
  <c r="Q4064" i="34"/>
  <c r="U4064" i="34"/>
  <c r="Z4064" i="34"/>
  <c r="A4064" i="34"/>
  <c r="P4071" i="34"/>
  <c r="Q4071" i="34"/>
  <c r="U4071" i="34"/>
  <c r="Z4071" i="34"/>
  <c r="O4071" i="34"/>
  <c r="W4071" i="34"/>
  <c r="A4071" i="34"/>
  <c r="P4075" i="34"/>
  <c r="Q4075" i="34"/>
  <c r="U4075" i="34"/>
  <c r="Z4075" i="34"/>
  <c r="O4075" i="34"/>
  <c r="W4075" i="34"/>
  <c r="A4075" i="34"/>
  <c r="P4079" i="34"/>
  <c r="Q4079" i="34"/>
  <c r="U4079" i="34"/>
  <c r="Z4079" i="34"/>
  <c r="O4079" i="34"/>
  <c r="W4079" i="34"/>
  <c r="A4079" i="34"/>
  <c r="Z3801" i="34"/>
  <c r="O3801" i="34"/>
  <c r="W3801" i="34"/>
  <c r="P3801" i="34"/>
  <c r="Q3801" i="34"/>
  <c r="U3801" i="34"/>
  <c r="A3801" i="34"/>
  <c r="P3807" i="34"/>
  <c r="Q3807" i="34"/>
  <c r="U3807" i="34"/>
  <c r="Z3807" i="34"/>
  <c r="O3807" i="34"/>
  <c r="W3807" i="34"/>
  <c r="A3807" i="34"/>
  <c r="P3811" i="34"/>
  <c r="Q3811" i="34"/>
  <c r="U3811" i="34"/>
  <c r="Z3811" i="34"/>
  <c r="O3811" i="34"/>
  <c r="W3811" i="34"/>
  <c r="A3811" i="34"/>
  <c r="O586" i="34"/>
  <c r="W586" i="34"/>
  <c r="P586" i="34"/>
  <c r="Q586" i="34"/>
  <c r="U586" i="34"/>
  <c r="Z586" i="34"/>
  <c r="A586" i="34"/>
  <c r="Z4069" i="34"/>
  <c r="O4069" i="34"/>
  <c r="W4069" i="34"/>
  <c r="P4069" i="34"/>
  <c r="Q4069" i="34"/>
  <c r="U4069" i="34"/>
  <c r="A4069" i="34"/>
  <c r="Q592" i="34"/>
  <c r="U592" i="34"/>
  <c r="Z592" i="34"/>
  <c r="O592" i="34"/>
  <c r="W592" i="34"/>
  <c r="P592" i="34"/>
  <c r="A592" i="34"/>
  <c r="Q600" i="34"/>
  <c r="U600" i="34"/>
  <c r="Z600" i="34"/>
  <c r="O600" i="34"/>
  <c r="W600" i="34"/>
  <c r="P600" i="34"/>
  <c r="A600" i="34"/>
  <c r="P2805" i="34"/>
  <c r="Q2805" i="34"/>
  <c r="U2805" i="34"/>
  <c r="Z2805" i="34"/>
  <c r="O2805" i="34"/>
  <c r="W2805" i="34"/>
  <c r="A2805" i="34"/>
  <c r="Z2811" i="34"/>
  <c r="O2811" i="34"/>
  <c r="W2811" i="34"/>
  <c r="P2811" i="34"/>
  <c r="Q2811" i="34"/>
  <c r="U2811" i="34"/>
  <c r="A2811" i="34"/>
  <c r="Z2815" i="34"/>
  <c r="O2815" i="34"/>
  <c r="W2815" i="34"/>
  <c r="P2815" i="34"/>
  <c r="Q2815" i="34"/>
  <c r="U2815" i="34"/>
  <c r="A2815" i="34"/>
  <c r="Z2927" i="34"/>
  <c r="O2927" i="34"/>
  <c r="W2927" i="34"/>
  <c r="P2927" i="34"/>
  <c r="Q2927" i="34"/>
  <c r="U2927" i="34"/>
  <c r="A2927" i="34"/>
  <c r="P2758" i="34"/>
  <c r="Q2758" i="34"/>
  <c r="U2758" i="34"/>
  <c r="Z2758" i="34"/>
  <c r="O2758" i="34"/>
  <c r="W2758" i="34"/>
  <c r="A2758" i="34"/>
  <c r="P2762" i="34"/>
  <c r="Q2762" i="34"/>
  <c r="U2762" i="34"/>
  <c r="Z2762" i="34"/>
  <c r="O2762" i="34"/>
  <c r="W2762" i="34"/>
  <c r="A2762" i="34"/>
  <c r="P2766" i="34"/>
  <c r="Q2766" i="34"/>
  <c r="U2766" i="34"/>
  <c r="Z2766" i="34"/>
  <c r="O2766" i="34"/>
  <c r="W2766" i="34"/>
  <c r="A2766" i="34"/>
  <c r="P2770" i="34"/>
  <c r="Q2770" i="34"/>
  <c r="U2770" i="34"/>
  <c r="Z2770" i="34"/>
  <c r="O2770" i="34"/>
  <c r="W2770" i="34"/>
  <c r="A2770" i="34"/>
  <c r="Z2819" i="34"/>
  <c r="O2819" i="34"/>
  <c r="W2819" i="34"/>
  <c r="P2819" i="34"/>
  <c r="Q2819" i="34"/>
  <c r="U2819" i="34"/>
  <c r="A2819" i="34"/>
  <c r="Z2823" i="34"/>
  <c r="O2823" i="34"/>
  <c r="W2823" i="34"/>
  <c r="P2823" i="34"/>
  <c r="Q2823" i="34"/>
  <c r="U2823" i="34"/>
  <c r="A2823" i="34"/>
  <c r="O2862" i="34"/>
  <c r="W2862" i="34"/>
  <c r="P2862" i="34"/>
  <c r="Q2862" i="34"/>
  <c r="U2862" i="34"/>
  <c r="Z2862" i="34"/>
  <c r="A2862" i="34"/>
  <c r="Q2900" i="34"/>
  <c r="U2900" i="34"/>
  <c r="Z2900" i="34"/>
  <c r="O2900" i="34"/>
  <c r="W2900" i="34"/>
  <c r="P2900" i="34"/>
  <c r="A2900" i="34"/>
  <c r="P589" i="34"/>
  <c r="Q589" i="34"/>
  <c r="U589" i="34"/>
  <c r="Z589" i="34"/>
  <c r="O589" i="34"/>
  <c r="W589" i="34"/>
  <c r="A589" i="34"/>
  <c r="Q2721" i="34"/>
  <c r="U2721" i="34"/>
  <c r="Z2721" i="34"/>
  <c r="O2721" i="34"/>
  <c r="W2721" i="34"/>
  <c r="P2721" i="34"/>
  <c r="A2721" i="34"/>
  <c r="O2739" i="34"/>
  <c r="W2739" i="34"/>
  <c r="P2739" i="34"/>
  <c r="Q2739" i="34"/>
  <c r="U2739" i="34"/>
  <c r="Z2739" i="34"/>
  <c r="A2739" i="34"/>
  <c r="Q2725" i="34"/>
  <c r="U2725" i="34"/>
  <c r="Z2725" i="34"/>
  <c r="O2725" i="34"/>
  <c r="W2725" i="34"/>
  <c r="P2725" i="34"/>
  <c r="A2725" i="34"/>
  <c r="Q2729" i="34"/>
  <c r="U2729" i="34"/>
  <c r="Z2729" i="34"/>
  <c r="O2729" i="34"/>
  <c r="W2729" i="34"/>
  <c r="P2729" i="34"/>
  <c r="A2729" i="34"/>
  <c r="Q2733" i="34"/>
  <c r="U2733" i="34"/>
  <c r="Z2733" i="34"/>
  <c r="O2733" i="34"/>
  <c r="W2733" i="34"/>
  <c r="P2733" i="34"/>
  <c r="A2733" i="34"/>
  <c r="Z2740" i="34"/>
  <c r="O2740" i="34"/>
  <c r="W2740" i="34"/>
  <c r="P2740" i="34"/>
  <c r="Q2740" i="34"/>
  <c r="U2740" i="34"/>
  <c r="A2740" i="34"/>
  <c r="Z2744" i="34"/>
  <c r="O2744" i="34"/>
  <c r="W2744" i="34"/>
  <c r="P2744" i="34"/>
  <c r="Q2744" i="34"/>
  <c r="U2744" i="34"/>
  <c r="A2744" i="34"/>
  <c r="O2771" i="34"/>
  <c r="W2771" i="34"/>
  <c r="P2771" i="34"/>
  <c r="Q2771" i="34"/>
  <c r="U2771" i="34"/>
  <c r="Z2771" i="34"/>
  <c r="A2771" i="34"/>
  <c r="O2775" i="34"/>
  <c r="W2775" i="34"/>
  <c r="P2775" i="34"/>
  <c r="Q2775" i="34"/>
  <c r="U2775" i="34"/>
  <c r="Z2775" i="34"/>
  <c r="A2775" i="34"/>
  <c r="O2779" i="34"/>
  <c r="W2779" i="34"/>
  <c r="P2779" i="34"/>
  <c r="Q2779" i="34"/>
  <c r="U2779" i="34"/>
  <c r="Z2779" i="34"/>
  <c r="A2779" i="34"/>
  <c r="Z2752" i="34"/>
  <c r="O2752" i="34"/>
  <c r="W2752" i="34"/>
  <c r="P2752" i="34"/>
  <c r="Q2752" i="34"/>
  <c r="U2752" i="34"/>
  <c r="A2752" i="34"/>
  <c r="Z2756" i="34"/>
  <c r="O2756" i="34"/>
  <c r="W2756" i="34"/>
  <c r="P2756" i="34"/>
  <c r="Q2756" i="34"/>
  <c r="U2756" i="34"/>
  <c r="A2756" i="34"/>
  <c r="Q596" i="34"/>
  <c r="U596" i="34"/>
  <c r="Z596" i="34"/>
  <c r="O596" i="34"/>
  <c r="W596" i="34"/>
  <c r="P596" i="34"/>
  <c r="A596" i="34"/>
  <c r="O2783" i="34"/>
  <c r="W2783" i="34"/>
  <c r="P2783" i="34"/>
  <c r="Q2783" i="34"/>
  <c r="U2783" i="34"/>
  <c r="Z2783" i="34"/>
  <c r="A2783" i="34"/>
  <c r="O2787" i="34"/>
  <c r="W2787" i="34"/>
  <c r="P2787" i="34"/>
  <c r="Q2787" i="34"/>
  <c r="U2787" i="34"/>
  <c r="Z2787" i="34"/>
  <c r="A2787" i="34"/>
  <c r="O2791" i="34"/>
  <c r="W2791" i="34"/>
  <c r="P2791" i="34"/>
  <c r="Z2791" i="34"/>
  <c r="Q2791" i="34"/>
  <c r="U2791" i="34"/>
  <c r="A2791" i="34"/>
  <c r="Z2835" i="34"/>
  <c r="O2835" i="34"/>
  <c r="W2835" i="34"/>
  <c r="P2835" i="34"/>
  <c r="Q2835" i="34"/>
  <c r="U2835" i="34"/>
  <c r="A2835" i="34"/>
  <c r="Z2839" i="34"/>
  <c r="O2839" i="34"/>
  <c r="W2839" i="34"/>
  <c r="P2839" i="34"/>
  <c r="Q2839" i="34"/>
  <c r="U2839" i="34"/>
  <c r="A2839" i="34"/>
  <c r="Z2843" i="34"/>
  <c r="O2843" i="34"/>
  <c r="W2843" i="34"/>
  <c r="P2843" i="34"/>
  <c r="Q2843" i="34"/>
  <c r="U2843" i="34"/>
  <c r="A2843" i="34"/>
  <c r="Q3738" i="34"/>
  <c r="U3738" i="34"/>
  <c r="Z3738" i="34"/>
  <c r="O3738" i="34"/>
  <c r="W3738" i="34"/>
  <c r="P3738" i="34"/>
  <c r="A3738" i="34"/>
  <c r="Q3742" i="34"/>
  <c r="U3742" i="34"/>
  <c r="Z3742" i="34"/>
  <c r="O3742" i="34"/>
  <c r="W3742" i="34"/>
  <c r="P3742" i="34"/>
  <c r="A3742" i="34"/>
  <c r="Z2696" i="34"/>
  <c r="O2696" i="34"/>
  <c r="W2696" i="34"/>
  <c r="P2696" i="34"/>
  <c r="Q2696" i="34"/>
  <c r="U2696" i="34"/>
  <c r="A2696" i="34"/>
  <c r="Z2700" i="34"/>
  <c r="O2700" i="34"/>
  <c r="W2700" i="34"/>
  <c r="P2700" i="34"/>
  <c r="Q2700" i="34"/>
  <c r="U2700" i="34"/>
  <c r="A2700" i="34"/>
  <c r="R24" i="34"/>
  <c r="Z24" i="34"/>
  <c r="O24" i="34"/>
  <c r="S24" i="34"/>
  <c r="W24" i="34"/>
  <c r="P24" i="34"/>
  <c r="T24" i="34"/>
  <c r="Q24" i="34"/>
  <c r="U24" i="34"/>
  <c r="A24" i="34"/>
  <c r="R28" i="34"/>
  <c r="Z28" i="34"/>
  <c r="O28" i="34"/>
  <c r="S28" i="34"/>
  <c r="W28" i="34"/>
  <c r="P28" i="34"/>
  <c r="T28" i="34"/>
  <c r="Q28" i="34"/>
  <c r="U28" i="34"/>
  <c r="A28" i="34"/>
  <c r="Q33" i="34"/>
  <c r="U33" i="34"/>
  <c r="R33" i="34"/>
  <c r="Z33" i="34"/>
  <c r="O33" i="34"/>
  <c r="S33" i="34"/>
  <c r="W33" i="34"/>
  <c r="P33" i="34"/>
  <c r="T33" i="34"/>
  <c r="A33" i="34"/>
  <c r="R56" i="34"/>
  <c r="Z56" i="34"/>
  <c r="O56" i="34"/>
  <c r="S56" i="34"/>
  <c r="W56" i="34"/>
  <c r="P56" i="34"/>
  <c r="T56" i="34"/>
  <c r="Q56" i="34"/>
  <c r="U56" i="34"/>
  <c r="A56" i="34"/>
  <c r="P62" i="34"/>
  <c r="T62" i="34"/>
  <c r="Q62" i="34"/>
  <c r="U62" i="34"/>
  <c r="R62" i="34"/>
  <c r="Z62" i="34"/>
  <c r="O62" i="34"/>
  <c r="S62" i="34"/>
  <c r="W62" i="34"/>
  <c r="A62" i="34"/>
  <c r="O392" i="34"/>
  <c r="W392" i="34"/>
  <c r="P392" i="34"/>
  <c r="Q392" i="34"/>
  <c r="U392" i="34"/>
  <c r="Z392" i="34"/>
  <c r="A392" i="34"/>
  <c r="Q484" i="34"/>
  <c r="U484" i="34"/>
  <c r="Z484" i="34"/>
  <c r="O484" i="34"/>
  <c r="W484" i="34"/>
  <c r="P484" i="34"/>
  <c r="A484" i="34"/>
  <c r="Q572" i="34"/>
  <c r="U572" i="34"/>
  <c r="Z572" i="34"/>
  <c r="O572" i="34"/>
  <c r="W572" i="34"/>
  <c r="P572" i="34"/>
  <c r="A572" i="34"/>
  <c r="P605" i="34"/>
  <c r="Q605" i="34"/>
  <c r="U605" i="34"/>
  <c r="Z605" i="34"/>
  <c r="O605" i="34"/>
  <c r="W605" i="34"/>
  <c r="A605" i="34"/>
  <c r="P609" i="34"/>
  <c r="Q609" i="34"/>
  <c r="U609" i="34"/>
  <c r="Z609" i="34"/>
  <c r="O609" i="34"/>
  <c r="W609" i="34"/>
  <c r="A609" i="34"/>
  <c r="Q640" i="34"/>
  <c r="U640" i="34"/>
  <c r="Z640" i="34"/>
  <c r="O640" i="34"/>
  <c r="W640" i="34"/>
  <c r="P640" i="34"/>
  <c r="A640" i="34"/>
  <c r="P661" i="34"/>
  <c r="Q661" i="34"/>
  <c r="U661" i="34"/>
  <c r="Z661" i="34"/>
  <c r="O661" i="34"/>
  <c r="W661" i="34"/>
  <c r="A661" i="34"/>
  <c r="Q680" i="34"/>
  <c r="U680" i="34"/>
  <c r="Z680" i="34"/>
  <c r="O680" i="34"/>
  <c r="W680" i="34"/>
  <c r="P680" i="34"/>
  <c r="A680" i="34"/>
  <c r="Z479" i="34"/>
  <c r="O479" i="34"/>
  <c r="W479" i="34"/>
  <c r="P479" i="34"/>
  <c r="Q479" i="34"/>
  <c r="U479" i="34"/>
  <c r="A479" i="34"/>
  <c r="Z543" i="34"/>
  <c r="O543" i="34"/>
  <c r="W543" i="34"/>
  <c r="P543" i="34"/>
  <c r="Q543" i="34"/>
  <c r="U543" i="34"/>
  <c r="A543" i="34"/>
  <c r="Z567" i="34"/>
  <c r="O567" i="34"/>
  <c r="W567" i="34"/>
  <c r="P567" i="34"/>
  <c r="Q567" i="34"/>
  <c r="U567" i="34"/>
  <c r="A567" i="34"/>
  <c r="O3816" i="34"/>
  <c r="W3816" i="34"/>
  <c r="P3816" i="34"/>
  <c r="Q3816" i="34"/>
  <c r="U3816" i="34"/>
  <c r="Z3816" i="34"/>
  <c r="A3816" i="34"/>
  <c r="Z3821" i="34"/>
  <c r="O3821" i="34"/>
  <c r="W3821" i="34"/>
  <c r="P3821" i="34"/>
  <c r="Q3821" i="34"/>
  <c r="U3821" i="34"/>
  <c r="A3821" i="34"/>
  <c r="Z3893" i="34"/>
  <c r="O3893" i="34"/>
  <c r="W3893" i="34"/>
  <c r="P3893" i="34"/>
  <c r="Q3893" i="34"/>
  <c r="U3893" i="34"/>
  <c r="A3893" i="34"/>
  <c r="Z3897" i="34"/>
  <c r="O3897" i="34"/>
  <c r="W3897" i="34"/>
  <c r="P3897" i="34"/>
  <c r="Q3897" i="34"/>
  <c r="U3897" i="34"/>
  <c r="A3897" i="34"/>
  <c r="Z3901" i="34"/>
  <c r="O3901" i="34"/>
  <c r="W3901" i="34"/>
  <c r="P3901" i="34"/>
  <c r="Q3901" i="34"/>
  <c r="U3901" i="34"/>
  <c r="A3901" i="34"/>
  <c r="Z3905" i="34"/>
  <c r="O3905" i="34"/>
  <c r="W3905" i="34"/>
  <c r="P3905" i="34"/>
  <c r="Q3905" i="34"/>
  <c r="U3905" i="34"/>
  <c r="A3905" i="34"/>
  <c r="Z3909" i="34"/>
  <c r="O3909" i="34"/>
  <c r="W3909" i="34"/>
  <c r="P3909" i="34"/>
  <c r="Q3909" i="34"/>
  <c r="U3909" i="34"/>
  <c r="A3909" i="34"/>
  <c r="Z3913" i="34"/>
  <c r="O3913" i="34"/>
  <c r="W3913" i="34"/>
  <c r="P3913" i="34"/>
  <c r="Q3913" i="34"/>
  <c r="U3913" i="34"/>
  <c r="A3913" i="34"/>
  <c r="Z3917" i="34"/>
  <c r="O3917" i="34"/>
  <c r="W3917" i="34"/>
  <c r="P3917" i="34"/>
  <c r="Q3917" i="34"/>
  <c r="U3917" i="34"/>
  <c r="A3917" i="34"/>
  <c r="O233" i="34"/>
  <c r="S233" i="34"/>
  <c r="W233" i="34"/>
  <c r="P233" i="34"/>
  <c r="T233" i="34"/>
  <c r="Q233" i="34"/>
  <c r="U233" i="34"/>
  <c r="R233" i="34"/>
  <c r="Z233" i="34"/>
  <c r="A233" i="34"/>
  <c r="Q239" i="34"/>
  <c r="U239" i="34"/>
  <c r="O239" i="34"/>
  <c r="T239" i="34"/>
  <c r="P239" i="34"/>
  <c r="Z239" i="34"/>
  <c r="R239" i="34"/>
  <c r="W239" i="34"/>
  <c r="S239" i="34"/>
  <c r="A239" i="34"/>
  <c r="R243" i="34"/>
  <c r="Z243" i="34"/>
  <c r="O243" i="34"/>
  <c r="S243" i="34"/>
  <c r="W243" i="34"/>
  <c r="P243" i="34"/>
  <c r="T243" i="34"/>
  <c r="Q243" i="34"/>
  <c r="U243" i="34"/>
  <c r="A243" i="34"/>
  <c r="R247" i="34"/>
  <c r="Z247" i="34"/>
  <c r="O247" i="34"/>
  <c r="S247" i="34"/>
  <c r="W247" i="34"/>
  <c r="P247" i="34"/>
  <c r="T247" i="34"/>
  <c r="Q247" i="34"/>
  <c r="U247" i="34"/>
  <c r="A247" i="34"/>
  <c r="Q252" i="34"/>
  <c r="U252" i="34"/>
  <c r="R252" i="34"/>
  <c r="Z252" i="34"/>
  <c r="O252" i="34"/>
  <c r="S252" i="34"/>
  <c r="W252" i="34"/>
  <c r="P252" i="34"/>
  <c r="T252" i="34"/>
  <c r="A252" i="34"/>
  <c r="Q256" i="34"/>
  <c r="U256" i="34"/>
  <c r="R256" i="34"/>
  <c r="Z256" i="34"/>
  <c r="O256" i="34"/>
  <c r="S256" i="34"/>
  <c r="W256" i="34"/>
  <c r="P256" i="34"/>
  <c r="T256" i="34"/>
  <c r="A256" i="34"/>
  <c r="O262" i="34"/>
  <c r="S262" i="34"/>
  <c r="W262" i="34"/>
  <c r="P262" i="34"/>
  <c r="T262" i="34"/>
  <c r="Q262" i="34"/>
  <c r="U262" i="34"/>
  <c r="R262" i="34"/>
  <c r="Z262" i="34"/>
  <c r="A262" i="34"/>
  <c r="Q2936" i="34"/>
  <c r="U2936" i="34"/>
  <c r="Z2936" i="34"/>
  <c r="O2936" i="34"/>
  <c r="W2936" i="34"/>
  <c r="P2936" i="34"/>
  <c r="A2936" i="34"/>
  <c r="P4027" i="34"/>
  <c r="Q4027" i="34"/>
  <c r="U4027" i="34"/>
  <c r="Z4027" i="34"/>
  <c r="O4027" i="34"/>
  <c r="W4027" i="34"/>
  <c r="A4027" i="34"/>
  <c r="P4031" i="34"/>
  <c r="Q4031" i="34"/>
  <c r="U4031" i="34"/>
  <c r="Z4031" i="34"/>
  <c r="O4031" i="34"/>
  <c r="W4031" i="34"/>
  <c r="A4031" i="34"/>
  <c r="O4084" i="34"/>
  <c r="W4084" i="34"/>
  <c r="P4084" i="34"/>
  <c r="Q4084" i="34"/>
  <c r="U4084" i="34"/>
  <c r="Z4084" i="34"/>
  <c r="A4084" i="34"/>
  <c r="O4088" i="34"/>
  <c r="W4088" i="34"/>
  <c r="P4088" i="34"/>
  <c r="Q4088" i="34"/>
  <c r="U4088" i="34"/>
  <c r="Z4088" i="34"/>
  <c r="A4088" i="34"/>
  <c r="Z2943" i="34"/>
  <c r="O2943" i="34"/>
  <c r="W2943" i="34"/>
  <c r="P2943" i="34"/>
  <c r="Q2943" i="34"/>
  <c r="U2943" i="34"/>
  <c r="A2943" i="34"/>
  <c r="Z2951" i="34"/>
  <c r="O2951" i="34"/>
  <c r="W2951" i="34"/>
  <c r="P2951" i="34"/>
  <c r="Q2951" i="34"/>
  <c r="U2951" i="34"/>
  <c r="A2951" i="34"/>
  <c r="Z2955" i="34"/>
  <c r="O2955" i="34"/>
  <c r="W2955" i="34"/>
  <c r="P2955" i="34"/>
  <c r="Q2955" i="34"/>
  <c r="U2955" i="34"/>
  <c r="A2955" i="34"/>
  <c r="Z2959" i="34"/>
  <c r="O2959" i="34"/>
  <c r="W2959" i="34"/>
  <c r="P2959" i="34"/>
  <c r="Q2959" i="34"/>
  <c r="U2959" i="34"/>
  <c r="A2959" i="34"/>
  <c r="Z2963" i="34"/>
  <c r="O2963" i="34"/>
  <c r="W2963" i="34"/>
  <c r="P2963" i="34"/>
  <c r="Q2963" i="34"/>
  <c r="U2963" i="34"/>
  <c r="A2963" i="34"/>
  <c r="Q3794" i="34"/>
  <c r="U3794" i="34"/>
  <c r="Z3794" i="34"/>
  <c r="O3794" i="34"/>
  <c r="W3794" i="34"/>
  <c r="P3794" i="34"/>
  <c r="A3794" i="34"/>
  <c r="Q3798" i="34"/>
  <c r="U3798" i="34"/>
  <c r="Z3798" i="34"/>
  <c r="O3798" i="34"/>
  <c r="W3798" i="34"/>
  <c r="P3798" i="34"/>
  <c r="A3798" i="34"/>
  <c r="O3864" i="34"/>
  <c r="W3864" i="34"/>
  <c r="P3864" i="34"/>
  <c r="Q3864" i="34"/>
  <c r="U3864" i="34"/>
  <c r="Z3864" i="34"/>
  <c r="A3864" i="34"/>
  <c r="O3868" i="34"/>
  <c r="W3868" i="34"/>
  <c r="P3868" i="34"/>
  <c r="Q3868" i="34"/>
  <c r="U3868" i="34"/>
  <c r="Z3868" i="34"/>
  <c r="A3868" i="34"/>
  <c r="O3872" i="34"/>
  <c r="W3872" i="34"/>
  <c r="P3872" i="34"/>
  <c r="Q3872" i="34"/>
  <c r="U3872" i="34"/>
  <c r="Z3872" i="34"/>
  <c r="A3872" i="34"/>
  <c r="O3876" i="34"/>
  <c r="W3876" i="34"/>
  <c r="P3876" i="34"/>
  <c r="Q3876" i="34"/>
  <c r="U3876" i="34"/>
  <c r="Z3876" i="34"/>
  <c r="A3876" i="34"/>
  <c r="O3880" i="34"/>
  <c r="W3880" i="34"/>
  <c r="P3880" i="34"/>
  <c r="Q3880" i="34"/>
  <c r="U3880" i="34"/>
  <c r="Z3880" i="34"/>
  <c r="A3880" i="34"/>
  <c r="O3884" i="34"/>
  <c r="W3884" i="34"/>
  <c r="P3884" i="34"/>
  <c r="Q3884" i="34"/>
  <c r="U3884" i="34"/>
  <c r="Z3884" i="34"/>
  <c r="A3884" i="34"/>
  <c r="O3888" i="34"/>
  <c r="W3888" i="34"/>
  <c r="P3888" i="34"/>
  <c r="Q3888" i="34"/>
  <c r="U3888" i="34"/>
  <c r="Z3888" i="34"/>
  <c r="A3888" i="34"/>
  <c r="Q2872" i="34"/>
  <c r="U2872" i="34"/>
  <c r="Z2872" i="34"/>
  <c r="O2872" i="34"/>
  <c r="W2872" i="34"/>
  <c r="P2872" i="34"/>
  <c r="A2872" i="34"/>
  <c r="Q2876" i="34"/>
  <c r="U2876" i="34"/>
  <c r="Z2876" i="34"/>
  <c r="O2876" i="34"/>
  <c r="W2876" i="34"/>
  <c r="P2876" i="34"/>
  <c r="A2876" i="34"/>
  <c r="Q2880" i="34"/>
  <c r="U2880" i="34"/>
  <c r="Z2880" i="34"/>
  <c r="O2880" i="34"/>
  <c r="W2880" i="34"/>
  <c r="P2880" i="34"/>
  <c r="A2880" i="34"/>
  <c r="Z2903" i="34"/>
  <c r="O2903" i="34"/>
  <c r="W2903" i="34"/>
  <c r="P2903" i="34"/>
  <c r="Q2903" i="34"/>
  <c r="U2903" i="34"/>
  <c r="A2903" i="34"/>
  <c r="Z2907" i="34"/>
  <c r="O2907" i="34"/>
  <c r="W2907" i="34"/>
  <c r="P2907" i="34"/>
  <c r="Q2907" i="34"/>
  <c r="U2907" i="34"/>
  <c r="A2907" i="34"/>
  <c r="P597" i="34"/>
  <c r="Q597" i="34"/>
  <c r="U597" i="34"/>
  <c r="Z597" i="34"/>
  <c r="O597" i="34"/>
  <c r="W597" i="34"/>
  <c r="A597" i="34"/>
  <c r="O2795" i="34"/>
  <c r="W2795" i="34"/>
  <c r="P2795" i="34"/>
  <c r="Z2795" i="34"/>
  <c r="Q2795" i="34"/>
  <c r="U2795" i="34"/>
  <c r="A2795" i="34"/>
  <c r="O2799" i="34"/>
  <c r="W2799" i="34"/>
  <c r="P2799" i="34"/>
  <c r="Z2799" i="34"/>
  <c r="Q2799" i="34"/>
  <c r="U2799" i="34"/>
  <c r="A2799" i="34"/>
  <c r="O2803" i="34"/>
  <c r="W2803" i="34"/>
  <c r="P2803" i="34"/>
  <c r="Z2803" i="34"/>
  <c r="Q2803" i="34"/>
  <c r="U2803" i="34"/>
  <c r="A2803" i="34"/>
  <c r="P2849" i="34"/>
  <c r="Q2849" i="34"/>
  <c r="U2849" i="34"/>
  <c r="Z2849" i="34"/>
  <c r="O2849" i="34"/>
  <c r="W2849" i="34"/>
  <c r="A2849" i="34"/>
  <c r="P2853" i="34"/>
  <c r="Q2853" i="34"/>
  <c r="U2853" i="34"/>
  <c r="Z2853" i="34"/>
  <c r="O2853" i="34"/>
  <c r="W2853" i="34"/>
  <c r="A2853" i="34"/>
  <c r="P2857" i="34"/>
  <c r="Q2857" i="34"/>
  <c r="U2857" i="34"/>
  <c r="Z2857" i="34"/>
  <c r="O2857" i="34"/>
  <c r="W2857" i="34"/>
  <c r="A2857" i="34"/>
  <c r="O2882" i="34"/>
  <c r="W2882" i="34"/>
  <c r="P2882" i="34"/>
  <c r="Q2882" i="34"/>
  <c r="U2882" i="34"/>
  <c r="Z2882" i="34"/>
  <c r="A2882" i="34"/>
  <c r="O2886" i="34"/>
  <c r="W2886" i="34"/>
  <c r="P2886" i="34"/>
  <c r="Q2886" i="34"/>
  <c r="U2886" i="34"/>
  <c r="Z2886" i="34"/>
  <c r="A2886" i="34"/>
  <c r="O2890" i="34"/>
  <c r="W2890" i="34"/>
  <c r="P2890" i="34"/>
  <c r="Q2890" i="34"/>
  <c r="U2890" i="34"/>
  <c r="Z2890" i="34"/>
  <c r="A2890" i="34"/>
  <c r="Z2911" i="34"/>
  <c r="O2911" i="34"/>
  <c r="W2911" i="34"/>
  <c r="P2911" i="34"/>
  <c r="Q2911" i="34"/>
  <c r="U2911" i="34"/>
  <c r="A2911" i="34"/>
  <c r="Z2915" i="34"/>
  <c r="O2915" i="34"/>
  <c r="W2915" i="34"/>
  <c r="P2915" i="34"/>
  <c r="Q2915" i="34"/>
  <c r="U2915" i="34"/>
  <c r="A2915" i="34"/>
  <c r="Z2935" i="34"/>
  <c r="O2935" i="34"/>
  <c r="W2935" i="34"/>
  <c r="P2935" i="34"/>
  <c r="Q2935" i="34"/>
  <c r="U2935" i="34"/>
  <c r="A2935" i="34"/>
  <c r="O3860" i="34"/>
  <c r="W3860" i="34"/>
  <c r="P3860" i="34"/>
  <c r="Q3860" i="34"/>
  <c r="U3860" i="34"/>
  <c r="Z3860" i="34"/>
  <c r="A3860" i="34"/>
  <c r="O4016" i="34"/>
  <c r="W4016" i="34"/>
  <c r="P4016" i="34"/>
  <c r="Q4016" i="34"/>
  <c r="U4016" i="34"/>
  <c r="Z4016" i="34"/>
  <c r="A4016" i="34"/>
  <c r="Q4022" i="34"/>
  <c r="U4022" i="34"/>
  <c r="Z4022" i="34"/>
  <c r="O4022" i="34"/>
  <c r="W4022" i="34"/>
  <c r="P4022" i="34"/>
  <c r="A4022" i="34"/>
  <c r="O4048" i="34"/>
  <c r="W4048" i="34"/>
  <c r="P4048" i="34"/>
  <c r="Q4048" i="34"/>
  <c r="U4048" i="34"/>
  <c r="Z4048" i="34"/>
  <c r="A4048" i="34"/>
  <c r="O4052" i="34"/>
  <c r="W4052" i="34"/>
  <c r="P4052" i="34"/>
  <c r="Q4052" i="34"/>
  <c r="U4052" i="34"/>
  <c r="Z4052" i="34"/>
  <c r="A4052" i="34"/>
  <c r="Z4061" i="34"/>
  <c r="O4061" i="34"/>
  <c r="W4061" i="34"/>
  <c r="P4061" i="34"/>
  <c r="Q4061" i="34"/>
  <c r="U4061" i="34"/>
  <c r="A4061" i="34"/>
  <c r="Z4065" i="34"/>
  <c r="O4065" i="34"/>
  <c r="W4065" i="34"/>
  <c r="P4065" i="34"/>
  <c r="Q4065" i="34"/>
  <c r="U4065" i="34"/>
  <c r="A4065" i="34"/>
  <c r="O4072" i="34"/>
  <c r="W4072" i="34"/>
  <c r="P4072" i="34"/>
  <c r="Q4072" i="34"/>
  <c r="U4072" i="34"/>
  <c r="Z4072" i="34"/>
  <c r="A4072" i="34"/>
  <c r="O4076" i="34"/>
  <c r="W4076" i="34"/>
  <c r="P4076" i="34"/>
  <c r="Q4076" i="34"/>
  <c r="U4076" i="34"/>
  <c r="Z4076" i="34"/>
  <c r="A4076" i="34"/>
  <c r="O4080" i="34"/>
  <c r="W4080" i="34"/>
  <c r="P4080" i="34"/>
  <c r="Q4080" i="34"/>
  <c r="U4080" i="34"/>
  <c r="Z4080" i="34"/>
  <c r="A4080" i="34"/>
  <c r="O3804" i="34"/>
  <c r="W3804" i="34"/>
  <c r="P3804" i="34"/>
  <c r="Q3804" i="34"/>
  <c r="U3804" i="34"/>
  <c r="Z3804" i="34"/>
  <c r="A3804" i="34"/>
  <c r="O3808" i="34"/>
  <c r="W3808" i="34"/>
  <c r="P3808" i="34"/>
  <c r="Q3808" i="34"/>
  <c r="U3808" i="34"/>
  <c r="Z3808" i="34"/>
  <c r="A3808" i="34"/>
  <c r="O3812" i="34"/>
  <c r="W3812" i="34"/>
  <c r="P3812" i="34"/>
  <c r="Q3812" i="34"/>
  <c r="U3812" i="34"/>
  <c r="Z3812" i="34"/>
  <c r="A3812" i="34"/>
  <c r="Q2928" i="34"/>
  <c r="U2928" i="34"/>
  <c r="Z2928" i="34"/>
  <c r="O2928" i="34"/>
  <c r="W2928" i="34"/>
  <c r="P2928" i="34"/>
  <c r="A2928" i="34"/>
  <c r="O4478" i="34"/>
  <c r="W4478" i="34"/>
  <c r="P4478" i="34"/>
  <c r="Q4478" i="34"/>
  <c r="U4478" i="34"/>
  <c r="Z4478" i="34"/>
  <c r="A4478" i="34"/>
  <c r="P593" i="34"/>
  <c r="Q593" i="34"/>
  <c r="U593" i="34"/>
  <c r="Z593" i="34"/>
  <c r="O593" i="34"/>
  <c r="W593" i="34"/>
  <c r="A593" i="34"/>
  <c r="P601" i="34"/>
  <c r="Q601" i="34"/>
  <c r="U601" i="34"/>
  <c r="Z601" i="34"/>
  <c r="O601" i="34"/>
  <c r="W601" i="34"/>
  <c r="A601" i="34"/>
  <c r="O2806" i="34"/>
  <c r="W2806" i="34"/>
  <c r="P2806" i="34"/>
  <c r="Q2806" i="34"/>
  <c r="U2806" i="34"/>
  <c r="Z2806" i="34"/>
  <c r="A2806" i="34"/>
  <c r="Q2812" i="34"/>
  <c r="U2812" i="34"/>
  <c r="Z2812" i="34"/>
  <c r="O2812" i="34"/>
  <c r="W2812" i="34"/>
  <c r="P2812" i="34"/>
  <c r="A2812" i="34"/>
  <c r="Q2924" i="34"/>
  <c r="U2924" i="34"/>
  <c r="Z2924" i="34"/>
  <c r="O2924" i="34"/>
  <c r="W2924" i="34"/>
  <c r="P2924" i="34"/>
  <c r="A2924" i="34"/>
  <c r="Z2931" i="34"/>
  <c r="O2931" i="34"/>
  <c r="W2931" i="34"/>
  <c r="P2931" i="34"/>
  <c r="Q2931" i="34"/>
  <c r="U2931" i="34"/>
  <c r="A2931" i="34"/>
  <c r="O2759" i="34"/>
  <c r="W2759" i="34"/>
  <c r="P2759" i="34"/>
  <c r="Q2759" i="34"/>
  <c r="U2759" i="34"/>
  <c r="Z2759" i="34"/>
  <c r="A2759" i="34"/>
  <c r="O2763" i="34"/>
  <c r="W2763" i="34"/>
  <c r="P2763" i="34"/>
  <c r="Q2763" i="34"/>
  <c r="U2763" i="34"/>
  <c r="Z2763" i="34"/>
  <c r="A2763" i="34"/>
  <c r="O2767" i="34"/>
  <c r="W2767" i="34"/>
  <c r="P2767" i="34"/>
  <c r="Q2767" i="34"/>
  <c r="U2767" i="34"/>
  <c r="Z2767" i="34"/>
  <c r="A2767" i="34"/>
  <c r="Q2816" i="34"/>
  <c r="U2816" i="34"/>
  <c r="Z2816" i="34"/>
  <c r="O2816" i="34"/>
  <c r="W2816" i="34"/>
  <c r="P2816" i="34"/>
  <c r="A2816" i="34"/>
  <c r="Q2820" i="34"/>
  <c r="U2820" i="34"/>
  <c r="Z2820" i="34"/>
  <c r="O2820" i="34"/>
  <c r="W2820" i="34"/>
  <c r="P2820" i="34"/>
  <c r="A2820" i="34"/>
  <c r="Q2824" i="34"/>
  <c r="U2824" i="34"/>
  <c r="Z2824" i="34"/>
  <c r="O2824" i="34"/>
  <c r="W2824" i="34"/>
  <c r="P2824" i="34"/>
  <c r="A2824" i="34"/>
  <c r="O2870" i="34"/>
  <c r="W2870" i="34"/>
  <c r="P2870" i="34"/>
  <c r="Q2870" i="34"/>
  <c r="U2870" i="34"/>
  <c r="Z2870" i="34"/>
  <c r="A2870" i="34"/>
  <c r="P2917" i="34"/>
  <c r="Q2917" i="34"/>
  <c r="U2917" i="34"/>
  <c r="Z2917" i="34"/>
  <c r="O2917" i="34"/>
  <c r="W2917" i="34"/>
  <c r="A2917" i="34"/>
  <c r="O590" i="34"/>
  <c r="W590" i="34"/>
  <c r="P590" i="34"/>
  <c r="Q590" i="34"/>
  <c r="U590" i="34"/>
  <c r="Z590" i="34"/>
  <c r="A590" i="34"/>
  <c r="O594" i="34"/>
  <c r="W594" i="34"/>
  <c r="P594" i="34"/>
  <c r="Q594" i="34"/>
  <c r="U594" i="34"/>
  <c r="Z594" i="34"/>
  <c r="A594" i="34"/>
  <c r="P2722" i="34"/>
  <c r="Q2722" i="34"/>
  <c r="U2722" i="34"/>
  <c r="Z2722" i="34"/>
  <c r="O2722" i="34"/>
  <c r="W2722" i="34"/>
  <c r="A2722" i="34"/>
  <c r="P2726" i="34"/>
  <c r="Q2726" i="34"/>
  <c r="U2726" i="34"/>
  <c r="Z2726" i="34"/>
  <c r="O2726" i="34"/>
  <c r="W2726" i="34"/>
  <c r="A2726" i="34"/>
  <c r="P2730" i="34"/>
  <c r="Q2730" i="34"/>
  <c r="U2730" i="34"/>
  <c r="Z2730" i="34"/>
  <c r="O2730" i="34"/>
  <c r="W2730" i="34"/>
  <c r="A2730" i="34"/>
  <c r="P2734" i="34"/>
  <c r="Q2734" i="34"/>
  <c r="U2734" i="34"/>
  <c r="Z2734" i="34"/>
  <c r="O2734" i="34"/>
  <c r="W2734" i="34"/>
  <c r="A2734" i="34"/>
  <c r="Q2741" i="34"/>
  <c r="U2741" i="34"/>
  <c r="Z2741" i="34"/>
  <c r="O2741" i="34"/>
  <c r="W2741" i="34"/>
  <c r="P2741" i="34"/>
  <c r="A2741" i="34"/>
  <c r="Q2745" i="34"/>
  <c r="U2745" i="34"/>
  <c r="Z2745" i="34"/>
  <c r="O2745" i="34"/>
  <c r="W2745" i="34"/>
  <c r="P2745" i="34"/>
  <c r="A2745" i="34"/>
  <c r="Z2772" i="34"/>
  <c r="O2772" i="34"/>
  <c r="W2772" i="34"/>
  <c r="P2772" i="34"/>
  <c r="Q2772" i="34"/>
  <c r="U2772" i="34"/>
  <c r="A2772" i="34"/>
  <c r="Z2776" i="34"/>
  <c r="O2776" i="34"/>
  <c r="W2776" i="34"/>
  <c r="P2776" i="34"/>
  <c r="Q2776" i="34"/>
  <c r="U2776" i="34"/>
  <c r="A2776" i="34"/>
  <c r="Z2780" i="34"/>
  <c r="O2780" i="34"/>
  <c r="W2780" i="34"/>
  <c r="P2780" i="34"/>
  <c r="Q2780" i="34"/>
  <c r="U2780" i="34"/>
  <c r="A2780" i="34"/>
  <c r="Q2753" i="34"/>
  <c r="U2753" i="34"/>
  <c r="Z2753" i="34"/>
  <c r="O2753" i="34"/>
  <c r="W2753" i="34"/>
  <c r="P2753" i="34"/>
  <c r="A2753" i="34"/>
  <c r="Q2757" i="34"/>
  <c r="U2757" i="34"/>
  <c r="Z2757" i="34"/>
  <c r="O2757" i="34"/>
  <c r="W2757" i="34"/>
  <c r="P2757" i="34"/>
  <c r="A2757" i="34"/>
  <c r="Z2748" i="34"/>
  <c r="O2748" i="34"/>
  <c r="W2748" i="34"/>
  <c r="P2748" i="34"/>
  <c r="Q2748" i="34"/>
  <c r="U2748" i="34"/>
  <c r="A2748" i="34"/>
  <c r="Z2784" i="34"/>
  <c r="O2784" i="34"/>
  <c r="W2784" i="34"/>
  <c r="P2784" i="34"/>
  <c r="Q2784" i="34"/>
  <c r="U2784" i="34"/>
  <c r="A2784" i="34"/>
  <c r="Z2788" i="34"/>
  <c r="O2788" i="34"/>
  <c r="W2788" i="34"/>
  <c r="P2788" i="34"/>
  <c r="Q2788" i="34"/>
  <c r="U2788" i="34"/>
  <c r="A2788" i="34"/>
  <c r="Z2792" i="34"/>
  <c r="O2792" i="34"/>
  <c r="W2792" i="34"/>
  <c r="Q2792" i="34"/>
  <c r="U2792" i="34"/>
  <c r="P2792" i="34"/>
  <c r="A2792" i="34"/>
  <c r="Q2836" i="34"/>
  <c r="U2836" i="34"/>
  <c r="Z2836" i="34"/>
  <c r="O2836" i="34"/>
  <c r="W2836" i="34"/>
  <c r="P2836" i="34"/>
  <c r="A2836" i="34"/>
  <c r="Q2840" i="34"/>
  <c r="U2840" i="34"/>
  <c r="Z2840" i="34"/>
  <c r="O2840" i="34"/>
  <c r="W2840" i="34"/>
  <c r="P2840" i="34"/>
  <c r="A2840" i="34"/>
  <c r="P3711" i="34"/>
  <c r="Q3711" i="34"/>
  <c r="U3711" i="34"/>
  <c r="Z3711" i="34"/>
  <c r="O3711" i="34"/>
  <c r="W3711" i="34"/>
  <c r="A3711" i="34"/>
  <c r="P3739" i="34"/>
  <c r="Q3739" i="34"/>
  <c r="U3739" i="34"/>
  <c r="Z3739" i="34"/>
  <c r="O3739" i="34"/>
  <c r="W3739" i="34"/>
  <c r="A3739" i="34"/>
  <c r="P3743" i="34"/>
  <c r="Q3743" i="34"/>
  <c r="U3743" i="34"/>
  <c r="Z3743" i="34"/>
  <c r="O3743" i="34"/>
  <c r="W3743" i="34"/>
  <c r="A3743" i="34"/>
  <c r="Q2697" i="34"/>
  <c r="U2697" i="34"/>
  <c r="Z2697" i="34"/>
  <c r="O2697" i="34"/>
  <c r="W2697" i="34"/>
  <c r="P2697" i="34"/>
  <c r="A2697" i="34"/>
  <c r="Q2701" i="34"/>
  <c r="U2701" i="34"/>
  <c r="Z2701" i="34"/>
  <c r="O2701" i="34"/>
  <c r="W2701" i="34"/>
  <c r="P2701" i="34"/>
  <c r="A2701" i="34"/>
  <c r="Q25" i="34"/>
  <c r="U25" i="34"/>
  <c r="R25" i="34"/>
  <c r="Z25" i="34"/>
  <c r="O25" i="34"/>
  <c r="S25" i="34"/>
  <c r="W25" i="34"/>
  <c r="P25" i="34"/>
  <c r="T25" i="34"/>
  <c r="A25" i="34"/>
  <c r="Q29" i="34"/>
  <c r="U29" i="34"/>
  <c r="R29" i="34"/>
  <c r="Z29" i="34"/>
  <c r="O29" i="34"/>
  <c r="S29" i="34"/>
  <c r="W29" i="34"/>
  <c r="P29" i="34"/>
  <c r="T29" i="34"/>
  <c r="A29" i="34"/>
  <c r="P34" i="34"/>
  <c r="T34" i="34"/>
  <c r="Q34" i="34"/>
  <c r="U34" i="34"/>
  <c r="R34" i="34"/>
  <c r="Z34" i="34"/>
  <c r="O34" i="34"/>
  <c r="S34" i="34"/>
  <c r="W34" i="34"/>
  <c r="A34" i="34"/>
  <c r="Q57" i="34"/>
  <c r="U57" i="34"/>
  <c r="R57" i="34"/>
  <c r="Z57" i="34"/>
  <c r="O57" i="34"/>
  <c r="S57" i="34"/>
  <c r="W57" i="34"/>
  <c r="P57" i="34"/>
  <c r="T57" i="34"/>
  <c r="A57" i="34"/>
  <c r="O63" i="34"/>
  <c r="S63" i="34"/>
  <c r="W63" i="34"/>
  <c r="P63" i="34"/>
  <c r="T63" i="34"/>
  <c r="Q63" i="34"/>
  <c r="U63" i="34"/>
  <c r="R63" i="34"/>
  <c r="Z63" i="34"/>
  <c r="A63" i="34"/>
  <c r="O494" i="34"/>
  <c r="W494" i="34"/>
  <c r="P494" i="34"/>
  <c r="Q494" i="34"/>
  <c r="U494" i="34"/>
  <c r="Z494" i="34"/>
  <c r="A494" i="34"/>
  <c r="P485" i="34"/>
  <c r="Q485" i="34"/>
  <c r="U485" i="34"/>
  <c r="Z485" i="34"/>
  <c r="O485" i="34"/>
  <c r="W485" i="34"/>
  <c r="A485" i="34"/>
  <c r="P573" i="34"/>
  <c r="Q573" i="34"/>
  <c r="U573" i="34"/>
  <c r="Z573" i="34"/>
  <c r="O573" i="34"/>
  <c r="W573" i="34"/>
  <c r="A573" i="34"/>
  <c r="O606" i="34"/>
  <c r="W606" i="34"/>
  <c r="P606" i="34"/>
  <c r="Q606" i="34"/>
  <c r="U606" i="34"/>
  <c r="Z606" i="34"/>
  <c r="A606" i="34"/>
  <c r="P637" i="34"/>
  <c r="Q637" i="34"/>
  <c r="U637" i="34"/>
  <c r="Z637" i="34"/>
  <c r="O637" i="34"/>
  <c r="W637" i="34"/>
  <c r="A637" i="34"/>
  <c r="P641" i="34"/>
  <c r="Q641" i="34"/>
  <c r="U641" i="34"/>
  <c r="Z641" i="34"/>
  <c r="O641" i="34"/>
  <c r="W641" i="34"/>
  <c r="A641" i="34"/>
  <c r="P677" i="34"/>
  <c r="Q677" i="34"/>
  <c r="U677" i="34"/>
  <c r="Z677" i="34"/>
  <c r="O677" i="34"/>
  <c r="W677" i="34"/>
  <c r="A677" i="34"/>
  <c r="P681" i="34"/>
  <c r="Q681" i="34"/>
  <c r="U681" i="34"/>
  <c r="Z681" i="34"/>
  <c r="O681" i="34"/>
  <c r="W681" i="34"/>
  <c r="A681" i="34"/>
  <c r="Q540" i="34"/>
  <c r="U540" i="34"/>
  <c r="Z540" i="34"/>
  <c r="O540" i="34"/>
  <c r="W540" i="34"/>
  <c r="P540" i="34"/>
  <c r="A540" i="34"/>
  <c r="Q544" i="34"/>
  <c r="U544" i="34"/>
  <c r="Z544" i="34"/>
  <c r="O544" i="34"/>
  <c r="W544" i="34"/>
  <c r="P544" i="34"/>
  <c r="A544" i="34"/>
  <c r="Q568" i="34"/>
  <c r="U568" i="34"/>
  <c r="Z568" i="34"/>
  <c r="O568" i="34"/>
  <c r="W568" i="34"/>
  <c r="P568" i="34"/>
  <c r="A568" i="34"/>
  <c r="B2641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15" i="34"/>
  <c r="B1514" i="34"/>
  <c r="B1949" i="34"/>
  <c r="B1922" i="34"/>
  <c r="B1851" i="34"/>
  <c r="B1860" i="34"/>
  <c r="B1841" i="34"/>
  <c r="B1858" i="34"/>
  <c r="B1909" i="34"/>
  <c r="B1937" i="34"/>
  <c r="B1940" i="34"/>
  <c r="B1929" i="34"/>
  <c r="B1908" i="34"/>
  <c r="B1845" i="34"/>
  <c r="B1844" i="34"/>
  <c r="B1910" i="34"/>
  <c r="B1884" i="34"/>
  <c r="B1882" i="34"/>
  <c r="B1849" i="34"/>
  <c r="B1869" i="34"/>
  <c r="B1854" i="34"/>
  <c r="B1852" i="34"/>
  <c r="B1887" i="34"/>
  <c r="B1864" i="34"/>
  <c r="B1918" i="34"/>
  <c r="B1846" i="34"/>
  <c r="B1943" i="34"/>
  <c r="B1842" i="34"/>
  <c r="B1947" i="34"/>
  <c r="B1885" i="34"/>
  <c r="B1903" i="34"/>
  <c r="B1925" i="34"/>
  <c r="B1898" i="34"/>
  <c r="B1912" i="34"/>
  <c r="B1934" i="34"/>
  <c r="B1919" i="34"/>
  <c r="B1900" i="34"/>
  <c r="B1938" i="34"/>
  <c r="B1878" i="34"/>
  <c r="B1840" i="34"/>
  <c r="B1839" i="34"/>
  <c r="B1833" i="34"/>
  <c r="B1832" i="34"/>
  <c r="B1831" i="34"/>
  <c r="B1838" i="34"/>
  <c r="B1804" i="34"/>
  <c r="B1779" i="34"/>
  <c r="B1760" i="34"/>
  <c r="B1810" i="34"/>
  <c r="B1788" i="34"/>
  <c r="B1787" i="34"/>
  <c r="B1793" i="34"/>
  <c r="B1792" i="34"/>
  <c r="B1783" i="34"/>
  <c r="B1815" i="34"/>
  <c r="B1746" i="34"/>
  <c r="B1744" i="34"/>
  <c r="B1743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2652" i="34"/>
  <c r="B2653" i="34"/>
  <c r="B2654" i="34"/>
  <c r="B2655" i="34"/>
  <c r="B2656" i="34"/>
  <c r="B2657" i="34"/>
  <c r="B2658" i="34"/>
  <c r="B2659" i="34"/>
  <c r="B2660" i="34"/>
  <c r="B2661" i="34"/>
  <c r="B2662" i="34"/>
  <c r="B2663" i="34"/>
  <c r="B2664" i="34"/>
  <c r="B2665" i="34"/>
  <c r="B3667" i="34"/>
  <c r="B3668" i="34"/>
  <c r="B3669" i="34"/>
  <c r="B3670" i="34"/>
  <c r="B3671" i="34"/>
  <c r="B3672" i="34"/>
  <c r="B3673" i="34"/>
  <c r="B3674" i="34"/>
  <c r="B3688" i="34"/>
  <c r="B3689" i="34"/>
  <c r="B3690" i="34"/>
  <c r="B3691" i="34"/>
  <c r="B3692" i="34"/>
  <c r="B3693" i="34"/>
  <c r="B3694" i="34"/>
  <c r="B3695" i="34"/>
  <c r="B3696" i="34"/>
  <c r="B3697" i="34"/>
  <c r="B3723" i="34"/>
  <c r="B3724" i="34"/>
  <c r="B3725" i="34"/>
  <c r="B3726" i="34"/>
  <c r="B3727" i="34"/>
  <c r="B3728" i="34"/>
  <c r="B3747" i="34"/>
  <c r="B3748" i="34"/>
  <c r="B3749" i="34"/>
  <c r="B3750" i="34"/>
  <c r="B2667" i="34"/>
  <c r="B2668" i="34"/>
  <c r="B2669" i="34"/>
  <c r="B2679" i="34"/>
  <c r="B2680" i="34"/>
  <c r="B2681" i="34"/>
  <c r="B2682" i="34"/>
  <c r="B2683" i="34"/>
  <c r="B2684" i="34"/>
  <c r="B2685" i="34"/>
  <c r="B2686" i="34"/>
  <c r="B70" i="34"/>
  <c r="B71" i="34"/>
  <c r="B72" i="34"/>
  <c r="B74" i="34"/>
  <c r="B75" i="34"/>
  <c r="B76" i="34"/>
  <c r="B77" i="34"/>
  <c r="B78" i="34"/>
  <c r="B79" i="34"/>
  <c r="B81" i="34"/>
  <c r="B85" i="34"/>
  <c r="B87" i="34"/>
  <c r="B89" i="34"/>
  <c r="B90" i="34"/>
  <c r="B91" i="34"/>
  <c r="B92" i="34"/>
  <c r="B93" i="34"/>
  <c r="B94" i="34"/>
  <c r="B116" i="34"/>
  <c r="B117" i="34"/>
  <c r="B119" i="34"/>
  <c r="B120" i="34"/>
  <c r="B497" i="34"/>
  <c r="B498" i="34"/>
  <c r="B499" i="34"/>
  <c r="B490" i="34"/>
  <c r="B491" i="34"/>
  <c r="B492" i="34"/>
  <c r="B493" i="34"/>
  <c r="B500" i="34"/>
  <c r="B508" i="34"/>
  <c r="B509" i="34"/>
  <c r="B510" i="34"/>
  <c r="B511" i="34"/>
  <c r="B512" i="34"/>
  <c r="B513" i="34"/>
  <c r="B514" i="34"/>
  <c r="B619" i="34"/>
  <c r="B620" i="34"/>
  <c r="B621" i="34"/>
  <c r="B2651" i="34"/>
  <c r="B3730" i="34"/>
  <c r="B3729" i="34"/>
  <c r="B3704" i="34"/>
  <c r="B3703" i="34"/>
  <c r="B3702" i="34"/>
  <c r="B3701" i="34"/>
  <c r="B3700" i="34"/>
  <c r="B3699" i="34"/>
  <c r="B3698" i="34"/>
  <c r="B622" i="34"/>
  <c r="B2718" i="34"/>
  <c r="B2717" i="34"/>
  <c r="B2716" i="34"/>
  <c r="B2715" i="34"/>
  <c r="B2714" i="34"/>
  <c r="B2713" i="34"/>
  <c r="B2712" i="34"/>
  <c r="B3546" i="34"/>
  <c r="B3545" i="34"/>
  <c r="B3544" i="34"/>
  <c r="B2694" i="34"/>
  <c r="B2693" i="34"/>
  <c r="B2692" i="34"/>
  <c r="B2691" i="34"/>
  <c r="B2690" i="34"/>
  <c r="B2689" i="34"/>
  <c r="B2688" i="34"/>
  <c r="B2687" i="34"/>
  <c r="B3736" i="34"/>
  <c r="B3735" i="34"/>
  <c r="B3734" i="34"/>
  <c r="B3733" i="34"/>
  <c r="B3732" i="34"/>
  <c r="B3731" i="34"/>
  <c r="B559" i="34"/>
  <c r="B558" i="34"/>
  <c r="B515" i="34"/>
  <c r="B390" i="34"/>
  <c r="B389" i="34"/>
  <c r="B388" i="34"/>
  <c r="B387" i="34"/>
  <c r="B386" i="34"/>
  <c r="B385" i="34"/>
  <c r="B384" i="34"/>
  <c r="B383" i="34"/>
  <c r="B101" i="34"/>
  <c r="B54" i="34"/>
  <c r="B53" i="34"/>
  <c r="B52" i="34"/>
  <c r="B51" i="34"/>
  <c r="B50" i="34"/>
  <c r="B49" i="34"/>
  <c r="B48" i="34"/>
  <c r="B532" i="34"/>
  <c r="B531" i="34"/>
  <c r="B530" i="34"/>
  <c r="B529" i="34"/>
  <c r="B676" i="34"/>
  <c r="B675" i="34"/>
  <c r="B674" i="34"/>
  <c r="B673" i="34"/>
  <c r="B672" i="34"/>
  <c r="B671" i="34"/>
  <c r="B670" i="34"/>
  <c r="B669" i="34"/>
  <c r="B636" i="34"/>
  <c r="B633" i="34"/>
  <c r="B632" i="34"/>
  <c r="B631" i="34"/>
  <c r="B630" i="34"/>
  <c r="B629" i="34"/>
  <c r="B628" i="34"/>
  <c r="B627" i="34"/>
  <c r="B571" i="34"/>
  <c r="B570" i="34"/>
  <c r="B564" i="34"/>
  <c r="B563" i="34"/>
  <c r="B562" i="34"/>
  <c r="B561" i="34"/>
  <c r="B560" i="34"/>
  <c r="B205" i="34"/>
  <c r="B3926" i="34"/>
  <c r="B3925" i="34"/>
  <c r="B3924" i="34"/>
  <c r="B3923" i="34"/>
  <c r="B3922" i="34"/>
  <c r="B3921" i="34"/>
  <c r="B3920" i="34"/>
  <c r="B3919" i="34"/>
  <c r="B3918" i="34"/>
  <c r="B3710" i="34"/>
  <c r="B3709" i="34"/>
  <c r="B3708" i="34"/>
  <c r="B3707" i="34"/>
  <c r="B3706" i="34"/>
  <c r="B3705" i="34"/>
  <c r="B2647" i="34"/>
  <c r="B2646" i="34"/>
  <c r="B3543" i="34"/>
  <c r="B2645" i="34"/>
  <c r="B539" i="34"/>
  <c r="B538" i="34"/>
  <c r="B537" i="34"/>
  <c r="B536" i="34"/>
  <c r="B535" i="34"/>
  <c r="B534" i="34"/>
  <c r="B533" i="34"/>
  <c r="B4013" i="34"/>
  <c r="B4012" i="34"/>
  <c r="B4011" i="34"/>
  <c r="B4010" i="34"/>
  <c r="B4009" i="34"/>
  <c r="B4008" i="34"/>
  <c r="B2939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3" i="34"/>
  <c r="B212" i="34"/>
  <c r="B210" i="34"/>
  <c r="B209" i="34"/>
  <c r="B208" i="34"/>
  <c r="B207" i="34"/>
  <c r="B206" i="34"/>
  <c r="B4040" i="34"/>
  <c r="B2948" i="34"/>
  <c r="B4007" i="34"/>
  <c r="B4006" i="34"/>
  <c r="B4005" i="34"/>
  <c r="B4004" i="34"/>
  <c r="B4003" i="34"/>
  <c r="B4002" i="34"/>
  <c r="B4001" i="34"/>
  <c r="B4000" i="34"/>
  <c r="B3999" i="34"/>
  <c r="B3998" i="34"/>
  <c r="B3997" i="34"/>
  <c r="B3996" i="34"/>
  <c r="B3995" i="34"/>
  <c r="B3994" i="34"/>
  <c r="B3993" i="34"/>
  <c r="B3992" i="34"/>
  <c r="B3991" i="34"/>
  <c r="B3990" i="34"/>
  <c r="B3989" i="34"/>
  <c r="B4060" i="34"/>
  <c r="B4059" i="34"/>
  <c r="B4058" i="34"/>
  <c r="B4057" i="34"/>
  <c r="B4056" i="34"/>
  <c r="B4014" i="34"/>
  <c r="B4455" i="34"/>
  <c r="B4454" i="34"/>
  <c r="B4453" i="34"/>
  <c r="B4452" i="34"/>
  <c r="B4451" i="34"/>
  <c r="B4450" i="34"/>
  <c r="B4449" i="34"/>
  <c r="B4448" i="34"/>
  <c r="B4447" i="34"/>
  <c r="B4446" i="34"/>
  <c r="B4445" i="34"/>
  <c r="B4444" i="34"/>
  <c r="B4443" i="34"/>
  <c r="B4442" i="34"/>
  <c r="B4441" i="34"/>
  <c r="B4099" i="34"/>
  <c r="B4098" i="34"/>
  <c r="B4097" i="34"/>
  <c r="B4096" i="34"/>
  <c r="B4095" i="34"/>
  <c r="B4094" i="34"/>
  <c r="B4046" i="34"/>
  <c r="B4045" i="34"/>
  <c r="B4044" i="34"/>
  <c r="B4043" i="34"/>
  <c r="B4042" i="34"/>
  <c r="B4041" i="34"/>
  <c r="B588" i="34"/>
  <c r="B603" i="34"/>
  <c r="B2934" i="34"/>
  <c r="B587" i="34"/>
  <c r="B4477" i="34"/>
  <c r="B4476" i="34"/>
  <c r="B4475" i="34"/>
  <c r="B4474" i="34"/>
  <c r="B4473" i="34"/>
  <c r="B4472" i="34"/>
  <c r="B4471" i="34"/>
  <c r="B4470" i="34"/>
  <c r="B4469" i="34"/>
  <c r="B4468" i="34"/>
  <c r="B4467" i="34"/>
  <c r="B4466" i="34"/>
  <c r="B4465" i="34"/>
  <c r="B4464" i="34"/>
  <c r="B4463" i="34"/>
  <c r="B4462" i="34"/>
  <c r="B4461" i="34"/>
  <c r="B4460" i="34"/>
  <c r="B4459" i="34"/>
  <c r="B4458" i="34"/>
  <c r="B4457" i="34"/>
  <c r="B4456" i="34"/>
  <c r="Q4468" i="34" l="1"/>
  <c r="U4468" i="34"/>
  <c r="Z4468" i="34"/>
  <c r="O4468" i="34"/>
  <c r="W4468" i="34"/>
  <c r="P4468" i="34"/>
  <c r="A4468" i="34"/>
  <c r="Q4094" i="34"/>
  <c r="U4094" i="34"/>
  <c r="Z4094" i="34"/>
  <c r="O4094" i="34"/>
  <c r="W4094" i="34"/>
  <c r="P4094" i="34"/>
  <c r="A4094" i="34"/>
  <c r="Z4447" i="34"/>
  <c r="O4447" i="34"/>
  <c r="W4447" i="34"/>
  <c r="P4447" i="34"/>
  <c r="Q4447" i="34"/>
  <c r="U4447" i="34"/>
  <c r="A4447" i="34"/>
  <c r="Q3990" i="34"/>
  <c r="U3990" i="34"/>
  <c r="Z3990" i="34"/>
  <c r="O3990" i="34"/>
  <c r="W3990" i="34"/>
  <c r="P3990" i="34"/>
  <c r="A3990" i="34"/>
  <c r="Q3998" i="34"/>
  <c r="U3998" i="34"/>
  <c r="Z3998" i="34"/>
  <c r="O3998" i="34"/>
  <c r="W3998" i="34"/>
  <c r="P3998" i="34"/>
  <c r="A3998" i="34"/>
  <c r="Q4006" i="34"/>
  <c r="U4006" i="34"/>
  <c r="Z4006" i="34"/>
  <c r="O4006" i="34"/>
  <c r="W4006" i="34"/>
  <c r="P4006" i="34"/>
  <c r="A4006" i="34"/>
  <c r="R206" i="34"/>
  <c r="Z206" i="34"/>
  <c r="O206" i="34"/>
  <c r="S206" i="34"/>
  <c r="W206" i="34"/>
  <c r="P206" i="34"/>
  <c r="T206" i="34"/>
  <c r="Q206" i="34"/>
  <c r="U206" i="34"/>
  <c r="A206" i="34"/>
  <c r="R210" i="34"/>
  <c r="Z210" i="34"/>
  <c r="O210" i="34"/>
  <c r="S210" i="34"/>
  <c r="W210" i="34"/>
  <c r="P210" i="34"/>
  <c r="T210" i="34"/>
  <c r="Q210" i="34"/>
  <c r="U210" i="34"/>
  <c r="A210" i="34"/>
  <c r="P216" i="34"/>
  <c r="T216" i="34"/>
  <c r="Q216" i="34"/>
  <c r="U216" i="34"/>
  <c r="R216" i="34"/>
  <c r="Z216" i="34"/>
  <c r="O216" i="34"/>
  <c r="S216" i="34"/>
  <c r="W216" i="34"/>
  <c r="A216" i="34"/>
  <c r="P220" i="34"/>
  <c r="T220" i="34"/>
  <c r="Q220" i="34"/>
  <c r="U220" i="34"/>
  <c r="R220" i="34"/>
  <c r="Z220" i="34"/>
  <c r="O220" i="34"/>
  <c r="S220" i="34"/>
  <c r="W220" i="34"/>
  <c r="A220" i="34"/>
  <c r="P224" i="34"/>
  <c r="T224" i="34"/>
  <c r="Q224" i="34"/>
  <c r="U224" i="34"/>
  <c r="R224" i="34"/>
  <c r="Z224" i="34"/>
  <c r="O224" i="34"/>
  <c r="S224" i="34"/>
  <c r="W224" i="34"/>
  <c r="A224" i="34"/>
  <c r="Z2939" i="34"/>
  <c r="O2939" i="34"/>
  <c r="W2939" i="34"/>
  <c r="P2939" i="34"/>
  <c r="Q2939" i="34"/>
  <c r="U2939" i="34"/>
  <c r="A2939" i="34"/>
  <c r="P4011" i="34"/>
  <c r="Q4011" i="34"/>
  <c r="U4011" i="34"/>
  <c r="Z4011" i="34"/>
  <c r="O4011" i="34"/>
  <c r="W4011" i="34"/>
  <c r="A4011" i="34"/>
  <c r="O534" i="34"/>
  <c r="W534" i="34"/>
  <c r="P534" i="34"/>
  <c r="Q534" i="34"/>
  <c r="U534" i="34"/>
  <c r="Z534" i="34"/>
  <c r="A534" i="34"/>
  <c r="O538" i="34"/>
  <c r="W538" i="34"/>
  <c r="P538" i="34"/>
  <c r="Q538" i="34"/>
  <c r="U538" i="34"/>
  <c r="Z538" i="34"/>
  <c r="A538" i="34"/>
  <c r="P2646" i="34"/>
  <c r="Q2646" i="34"/>
  <c r="U2646" i="34"/>
  <c r="Z2646" i="34"/>
  <c r="O2646" i="34"/>
  <c r="W2646" i="34"/>
  <c r="A2646" i="34"/>
  <c r="P3707" i="34"/>
  <c r="Q3707" i="34"/>
  <c r="U3707" i="34"/>
  <c r="Z3707" i="34"/>
  <c r="O3707" i="34"/>
  <c r="W3707" i="34"/>
  <c r="A3707" i="34"/>
  <c r="Q3918" i="34"/>
  <c r="U3918" i="34"/>
  <c r="Z3918" i="34"/>
  <c r="O3918" i="34"/>
  <c r="W3918" i="34"/>
  <c r="P3918" i="34"/>
  <c r="A3918" i="34"/>
  <c r="Q3922" i="34"/>
  <c r="U3922" i="34"/>
  <c r="Z3922" i="34"/>
  <c r="O3922" i="34"/>
  <c r="W3922" i="34"/>
  <c r="P3922" i="34"/>
  <c r="A3922" i="34"/>
  <c r="Q3926" i="34"/>
  <c r="U3926" i="34"/>
  <c r="Z3926" i="34"/>
  <c r="O3926" i="34"/>
  <c r="W3926" i="34"/>
  <c r="P3926" i="34"/>
  <c r="A3926" i="34"/>
  <c r="O562" i="34"/>
  <c r="W562" i="34"/>
  <c r="P562" i="34"/>
  <c r="Q562" i="34"/>
  <c r="U562" i="34"/>
  <c r="Z562" i="34"/>
  <c r="A562" i="34"/>
  <c r="Z571" i="34"/>
  <c r="O571" i="34"/>
  <c r="W571" i="34"/>
  <c r="P571" i="34"/>
  <c r="Q571" i="34"/>
  <c r="U571" i="34"/>
  <c r="A571" i="34"/>
  <c r="O630" i="34"/>
  <c r="W630" i="34"/>
  <c r="P630" i="34"/>
  <c r="Q630" i="34"/>
  <c r="U630" i="34"/>
  <c r="Z630" i="34"/>
  <c r="A630" i="34"/>
  <c r="Q636" i="34"/>
  <c r="U636" i="34"/>
  <c r="Z636" i="34"/>
  <c r="O636" i="34"/>
  <c r="W636" i="34"/>
  <c r="P636" i="34"/>
  <c r="A636" i="34"/>
  <c r="Q672" i="34"/>
  <c r="U672" i="34"/>
  <c r="Z672" i="34"/>
  <c r="O672" i="34"/>
  <c r="W672" i="34"/>
  <c r="P672" i="34"/>
  <c r="A672" i="34"/>
  <c r="Q676" i="34"/>
  <c r="U676" i="34"/>
  <c r="Z676" i="34"/>
  <c r="O676" i="34"/>
  <c r="W676" i="34"/>
  <c r="P676" i="34"/>
  <c r="A676" i="34"/>
  <c r="Q532" i="34"/>
  <c r="U532" i="34"/>
  <c r="Z532" i="34"/>
  <c r="O532" i="34"/>
  <c r="W532" i="34"/>
  <c r="P532" i="34"/>
  <c r="A532" i="34"/>
  <c r="O51" i="34"/>
  <c r="S51" i="34"/>
  <c r="W51" i="34"/>
  <c r="P51" i="34"/>
  <c r="T51" i="34"/>
  <c r="Q51" i="34"/>
  <c r="U51" i="34"/>
  <c r="R51" i="34"/>
  <c r="Z51" i="34"/>
  <c r="A51" i="34"/>
  <c r="R101" i="34"/>
  <c r="Z101" i="34"/>
  <c r="O101" i="34"/>
  <c r="S101" i="34"/>
  <c r="W101" i="34"/>
  <c r="P101" i="34"/>
  <c r="T101" i="34"/>
  <c r="Q101" i="34"/>
  <c r="U101" i="34"/>
  <c r="A101" i="34"/>
  <c r="Q386" i="34"/>
  <c r="U386" i="34"/>
  <c r="Z386" i="34"/>
  <c r="O386" i="34"/>
  <c r="W386" i="34"/>
  <c r="P386" i="34"/>
  <c r="A386" i="34"/>
  <c r="Q390" i="34"/>
  <c r="U390" i="34"/>
  <c r="Z390" i="34"/>
  <c r="O390" i="34"/>
  <c r="W390" i="34"/>
  <c r="P390" i="34"/>
  <c r="A390" i="34"/>
  <c r="P3731" i="34"/>
  <c r="Q3731" i="34"/>
  <c r="U3731" i="34"/>
  <c r="Z3731" i="34"/>
  <c r="O3731" i="34"/>
  <c r="W3731" i="34"/>
  <c r="A3731" i="34"/>
  <c r="P3735" i="34"/>
  <c r="Q3735" i="34"/>
  <c r="U3735" i="34"/>
  <c r="Z3735" i="34"/>
  <c r="O3735" i="34"/>
  <c r="W3735" i="34"/>
  <c r="A3735" i="34"/>
  <c r="Q2689" i="34"/>
  <c r="U2689" i="34"/>
  <c r="Z2689" i="34"/>
  <c r="O2689" i="34"/>
  <c r="W2689" i="34"/>
  <c r="P2689" i="34"/>
  <c r="A2689" i="34"/>
  <c r="Q2693" i="34"/>
  <c r="U2693" i="34"/>
  <c r="Z2693" i="34"/>
  <c r="O2693" i="34"/>
  <c r="W2693" i="34"/>
  <c r="P2693" i="34"/>
  <c r="A2693" i="34"/>
  <c r="Q3546" i="34"/>
  <c r="U3546" i="34"/>
  <c r="Z3546" i="34"/>
  <c r="O3546" i="34"/>
  <c r="W3546" i="34"/>
  <c r="P3546" i="34"/>
  <c r="A3546" i="34"/>
  <c r="O2715" i="34"/>
  <c r="W2715" i="34"/>
  <c r="P2715" i="34"/>
  <c r="Q2715" i="34"/>
  <c r="U2715" i="34"/>
  <c r="Z2715" i="34"/>
  <c r="A2715" i="34"/>
  <c r="O622" i="34"/>
  <c r="W622" i="34"/>
  <c r="P622" i="34"/>
  <c r="Q622" i="34"/>
  <c r="U622" i="34"/>
  <c r="Z622" i="34"/>
  <c r="A622" i="34"/>
  <c r="Z3701" i="34"/>
  <c r="O3701" i="34"/>
  <c r="W3701" i="34"/>
  <c r="P3701" i="34"/>
  <c r="Q3701" i="34"/>
  <c r="U3701" i="34"/>
  <c r="A3701" i="34"/>
  <c r="Z3729" i="34"/>
  <c r="O3729" i="34"/>
  <c r="W3729" i="34"/>
  <c r="P3729" i="34"/>
  <c r="Q3729" i="34"/>
  <c r="U3729" i="34"/>
  <c r="A3729" i="34"/>
  <c r="Q620" i="34"/>
  <c r="U620" i="34"/>
  <c r="Z620" i="34"/>
  <c r="O620" i="34"/>
  <c r="W620" i="34"/>
  <c r="P620" i="34"/>
  <c r="A620" i="34"/>
  <c r="Q512" i="34"/>
  <c r="U512" i="34"/>
  <c r="Z512" i="34"/>
  <c r="O512" i="34"/>
  <c r="W512" i="34"/>
  <c r="P512" i="34"/>
  <c r="A512" i="34"/>
  <c r="Q508" i="34"/>
  <c r="U508" i="34"/>
  <c r="Z508" i="34"/>
  <c r="O508" i="34"/>
  <c r="W508" i="34"/>
  <c r="P508" i="34"/>
  <c r="A508" i="34"/>
  <c r="Z491" i="34"/>
  <c r="O491" i="34"/>
  <c r="W491" i="34"/>
  <c r="P491" i="34"/>
  <c r="Q491" i="34"/>
  <c r="U491" i="34"/>
  <c r="A491" i="34"/>
  <c r="P497" i="34"/>
  <c r="Q497" i="34"/>
  <c r="U497" i="34"/>
  <c r="Z497" i="34"/>
  <c r="O497" i="34"/>
  <c r="W497" i="34"/>
  <c r="A497" i="34"/>
  <c r="O116" i="34"/>
  <c r="S116" i="34"/>
  <c r="W116" i="34"/>
  <c r="P116" i="34"/>
  <c r="T116" i="34"/>
  <c r="Q116" i="34"/>
  <c r="U116" i="34"/>
  <c r="R116" i="34"/>
  <c r="Z116" i="34"/>
  <c r="A116" i="34"/>
  <c r="P91" i="34"/>
  <c r="T91" i="34"/>
  <c r="Q91" i="34"/>
  <c r="U91" i="34"/>
  <c r="R91" i="34"/>
  <c r="Z91" i="34"/>
  <c r="O91" i="34"/>
  <c r="S91" i="34"/>
  <c r="W91" i="34"/>
  <c r="A91" i="34"/>
  <c r="Q85" i="34"/>
  <c r="U85" i="34"/>
  <c r="R85" i="34"/>
  <c r="Z85" i="34"/>
  <c r="O85" i="34"/>
  <c r="S85" i="34"/>
  <c r="W85" i="34"/>
  <c r="P85" i="34"/>
  <c r="T85" i="34"/>
  <c r="A85" i="34"/>
  <c r="Q77" i="34"/>
  <c r="U77" i="34"/>
  <c r="R77" i="34"/>
  <c r="Z77" i="34"/>
  <c r="O77" i="34"/>
  <c r="S77" i="34"/>
  <c r="W77" i="34"/>
  <c r="P77" i="34"/>
  <c r="T77" i="34"/>
  <c r="A77" i="34"/>
  <c r="R72" i="34"/>
  <c r="Z72" i="34"/>
  <c r="O72" i="34"/>
  <c r="S72" i="34"/>
  <c r="W72" i="34"/>
  <c r="P72" i="34"/>
  <c r="T72" i="34"/>
  <c r="Q72" i="34"/>
  <c r="U72" i="34"/>
  <c r="A72" i="34"/>
  <c r="Q2685" i="34"/>
  <c r="U2685" i="34"/>
  <c r="Z2685" i="34"/>
  <c r="O2685" i="34"/>
  <c r="W2685" i="34"/>
  <c r="P2685" i="34"/>
  <c r="A2685" i="34"/>
  <c r="Q2681" i="34"/>
  <c r="U2681" i="34"/>
  <c r="Z2681" i="34"/>
  <c r="O2681" i="34"/>
  <c r="W2681" i="34"/>
  <c r="P2681" i="34"/>
  <c r="A2681" i="34"/>
  <c r="Z2668" i="34"/>
  <c r="O2668" i="34"/>
  <c r="W2668" i="34"/>
  <c r="P2668" i="34"/>
  <c r="Q2668" i="34"/>
  <c r="U2668" i="34"/>
  <c r="A2668" i="34"/>
  <c r="O3748" i="34"/>
  <c r="W3748" i="34"/>
  <c r="P3748" i="34"/>
  <c r="Q3748" i="34"/>
  <c r="U3748" i="34"/>
  <c r="Z3748" i="34"/>
  <c r="A3748" i="34"/>
  <c r="Q3726" i="34"/>
  <c r="U3726" i="34"/>
  <c r="Z3726" i="34"/>
  <c r="O3726" i="34"/>
  <c r="W3726" i="34"/>
  <c r="P3726" i="34"/>
  <c r="A3726" i="34"/>
  <c r="Z3697" i="34"/>
  <c r="O3697" i="34"/>
  <c r="W3697" i="34"/>
  <c r="P3697" i="34"/>
  <c r="Q3697" i="34"/>
  <c r="U3697" i="34"/>
  <c r="A3697" i="34"/>
  <c r="Z3693" i="34"/>
  <c r="O3693" i="34"/>
  <c r="W3693" i="34"/>
  <c r="P3693" i="34"/>
  <c r="Q3693" i="34"/>
  <c r="U3693" i="34"/>
  <c r="A3693" i="34"/>
  <c r="Z3689" i="34"/>
  <c r="O3689" i="34"/>
  <c r="W3689" i="34"/>
  <c r="P3689" i="34"/>
  <c r="Q3689" i="34"/>
  <c r="U3689" i="34"/>
  <c r="A3689" i="34"/>
  <c r="O3672" i="34"/>
  <c r="W3672" i="34"/>
  <c r="P3672" i="34"/>
  <c r="Q3672" i="34"/>
  <c r="U3672" i="34"/>
  <c r="Z3672" i="34"/>
  <c r="A3672" i="34"/>
  <c r="O3668" i="34"/>
  <c r="W3668" i="34"/>
  <c r="P3668" i="34"/>
  <c r="Q3668" i="34"/>
  <c r="U3668" i="34"/>
  <c r="Z3668" i="34"/>
  <c r="A3668" i="34"/>
  <c r="O2663" i="34"/>
  <c r="W2663" i="34"/>
  <c r="P2663" i="34"/>
  <c r="Q2663" i="34"/>
  <c r="U2663" i="34"/>
  <c r="Z2663" i="34"/>
  <c r="A2663" i="34"/>
  <c r="O2659" i="34"/>
  <c r="W2659" i="34"/>
  <c r="P2659" i="34"/>
  <c r="Q2659" i="34"/>
  <c r="U2659" i="34"/>
  <c r="Z2659" i="34"/>
  <c r="A2659" i="34"/>
  <c r="O2655" i="34"/>
  <c r="W2655" i="34"/>
  <c r="P2655" i="34"/>
  <c r="Q2655" i="34"/>
  <c r="U2655" i="34"/>
  <c r="Z2655" i="34"/>
  <c r="A2655" i="34"/>
  <c r="Z1719" i="34"/>
  <c r="O1719" i="34"/>
  <c r="W1719" i="34"/>
  <c r="P1719" i="34"/>
  <c r="Q1719" i="34"/>
  <c r="U1719" i="34"/>
  <c r="A1719" i="34"/>
  <c r="Z1723" i="34"/>
  <c r="O1723" i="34"/>
  <c r="W1723" i="34"/>
  <c r="P1723" i="34"/>
  <c r="Q1723" i="34"/>
  <c r="U1723" i="34"/>
  <c r="A1723" i="34"/>
  <c r="Z1727" i="34"/>
  <c r="O1727" i="34"/>
  <c r="W1727" i="34"/>
  <c r="P1727" i="34"/>
  <c r="Q1727" i="34"/>
  <c r="U1727" i="34"/>
  <c r="A1727" i="34"/>
  <c r="Z1731" i="34"/>
  <c r="O1731" i="34"/>
  <c r="W1731" i="34"/>
  <c r="P1731" i="34"/>
  <c r="Q1731" i="34"/>
  <c r="U1731" i="34"/>
  <c r="A1731" i="34"/>
  <c r="Z1735" i="34"/>
  <c r="O1735" i="34"/>
  <c r="W1735" i="34"/>
  <c r="P1735" i="34"/>
  <c r="Q1735" i="34"/>
  <c r="U1735" i="34"/>
  <c r="A1735" i="34"/>
  <c r="Z1815" i="34"/>
  <c r="O1815" i="34"/>
  <c r="W1815" i="34"/>
  <c r="P1815" i="34"/>
  <c r="Q1815" i="34"/>
  <c r="U1815" i="34"/>
  <c r="A1815" i="34"/>
  <c r="Z1787" i="34"/>
  <c r="O1787" i="34"/>
  <c r="W1787" i="34"/>
  <c r="P1787" i="34"/>
  <c r="Q1787" i="34"/>
  <c r="U1787" i="34"/>
  <c r="A1787" i="34"/>
  <c r="Z1779" i="34"/>
  <c r="O1779" i="34"/>
  <c r="W1779" i="34"/>
  <c r="P1779" i="34"/>
  <c r="Q1779" i="34"/>
  <c r="U1779" i="34"/>
  <c r="A1779" i="34"/>
  <c r="Q1832" i="34"/>
  <c r="U1832" i="34"/>
  <c r="Z1832" i="34"/>
  <c r="O1832" i="34"/>
  <c r="W1832" i="34"/>
  <c r="P1832" i="34"/>
  <c r="A1832" i="34"/>
  <c r="O1878" i="34"/>
  <c r="W1878" i="34"/>
  <c r="P1878" i="34"/>
  <c r="Q1878" i="34"/>
  <c r="U1878" i="34"/>
  <c r="Z1878" i="34"/>
  <c r="A1878" i="34"/>
  <c r="Q1934" i="34"/>
  <c r="U1934" i="34"/>
  <c r="Z1934" i="34"/>
  <c r="O1934" i="34"/>
  <c r="W1934" i="34"/>
  <c r="P1934" i="34"/>
  <c r="A1934" i="34"/>
  <c r="Z1903" i="34"/>
  <c r="O1903" i="34"/>
  <c r="W1903" i="34"/>
  <c r="Q1903" i="34"/>
  <c r="U1903" i="34"/>
  <c r="P1903" i="34"/>
  <c r="A1903" i="34"/>
  <c r="P1943" i="34"/>
  <c r="Q1943" i="34"/>
  <c r="U1943" i="34"/>
  <c r="Z1943" i="34"/>
  <c r="O1943" i="34"/>
  <c r="W1943" i="34"/>
  <c r="A1943" i="34"/>
  <c r="Z1887" i="34"/>
  <c r="O1887" i="34"/>
  <c r="W1887" i="34"/>
  <c r="P1887" i="34"/>
  <c r="Q1887" i="34"/>
  <c r="U1887" i="34"/>
  <c r="A1887" i="34"/>
  <c r="P1849" i="34"/>
  <c r="Q1849" i="34"/>
  <c r="U1849" i="34"/>
  <c r="Z1849" i="34"/>
  <c r="O1849" i="34"/>
  <c r="W1849" i="34"/>
  <c r="A1849" i="34"/>
  <c r="Q1844" i="34"/>
  <c r="U1844" i="34"/>
  <c r="Z1844" i="34"/>
  <c r="O1844" i="34"/>
  <c r="W1844" i="34"/>
  <c r="P1844" i="34"/>
  <c r="A1844" i="34"/>
  <c r="O1940" i="34"/>
  <c r="W1940" i="34"/>
  <c r="P1940" i="34"/>
  <c r="Q1940" i="34"/>
  <c r="U1940" i="34"/>
  <c r="Z1940" i="34"/>
  <c r="A1940" i="34"/>
  <c r="P1841" i="34"/>
  <c r="Q1841" i="34"/>
  <c r="U1841" i="34"/>
  <c r="Z1841" i="34"/>
  <c r="O1841" i="34"/>
  <c r="W1841" i="34"/>
  <c r="A1841" i="34"/>
  <c r="Z1949" i="34"/>
  <c r="O1949" i="34"/>
  <c r="W1949" i="34"/>
  <c r="P1949" i="34"/>
  <c r="Q1949" i="34"/>
  <c r="U1949" i="34"/>
  <c r="A1949" i="34"/>
  <c r="Q1544" i="34"/>
  <c r="U1544" i="34"/>
  <c r="Z1544" i="34"/>
  <c r="O1544" i="34"/>
  <c r="W1544" i="34"/>
  <c r="P1544" i="34"/>
  <c r="A1544" i="34"/>
  <c r="Q1548" i="34"/>
  <c r="U1548" i="34"/>
  <c r="Z1548" i="34"/>
  <c r="O1548" i="34"/>
  <c r="W1548" i="34"/>
  <c r="P1548" i="34"/>
  <c r="A1548" i="34"/>
  <c r="Q1552" i="34"/>
  <c r="U1552" i="34"/>
  <c r="Z1552" i="34"/>
  <c r="O1552" i="34"/>
  <c r="W1552" i="34"/>
  <c r="P1552" i="34"/>
  <c r="A1552" i="34"/>
  <c r="Q1556" i="34"/>
  <c r="U1556" i="34"/>
  <c r="Z1556" i="34"/>
  <c r="O1556" i="34"/>
  <c r="W1556" i="34"/>
  <c r="P1556" i="34"/>
  <c r="A1556" i="34"/>
  <c r="Q1560" i="34"/>
  <c r="U1560" i="34"/>
  <c r="Z1560" i="34"/>
  <c r="O1560" i="34"/>
  <c r="W1560" i="34"/>
  <c r="P1560" i="34"/>
  <c r="A1560" i="34"/>
  <c r="Q1564" i="34"/>
  <c r="U1564" i="34"/>
  <c r="Z1564" i="34"/>
  <c r="O1564" i="34"/>
  <c r="W1564" i="34"/>
  <c r="P1564" i="34"/>
  <c r="A1564" i="34"/>
  <c r="Q1568" i="34"/>
  <c r="U1568" i="34"/>
  <c r="Z1568" i="34"/>
  <c r="O1568" i="34"/>
  <c r="W1568" i="34"/>
  <c r="P1568" i="34"/>
  <c r="A1568" i="34"/>
  <c r="Q1572" i="34"/>
  <c r="U1572" i="34"/>
  <c r="Z1572" i="34"/>
  <c r="O1572" i="34"/>
  <c r="W1572" i="34"/>
  <c r="P1572" i="34"/>
  <c r="A1572" i="34"/>
  <c r="Q1576" i="34"/>
  <c r="U1576" i="34"/>
  <c r="Z1576" i="34"/>
  <c r="O1576" i="34"/>
  <c r="W1576" i="34"/>
  <c r="P1576" i="34"/>
  <c r="A1576" i="34"/>
  <c r="Q1580" i="34"/>
  <c r="U1580" i="34"/>
  <c r="Z1580" i="34"/>
  <c r="O1580" i="34"/>
  <c r="W1580" i="34"/>
  <c r="P1580" i="34"/>
  <c r="A1580" i="34"/>
  <c r="Q1612" i="34"/>
  <c r="U1612" i="34"/>
  <c r="Z1612" i="34"/>
  <c r="O1612" i="34"/>
  <c r="W1612" i="34"/>
  <c r="P1612" i="34"/>
  <c r="A1612" i="34"/>
  <c r="Q1616" i="34"/>
  <c r="U1616" i="34"/>
  <c r="Z1616" i="34"/>
  <c r="O1616" i="34"/>
  <c r="W1616" i="34"/>
  <c r="P1616" i="34"/>
  <c r="A1616" i="34"/>
  <c r="Q1620" i="34"/>
  <c r="U1620" i="34"/>
  <c r="Z1620" i="34"/>
  <c r="O1620" i="34"/>
  <c r="W1620" i="34"/>
  <c r="P1620" i="34"/>
  <c r="A1620" i="34"/>
  <c r="Q1624" i="34"/>
  <c r="U1624" i="34"/>
  <c r="Z1624" i="34"/>
  <c r="O1624" i="34"/>
  <c r="W1624" i="34"/>
  <c r="P1624" i="34"/>
  <c r="A1624" i="34"/>
  <c r="Q1628" i="34"/>
  <c r="U1628" i="34"/>
  <c r="Z1628" i="34"/>
  <c r="O1628" i="34"/>
  <c r="W1628" i="34"/>
  <c r="P1628" i="34"/>
  <c r="A1628" i="34"/>
  <c r="Q1632" i="34"/>
  <c r="U1632" i="34"/>
  <c r="Z1632" i="34"/>
  <c r="O1632" i="34"/>
  <c r="W1632" i="34"/>
  <c r="P1632" i="34"/>
  <c r="A1632" i="34"/>
  <c r="Q1636" i="34"/>
  <c r="U1636" i="34"/>
  <c r="Z1636" i="34"/>
  <c r="O1636" i="34"/>
  <c r="W1636" i="34"/>
  <c r="P1636" i="34"/>
  <c r="A1636" i="34"/>
  <c r="Q1640" i="34"/>
  <c r="U1640" i="34"/>
  <c r="Z1640" i="34"/>
  <c r="O1640" i="34"/>
  <c r="W1640" i="34"/>
  <c r="P1640" i="34"/>
  <c r="A1640" i="34"/>
  <c r="Q4460" i="34"/>
  <c r="U4460" i="34"/>
  <c r="Z4460" i="34"/>
  <c r="O4460" i="34"/>
  <c r="W4460" i="34"/>
  <c r="P4460" i="34"/>
  <c r="A4460" i="34"/>
  <c r="Q4476" i="34"/>
  <c r="U4476" i="34"/>
  <c r="Z4476" i="34"/>
  <c r="O4476" i="34"/>
  <c r="W4476" i="34"/>
  <c r="P4476" i="34"/>
  <c r="A4476" i="34"/>
  <c r="P4043" i="34"/>
  <c r="Q4043" i="34"/>
  <c r="U4043" i="34"/>
  <c r="Z4043" i="34"/>
  <c r="O4043" i="34"/>
  <c r="W4043" i="34"/>
  <c r="A4043" i="34"/>
  <c r="Z4443" i="34"/>
  <c r="O4443" i="34"/>
  <c r="W4443" i="34"/>
  <c r="P4443" i="34"/>
  <c r="Q4443" i="34"/>
  <c r="U4443" i="34"/>
  <c r="A4443" i="34"/>
  <c r="Z4451" i="34"/>
  <c r="O4451" i="34"/>
  <c r="W4451" i="34"/>
  <c r="P4451" i="34"/>
  <c r="Q4451" i="34"/>
  <c r="U4451" i="34"/>
  <c r="A4451" i="34"/>
  <c r="Z4455" i="34"/>
  <c r="O4455" i="34"/>
  <c r="W4455" i="34"/>
  <c r="P4455" i="34"/>
  <c r="Q4455" i="34"/>
  <c r="U4455" i="34"/>
  <c r="A4455" i="34"/>
  <c r="Q4058" i="34"/>
  <c r="U4058" i="34"/>
  <c r="Z4058" i="34"/>
  <c r="O4058" i="34"/>
  <c r="W4058" i="34"/>
  <c r="P4058" i="34"/>
  <c r="A4058" i="34"/>
  <c r="Q3994" i="34"/>
  <c r="U3994" i="34"/>
  <c r="Z3994" i="34"/>
  <c r="O3994" i="34"/>
  <c r="W3994" i="34"/>
  <c r="P3994" i="34"/>
  <c r="A3994" i="34"/>
  <c r="Q4002" i="34"/>
  <c r="U4002" i="34"/>
  <c r="Z4002" i="34"/>
  <c r="O4002" i="34"/>
  <c r="W4002" i="34"/>
  <c r="P4002" i="34"/>
  <c r="A4002" i="34"/>
  <c r="P4457" i="34"/>
  <c r="Q4457" i="34"/>
  <c r="U4457" i="34"/>
  <c r="Z4457" i="34"/>
  <c r="O4457" i="34"/>
  <c r="W4457" i="34"/>
  <c r="A4457" i="34"/>
  <c r="P4461" i="34"/>
  <c r="Q4461" i="34"/>
  <c r="U4461" i="34"/>
  <c r="Z4461" i="34"/>
  <c r="O4461" i="34"/>
  <c r="W4461" i="34"/>
  <c r="A4461" i="34"/>
  <c r="P4465" i="34"/>
  <c r="Q4465" i="34"/>
  <c r="U4465" i="34"/>
  <c r="Z4465" i="34"/>
  <c r="O4465" i="34"/>
  <c r="W4465" i="34"/>
  <c r="A4465" i="34"/>
  <c r="P4469" i="34"/>
  <c r="Q4469" i="34"/>
  <c r="U4469" i="34"/>
  <c r="Z4469" i="34"/>
  <c r="O4469" i="34"/>
  <c r="W4469" i="34"/>
  <c r="A4469" i="34"/>
  <c r="P4473" i="34"/>
  <c r="Q4473" i="34"/>
  <c r="U4473" i="34"/>
  <c r="Z4473" i="34"/>
  <c r="O4473" i="34"/>
  <c r="W4473" i="34"/>
  <c r="A4473" i="34"/>
  <c r="P4477" i="34"/>
  <c r="Q4477" i="34"/>
  <c r="U4477" i="34"/>
  <c r="Z4477" i="34"/>
  <c r="O4477" i="34"/>
  <c r="W4477" i="34"/>
  <c r="A4477" i="34"/>
  <c r="Q588" i="34"/>
  <c r="U588" i="34"/>
  <c r="Z588" i="34"/>
  <c r="O588" i="34"/>
  <c r="W588" i="34"/>
  <c r="P588" i="34"/>
  <c r="A588" i="34"/>
  <c r="O4044" i="34"/>
  <c r="W4044" i="34"/>
  <c r="P4044" i="34"/>
  <c r="Q4044" i="34"/>
  <c r="U4044" i="34"/>
  <c r="Z4044" i="34"/>
  <c r="A4044" i="34"/>
  <c r="P4095" i="34"/>
  <c r="Q4095" i="34"/>
  <c r="U4095" i="34"/>
  <c r="Z4095" i="34"/>
  <c r="O4095" i="34"/>
  <c r="W4095" i="34"/>
  <c r="A4095" i="34"/>
  <c r="P4099" i="34"/>
  <c r="Q4099" i="34"/>
  <c r="U4099" i="34"/>
  <c r="Z4099" i="34"/>
  <c r="O4099" i="34"/>
  <c r="W4099" i="34"/>
  <c r="A4099" i="34"/>
  <c r="Q4444" i="34"/>
  <c r="U4444" i="34"/>
  <c r="Z4444" i="34"/>
  <c r="O4444" i="34"/>
  <c r="W4444" i="34"/>
  <c r="P4444" i="34"/>
  <c r="A4444" i="34"/>
  <c r="Q4448" i="34"/>
  <c r="U4448" i="34"/>
  <c r="Z4448" i="34"/>
  <c r="O4448" i="34"/>
  <c r="W4448" i="34"/>
  <c r="P4448" i="34"/>
  <c r="A4448" i="34"/>
  <c r="Q4452" i="34"/>
  <c r="U4452" i="34"/>
  <c r="Z4452" i="34"/>
  <c r="O4452" i="34"/>
  <c r="W4452" i="34"/>
  <c r="P4452" i="34"/>
  <c r="A4452" i="34"/>
  <c r="Q4014" i="34"/>
  <c r="U4014" i="34"/>
  <c r="Z4014" i="34"/>
  <c r="O4014" i="34"/>
  <c r="W4014" i="34"/>
  <c r="P4014" i="34"/>
  <c r="A4014" i="34"/>
  <c r="P4059" i="34"/>
  <c r="Q4059" i="34"/>
  <c r="U4059" i="34"/>
  <c r="Z4059" i="34"/>
  <c r="O4059" i="34"/>
  <c r="W4059" i="34"/>
  <c r="A4059" i="34"/>
  <c r="P3991" i="34"/>
  <c r="Q3991" i="34"/>
  <c r="U3991" i="34"/>
  <c r="Z3991" i="34"/>
  <c r="O3991" i="34"/>
  <c r="W3991" i="34"/>
  <c r="A3991" i="34"/>
  <c r="P3995" i="34"/>
  <c r="Q3995" i="34"/>
  <c r="U3995" i="34"/>
  <c r="Z3995" i="34"/>
  <c r="O3995" i="34"/>
  <c r="W3995" i="34"/>
  <c r="A3995" i="34"/>
  <c r="P3999" i="34"/>
  <c r="Q3999" i="34"/>
  <c r="U3999" i="34"/>
  <c r="Z3999" i="34"/>
  <c r="O3999" i="34"/>
  <c r="W3999" i="34"/>
  <c r="A3999" i="34"/>
  <c r="P4003" i="34"/>
  <c r="Q4003" i="34"/>
  <c r="U4003" i="34"/>
  <c r="Z4003" i="34"/>
  <c r="O4003" i="34"/>
  <c r="W4003" i="34"/>
  <c r="A4003" i="34"/>
  <c r="P4007" i="34"/>
  <c r="Q4007" i="34"/>
  <c r="U4007" i="34"/>
  <c r="Z4007" i="34"/>
  <c r="O4007" i="34"/>
  <c r="W4007" i="34"/>
  <c r="A4007" i="34"/>
  <c r="Q207" i="34"/>
  <c r="U207" i="34"/>
  <c r="R207" i="34"/>
  <c r="Z207" i="34"/>
  <c r="O207" i="34"/>
  <c r="S207" i="34"/>
  <c r="W207" i="34"/>
  <c r="P207" i="34"/>
  <c r="T207" i="34"/>
  <c r="A207" i="34"/>
  <c r="P212" i="34"/>
  <c r="T212" i="34"/>
  <c r="Q212" i="34"/>
  <c r="U212" i="34"/>
  <c r="R212" i="34"/>
  <c r="Z212" i="34"/>
  <c r="O212" i="34"/>
  <c r="S212" i="34"/>
  <c r="W212" i="34"/>
  <c r="A212" i="34"/>
  <c r="O217" i="34"/>
  <c r="S217" i="34"/>
  <c r="W217" i="34"/>
  <c r="P217" i="34"/>
  <c r="T217" i="34"/>
  <c r="Q217" i="34"/>
  <c r="U217" i="34"/>
  <c r="R217" i="34"/>
  <c r="Z217" i="34"/>
  <c r="A217" i="34"/>
  <c r="O221" i="34"/>
  <c r="S221" i="34"/>
  <c r="W221" i="34"/>
  <c r="P221" i="34"/>
  <c r="T221" i="34"/>
  <c r="Q221" i="34"/>
  <c r="U221" i="34"/>
  <c r="R221" i="34"/>
  <c r="Z221" i="34"/>
  <c r="A221" i="34"/>
  <c r="O225" i="34"/>
  <c r="S225" i="34"/>
  <c r="W225" i="34"/>
  <c r="P225" i="34"/>
  <c r="T225" i="34"/>
  <c r="Q225" i="34"/>
  <c r="U225" i="34"/>
  <c r="R225" i="34"/>
  <c r="Z225" i="34"/>
  <c r="A225" i="34"/>
  <c r="O4008" i="34"/>
  <c r="W4008" i="34"/>
  <c r="P4008" i="34"/>
  <c r="Q4008" i="34"/>
  <c r="U4008" i="34"/>
  <c r="Z4008" i="34"/>
  <c r="A4008" i="34"/>
  <c r="O4012" i="34"/>
  <c r="W4012" i="34"/>
  <c r="P4012" i="34"/>
  <c r="Q4012" i="34"/>
  <c r="U4012" i="34"/>
  <c r="Z4012" i="34"/>
  <c r="A4012" i="34"/>
  <c r="Z535" i="34"/>
  <c r="O535" i="34"/>
  <c r="W535" i="34"/>
  <c r="P535" i="34"/>
  <c r="Q535" i="34"/>
  <c r="U535" i="34"/>
  <c r="A535" i="34"/>
  <c r="Z539" i="34"/>
  <c r="O539" i="34"/>
  <c r="W539" i="34"/>
  <c r="P539" i="34"/>
  <c r="Q539" i="34"/>
  <c r="U539" i="34"/>
  <c r="A539" i="34"/>
  <c r="O2647" i="34"/>
  <c r="W2647" i="34"/>
  <c r="P2647" i="34"/>
  <c r="Q2647" i="34"/>
  <c r="U2647" i="34"/>
  <c r="Z2647" i="34"/>
  <c r="A2647" i="34"/>
  <c r="O3708" i="34"/>
  <c r="W3708" i="34"/>
  <c r="P3708" i="34"/>
  <c r="Q3708" i="34"/>
  <c r="U3708" i="34"/>
  <c r="Z3708" i="34"/>
  <c r="A3708" i="34"/>
  <c r="P3919" i="34"/>
  <c r="Q3919" i="34"/>
  <c r="U3919" i="34"/>
  <c r="Z3919" i="34"/>
  <c r="O3919" i="34"/>
  <c r="W3919" i="34"/>
  <c r="A3919" i="34"/>
  <c r="P3923" i="34"/>
  <c r="Q3923" i="34"/>
  <c r="U3923" i="34"/>
  <c r="Z3923" i="34"/>
  <c r="O3923" i="34"/>
  <c r="W3923" i="34"/>
  <c r="A3923" i="34"/>
  <c r="O205" i="34"/>
  <c r="S205" i="34"/>
  <c r="W205" i="34"/>
  <c r="P205" i="34"/>
  <c r="T205" i="34"/>
  <c r="Q205" i="34"/>
  <c r="U205" i="34"/>
  <c r="R205" i="34"/>
  <c r="Z205" i="34"/>
  <c r="A205" i="34"/>
  <c r="Z563" i="34"/>
  <c r="O563" i="34"/>
  <c r="W563" i="34"/>
  <c r="P563" i="34"/>
  <c r="Q563" i="34"/>
  <c r="U563" i="34"/>
  <c r="A563" i="34"/>
  <c r="Z627" i="34"/>
  <c r="O627" i="34"/>
  <c r="W627" i="34"/>
  <c r="P627" i="34"/>
  <c r="Q627" i="34"/>
  <c r="U627" i="34"/>
  <c r="A627" i="34"/>
  <c r="Z631" i="34"/>
  <c r="O631" i="34"/>
  <c r="W631" i="34"/>
  <c r="P631" i="34"/>
  <c r="Q631" i="34"/>
  <c r="U631" i="34"/>
  <c r="A631" i="34"/>
  <c r="P669" i="34"/>
  <c r="Q669" i="34"/>
  <c r="U669" i="34"/>
  <c r="Z669" i="34"/>
  <c r="O669" i="34"/>
  <c r="W669" i="34"/>
  <c r="A669" i="34"/>
  <c r="P673" i="34"/>
  <c r="Q673" i="34"/>
  <c r="U673" i="34"/>
  <c r="Z673" i="34"/>
  <c r="O673" i="34"/>
  <c r="W673" i="34"/>
  <c r="A673" i="34"/>
  <c r="P529" i="34"/>
  <c r="Q529" i="34"/>
  <c r="U529" i="34"/>
  <c r="Z529" i="34"/>
  <c r="O529" i="34"/>
  <c r="W529" i="34"/>
  <c r="A529" i="34"/>
  <c r="R48" i="34"/>
  <c r="Z48" i="34"/>
  <c r="O48" i="34"/>
  <c r="S48" i="34"/>
  <c r="W48" i="34"/>
  <c r="P48" i="34"/>
  <c r="T48" i="34"/>
  <c r="Q48" i="34"/>
  <c r="U48" i="34"/>
  <c r="A48" i="34"/>
  <c r="R52" i="34"/>
  <c r="Z52" i="34"/>
  <c r="O52" i="34"/>
  <c r="S52" i="34"/>
  <c r="W52" i="34"/>
  <c r="P52" i="34"/>
  <c r="T52" i="34"/>
  <c r="Q52" i="34"/>
  <c r="U52" i="34"/>
  <c r="A52" i="34"/>
  <c r="P383" i="34"/>
  <c r="Q383" i="34"/>
  <c r="U383" i="34"/>
  <c r="Z383" i="34"/>
  <c r="O383" i="34"/>
  <c r="W383" i="34"/>
  <c r="A383" i="34"/>
  <c r="P387" i="34"/>
  <c r="Q387" i="34"/>
  <c r="U387" i="34"/>
  <c r="Z387" i="34"/>
  <c r="O387" i="34"/>
  <c r="W387" i="34"/>
  <c r="A387" i="34"/>
  <c r="Z515" i="34"/>
  <c r="O515" i="34"/>
  <c r="W515" i="34"/>
  <c r="P515" i="34"/>
  <c r="Q515" i="34"/>
  <c r="U515" i="34"/>
  <c r="A515" i="34"/>
  <c r="O3732" i="34"/>
  <c r="W3732" i="34"/>
  <c r="P3732" i="34"/>
  <c r="Q3732" i="34"/>
  <c r="U3732" i="34"/>
  <c r="Z3732" i="34"/>
  <c r="A3732" i="34"/>
  <c r="O3736" i="34"/>
  <c r="W3736" i="34"/>
  <c r="P3736" i="34"/>
  <c r="Q3736" i="34"/>
  <c r="U3736" i="34"/>
  <c r="Z3736" i="34"/>
  <c r="A3736" i="34"/>
  <c r="P2690" i="34"/>
  <c r="Q2690" i="34"/>
  <c r="U2690" i="34"/>
  <c r="Z2690" i="34"/>
  <c r="O2690" i="34"/>
  <c r="W2690" i="34"/>
  <c r="A2690" i="34"/>
  <c r="P2694" i="34"/>
  <c r="Q2694" i="34"/>
  <c r="U2694" i="34"/>
  <c r="Z2694" i="34"/>
  <c r="O2694" i="34"/>
  <c r="W2694" i="34"/>
  <c r="A2694" i="34"/>
  <c r="Z2712" i="34"/>
  <c r="O2712" i="34"/>
  <c r="W2712" i="34"/>
  <c r="P2712" i="34"/>
  <c r="Q2712" i="34"/>
  <c r="U2712" i="34"/>
  <c r="A2712" i="34"/>
  <c r="Z2716" i="34"/>
  <c r="O2716" i="34"/>
  <c r="W2716" i="34"/>
  <c r="P2716" i="34"/>
  <c r="Q2716" i="34"/>
  <c r="U2716" i="34"/>
  <c r="A2716" i="34"/>
  <c r="Q3698" i="34"/>
  <c r="U3698" i="34"/>
  <c r="Z3698" i="34"/>
  <c r="O3698" i="34"/>
  <c r="W3698" i="34"/>
  <c r="P3698" i="34"/>
  <c r="A3698" i="34"/>
  <c r="Q3702" i="34"/>
  <c r="U3702" i="34"/>
  <c r="Z3702" i="34"/>
  <c r="O3702" i="34"/>
  <c r="W3702" i="34"/>
  <c r="P3702" i="34"/>
  <c r="A3702" i="34"/>
  <c r="Q3730" i="34"/>
  <c r="U3730" i="34"/>
  <c r="Z3730" i="34"/>
  <c r="O3730" i="34"/>
  <c r="W3730" i="34"/>
  <c r="P3730" i="34"/>
  <c r="A3730" i="34"/>
  <c r="Z619" i="34"/>
  <c r="O619" i="34"/>
  <c r="W619" i="34"/>
  <c r="P619" i="34"/>
  <c r="Q619" i="34"/>
  <c r="U619" i="34"/>
  <c r="A619" i="34"/>
  <c r="Z511" i="34"/>
  <c r="O511" i="34"/>
  <c r="W511" i="34"/>
  <c r="P511" i="34"/>
  <c r="Q511" i="34"/>
  <c r="U511" i="34"/>
  <c r="A511" i="34"/>
  <c r="Q500" i="34"/>
  <c r="U500" i="34"/>
  <c r="Z500" i="34"/>
  <c r="O500" i="34"/>
  <c r="W500" i="34"/>
  <c r="P500" i="34"/>
  <c r="A500" i="34"/>
  <c r="O490" i="34"/>
  <c r="W490" i="34"/>
  <c r="P490" i="34"/>
  <c r="Q490" i="34"/>
  <c r="U490" i="34"/>
  <c r="Z490" i="34"/>
  <c r="A490" i="34"/>
  <c r="O120" i="34"/>
  <c r="S120" i="34"/>
  <c r="W120" i="34"/>
  <c r="P120" i="34"/>
  <c r="T120" i="34"/>
  <c r="Q120" i="34"/>
  <c r="U120" i="34"/>
  <c r="R120" i="34"/>
  <c r="Z120" i="34"/>
  <c r="A120" i="34"/>
  <c r="Q94" i="34"/>
  <c r="U94" i="34"/>
  <c r="R94" i="34"/>
  <c r="Z94" i="34"/>
  <c r="O94" i="34"/>
  <c r="S94" i="34"/>
  <c r="W94" i="34"/>
  <c r="P94" i="34"/>
  <c r="T94" i="34"/>
  <c r="A94" i="34"/>
  <c r="P90" i="34"/>
  <c r="T90" i="34"/>
  <c r="Q90" i="34"/>
  <c r="U90" i="34"/>
  <c r="S90" i="34"/>
  <c r="Z90" i="34"/>
  <c r="O90" i="34"/>
  <c r="W90" i="34"/>
  <c r="R90" i="34"/>
  <c r="A90" i="34"/>
  <c r="Q81" i="34"/>
  <c r="U81" i="34"/>
  <c r="R81" i="34"/>
  <c r="Z81" i="34"/>
  <c r="O81" i="34"/>
  <c r="S81" i="34"/>
  <c r="W81" i="34"/>
  <c r="P81" i="34"/>
  <c r="T81" i="34"/>
  <c r="A81" i="34"/>
  <c r="R76" i="34"/>
  <c r="Z76" i="34"/>
  <c r="O76" i="34"/>
  <c r="S76" i="34"/>
  <c r="W76" i="34"/>
  <c r="P76" i="34"/>
  <c r="T76" i="34"/>
  <c r="Q76" i="34"/>
  <c r="U76" i="34"/>
  <c r="A76" i="34"/>
  <c r="O71" i="34"/>
  <c r="S71" i="34"/>
  <c r="W71" i="34"/>
  <c r="P71" i="34"/>
  <c r="T71" i="34"/>
  <c r="Q71" i="34"/>
  <c r="U71" i="34"/>
  <c r="R71" i="34"/>
  <c r="Z71" i="34"/>
  <c r="A71" i="34"/>
  <c r="Z2684" i="34"/>
  <c r="O2684" i="34"/>
  <c r="W2684" i="34"/>
  <c r="P2684" i="34"/>
  <c r="Q2684" i="34"/>
  <c r="U2684" i="34"/>
  <c r="A2684" i="34"/>
  <c r="Z2680" i="34"/>
  <c r="O2680" i="34"/>
  <c r="W2680" i="34"/>
  <c r="P2680" i="34"/>
  <c r="Q2680" i="34"/>
  <c r="U2680" i="34"/>
  <c r="A2680" i="34"/>
  <c r="O2667" i="34"/>
  <c r="W2667" i="34"/>
  <c r="P2667" i="34"/>
  <c r="Q2667" i="34"/>
  <c r="U2667" i="34"/>
  <c r="Z2667" i="34"/>
  <c r="A2667" i="34"/>
  <c r="P3747" i="34"/>
  <c r="Q3747" i="34"/>
  <c r="U3747" i="34"/>
  <c r="Z3747" i="34"/>
  <c r="O3747" i="34"/>
  <c r="W3747" i="34"/>
  <c r="A3747" i="34"/>
  <c r="Z3725" i="34"/>
  <c r="O3725" i="34"/>
  <c r="W3725" i="34"/>
  <c r="P3725" i="34"/>
  <c r="Q3725" i="34"/>
  <c r="U3725" i="34"/>
  <c r="A3725" i="34"/>
  <c r="O3696" i="34"/>
  <c r="W3696" i="34"/>
  <c r="P3696" i="34"/>
  <c r="Q3696" i="34"/>
  <c r="U3696" i="34"/>
  <c r="Z3696" i="34"/>
  <c r="A3696" i="34"/>
  <c r="O3692" i="34"/>
  <c r="W3692" i="34"/>
  <c r="P3692" i="34"/>
  <c r="Q3692" i="34"/>
  <c r="U3692" i="34"/>
  <c r="Z3692" i="34"/>
  <c r="A3692" i="34"/>
  <c r="O3688" i="34"/>
  <c r="W3688" i="34"/>
  <c r="P3688" i="34"/>
  <c r="Q3688" i="34"/>
  <c r="U3688" i="34"/>
  <c r="Z3688" i="34"/>
  <c r="A3688" i="34"/>
  <c r="P3671" i="34"/>
  <c r="Q3671" i="34"/>
  <c r="U3671" i="34"/>
  <c r="Z3671" i="34"/>
  <c r="O3671" i="34"/>
  <c r="W3671" i="34"/>
  <c r="A3671" i="34"/>
  <c r="P3667" i="34"/>
  <c r="Q3667" i="34"/>
  <c r="U3667" i="34"/>
  <c r="Z3667" i="34"/>
  <c r="O3667" i="34"/>
  <c r="W3667" i="34"/>
  <c r="A3667" i="34"/>
  <c r="P2662" i="34"/>
  <c r="Q2662" i="34"/>
  <c r="U2662" i="34"/>
  <c r="Z2662" i="34"/>
  <c r="O2662" i="34"/>
  <c r="W2662" i="34"/>
  <c r="A2662" i="34"/>
  <c r="P2658" i="34"/>
  <c r="Q2658" i="34"/>
  <c r="U2658" i="34"/>
  <c r="Z2658" i="34"/>
  <c r="O2658" i="34"/>
  <c r="W2658" i="34"/>
  <c r="A2658" i="34"/>
  <c r="P2654" i="34"/>
  <c r="Q2654" i="34"/>
  <c r="U2654" i="34"/>
  <c r="Z2654" i="34"/>
  <c r="O2654" i="34"/>
  <c r="W2654" i="34"/>
  <c r="A2654" i="34"/>
  <c r="Q1720" i="34"/>
  <c r="U1720" i="34"/>
  <c r="Z1720" i="34"/>
  <c r="O1720" i="34"/>
  <c r="W1720" i="34"/>
  <c r="P1720" i="34"/>
  <c r="A1720" i="34"/>
  <c r="Q1724" i="34"/>
  <c r="U1724" i="34"/>
  <c r="Z1724" i="34"/>
  <c r="O1724" i="34"/>
  <c r="W1724" i="34"/>
  <c r="P1724" i="34"/>
  <c r="A1724" i="34"/>
  <c r="Q1728" i="34"/>
  <c r="U1728" i="34"/>
  <c r="Z1728" i="34"/>
  <c r="O1728" i="34"/>
  <c r="W1728" i="34"/>
  <c r="P1728" i="34"/>
  <c r="A1728" i="34"/>
  <c r="Q1732" i="34"/>
  <c r="U1732" i="34"/>
  <c r="Z1732" i="34"/>
  <c r="O1732" i="34"/>
  <c r="W1732" i="34"/>
  <c r="P1732" i="34"/>
  <c r="A1732" i="34"/>
  <c r="Z1743" i="34"/>
  <c r="O1743" i="34"/>
  <c r="W1743" i="34"/>
  <c r="P1743" i="34"/>
  <c r="Q1743" i="34"/>
  <c r="U1743" i="34"/>
  <c r="A1743" i="34"/>
  <c r="Z1783" i="34"/>
  <c r="O1783" i="34"/>
  <c r="W1783" i="34"/>
  <c r="P1783" i="34"/>
  <c r="Q1783" i="34"/>
  <c r="U1783" i="34"/>
  <c r="A1783" i="34"/>
  <c r="Q1788" i="34"/>
  <c r="U1788" i="34"/>
  <c r="Z1788" i="34"/>
  <c r="O1788" i="34"/>
  <c r="W1788" i="34"/>
  <c r="P1788" i="34"/>
  <c r="A1788" i="34"/>
  <c r="Q1804" i="34"/>
  <c r="U1804" i="34"/>
  <c r="Z1804" i="34"/>
  <c r="O1804" i="34"/>
  <c r="W1804" i="34"/>
  <c r="P1804" i="34"/>
  <c r="A1804" i="34"/>
  <c r="P1833" i="34"/>
  <c r="Q1833" i="34"/>
  <c r="U1833" i="34"/>
  <c r="Z1833" i="34"/>
  <c r="O1833" i="34"/>
  <c r="W1833" i="34"/>
  <c r="A1833" i="34"/>
  <c r="Q1938" i="34"/>
  <c r="U1938" i="34"/>
  <c r="Z1938" i="34"/>
  <c r="O1938" i="34"/>
  <c r="W1938" i="34"/>
  <c r="P1938" i="34"/>
  <c r="A1938" i="34"/>
  <c r="O1912" i="34"/>
  <c r="W1912" i="34"/>
  <c r="P1912" i="34"/>
  <c r="Q1912" i="34"/>
  <c r="U1912" i="34"/>
  <c r="Z1912" i="34"/>
  <c r="A1912" i="34"/>
  <c r="P1885" i="34"/>
  <c r="Q1885" i="34"/>
  <c r="U1885" i="34"/>
  <c r="Z1885" i="34"/>
  <c r="O1885" i="34"/>
  <c r="W1885" i="34"/>
  <c r="A1885" i="34"/>
  <c r="O1846" i="34"/>
  <c r="W1846" i="34"/>
  <c r="P1846" i="34"/>
  <c r="Q1846" i="34"/>
  <c r="U1846" i="34"/>
  <c r="Z1846" i="34"/>
  <c r="A1846" i="34"/>
  <c r="Q1852" i="34"/>
  <c r="U1852" i="34"/>
  <c r="Z1852" i="34"/>
  <c r="O1852" i="34"/>
  <c r="W1852" i="34"/>
  <c r="P1852" i="34"/>
  <c r="A1852" i="34"/>
  <c r="O1882" i="34"/>
  <c r="W1882" i="34"/>
  <c r="P1882" i="34"/>
  <c r="Q1882" i="34"/>
  <c r="U1882" i="34"/>
  <c r="Z1882" i="34"/>
  <c r="A1882" i="34"/>
  <c r="P1845" i="34"/>
  <c r="Q1845" i="34"/>
  <c r="U1845" i="34"/>
  <c r="Z1845" i="34"/>
  <c r="O1845" i="34"/>
  <c r="W1845" i="34"/>
  <c r="A1845" i="34"/>
  <c r="Z1937" i="34"/>
  <c r="O1937" i="34"/>
  <c r="W1937" i="34"/>
  <c r="P1937" i="34"/>
  <c r="Q1937" i="34"/>
  <c r="U1937" i="34"/>
  <c r="A1937" i="34"/>
  <c r="Q1860" i="34"/>
  <c r="U1860" i="34"/>
  <c r="Z1860" i="34"/>
  <c r="O1860" i="34"/>
  <c r="W1860" i="34"/>
  <c r="P1860" i="34"/>
  <c r="A1860" i="34"/>
  <c r="O1514" i="34"/>
  <c r="W1514" i="34"/>
  <c r="P1514" i="34"/>
  <c r="Q1514" i="34"/>
  <c r="U1514" i="34"/>
  <c r="Z1514" i="34"/>
  <c r="A1514" i="34"/>
  <c r="P1545" i="34"/>
  <c r="Q1545" i="34"/>
  <c r="U1545" i="34"/>
  <c r="Z1545" i="34"/>
  <c r="O1545" i="34"/>
  <c r="W1545" i="34"/>
  <c r="A1545" i="34"/>
  <c r="P1549" i="34"/>
  <c r="Q1549" i="34"/>
  <c r="U1549" i="34"/>
  <c r="Z1549" i="34"/>
  <c r="O1549" i="34"/>
  <c r="W1549" i="34"/>
  <c r="A1549" i="34"/>
  <c r="P1553" i="34"/>
  <c r="Q1553" i="34"/>
  <c r="U1553" i="34"/>
  <c r="Z1553" i="34"/>
  <c r="O1553" i="34"/>
  <c r="W1553" i="34"/>
  <c r="A1553" i="34"/>
  <c r="P1557" i="34"/>
  <c r="Q1557" i="34"/>
  <c r="U1557" i="34"/>
  <c r="Z1557" i="34"/>
  <c r="O1557" i="34"/>
  <c r="W1557" i="34"/>
  <c r="A1557" i="34"/>
  <c r="P1561" i="34"/>
  <c r="Q1561" i="34"/>
  <c r="U1561" i="34"/>
  <c r="Z1561" i="34"/>
  <c r="O1561" i="34"/>
  <c r="W1561" i="34"/>
  <c r="A1561" i="34"/>
  <c r="P1565" i="34"/>
  <c r="Q1565" i="34"/>
  <c r="U1565" i="34"/>
  <c r="Z1565" i="34"/>
  <c r="O1565" i="34"/>
  <c r="W1565" i="34"/>
  <c r="A1565" i="34"/>
  <c r="P1569" i="34"/>
  <c r="Q1569" i="34"/>
  <c r="U1569" i="34"/>
  <c r="Z1569" i="34"/>
  <c r="O1569" i="34"/>
  <c r="W1569" i="34"/>
  <c r="A1569" i="34"/>
  <c r="P1573" i="34"/>
  <c r="Q1573" i="34"/>
  <c r="U1573" i="34"/>
  <c r="Z1573" i="34"/>
  <c r="O1573" i="34"/>
  <c r="W1573" i="34"/>
  <c r="A1573" i="34"/>
  <c r="P1577" i="34"/>
  <c r="Q1577" i="34"/>
  <c r="U1577" i="34"/>
  <c r="Z1577" i="34"/>
  <c r="O1577" i="34"/>
  <c r="W1577" i="34"/>
  <c r="A1577" i="34"/>
  <c r="P1581" i="34"/>
  <c r="Q1581" i="34"/>
  <c r="U1581" i="34"/>
  <c r="Z1581" i="34"/>
  <c r="O1581" i="34"/>
  <c r="W1581" i="34"/>
  <c r="A1581" i="34"/>
  <c r="P1613" i="34"/>
  <c r="Q1613" i="34"/>
  <c r="U1613" i="34"/>
  <c r="Z1613" i="34"/>
  <c r="O1613" i="34"/>
  <c r="W1613" i="34"/>
  <c r="A1613" i="34"/>
  <c r="P1617" i="34"/>
  <c r="Q1617" i="34"/>
  <c r="U1617" i="34"/>
  <c r="Z1617" i="34"/>
  <c r="O1617" i="34"/>
  <c r="W1617" i="34"/>
  <c r="A1617" i="34"/>
  <c r="P1621" i="34"/>
  <c r="Q1621" i="34"/>
  <c r="U1621" i="34"/>
  <c r="Z1621" i="34"/>
  <c r="O1621" i="34"/>
  <c r="W1621" i="34"/>
  <c r="A1621" i="34"/>
  <c r="P1625" i="34"/>
  <c r="Q1625" i="34"/>
  <c r="U1625" i="34"/>
  <c r="Z1625" i="34"/>
  <c r="O1625" i="34"/>
  <c r="W1625" i="34"/>
  <c r="A1625" i="34"/>
  <c r="P1629" i="34"/>
  <c r="Q1629" i="34"/>
  <c r="U1629" i="34"/>
  <c r="Z1629" i="34"/>
  <c r="O1629" i="34"/>
  <c r="W1629" i="34"/>
  <c r="A1629" i="34"/>
  <c r="P1633" i="34"/>
  <c r="Q1633" i="34"/>
  <c r="U1633" i="34"/>
  <c r="Z1633" i="34"/>
  <c r="O1633" i="34"/>
  <c r="W1633" i="34"/>
  <c r="A1633" i="34"/>
  <c r="P1637" i="34"/>
  <c r="Q1637" i="34"/>
  <c r="U1637" i="34"/>
  <c r="Z1637" i="34"/>
  <c r="O1637" i="34"/>
  <c r="W1637" i="34"/>
  <c r="A1637" i="34"/>
  <c r="P1641" i="34"/>
  <c r="Q1641" i="34"/>
  <c r="U1641" i="34"/>
  <c r="Z1641" i="34"/>
  <c r="O1641" i="34"/>
  <c r="W1641" i="34"/>
  <c r="A1641" i="34"/>
  <c r="Q4456" i="34"/>
  <c r="U4456" i="34"/>
  <c r="Z4456" i="34"/>
  <c r="O4456" i="34"/>
  <c r="W4456" i="34"/>
  <c r="P4456" i="34"/>
  <c r="A4456" i="34"/>
  <c r="Q4472" i="34"/>
  <c r="U4472" i="34"/>
  <c r="Z4472" i="34"/>
  <c r="O4472" i="34"/>
  <c r="W4472" i="34"/>
  <c r="P4472" i="34"/>
  <c r="A4472" i="34"/>
  <c r="Q4098" i="34"/>
  <c r="U4098" i="34"/>
  <c r="Z4098" i="34"/>
  <c r="O4098" i="34"/>
  <c r="W4098" i="34"/>
  <c r="P4098" i="34"/>
  <c r="A4098" i="34"/>
  <c r="O4462" i="34"/>
  <c r="W4462" i="34"/>
  <c r="P4462" i="34"/>
  <c r="Q4462" i="34"/>
  <c r="U4462" i="34"/>
  <c r="Z4462" i="34"/>
  <c r="A4462" i="34"/>
  <c r="O4466" i="34"/>
  <c r="W4466" i="34"/>
  <c r="P4466" i="34"/>
  <c r="Q4466" i="34"/>
  <c r="U4466" i="34"/>
  <c r="Z4466" i="34"/>
  <c r="A4466" i="34"/>
  <c r="O4474" i="34"/>
  <c r="W4474" i="34"/>
  <c r="P4474" i="34"/>
  <c r="Q4474" i="34"/>
  <c r="U4474" i="34"/>
  <c r="Z4474" i="34"/>
  <c r="A4474" i="34"/>
  <c r="Z4045" i="34"/>
  <c r="O4045" i="34"/>
  <c r="W4045" i="34"/>
  <c r="P4045" i="34"/>
  <c r="Q4045" i="34"/>
  <c r="U4045" i="34"/>
  <c r="A4045" i="34"/>
  <c r="P4441" i="34"/>
  <c r="Q4441" i="34"/>
  <c r="U4441" i="34"/>
  <c r="Z4441" i="34"/>
  <c r="O4441" i="34"/>
  <c r="W4441" i="34"/>
  <c r="A4441" i="34"/>
  <c r="P4445" i="34"/>
  <c r="Q4445" i="34"/>
  <c r="U4445" i="34"/>
  <c r="Z4445" i="34"/>
  <c r="O4445" i="34"/>
  <c r="W4445" i="34"/>
  <c r="A4445" i="34"/>
  <c r="P4453" i="34"/>
  <c r="Q4453" i="34"/>
  <c r="U4453" i="34"/>
  <c r="Z4453" i="34"/>
  <c r="O4453" i="34"/>
  <c r="W4453" i="34"/>
  <c r="A4453" i="34"/>
  <c r="O4056" i="34"/>
  <c r="W4056" i="34"/>
  <c r="P4056" i="34"/>
  <c r="Q4056" i="34"/>
  <c r="U4056" i="34"/>
  <c r="Z4056" i="34"/>
  <c r="A4056" i="34"/>
  <c r="O4060" i="34"/>
  <c r="W4060" i="34"/>
  <c r="P4060" i="34"/>
  <c r="Q4060" i="34"/>
  <c r="U4060" i="34"/>
  <c r="Z4060" i="34"/>
  <c r="A4060" i="34"/>
  <c r="O3992" i="34"/>
  <c r="W3992" i="34"/>
  <c r="P3992" i="34"/>
  <c r="Q3992" i="34"/>
  <c r="U3992" i="34"/>
  <c r="Z3992" i="34"/>
  <c r="A3992" i="34"/>
  <c r="O3996" i="34"/>
  <c r="W3996" i="34"/>
  <c r="P3996" i="34"/>
  <c r="Q3996" i="34"/>
  <c r="U3996" i="34"/>
  <c r="Z3996" i="34"/>
  <c r="A3996" i="34"/>
  <c r="O4000" i="34"/>
  <c r="W4000" i="34"/>
  <c r="P4000" i="34"/>
  <c r="Q4000" i="34"/>
  <c r="U4000" i="34"/>
  <c r="Z4000" i="34"/>
  <c r="A4000" i="34"/>
  <c r="O4004" i="34"/>
  <c r="W4004" i="34"/>
  <c r="P4004" i="34"/>
  <c r="Q4004" i="34"/>
  <c r="U4004" i="34"/>
  <c r="Z4004" i="34"/>
  <c r="A4004" i="34"/>
  <c r="Q2948" i="34"/>
  <c r="U2948" i="34"/>
  <c r="Z2948" i="34"/>
  <c r="O2948" i="34"/>
  <c r="W2948" i="34"/>
  <c r="P2948" i="34"/>
  <c r="A2948" i="34"/>
  <c r="P208" i="34"/>
  <c r="T208" i="34"/>
  <c r="Q208" i="34"/>
  <c r="U208" i="34"/>
  <c r="R208" i="34"/>
  <c r="Z208" i="34"/>
  <c r="O208" i="34"/>
  <c r="S208" i="34"/>
  <c r="W208" i="34"/>
  <c r="A208" i="34"/>
  <c r="O213" i="34"/>
  <c r="S213" i="34"/>
  <c r="W213" i="34"/>
  <c r="P213" i="34"/>
  <c r="T213" i="34"/>
  <c r="Q213" i="34"/>
  <c r="U213" i="34"/>
  <c r="R213" i="34"/>
  <c r="Z213" i="34"/>
  <c r="A213" i="34"/>
  <c r="R218" i="34"/>
  <c r="Z218" i="34"/>
  <c r="O218" i="34"/>
  <c r="S218" i="34"/>
  <c r="W218" i="34"/>
  <c r="P218" i="34"/>
  <c r="T218" i="34"/>
  <c r="Q218" i="34"/>
  <c r="U218" i="34"/>
  <c r="A218" i="34"/>
  <c r="R222" i="34"/>
  <c r="Z222" i="34"/>
  <c r="O222" i="34"/>
  <c r="S222" i="34"/>
  <c r="W222" i="34"/>
  <c r="P222" i="34"/>
  <c r="T222" i="34"/>
  <c r="Q222" i="34"/>
  <c r="U222" i="34"/>
  <c r="A222" i="34"/>
  <c r="R226" i="34"/>
  <c r="Z226" i="34"/>
  <c r="O226" i="34"/>
  <c r="S226" i="34"/>
  <c r="W226" i="34"/>
  <c r="P226" i="34"/>
  <c r="T226" i="34"/>
  <c r="Q226" i="34"/>
  <c r="U226" i="34"/>
  <c r="A226" i="34"/>
  <c r="Z4009" i="34"/>
  <c r="O4009" i="34"/>
  <c r="W4009" i="34"/>
  <c r="P4009" i="34"/>
  <c r="Q4009" i="34"/>
  <c r="U4009" i="34"/>
  <c r="A4009" i="34"/>
  <c r="Z4013" i="34"/>
  <c r="O4013" i="34"/>
  <c r="W4013" i="34"/>
  <c r="P4013" i="34"/>
  <c r="Q4013" i="34"/>
  <c r="U4013" i="34"/>
  <c r="A4013" i="34"/>
  <c r="Q536" i="34"/>
  <c r="U536" i="34"/>
  <c r="Z536" i="34"/>
  <c r="O536" i="34"/>
  <c r="W536" i="34"/>
  <c r="P536" i="34"/>
  <c r="A536" i="34"/>
  <c r="Q2645" i="34"/>
  <c r="U2645" i="34"/>
  <c r="Z2645" i="34"/>
  <c r="O2645" i="34"/>
  <c r="W2645" i="34"/>
  <c r="P2645" i="34"/>
  <c r="A2645" i="34"/>
  <c r="Z3705" i="34"/>
  <c r="O3705" i="34"/>
  <c r="W3705" i="34"/>
  <c r="P3705" i="34"/>
  <c r="Q3705" i="34"/>
  <c r="U3705" i="34"/>
  <c r="A3705" i="34"/>
  <c r="Z3709" i="34"/>
  <c r="O3709" i="34"/>
  <c r="W3709" i="34"/>
  <c r="P3709" i="34"/>
  <c r="Q3709" i="34"/>
  <c r="U3709" i="34"/>
  <c r="A3709" i="34"/>
  <c r="O3920" i="34"/>
  <c r="W3920" i="34"/>
  <c r="P3920" i="34"/>
  <c r="Q3920" i="34"/>
  <c r="U3920" i="34"/>
  <c r="Z3920" i="34"/>
  <c r="A3920" i="34"/>
  <c r="O3924" i="34"/>
  <c r="W3924" i="34"/>
  <c r="P3924" i="34"/>
  <c r="Q3924" i="34"/>
  <c r="U3924" i="34"/>
  <c r="Z3924" i="34"/>
  <c r="A3924" i="34"/>
  <c r="Q560" i="34"/>
  <c r="U560" i="34"/>
  <c r="Z560" i="34"/>
  <c r="O560" i="34"/>
  <c r="W560" i="34"/>
  <c r="P560" i="34"/>
  <c r="A560" i="34"/>
  <c r="Q564" i="34"/>
  <c r="U564" i="34"/>
  <c r="Z564" i="34"/>
  <c r="O564" i="34"/>
  <c r="W564" i="34"/>
  <c r="P564" i="34"/>
  <c r="A564" i="34"/>
  <c r="Q628" i="34"/>
  <c r="U628" i="34"/>
  <c r="Z628" i="34"/>
  <c r="O628" i="34"/>
  <c r="W628" i="34"/>
  <c r="P628" i="34"/>
  <c r="A628" i="34"/>
  <c r="Q632" i="34"/>
  <c r="U632" i="34"/>
  <c r="Z632" i="34"/>
  <c r="O632" i="34"/>
  <c r="W632" i="34"/>
  <c r="P632" i="34"/>
  <c r="A632" i="34"/>
  <c r="O670" i="34"/>
  <c r="W670" i="34"/>
  <c r="P670" i="34"/>
  <c r="Q670" i="34"/>
  <c r="U670" i="34"/>
  <c r="Z670" i="34"/>
  <c r="A670" i="34"/>
  <c r="O674" i="34"/>
  <c r="W674" i="34"/>
  <c r="P674" i="34"/>
  <c r="Q674" i="34"/>
  <c r="U674" i="34"/>
  <c r="Z674" i="34"/>
  <c r="A674" i="34"/>
  <c r="O530" i="34"/>
  <c r="W530" i="34"/>
  <c r="P530" i="34"/>
  <c r="Q530" i="34"/>
  <c r="U530" i="34"/>
  <c r="Z530" i="34"/>
  <c r="A530" i="34"/>
  <c r="Q49" i="34"/>
  <c r="U49" i="34"/>
  <c r="R49" i="34"/>
  <c r="Z49" i="34"/>
  <c r="O49" i="34"/>
  <c r="S49" i="34"/>
  <c r="W49" i="34"/>
  <c r="P49" i="34"/>
  <c r="T49" i="34"/>
  <c r="A49" i="34"/>
  <c r="Q53" i="34"/>
  <c r="U53" i="34"/>
  <c r="O53" i="34"/>
  <c r="T53" i="34"/>
  <c r="P53" i="34"/>
  <c r="Z53" i="34"/>
  <c r="R53" i="34"/>
  <c r="W53" i="34"/>
  <c r="S53" i="34"/>
  <c r="A53" i="34"/>
  <c r="O384" i="34"/>
  <c r="W384" i="34"/>
  <c r="P384" i="34"/>
  <c r="Q384" i="34"/>
  <c r="U384" i="34"/>
  <c r="Z384" i="34"/>
  <c r="A384" i="34"/>
  <c r="O388" i="34"/>
  <c r="W388" i="34"/>
  <c r="P388" i="34"/>
  <c r="Q388" i="34"/>
  <c r="U388" i="34"/>
  <c r="Z388" i="34"/>
  <c r="A388" i="34"/>
  <c r="O558" i="34"/>
  <c r="W558" i="34"/>
  <c r="P558" i="34"/>
  <c r="Q558" i="34"/>
  <c r="U558" i="34"/>
  <c r="Z558" i="34"/>
  <c r="A558" i="34"/>
  <c r="Z3733" i="34"/>
  <c r="O3733" i="34"/>
  <c r="W3733" i="34"/>
  <c r="P3733" i="34"/>
  <c r="Q3733" i="34"/>
  <c r="U3733" i="34"/>
  <c r="A3733" i="34"/>
  <c r="O2687" i="34"/>
  <c r="W2687" i="34"/>
  <c r="P2687" i="34"/>
  <c r="Q2687" i="34"/>
  <c r="U2687" i="34"/>
  <c r="Z2687" i="34"/>
  <c r="A2687" i="34"/>
  <c r="O2691" i="34"/>
  <c r="W2691" i="34"/>
  <c r="P2691" i="34"/>
  <c r="Q2691" i="34"/>
  <c r="U2691" i="34"/>
  <c r="Z2691" i="34"/>
  <c r="A2691" i="34"/>
  <c r="O3544" i="34"/>
  <c r="W3544" i="34"/>
  <c r="P3544" i="34"/>
  <c r="Q3544" i="34"/>
  <c r="U3544" i="34"/>
  <c r="Z3544" i="34"/>
  <c r="A3544" i="34"/>
  <c r="Q2713" i="34"/>
  <c r="U2713" i="34"/>
  <c r="Z2713" i="34"/>
  <c r="O2713" i="34"/>
  <c r="W2713" i="34"/>
  <c r="P2713" i="34"/>
  <c r="A2713" i="34"/>
  <c r="Q2717" i="34"/>
  <c r="U2717" i="34"/>
  <c r="Z2717" i="34"/>
  <c r="O2717" i="34"/>
  <c r="W2717" i="34"/>
  <c r="P2717" i="34"/>
  <c r="A2717" i="34"/>
  <c r="P3699" i="34"/>
  <c r="Q3699" i="34"/>
  <c r="U3699" i="34"/>
  <c r="Z3699" i="34"/>
  <c r="O3699" i="34"/>
  <c r="W3699" i="34"/>
  <c r="A3699" i="34"/>
  <c r="P3703" i="34"/>
  <c r="Q3703" i="34"/>
  <c r="U3703" i="34"/>
  <c r="Z3703" i="34"/>
  <c r="O3703" i="34"/>
  <c r="W3703" i="34"/>
  <c r="A3703" i="34"/>
  <c r="O2651" i="34"/>
  <c r="W2651" i="34"/>
  <c r="P2651" i="34"/>
  <c r="Q2651" i="34"/>
  <c r="U2651" i="34"/>
  <c r="Z2651" i="34"/>
  <c r="A2651" i="34"/>
  <c r="O514" i="34"/>
  <c r="W514" i="34"/>
  <c r="P514" i="34"/>
  <c r="Q514" i="34"/>
  <c r="U514" i="34"/>
  <c r="Z514" i="34"/>
  <c r="A514" i="34"/>
  <c r="O510" i="34"/>
  <c r="W510" i="34"/>
  <c r="P510" i="34"/>
  <c r="Q510" i="34"/>
  <c r="U510" i="34"/>
  <c r="Z510" i="34"/>
  <c r="A510" i="34"/>
  <c r="P493" i="34"/>
  <c r="Q493" i="34"/>
  <c r="U493" i="34"/>
  <c r="Z493" i="34"/>
  <c r="O493" i="34"/>
  <c r="W493" i="34"/>
  <c r="A493" i="34"/>
  <c r="Z499" i="34"/>
  <c r="O499" i="34"/>
  <c r="W499" i="34"/>
  <c r="P499" i="34"/>
  <c r="Q499" i="34"/>
  <c r="U499" i="34"/>
  <c r="A499" i="34"/>
  <c r="P119" i="34"/>
  <c r="T119" i="34"/>
  <c r="Q119" i="34"/>
  <c r="U119" i="34"/>
  <c r="R119" i="34"/>
  <c r="Z119" i="34"/>
  <c r="O119" i="34"/>
  <c r="S119" i="34"/>
  <c r="W119" i="34"/>
  <c r="A119" i="34"/>
  <c r="R93" i="34"/>
  <c r="Z93" i="34"/>
  <c r="O93" i="34"/>
  <c r="S93" i="34"/>
  <c r="W93" i="34"/>
  <c r="P93" i="34"/>
  <c r="T93" i="34"/>
  <c r="Q93" i="34"/>
  <c r="U93" i="34"/>
  <c r="A93" i="34"/>
  <c r="Q89" i="34"/>
  <c r="U89" i="34"/>
  <c r="R89" i="34"/>
  <c r="Z89" i="34"/>
  <c r="O89" i="34"/>
  <c r="S89" i="34"/>
  <c r="W89" i="34"/>
  <c r="P89" i="34"/>
  <c r="T89" i="34"/>
  <c r="A89" i="34"/>
  <c r="O79" i="34"/>
  <c r="S79" i="34"/>
  <c r="W79" i="34"/>
  <c r="P79" i="34"/>
  <c r="T79" i="34"/>
  <c r="Q79" i="34"/>
  <c r="U79" i="34"/>
  <c r="R79" i="34"/>
  <c r="Z79" i="34"/>
  <c r="A79" i="34"/>
  <c r="O75" i="34"/>
  <c r="S75" i="34"/>
  <c r="W75" i="34"/>
  <c r="P75" i="34"/>
  <c r="T75" i="34"/>
  <c r="Q75" i="34"/>
  <c r="U75" i="34"/>
  <c r="R75" i="34"/>
  <c r="Z75" i="34"/>
  <c r="A75" i="34"/>
  <c r="P70" i="34"/>
  <c r="T70" i="34"/>
  <c r="Q70" i="34"/>
  <c r="U70" i="34"/>
  <c r="R70" i="34"/>
  <c r="Z70" i="34"/>
  <c r="O70" i="34"/>
  <c r="S70" i="34"/>
  <c r="W70" i="34"/>
  <c r="A70" i="34"/>
  <c r="O2683" i="34"/>
  <c r="W2683" i="34"/>
  <c r="P2683" i="34"/>
  <c r="Q2683" i="34"/>
  <c r="U2683" i="34"/>
  <c r="Z2683" i="34"/>
  <c r="A2683" i="34"/>
  <c r="O2679" i="34"/>
  <c r="W2679" i="34"/>
  <c r="P2679" i="34"/>
  <c r="Q2679" i="34"/>
  <c r="U2679" i="34"/>
  <c r="Z2679" i="34"/>
  <c r="A2679" i="34"/>
  <c r="Q3750" i="34"/>
  <c r="U3750" i="34"/>
  <c r="Z3750" i="34"/>
  <c r="O3750" i="34"/>
  <c r="W3750" i="34"/>
  <c r="P3750" i="34"/>
  <c r="A3750" i="34"/>
  <c r="O3728" i="34"/>
  <c r="W3728" i="34"/>
  <c r="P3728" i="34"/>
  <c r="Q3728" i="34"/>
  <c r="U3728" i="34"/>
  <c r="Z3728" i="34"/>
  <c r="A3728" i="34"/>
  <c r="O3724" i="34"/>
  <c r="W3724" i="34"/>
  <c r="P3724" i="34"/>
  <c r="Q3724" i="34"/>
  <c r="U3724" i="34"/>
  <c r="Z3724" i="34"/>
  <c r="A3724" i="34"/>
  <c r="P3695" i="34"/>
  <c r="Q3695" i="34"/>
  <c r="U3695" i="34"/>
  <c r="Z3695" i="34"/>
  <c r="O3695" i="34"/>
  <c r="W3695" i="34"/>
  <c r="A3695" i="34"/>
  <c r="P3691" i="34"/>
  <c r="Q3691" i="34"/>
  <c r="U3691" i="34"/>
  <c r="Z3691" i="34"/>
  <c r="O3691" i="34"/>
  <c r="W3691" i="34"/>
  <c r="A3691" i="34"/>
  <c r="Q3674" i="34"/>
  <c r="U3674" i="34"/>
  <c r="Z3674" i="34"/>
  <c r="O3674" i="34"/>
  <c r="W3674" i="34"/>
  <c r="P3674" i="34"/>
  <c r="A3674" i="34"/>
  <c r="Q3670" i="34"/>
  <c r="U3670" i="34"/>
  <c r="Z3670" i="34"/>
  <c r="O3670" i="34"/>
  <c r="W3670" i="34"/>
  <c r="P3670" i="34"/>
  <c r="A3670" i="34"/>
  <c r="Q2665" i="34"/>
  <c r="U2665" i="34"/>
  <c r="Z2665" i="34"/>
  <c r="O2665" i="34"/>
  <c r="W2665" i="34"/>
  <c r="P2665" i="34"/>
  <c r="A2665" i="34"/>
  <c r="Q2661" i="34"/>
  <c r="U2661" i="34"/>
  <c r="Z2661" i="34"/>
  <c r="O2661" i="34"/>
  <c r="W2661" i="34"/>
  <c r="P2661" i="34"/>
  <c r="A2661" i="34"/>
  <c r="Q2657" i="34"/>
  <c r="U2657" i="34"/>
  <c r="Z2657" i="34"/>
  <c r="O2657" i="34"/>
  <c r="W2657" i="34"/>
  <c r="P2657" i="34"/>
  <c r="A2657" i="34"/>
  <c r="Q2653" i="34"/>
  <c r="U2653" i="34"/>
  <c r="Z2653" i="34"/>
  <c r="O2653" i="34"/>
  <c r="W2653" i="34"/>
  <c r="P2653" i="34"/>
  <c r="A2653" i="34"/>
  <c r="P1721" i="34"/>
  <c r="Q1721" i="34"/>
  <c r="U1721" i="34"/>
  <c r="Z1721" i="34"/>
  <c r="O1721" i="34"/>
  <c r="W1721" i="34"/>
  <c r="A1721" i="34"/>
  <c r="P1725" i="34"/>
  <c r="Q1725" i="34"/>
  <c r="U1725" i="34"/>
  <c r="Z1725" i="34"/>
  <c r="O1725" i="34"/>
  <c r="W1725" i="34"/>
  <c r="A1725" i="34"/>
  <c r="P1729" i="34"/>
  <c r="Q1729" i="34"/>
  <c r="U1729" i="34"/>
  <c r="Z1729" i="34"/>
  <c r="O1729" i="34"/>
  <c r="W1729" i="34"/>
  <c r="A1729" i="34"/>
  <c r="P1733" i="34"/>
  <c r="Q1733" i="34"/>
  <c r="U1733" i="34"/>
  <c r="Z1733" i="34"/>
  <c r="O1733" i="34"/>
  <c r="W1733" i="34"/>
  <c r="A1733" i="34"/>
  <c r="Q1744" i="34"/>
  <c r="U1744" i="34"/>
  <c r="Z1744" i="34"/>
  <c r="O1744" i="34"/>
  <c r="W1744" i="34"/>
  <c r="P1744" i="34"/>
  <c r="A1744" i="34"/>
  <c r="Q1792" i="34"/>
  <c r="U1792" i="34"/>
  <c r="Z1792" i="34"/>
  <c r="O1792" i="34"/>
  <c r="W1792" i="34"/>
  <c r="P1792" i="34"/>
  <c r="A1792" i="34"/>
  <c r="O1810" i="34"/>
  <c r="W1810" i="34"/>
  <c r="P1810" i="34"/>
  <c r="Q1810" i="34"/>
  <c r="U1810" i="34"/>
  <c r="Z1810" i="34"/>
  <c r="A1810" i="34"/>
  <c r="O1838" i="34"/>
  <c r="W1838" i="34"/>
  <c r="P1838" i="34"/>
  <c r="Q1838" i="34"/>
  <c r="U1838" i="34"/>
  <c r="Z1838" i="34"/>
  <c r="A1838" i="34"/>
  <c r="Z1839" i="34"/>
  <c r="O1839" i="34"/>
  <c r="W1839" i="34"/>
  <c r="P1839" i="34"/>
  <c r="Q1839" i="34"/>
  <c r="U1839" i="34"/>
  <c r="A1839" i="34"/>
  <c r="Q1900" i="34"/>
  <c r="U1900" i="34"/>
  <c r="Z1900" i="34"/>
  <c r="P1900" i="34"/>
  <c r="W1900" i="34"/>
  <c r="O1900" i="34"/>
  <c r="A1900" i="34"/>
  <c r="O1898" i="34"/>
  <c r="W1898" i="34"/>
  <c r="P1898" i="34"/>
  <c r="Z1898" i="34"/>
  <c r="Q1898" i="34"/>
  <c r="U1898" i="34"/>
  <c r="A1898" i="34"/>
  <c r="P1947" i="34"/>
  <c r="Q1947" i="34"/>
  <c r="U1947" i="34"/>
  <c r="Z1947" i="34"/>
  <c r="O1947" i="34"/>
  <c r="W1947" i="34"/>
  <c r="A1947" i="34"/>
  <c r="Q1918" i="34"/>
  <c r="U1918" i="34"/>
  <c r="Z1918" i="34"/>
  <c r="O1918" i="34"/>
  <c r="W1918" i="34"/>
  <c r="P1918" i="34"/>
  <c r="A1918" i="34"/>
  <c r="O1854" i="34"/>
  <c r="W1854" i="34"/>
  <c r="P1854" i="34"/>
  <c r="Q1854" i="34"/>
  <c r="U1854" i="34"/>
  <c r="Z1854" i="34"/>
  <c r="A1854" i="34"/>
  <c r="Q1884" i="34"/>
  <c r="U1884" i="34"/>
  <c r="Z1884" i="34"/>
  <c r="O1884" i="34"/>
  <c r="W1884" i="34"/>
  <c r="P1884" i="34"/>
  <c r="A1884" i="34"/>
  <c r="O1908" i="34"/>
  <c r="W1908" i="34"/>
  <c r="P1908" i="34"/>
  <c r="Q1908" i="34"/>
  <c r="U1908" i="34"/>
  <c r="Z1908" i="34"/>
  <c r="A1908" i="34"/>
  <c r="Z1909" i="34"/>
  <c r="O1909" i="34"/>
  <c r="W1909" i="34"/>
  <c r="P1909" i="34"/>
  <c r="Q1909" i="34"/>
  <c r="U1909" i="34"/>
  <c r="A1909" i="34"/>
  <c r="Z1851" i="34"/>
  <c r="O1851" i="34"/>
  <c r="W1851" i="34"/>
  <c r="P1851" i="34"/>
  <c r="Q1851" i="34"/>
  <c r="U1851" i="34"/>
  <c r="A1851" i="34"/>
  <c r="Z1515" i="34"/>
  <c r="O1515" i="34"/>
  <c r="W1515" i="34"/>
  <c r="P1515" i="34"/>
  <c r="Q1515" i="34"/>
  <c r="U1515" i="34"/>
  <c r="A1515" i="34"/>
  <c r="O1546" i="34"/>
  <c r="W1546" i="34"/>
  <c r="P1546" i="34"/>
  <c r="Q1546" i="34"/>
  <c r="U1546" i="34"/>
  <c r="Z1546" i="34"/>
  <c r="A1546" i="34"/>
  <c r="O1550" i="34"/>
  <c r="W1550" i="34"/>
  <c r="P1550" i="34"/>
  <c r="Q1550" i="34"/>
  <c r="U1550" i="34"/>
  <c r="Z1550" i="34"/>
  <c r="A1550" i="34"/>
  <c r="O1554" i="34"/>
  <c r="W1554" i="34"/>
  <c r="P1554" i="34"/>
  <c r="Q1554" i="34"/>
  <c r="U1554" i="34"/>
  <c r="Z1554" i="34"/>
  <c r="A1554" i="34"/>
  <c r="O1558" i="34"/>
  <c r="W1558" i="34"/>
  <c r="P1558" i="34"/>
  <c r="Q1558" i="34"/>
  <c r="U1558" i="34"/>
  <c r="Z1558" i="34"/>
  <c r="A1558" i="34"/>
  <c r="O1562" i="34"/>
  <c r="W1562" i="34"/>
  <c r="P1562" i="34"/>
  <c r="Q1562" i="34"/>
  <c r="U1562" i="34"/>
  <c r="Z1562" i="34"/>
  <c r="A1562" i="34"/>
  <c r="O1566" i="34"/>
  <c r="W1566" i="34"/>
  <c r="P1566" i="34"/>
  <c r="Q1566" i="34"/>
  <c r="U1566" i="34"/>
  <c r="Z1566" i="34"/>
  <c r="A1566" i="34"/>
  <c r="O1570" i="34"/>
  <c r="W1570" i="34"/>
  <c r="P1570" i="34"/>
  <c r="Q1570" i="34"/>
  <c r="U1570" i="34"/>
  <c r="Z1570" i="34"/>
  <c r="A1570" i="34"/>
  <c r="O1574" i="34"/>
  <c r="W1574" i="34"/>
  <c r="P1574" i="34"/>
  <c r="Q1574" i="34"/>
  <c r="U1574" i="34"/>
  <c r="Z1574" i="34"/>
  <c r="A1574" i="34"/>
  <c r="O1578" i="34"/>
  <c r="W1578" i="34"/>
  <c r="P1578" i="34"/>
  <c r="Q1578" i="34"/>
  <c r="U1578" i="34"/>
  <c r="Z1578" i="34"/>
  <c r="A1578" i="34"/>
  <c r="O1610" i="34"/>
  <c r="W1610" i="34"/>
  <c r="P1610" i="34"/>
  <c r="Q1610" i="34"/>
  <c r="U1610" i="34"/>
  <c r="Z1610" i="34"/>
  <c r="A1610" i="34"/>
  <c r="O1614" i="34"/>
  <c r="W1614" i="34"/>
  <c r="P1614" i="34"/>
  <c r="Q1614" i="34"/>
  <c r="U1614" i="34"/>
  <c r="Z1614" i="34"/>
  <c r="A1614" i="34"/>
  <c r="O1618" i="34"/>
  <c r="W1618" i="34"/>
  <c r="P1618" i="34"/>
  <c r="Q1618" i="34"/>
  <c r="U1618" i="34"/>
  <c r="Z1618" i="34"/>
  <c r="A1618" i="34"/>
  <c r="O1622" i="34"/>
  <c r="W1622" i="34"/>
  <c r="P1622" i="34"/>
  <c r="Q1622" i="34"/>
  <c r="U1622" i="34"/>
  <c r="Z1622" i="34"/>
  <c r="A1622" i="34"/>
  <c r="O1626" i="34"/>
  <c r="W1626" i="34"/>
  <c r="P1626" i="34"/>
  <c r="Q1626" i="34"/>
  <c r="U1626" i="34"/>
  <c r="Z1626" i="34"/>
  <c r="A1626" i="34"/>
  <c r="O1630" i="34"/>
  <c r="W1630" i="34"/>
  <c r="P1630" i="34"/>
  <c r="Q1630" i="34"/>
  <c r="U1630" i="34"/>
  <c r="Z1630" i="34"/>
  <c r="A1630" i="34"/>
  <c r="O1634" i="34"/>
  <c r="W1634" i="34"/>
  <c r="P1634" i="34"/>
  <c r="Q1634" i="34"/>
  <c r="U1634" i="34"/>
  <c r="Z1634" i="34"/>
  <c r="A1634" i="34"/>
  <c r="O1638" i="34"/>
  <c r="W1638" i="34"/>
  <c r="P1638" i="34"/>
  <c r="Q1638" i="34"/>
  <c r="U1638" i="34"/>
  <c r="Z1638" i="34"/>
  <c r="A1638" i="34"/>
  <c r="O1642" i="34"/>
  <c r="W1642" i="34"/>
  <c r="P1642" i="34"/>
  <c r="Q1642" i="34"/>
  <c r="U1642" i="34"/>
  <c r="Z1642" i="34"/>
  <c r="A1642" i="34"/>
  <c r="Q4464" i="34"/>
  <c r="U4464" i="34"/>
  <c r="Z4464" i="34"/>
  <c r="O4464" i="34"/>
  <c r="W4464" i="34"/>
  <c r="P4464" i="34"/>
  <c r="A4464" i="34"/>
  <c r="Z603" i="34"/>
  <c r="O603" i="34"/>
  <c r="W603" i="34"/>
  <c r="P603" i="34"/>
  <c r="Q603" i="34"/>
  <c r="U603" i="34"/>
  <c r="A603" i="34"/>
  <c r="O4458" i="34"/>
  <c r="W4458" i="34"/>
  <c r="P4458" i="34"/>
  <c r="Q4458" i="34"/>
  <c r="U4458" i="34"/>
  <c r="Z4458" i="34"/>
  <c r="A4458" i="34"/>
  <c r="O4470" i="34"/>
  <c r="W4470" i="34"/>
  <c r="P4470" i="34"/>
  <c r="Q4470" i="34"/>
  <c r="U4470" i="34"/>
  <c r="Z4470" i="34"/>
  <c r="A4470" i="34"/>
  <c r="Z587" i="34"/>
  <c r="O587" i="34"/>
  <c r="W587" i="34"/>
  <c r="P587" i="34"/>
  <c r="Q587" i="34"/>
  <c r="U587" i="34"/>
  <c r="A587" i="34"/>
  <c r="Z4041" i="34"/>
  <c r="O4041" i="34"/>
  <c r="W4041" i="34"/>
  <c r="P4041" i="34"/>
  <c r="Q4041" i="34"/>
  <c r="U4041" i="34"/>
  <c r="A4041" i="34"/>
  <c r="O4096" i="34"/>
  <c r="W4096" i="34"/>
  <c r="P4096" i="34"/>
  <c r="Q4096" i="34"/>
  <c r="U4096" i="34"/>
  <c r="Z4096" i="34"/>
  <c r="A4096" i="34"/>
  <c r="P4449" i="34"/>
  <c r="Q4449" i="34"/>
  <c r="U4449" i="34"/>
  <c r="Z4449" i="34"/>
  <c r="O4449" i="34"/>
  <c r="W4449" i="34"/>
  <c r="A4449" i="34"/>
  <c r="Z4459" i="34"/>
  <c r="O4459" i="34"/>
  <c r="W4459" i="34"/>
  <c r="P4459" i="34"/>
  <c r="Q4459" i="34"/>
  <c r="U4459" i="34"/>
  <c r="A4459" i="34"/>
  <c r="Z4463" i="34"/>
  <c r="O4463" i="34"/>
  <c r="W4463" i="34"/>
  <c r="P4463" i="34"/>
  <c r="Q4463" i="34"/>
  <c r="U4463" i="34"/>
  <c r="A4463" i="34"/>
  <c r="Z4467" i="34"/>
  <c r="O4467" i="34"/>
  <c r="W4467" i="34"/>
  <c r="P4467" i="34"/>
  <c r="Q4467" i="34"/>
  <c r="U4467" i="34"/>
  <c r="A4467" i="34"/>
  <c r="Z4471" i="34"/>
  <c r="O4471" i="34"/>
  <c r="W4471" i="34"/>
  <c r="P4471" i="34"/>
  <c r="Q4471" i="34"/>
  <c r="U4471" i="34"/>
  <c r="A4471" i="34"/>
  <c r="Z4475" i="34"/>
  <c r="O4475" i="34"/>
  <c r="W4475" i="34"/>
  <c r="P4475" i="34"/>
  <c r="Q4475" i="34"/>
  <c r="U4475" i="34"/>
  <c r="A4475" i="34"/>
  <c r="O2934" i="34"/>
  <c r="W2934" i="34"/>
  <c r="P2934" i="34"/>
  <c r="Q2934" i="34"/>
  <c r="U2934" i="34"/>
  <c r="Z2934" i="34"/>
  <c r="A2934" i="34"/>
  <c r="Q4042" i="34"/>
  <c r="U4042" i="34"/>
  <c r="Z4042" i="34"/>
  <c r="O4042" i="34"/>
  <c r="W4042" i="34"/>
  <c r="P4042" i="34"/>
  <c r="A4042" i="34"/>
  <c r="Q4046" i="34"/>
  <c r="U4046" i="34"/>
  <c r="Z4046" i="34"/>
  <c r="O4046" i="34"/>
  <c r="W4046" i="34"/>
  <c r="P4046" i="34"/>
  <c r="A4046" i="34"/>
  <c r="Z4097" i="34"/>
  <c r="O4097" i="34"/>
  <c r="W4097" i="34"/>
  <c r="P4097" i="34"/>
  <c r="Q4097" i="34"/>
  <c r="U4097" i="34"/>
  <c r="A4097" i="34"/>
  <c r="O4442" i="34"/>
  <c r="W4442" i="34"/>
  <c r="P4442" i="34"/>
  <c r="Q4442" i="34"/>
  <c r="U4442" i="34"/>
  <c r="Z4442" i="34"/>
  <c r="A4442" i="34"/>
  <c r="O4446" i="34"/>
  <c r="W4446" i="34"/>
  <c r="P4446" i="34"/>
  <c r="Q4446" i="34"/>
  <c r="U4446" i="34"/>
  <c r="Z4446" i="34"/>
  <c r="A4446" i="34"/>
  <c r="O4450" i="34"/>
  <c r="W4450" i="34"/>
  <c r="P4450" i="34"/>
  <c r="Q4450" i="34"/>
  <c r="U4450" i="34"/>
  <c r="Z4450" i="34"/>
  <c r="A4450" i="34"/>
  <c r="O4454" i="34"/>
  <c r="W4454" i="34"/>
  <c r="P4454" i="34"/>
  <c r="Q4454" i="34"/>
  <c r="U4454" i="34"/>
  <c r="Z4454" i="34"/>
  <c r="A4454" i="34"/>
  <c r="Z4057" i="34"/>
  <c r="O4057" i="34"/>
  <c r="W4057" i="34"/>
  <c r="P4057" i="34"/>
  <c r="Q4057" i="34"/>
  <c r="U4057" i="34"/>
  <c r="A4057" i="34"/>
  <c r="Z3989" i="34"/>
  <c r="O3989" i="34"/>
  <c r="W3989" i="34"/>
  <c r="P3989" i="34"/>
  <c r="Q3989" i="34"/>
  <c r="U3989" i="34"/>
  <c r="A3989" i="34"/>
  <c r="Z3993" i="34"/>
  <c r="O3993" i="34"/>
  <c r="W3993" i="34"/>
  <c r="P3993" i="34"/>
  <c r="Q3993" i="34"/>
  <c r="U3993" i="34"/>
  <c r="A3993" i="34"/>
  <c r="Z3997" i="34"/>
  <c r="O3997" i="34"/>
  <c r="W3997" i="34"/>
  <c r="P3997" i="34"/>
  <c r="Q3997" i="34"/>
  <c r="U3997" i="34"/>
  <c r="A3997" i="34"/>
  <c r="Z4001" i="34"/>
  <c r="O4001" i="34"/>
  <c r="W4001" i="34"/>
  <c r="P4001" i="34"/>
  <c r="Q4001" i="34"/>
  <c r="U4001" i="34"/>
  <c r="A4001" i="34"/>
  <c r="Z4005" i="34"/>
  <c r="O4005" i="34"/>
  <c r="W4005" i="34"/>
  <c r="P4005" i="34"/>
  <c r="Q4005" i="34"/>
  <c r="U4005" i="34"/>
  <c r="A4005" i="34"/>
  <c r="O4040" i="34"/>
  <c r="W4040" i="34"/>
  <c r="P4040" i="34"/>
  <c r="Q4040" i="34"/>
  <c r="U4040" i="34"/>
  <c r="Z4040" i="34"/>
  <c r="A4040" i="34"/>
  <c r="O209" i="34"/>
  <c r="S209" i="34"/>
  <c r="W209" i="34"/>
  <c r="P209" i="34"/>
  <c r="T209" i="34"/>
  <c r="Q209" i="34"/>
  <c r="U209" i="34"/>
  <c r="R209" i="34"/>
  <c r="Z209" i="34"/>
  <c r="A209" i="34"/>
  <c r="Q215" i="34"/>
  <c r="U215" i="34"/>
  <c r="R215" i="34"/>
  <c r="Z215" i="34"/>
  <c r="O215" i="34"/>
  <c r="S215" i="34"/>
  <c r="W215" i="34"/>
  <c r="P215" i="34"/>
  <c r="T215" i="34"/>
  <c r="A215" i="34"/>
  <c r="Q219" i="34"/>
  <c r="U219" i="34"/>
  <c r="R219" i="34"/>
  <c r="Z219" i="34"/>
  <c r="O219" i="34"/>
  <c r="S219" i="34"/>
  <c r="W219" i="34"/>
  <c r="P219" i="34"/>
  <c r="T219" i="34"/>
  <c r="A219" i="34"/>
  <c r="Q223" i="34"/>
  <c r="U223" i="34"/>
  <c r="R223" i="34"/>
  <c r="Z223" i="34"/>
  <c r="O223" i="34"/>
  <c r="S223" i="34"/>
  <c r="W223" i="34"/>
  <c r="P223" i="34"/>
  <c r="T223" i="34"/>
  <c r="A223" i="34"/>
  <c r="Q227" i="34"/>
  <c r="U227" i="34"/>
  <c r="R227" i="34"/>
  <c r="Z227" i="34"/>
  <c r="O227" i="34"/>
  <c r="S227" i="34"/>
  <c r="W227" i="34"/>
  <c r="P227" i="34"/>
  <c r="T227" i="34"/>
  <c r="A227" i="34"/>
  <c r="Q4010" i="34"/>
  <c r="U4010" i="34"/>
  <c r="Z4010" i="34"/>
  <c r="O4010" i="34"/>
  <c r="W4010" i="34"/>
  <c r="P4010" i="34"/>
  <c r="A4010" i="34"/>
  <c r="P533" i="34"/>
  <c r="Q533" i="34"/>
  <c r="U533" i="34"/>
  <c r="Z533" i="34"/>
  <c r="O533" i="34"/>
  <c r="W533" i="34"/>
  <c r="A533" i="34"/>
  <c r="P537" i="34"/>
  <c r="Q537" i="34"/>
  <c r="U537" i="34"/>
  <c r="Z537" i="34"/>
  <c r="O537" i="34"/>
  <c r="W537" i="34"/>
  <c r="A537" i="34"/>
  <c r="P3543" i="34"/>
  <c r="Q3543" i="34"/>
  <c r="U3543" i="34"/>
  <c r="Z3543" i="34"/>
  <c r="O3543" i="34"/>
  <c r="W3543" i="34"/>
  <c r="A3543" i="34"/>
  <c r="Q3706" i="34"/>
  <c r="U3706" i="34"/>
  <c r="Z3706" i="34"/>
  <c r="O3706" i="34"/>
  <c r="W3706" i="34"/>
  <c r="P3706" i="34"/>
  <c r="A3706" i="34"/>
  <c r="Q3710" i="34"/>
  <c r="U3710" i="34"/>
  <c r="Z3710" i="34"/>
  <c r="O3710" i="34"/>
  <c r="W3710" i="34"/>
  <c r="P3710" i="34"/>
  <c r="A3710" i="34"/>
  <c r="Z3921" i="34"/>
  <c r="O3921" i="34"/>
  <c r="W3921" i="34"/>
  <c r="P3921" i="34"/>
  <c r="Q3921" i="34"/>
  <c r="U3921" i="34"/>
  <c r="A3921" i="34"/>
  <c r="Z3925" i="34"/>
  <c r="O3925" i="34"/>
  <c r="W3925" i="34"/>
  <c r="P3925" i="34"/>
  <c r="Q3925" i="34"/>
  <c r="U3925" i="34"/>
  <c r="A3925" i="34"/>
  <c r="P561" i="34"/>
  <c r="Q561" i="34"/>
  <c r="U561" i="34"/>
  <c r="Z561" i="34"/>
  <c r="O561" i="34"/>
  <c r="W561" i="34"/>
  <c r="A561" i="34"/>
  <c r="O570" i="34"/>
  <c r="W570" i="34"/>
  <c r="P570" i="34"/>
  <c r="Q570" i="34"/>
  <c r="U570" i="34"/>
  <c r="Z570" i="34"/>
  <c r="A570" i="34"/>
  <c r="P629" i="34"/>
  <c r="Q629" i="34"/>
  <c r="U629" i="34"/>
  <c r="Z629" i="34"/>
  <c r="O629" i="34"/>
  <c r="W629" i="34"/>
  <c r="A629" i="34"/>
  <c r="P633" i="34"/>
  <c r="Q633" i="34"/>
  <c r="U633" i="34"/>
  <c r="Z633" i="34"/>
  <c r="O633" i="34"/>
  <c r="W633" i="34"/>
  <c r="A633" i="34"/>
  <c r="Z671" i="34"/>
  <c r="O671" i="34"/>
  <c r="W671" i="34"/>
  <c r="P671" i="34"/>
  <c r="Q671" i="34"/>
  <c r="U671" i="34"/>
  <c r="A671" i="34"/>
  <c r="Z675" i="34"/>
  <c r="O675" i="34"/>
  <c r="W675" i="34"/>
  <c r="P675" i="34"/>
  <c r="Q675" i="34"/>
  <c r="U675" i="34"/>
  <c r="A675" i="34"/>
  <c r="Z531" i="34"/>
  <c r="O531" i="34"/>
  <c r="W531" i="34"/>
  <c r="P531" i="34"/>
  <c r="Q531" i="34"/>
  <c r="U531" i="34"/>
  <c r="A531" i="34"/>
  <c r="P50" i="34"/>
  <c r="T50" i="34"/>
  <c r="Q50" i="34"/>
  <c r="U50" i="34"/>
  <c r="R50" i="34"/>
  <c r="Z50" i="34"/>
  <c r="O50" i="34"/>
  <c r="S50" i="34"/>
  <c r="W50" i="34"/>
  <c r="A50" i="34"/>
  <c r="P54" i="34"/>
  <c r="T54" i="34"/>
  <c r="Q54" i="34"/>
  <c r="U54" i="34"/>
  <c r="R54" i="34"/>
  <c r="Z54" i="34"/>
  <c r="O54" i="34"/>
  <c r="S54" i="34"/>
  <c r="W54" i="34"/>
  <c r="A54" i="34"/>
  <c r="Z385" i="34"/>
  <c r="O385" i="34"/>
  <c r="W385" i="34"/>
  <c r="P385" i="34"/>
  <c r="Q385" i="34"/>
  <c r="U385" i="34"/>
  <c r="A385" i="34"/>
  <c r="Z389" i="34"/>
  <c r="O389" i="34"/>
  <c r="W389" i="34"/>
  <c r="P389" i="34"/>
  <c r="Q389" i="34"/>
  <c r="U389" i="34"/>
  <c r="A389" i="34"/>
  <c r="Z559" i="34"/>
  <c r="O559" i="34"/>
  <c r="W559" i="34"/>
  <c r="P559" i="34"/>
  <c r="Q559" i="34"/>
  <c r="U559" i="34"/>
  <c r="A559" i="34"/>
  <c r="Q3734" i="34"/>
  <c r="U3734" i="34"/>
  <c r="Z3734" i="34"/>
  <c r="O3734" i="34"/>
  <c r="W3734" i="34"/>
  <c r="P3734" i="34"/>
  <c r="A3734" i="34"/>
  <c r="Z2688" i="34"/>
  <c r="O2688" i="34"/>
  <c r="W2688" i="34"/>
  <c r="P2688" i="34"/>
  <c r="Q2688" i="34"/>
  <c r="U2688" i="34"/>
  <c r="A2688" i="34"/>
  <c r="Z2692" i="34"/>
  <c r="O2692" i="34"/>
  <c r="W2692" i="34"/>
  <c r="P2692" i="34"/>
  <c r="Q2692" i="34"/>
  <c r="U2692" i="34"/>
  <c r="A2692" i="34"/>
  <c r="Z3545" i="34"/>
  <c r="O3545" i="34"/>
  <c r="W3545" i="34"/>
  <c r="P3545" i="34"/>
  <c r="Q3545" i="34"/>
  <c r="U3545" i="34"/>
  <c r="A3545" i="34"/>
  <c r="P2714" i="34"/>
  <c r="Q2714" i="34"/>
  <c r="U2714" i="34"/>
  <c r="Z2714" i="34"/>
  <c r="O2714" i="34"/>
  <c r="W2714" i="34"/>
  <c r="A2714" i="34"/>
  <c r="P2718" i="34"/>
  <c r="Q2718" i="34"/>
  <c r="U2718" i="34"/>
  <c r="Z2718" i="34"/>
  <c r="O2718" i="34"/>
  <c r="W2718" i="34"/>
  <c r="A2718" i="34"/>
  <c r="O3700" i="34"/>
  <c r="W3700" i="34"/>
  <c r="P3700" i="34"/>
  <c r="Q3700" i="34"/>
  <c r="U3700" i="34"/>
  <c r="Z3700" i="34"/>
  <c r="A3700" i="34"/>
  <c r="O3704" i="34"/>
  <c r="W3704" i="34"/>
  <c r="P3704" i="34"/>
  <c r="Q3704" i="34"/>
  <c r="U3704" i="34"/>
  <c r="Z3704" i="34"/>
  <c r="A3704" i="34"/>
  <c r="P621" i="34"/>
  <c r="Q621" i="34"/>
  <c r="U621" i="34"/>
  <c r="Z621" i="34"/>
  <c r="O621" i="34"/>
  <c r="W621" i="34"/>
  <c r="A621" i="34"/>
  <c r="P513" i="34"/>
  <c r="Q513" i="34"/>
  <c r="U513" i="34"/>
  <c r="Z513" i="34"/>
  <c r="O513" i="34"/>
  <c r="W513" i="34"/>
  <c r="A513" i="34"/>
  <c r="P509" i="34"/>
  <c r="Q509" i="34"/>
  <c r="U509" i="34"/>
  <c r="Z509" i="34"/>
  <c r="O509" i="34"/>
  <c r="W509" i="34"/>
  <c r="A509" i="34"/>
  <c r="Q492" i="34"/>
  <c r="U492" i="34"/>
  <c r="Z492" i="34"/>
  <c r="O492" i="34"/>
  <c r="W492" i="34"/>
  <c r="P492" i="34"/>
  <c r="A492" i="34"/>
  <c r="O498" i="34"/>
  <c r="W498" i="34"/>
  <c r="P498" i="34"/>
  <c r="Q498" i="34"/>
  <c r="U498" i="34"/>
  <c r="Z498" i="34"/>
  <c r="A498" i="34"/>
  <c r="R117" i="34"/>
  <c r="Z117" i="34"/>
  <c r="O117" i="34"/>
  <c r="S117" i="34"/>
  <c r="W117" i="34"/>
  <c r="P117" i="34"/>
  <c r="T117" i="34"/>
  <c r="Q117" i="34"/>
  <c r="U117" i="34"/>
  <c r="A117" i="34"/>
  <c r="O92" i="34"/>
  <c r="S92" i="34"/>
  <c r="W92" i="34"/>
  <c r="P92" i="34"/>
  <c r="T92" i="34"/>
  <c r="Q92" i="34"/>
  <c r="U92" i="34"/>
  <c r="R92" i="34"/>
  <c r="Z92" i="34"/>
  <c r="A92" i="34"/>
  <c r="O87" i="34"/>
  <c r="S87" i="34"/>
  <c r="W87" i="34"/>
  <c r="P87" i="34"/>
  <c r="T87" i="34"/>
  <c r="Q87" i="34"/>
  <c r="U87" i="34"/>
  <c r="R87" i="34"/>
  <c r="Z87" i="34"/>
  <c r="A87" i="34"/>
  <c r="P78" i="34"/>
  <c r="T78" i="34"/>
  <c r="Q78" i="34"/>
  <c r="U78" i="34"/>
  <c r="R78" i="34"/>
  <c r="Z78" i="34"/>
  <c r="O78" i="34"/>
  <c r="S78" i="34"/>
  <c r="W78" i="34"/>
  <c r="A78" i="34"/>
  <c r="P74" i="34"/>
  <c r="T74" i="34"/>
  <c r="Q74" i="34"/>
  <c r="U74" i="34"/>
  <c r="R74" i="34"/>
  <c r="Z74" i="34"/>
  <c r="O74" i="34"/>
  <c r="S74" i="34"/>
  <c r="W74" i="34"/>
  <c r="A74" i="34"/>
  <c r="P2686" i="34"/>
  <c r="Q2686" i="34"/>
  <c r="U2686" i="34"/>
  <c r="Z2686" i="34"/>
  <c r="O2686" i="34"/>
  <c r="W2686" i="34"/>
  <c r="A2686" i="34"/>
  <c r="P2682" i="34"/>
  <c r="Q2682" i="34"/>
  <c r="U2682" i="34"/>
  <c r="Z2682" i="34"/>
  <c r="O2682" i="34"/>
  <c r="W2682" i="34"/>
  <c r="A2682" i="34"/>
  <c r="Q2669" i="34"/>
  <c r="U2669" i="34"/>
  <c r="Z2669" i="34"/>
  <c r="O2669" i="34"/>
  <c r="W2669" i="34"/>
  <c r="P2669" i="34"/>
  <c r="A2669" i="34"/>
  <c r="Z3749" i="34"/>
  <c r="O3749" i="34"/>
  <c r="W3749" i="34"/>
  <c r="P3749" i="34"/>
  <c r="Q3749" i="34"/>
  <c r="U3749" i="34"/>
  <c r="A3749" i="34"/>
  <c r="P3727" i="34"/>
  <c r="Q3727" i="34"/>
  <c r="U3727" i="34"/>
  <c r="Z3727" i="34"/>
  <c r="O3727" i="34"/>
  <c r="W3727" i="34"/>
  <c r="A3727" i="34"/>
  <c r="P3723" i="34"/>
  <c r="Q3723" i="34"/>
  <c r="U3723" i="34"/>
  <c r="Z3723" i="34"/>
  <c r="O3723" i="34"/>
  <c r="W3723" i="34"/>
  <c r="A3723" i="34"/>
  <c r="Q3694" i="34"/>
  <c r="U3694" i="34"/>
  <c r="Z3694" i="34"/>
  <c r="O3694" i="34"/>
  <c r="W3694" i="34"/>
  <c r="P3694" i="34"/>
  <c r="A3694" i="34"/>
  <c r="Q3690" i="34"/>
  <c r="U3690" i="34"/>
  <c r="Z3690" i="34"/>
  <c r="O3690" i="34"/>
  <c r="W3690" i="34"/>
  <c r="P3690" i="34"/>
  <c r="A3690" i="34"/>
  <c r="Z3673" i="34"/>
  <c r="O3673" i="34"/>
  <c r="W3673" i="34"/>
  <c r="P3673" i="34"/>
  <c r="Q3673" i="34"/>
  <c r="U3673" i="34"/>
  <c r="A3673" i="34"/>
  <c r="Z3669" i="34"/>
  <c r="O3669" i="34"/>
  <c r="W3669" i="34"/>
  <c r="P3669" i="34"/>
  <c r="Q3669" i="34"/>
  <c r="U3669" i="34"/>
  <c r="A3669" i="34"/>
  <c r="Z2664" i="34"/>
  <c r="O2664" i="34"/>
  <c r="W2664" i="34"/>
  <c r="P2664" i="34"/>
  <c r="Q2664" i="34"/>
  <c r="U2664" i="34"/>
  <c r="A2664" i="34"/>
  <c r="Z2660" i="34"/>
  <c r="O2660" i="34"/>
  <c r="W2660" i="34"/>
  <c r="P2660" i="34"/>
  <c r="Q2660" i="34"/>
  <c r="U2660" i="34"/>
  <c r="A2660" i="34"/>
  <c r="Z2656" i="34"/>
  <c r="O2656" i="34"/>
  <c r="W2656" i="34"/>
  <c r="P2656" i="34"/>
  <c r="Q2656" i="34"/>
  <c r="U2656" i="34"/>
  <c r="A2656" i="34"/>
  <c r="Z2652" i="34"/>
  <c r="O2652" i="34"/>
  <c r="W2652" i="34"/>
  <c r="P2652" i="34"/>
  <c r="Q2652" i="34"/>
  <c r="U2652" i="34"/>
  <c r="A2652" i="34"/>
  <c r="O1722" i="34"/>
  <c r="W1722" i="34"/>
  <c r="P1722" i="34"/>
  <c r="Q1722" i="34"/>
  <c r="U1722" i="34"/>
  <c r="Z1722" i="34"/>
  <c r="A1722" i="34"/>
  <c r="O1726" i="34"/>
  <c r="W1726" i="34"/>
  <c r="P1726" i="34"/>
  <c r="Q1726" i="34"/>
  <c r="U1726" i="34"/>
  <c r="Z1726" i="34"/>
  <c r="A1726" i="34"/>
  <c r="O1730" i="34"/>
  <c r="W1730" i="34"/>
  <c r="P1730" i="34"/>
  <c r="Q1730" i="34"/>
  <c r="U1730" i="34"/>
  <c r="Z1730" i="34"/>
  <c r="A1730" i="34"/>
  <c r="O1734" i="34"/>
  <c r="W1734" i="34"/>
  <c r="P1734" i="34"/>
  <c r="Q1734" i="34"/>
  <c r="U1734" i="34"/>
  <c r="Z1734" i="34"/>
  <c r="A1734" i="34"/>
  <c r="O1746" i="34"/>
  <c r="W1746" i="34"/>
  <c r="P1746" i="34"/>
  <c r="Q1746" i="34"/>
  <c r="U1746" i="34"/>
  <c r="Z1746" i="34"/>
  <c r="A1746" i="34"/>
  <c r="P1793" i="34"/>
  <c r="Q1793" i="34"/>
  <c r="U1793" i="34"/>
  <c r="Z1793" i="34"/>
  <c r="O1793" i="34"/>
  <c r="W1793" i="34"/>
  <c r="A1793" i="34"/>
  <c r="Q1760" i="34"/>
  <c r="U1760" i="34"/>
  <c r="Z1760" i="34"/>
  <c r="O1760" i="34"/>
  <c r="W1760" i="34"/>
  <c r="P1760" i="34"/>
  <c r="A1760" i="34"/>
  <c r="Z1831" i="34"/>
  <c r="O1831" i="34"/>
  <c r="W1831" i="34"/>
  <c r="P1831" i="34"/>
  <c r="Q1831" i="34"/>
  <c r="U1831" i="34"/>
  <c r="A1831" i="34"/>
  <c r="Q1840" i="34"/>
  <c r="U1840" i="34"/>
  <c r="Z1840" i="34"/>
  <c r="O1840" i="34"/>
  <c r="W1840" i="34"/>
  <c r="P1840" i="34"/>
  <c r="A1840" i="34"/>
  <c r="P1919" i="34"/>
  <c r="Q1919" i="34"/>
  <c r="U1919" i="34"/>
  <c r="Z1919" i="34"/>
  <c r="O1919" i="34"/>
  <c r="W1919" i="34"/>
  <c r="A1919" i="34"/>
  <c r="Z1925" i="34"/>
  <c r="O1925" i="34"/>
  <c r="W1925" i="34"/>
  <c r="P1925" i="34"/>
  <c r="Q1925" i="34"/>
  <c r="U1925" i="34"/>
  <c r="A1925" i="34"/>
  <c r="O1842" i="34"/>
  <c r="W1842" i="34"/>
  <c r="P1842" i="34"/>
  <c r="Q1842" i="34"/>
  <c r="U1842" i="34"/>
  <c r="Z1842" i="34"/>
  <c r="A1842" i="34"/>
  <c r="Q1864" i="34"/>
  <c r="U1864" i="34"/>
  <c r="Z1864" i="34"/>
  <c r="O1864" i="34"/>
  <c r="W1864" i="34"/>
  <c r="P1864" i="34"/>
  <c r="A1864" i="34"/>
  <c r="P1869" i="34"/>
  <c r="Q1869" i="34"/>
  <c r="U1869" i="34"/>
  <c r="Z1869" i="34"/>
  <c r="O1869" i="34"/>
  <c r="W1869" i="34"/>
  <c r="A1869" i="34"/>
  <c r="Q1910" i="34"/>
  <c r="U1910" i="34"/>
  <c r="Z1910" i="34"/>
  <c r="O1910" i="34"/>
  <c r="W1910" i="34"/>
  <c r="P1910" i="34"/>
  <c r="A1910" i="34"/>
  <c r="Z1929" i="34"/>
  <c r="O1929" i="34"/>
  <c r="W1929" i="34"/>
  <c r="P1929" i="34"/>
  <c r="Q1929" i="34"/>
  <c r="U1929" i="34"/>
  <c r="A1929" i="34"/>
  <c r="O1858" i="34"/>
  <c r="W1858" i="34"/>
  <c r="P1858" i="34"/>
  <c r="Q1858" i="34"/>
  <c r="U1858" i="34"/>
  <c r="Z1858" i="34"/>
  <c r="A1858" i="34"/>
  <c r="Q1922" i="34"/>
  <c r="U1922" i="34"/>
  <c r="Z1922" i="34"/>
  <c r="O1922" i="34"/>
  <c r="W1922" i="34"/>
  <c r="P1922" i="34"/>
  <c r="A1922" i="34"/>
  <c r="Z1543" i="34"/>
  <c r="O1543" i="34"/>
  <c r="W1543" i="34"/>
  <c r="P1543" i="34"/>
  <c r="Q1543" i="34"/>
  <c r="U1543" i="34"/>
  <c r="A1543" i="34"/>
  <c r="Z1547" i="34"/>
  <c r="O1547" i="34"/>
  <c r="W1547" i="34"/>
  <c r="P1547" i="34"/>
  <c r="Q1547" i="34"/>
  <c r="U1547" i="34"/>
  <c r="A1547" i="34"/>
  <c r="Z1551" i="34"/>
  <c r="O1551" i="34"/>
  <c r="W1551" i="34"/>
  <c r="P1551" i="34"/>
  <c r="Q1551" i="34"/>
  <c r="U1551" i="34"/>
  <c r="A1551" i="34"/>
  <c r="Z1555" i="34"/>
  <c r="O1555" i="34"/>
  <c r="W1555" i="34"/>
  <c r="P1555" i="34"/>
  <c r="Q1555" i="34"/>
  <c r="U1555" i="34"/>
  <c r="A1555" i="34"/>
  <c r="Z1559" i="34"/>
  <c r="O1559" i="34"/>
  <c r="W1559" i="34"/>
  <c r="P1559" i="34"/>
  <c r="Q1559" i="34"/>
  <c r="U1559" i="34"/>
  <c r="A1559" i="34"/>
  <c r="Z1563" i="34"/>
  <c r="O1563" i="34"/>
  <c r="W1563" i="34"/>
  <c r="P1563" i="34"/>
  <c r="Q1563" i="34"/>
  <c r="U1563" i="34"/>
  <c r="A1563" i="34"/>
  <c r="Z1567" i="34"/>
  <c r="O1567" i="34"/>
  <c r="W1567" i="34"/>
  <c r="P1567" i="34"/>
  <c r="Q1567" i="34"/>
  <c r="U1567" i="34"/>
  <c r="A1567" i="34"/>
  <c r="Z1571" i="34"/>
  <c r="O1571" i="34"/>
  <c r="W1571" i="34"/>
  <c r="P1571" i="34"/>
  <c r="Q1571" i="34"/>
  <c r="U1571" i="34"/>
  <c r="A1571" i="34"/>
  <c r="Z1575" i="34"/>
  <c r="O1575" i="34"/>
  <c r="W1575" i="34"/>
  <c r="P1575" i="34"/>
  <c r="Q1575" i="34"/>
  <c r="U1575" i="34"/>
  <c r="A1575" i="34"/>
  <c r="Z1579" i="34"/>
  <c r="O1579" i="34"/>
  <c r="W1579" i="34"/>
  <c r="P1579" i="34"/>
  <c r="Q1579" i="34"/>
  <c r="U1579" i="34"/>
  <c r="A1579" i="34"/>
  <c r="Z1611" i="34"/>
  <c r="O1611" i="34"/>
  <c r="W1611" i="34"/>
  <c r="P1611" i="34"/>
  <c r="Q1611" i="34"/>
  <c r="U1611" i="34"/>
  <c r="A1611" i="34"/>
  <c r="Z1615" i="34"/>
  <c r="O1615" i="34"/>
  <c r="W1615" i="34"/>
  <c r="P1615" i="34"/>
  <c r="Q1615" i="34"/>
  <c r="U1615" i="34"/>
  <c r="A1615" i="34"/>
  <c r="Z1619" i="34"/>
  <c r="O1619" i="34"/>
  <c r="W1619" i="34"/>
  <c r="P1619" i="34"/>
  <c r="Q1619" i="34"/>
  <c r="U1619" i="34"/>
  <c r="A1619" i="34"/>
  <c r="Z1623" i="34"/>
  <c r="O1623" i="34"/>
  <c r="W1623" i="34"/>
  <c r="P1623" i="34"/>
  <c r="Q1623" i="34"/>
  <c r="U1623" i="34"/>
  <c r="A1623" i="34"/>
  <c r="Z1627" i="34"/>
  <c r="O1627" i="34"/>
  <c r="W1627" i="34"/>
  <c r="P1627" i="34"/>
  <c r="Q1627" i="34"/>
  <c r="U1627" i="34"/>
  <c r="A1627" i="34"/>
  <c r="Z1631" i="34"/>
  <c r="O1631" i="34"/>
  <c r="W1631" i="34"/>
  <c r="P1631" i="34"/>
  <c r="Q1631" i="34"/>
  <c r="U1631" i="34"/>
  <c r="A1631" i="34"/>
  <c r="Z1635" i="34"/>
  <c r="O1635" i="34"/>
  <c r="W1635" i="34"/>
  <c r="P1635" i="34"/>
  <c r="Q1635" i="34"/>
  <c r="U1635" i="34"/>
  <c r="A1635" i="34"/>
  <c r="Z1639" i="34"/>
  <c r="O1639" i="34"/>
  <c r="W1639" i="34"/>
  <c r="P1639" i="34"/>
  <c r="Q1639" i="34"/>
  <c r="U1639" i="34"/>
  <c r="A1639" i="34"/>
  <c r="Q2641" i="34"/>
  <c r="U2641" i="34"/>
  <c r="Z2641" i="34"/>
  <c r="O2641" i="34"/>
  <c r="W2641" i="34"/>
  <c r="P2641" i="34"/>
  <c r="A2641" i="34"/>
  <c r="B2638" i="34"/>
  <c r="B122" i="34"/>
  <c r="B1897" i="34"/>
  <c r="B1942" i="34"/>
  <c r="P2638" i="34" l="1"/>
  <c r="Q2638" i="34"/>
  <c r="U2638" i="34"/>
  <c r="Z2638" i="34"/>
  <c r="O2638" i="34"/>
  <c r="W2638" i="34"/>
  <c r="A2638" i="34"/>
  <c r="P1897" i="34"/>
  <c r="Q1897" i="34"/>
  <c r="U1897" i="34"/>
  <c r="O1897" i="34"/>
  <c r="W1897" i="34"/>
  <c r="Z1897" i="34"/>
  <c r="A1897" i="34"/>
  <c r="Q122" i="34"/>
  <c r="U122" i="34"/>
  <c r="R122" i="34"/>
  <c r="Z122" i="34"/>
  <c r="O122" i="34"/>
  <c r="S122" i="34"/>
  <c r="W122" i="34"/>
  <c r="P122" i="34"/>
  <c r="T122" i="34"/>
  <c r="A122" i="34"/>
  <c r="Q1942" i="34"/>
  <c r="U1942" i="34"/>
  <c r="Z1942" i="34"/>
  <c r="O1942" i="34"/>
  <c r="W1942" i="34"/>
  <c r="P1942" i="34"/>
  <c r="A1942" i="34"/>
  <c r="F787" i="55"/>
  <c r="F788" i="55" s="1"/>
  <c r="Q160" i="60"/>
  <c r="C160" i="60" s="1"/>
  <c r="Q159" i="60"/>
  <c r="C159" i="60" s="1"/>
  <c r="Q161" i="60"/>
  <c r="C161" i="60" s="1"/>
  <c r="Q154" i="60"/>
  <c r="C154" i="60" s="1"/>
  <c r="Q152" i="60"/>
  <c r="C152" i="60" s="1"/>
  <c r="Q155" i="60"/>
  <c r="C155" i="60" s="1"/>
  <c r="Q153" i="60"/>
  <c r="C153" i="60" s="1"/>
  <c r="Q156" i="60"/>
  <c r="C156" i="60" s="1"/>
  <c r="Q157" i="60"/>
  <c r="C157" i="60" s="1"/>
  <c r="Q158" i="60"/>
  <c r="C158" i="60" s="1"/>
  <c r="Q162" i="60"/>
  <c r="C162" i="60" s="1"/>
  <c r="B395" i="34" l="1"/>
  <c r="B1684" i="34"/>
  <c r="B1649" i="34"/>
  <c r="B1888" i="34"/>
  <c r="B1859" i="34"/>
  <c r="Q1888" i="34" l="1"/>
  <c r="U1888" i="34"/>
  <c r="Z1888" i="34"/>
  <c r="O1888" i="34"/>
  <c r="W1888" i="34"/>
  <c r="P1888" i="34"/>
  <c r="A1888" i="34"/>
  <c r="P1649" i="34"/>
  <c r="Q1649" i="34"/>
  <c r="U1649" i="34"/>
  <c r="Z1649" i="34"/>
  <c r="O1649" i="34"/>
  <c r="W1649" i="34"/>
  <c r="A1649" i="34"/>
  <c r="Q1684" i="34"/>
  <c r="U1684" i="34"/>
  <c r="Z1684" i="34"/>
  <c r="O1684" i="34"/>
  <c r="W1684" i="34"/>
  <c r="P1684" i="34"/>
  <c r="A1684" i="34"/>
  <c r="Z1859" i="34"/>
  <c r="O1859" i="34"/>
  <c r="W1859" i="34"/>
  <c r="P1859" i="34"/>
  <c r="Q1859" i="34"/>
  <c r="U1859" i="34"/>
  <c r="A1859" i="34"/>
  <c r="P395" i="34"/>
  <c r="Q395" i="34"/>
  <c r="U395" i="34"/>
  <c r="Z395" i="34"/>
  <c r="O395" i="34"/>
  <c r="W395" i="34"/>
  <c r="A395" i="34"/>
  <c r="B1750" i="34"/>
  <c r="B2109" i="34"/>
  <c r="B2119" i="34"/>
  <c r="O1750" i="34" l="1"/>
  <c r="W1750" i="34"/>
  <c r="P1750" i="34"/>
  <c r="Q1750" i="34"/>
  <c r="U1750" i="34"/>
  <c r="Z1750" i="34"/>
  <c r="A1750" i="34"/>
  <c r="P2119" i="34"/>
  <c r="Q2119" i="34"/>
  <c r="U2119" i="34"/>
  <c r="Z2119" i="34"/>
  <c r="O2119" i="34"/>
  <c r="W2119" i="34"/>
  <c r="A2119" i="34"/>
  <c r="Z2109" i="34"/>
  <c r="O2109" i="34"/>
  <c r="W2109" i="34"/>
  <c r="P2109" i="34"/>
  <c r="Q2109" i="34"/>
  <c r="U2109" i="34"/>
  <c r="A2109" i="34"/>
  <c r="B1974" i="34"/>
  <c r="B1950" i="34"/>
  <c r="B682" i="34"/>
  <c r="B658" i="34"/>
  <c r="B654" i="34"/>
  <c r="B744" i="34"/>
  <c r="B783" i="34"/>
  <c r="B1982" i="34"/>
  <c r="I6" i="12"/>
  <c r="I7" i="12"/>
  <c r="I9" i="12"/>
  <c r="I11" i="12"/>
  <c r="I10" i="12"/>
  <c r="I8" i="12"/>
  <c r="I13" i="12"/>
  <c r="I14" i="12"/>
  <c r="I15" i="12"/>
  <c r="I12" i="12"/>
  <c r="P783" i="34" l="1"/>
  <c r="Q783" i="34"/>
  <c r="U783" i="34"/>
  <c r="Z783" i="34"/>
  <c r="O783" i="34"/>
  <c r="W783" i="34"/>
  <c r="A783" i="34"/>
  <c r="O682" i="34"/>
  <c r="W682" i="34"/>
  <c r="P682" i="34"/>
  <c r="Q682" i="34"/>
  <c r="U682" i="34"/>
  <c r="Z682" i="34"/>
  <c r="A682" i="34"/>
  <c r="O658" i="34"/>
  <c r="W658" i="34"/>
  <c r="P658" i="34"/>
  <c r="Q658" i="34"/>
  <c r="U658" i="34"/>
  <c r="Z658" i="34"/>
  <c r="A658" i="34"/>
  <c r="Q744" i="34"/>
  <c r="U744" i="34"/>
  <c r="Z744" i="34"/>
  <c r="O744" i="34"/>
  <c r="W744" i="34"/>
  <c r="P744" i="34"/>
  <c r="A744" i="34"/>
  <c r="Q1950" i="34"/>
  <c r="U1950" i="34"/>
  <c r="Z1950" i="34"/>
  <c r="O1950" i="34"/>
  <c r="W1950" i="34"/>
  <c r="P1950" i="34"/>
  <c r="A1950" i="34"/>
  <c r="O654" i="34"/>
  <c r="W654" i="34"/>
  <c r="P654" i="34"/>
  <c r="Q654" i="34"/>
  <c r="U654" i="34"/>
  <c r="Z654" i="34"/>
  <c r="A654" i="34"/>
  <c r="Q1974" i="34"/>
  <c r="U1974" i="34"/>
  <c r="Z1974" i="34"/>
  <c r="O1974" i="34"/>
  <c r="W1974" i="34"/>
  <c r="P1974" i="34"/>
  <c r="A1974" i="34"/>
  <c r="Q1982" i="34"/>
  <c r="U1982" i="34"/>
  <c r="Z1982" i="34"/>
  <c r="O1982" i="34"/>
  <c r="W1982" i="34"/>
  <c r="P1982" i="34"/>
  <c r="A1982" i="34"/>
  <c r="O5" i="78"/>
  <c r="N5" i="78"/>
  <c r="B735" i="34"/>
  <c r="B730" i="34"/>
  <c r="B727" i="34"/>
  <c r="Z735" i="34" l="1"/>
  <c r="O735" i="34"/>
  <c r="W735" i="34"/>
  <c r="P735" i="34"/>
  <c r="Q735" i="34"/>
  <c r="U735" i="34"/>
  <c r="A735" i="34"/>
  <c r="O730" i="34"/>
  <c r="W730" i="34"/>
  <c r="P730" i="34"/>
  <c r="Q730" i="34"/>
  <c r="U730" i="34"/>
  <c r="Z730" i="34"/>
  <c r="A730" i="34"/>
  <c r="Z727" i="34"/>
  <c r="O727" i="34"/>
  <c r="W727" i="34"/>
  <c r="P727" i="34"/>
  <c r="Q727" i="34"/>
  <c r="U727" i="34"/>
  <c r="A727" i="34"/>
  <c r="B793" i="34"/>
  <c r="B792" i="34"/>
  <c r="B791" i="34"/>
  <c r="B790" i="34"/>
  <c r="B789" i="34"/>
  <c r="B788" i="34"/>
  <c r="B780" i="34"/>
  <c r="B779" i="34"/>
  <c r="B778" i="34"/>
  <c r="B777" i="34"/>
  <c r="B776" i="34"/>
  <c r="B775" i="34"/>
  <c r="B774" i="34"/>
  <c r="B773" i="34"/>
  <c r="B769" i="34"/>
  <c r="B768" i="34"/>
  <c r="B767" i="34"/>
  <c r="B766" i="34"/>
  <c r="B765" i="34"/>
  <c r="B764" i="34"/>
  <c r="B763" i="34"/>
  <c r="B762" i="34"/>
  <c r="B761" i="34"/>
  <c r="B743" i="34"/>
  <c r="B742" i="34"/>
  <c r="B741" i="34"/>
  <c r="B740" i="34"/>
  <c r="B739" i="34"/>
  <c r="B738" i="34"/>
  <c r="B737" i="34"/>
  <c r="B736" i="34"/>
  <c r="B732" i="34"/>
  <c r="B731" i="34"/>
  <c r="B729" i="34"/>
  <c r="B728" i="34"/>
  <c r="B726" i="34"/>
  <c r="B725" i="34"/>
  <c r="B724" i="34"/>
  <c r="B2118" i="34"/>
  <c r="B2074" i="34"/>
  <c r="B2115" i="34"/>
  <c r="B2085" i="34"/>
  <c r="B2080" i="34"/>
  <c r="B2102" i="34"/>
  <c r="B2095" i="34"/>
  <c r="B2098" i="34"/>
  <c r="B2084" i="34"/>
  <c r="B2078" i="34"/>
  <c r="B2077" i="34"/>
  <c r="B2104" i="34"/>
  <c r="B2081" i="34"/>
  <c r="B2061" i="34"/>
  <c r="B2060" i="34"/>
  <c r="B2059" i="34"/>
  <c r="B2058" i="34"/>
  <c r="B2057" i="34"/>
  <c r="B2056" i="34"/>
  <c r="B2055" i="34"/>
  <c r="B2054" i="34"/>
  <c r="B2051" i="34"/>
  <c r="B2050" i="34"/>
  <c r="B2049" i="34"/>
  <c r="B2048" i="34"/>
  <c r="B2047" i="34"/>
  <c r="B2046" i="34"/>
  <c r="B2045" i="34"/>
  <c r="B2044" i="34"/>
  <c r="B2043" i="34"/>
  <c r="B2031" i="34"/>
  <c r="B2030" i="34"/>
  <c r="B2029" i="34"/>
  <c r="B2028" i="34"/>
  <c r="B2027" i="34"/>
  <c r="B2026" i="34"/>
  <c r="B2025" i="34"/>
  <c r="B2024" i="34"/>
  <c r="B2023" i="34"/>
  <c r="B2005" i="34"/>
  <c r="B2004" i="34"/>
  <c r="B2003" i="34"/>
  <c r="B2002" i="34"/>
  <c r="B2001" i="34"/>
  <c r="B2000" i="34"/>
  <c r="B1999" i="34"/>
  <c r="B1998" i="34"/>
  <c r="B1997" i="34"/>
  <c r="B1971" i="34"/>
  <c r="B1970" i="34"/>
  <c r="B1969" i="34"/>
  <c r="B1968" i="34"/>
  <c r="B1967" i="34"/>
  <c r="B1966" i="34"/>
  <c r="B1965" i="34"/>
  <c r="B1964" i="34"/>
  <c r="B1963" i="34"/>
  <c r="B1936" i="34"/>
  <c r="B1892" i="34"/>
  <c r="B1894" i="34"/>
  <c r="B1861" i="34"/>
  <c r="B1848" i="34"/>
  <c r="B1905" i="34"/>
  <c r="B1843" i="34"/>
  <c r="B1921" i="34"/>
  <c r="B1907" i="34"/>
  <c r="B1933" i="34"/>
  <c r="B1920" i="34"/>
  <c r="B1850" i="34"/>
  <c r="B1948" i="34"/>
  <c r="B1931" i="34"/>
  <c r="B1754" i="34"/>
  <c r="B1748" i="34"/>
  <c r="B1794" i="34"/>
  <c r="B1756" i="34"/>
  <c r="B1799" i="34"/>
  <c r="B1782" i="34"/>
  <c r="B1808" i="34"/>
  <c r="B1780" i="34"/>
  <c r="B424" i="34"/>
  <c r="B423" i="34"/>
  <c r="B422" i="34"/>
  <c r="B421" i="34"/>
  <c r="B416" i="34"/>
  <c r="B415" i="34"/>
  <c r="B414" i="34"/>
  <c r="B413" i="34"/>
  <c r="B412" i="34"/>
  <c r="B822" i="34"/>
  <c r="B821" i="34"/>
  <c r="B820" i="34"/>
  <c r="B819" i="34"/>
  <c r="B818" i="34"/>
  <c r="B817" i="34"/>
  <c r="B816" i="34"/>
  <c r="B815" i="34"/>
  <c r="B814" i="34"/>
  <c r="B810" i="34"/>
  <c r="B809" i="34"/>
  <c r="B808" i="34"/>
  <c r="B807" i="34"/>
  <c r="B806" i="34"/>
  <c r="B805" i="34"/>
  <c r="B804" i="34"/>
  <c r="B803" i="34"/>
  <c r="B802" i="34"/>
  <c r="B796" i="34"/>
  <c r="B795" i="34"/>
  <c r="B794" i="34"/>
  <c r="B2581" i="34"/>
  <c r="B404" i="34"/>
  <c r="B403" i="34"/>
  <c r="B402" i="34"/>
  <c r="B401" i="34"/>
  <c r="B400" i="34"/>
  <c r="B399" i="34"/>
  <c r="B398" i="34"/>
  <c r="B397" i="34"/>
  <c r="B396" i="34"/>
  <c r="B1895" i="34"/>
  <c r="B1915" i="34"/>
  <c r="B1927" i="34"/>
  <c r="B1857" i="34"/>
  <c r="B1867" i="34"/>
  <c r="B1802" i="34"/>
  <c r="B1766" i="34"/>
  <c r="B1791" i="34"/>
  <c r="B1814" i="34"/>
  <c r="B1803" i="34"/>
  <c r="B1809" i="34"/>
  <c r="B1786" i="34"/>
  <c r="B1790" i="34"/>
  <c r="B1785" i="34"/>
  <c r="B1801" i="34"/>
  <c r="B1758" i="34"/>
  <c r="B1784" i="34"/>
  <c r="B1775" i="34"/>
  <c r="B1773" i="34"/>
  <c r="B1753" i="34"/>
  <c r="B1777" i="34"/>
  <c r="B1755" i="34"/>
  <c r="B1795" i="34"/>
  <c r="B1747" i="34"/>
  <c r="B1812" i="34"/>
  <c r="B1806" i="34"/>
  <c r="B1805" i="34"/>
  <c r="B1761" i="34"/>
  <c r="B1813" i="34"/>
  <c r="B1796" i="34"/>
  <c r="B1776" i="34"/>
  <c r="B1811" i="34"/>
  <c r="B2116" i="34"/>
  <c r="B2063" i="34"/>
  <c r="B2129" i="34"/>
  <c r="B2130" i="34"/>
  <c r="B2126" i="34"/>
  <c r="B394" i="34"/>
  <c r="B393" i="34"/>
  <c r="B998" i="34"/>
  <c r="B982" i="34"/>
  <c r="B1685" i="34"/>
  <c r="B1683" i="34"/>
  <c r="B1652" i="34"/>
  <c r="B1651" i="34"/>
  <c r="B1650" i="34"/>
  <c r="B1648" i="34"/>
  <c r="B1647" i="34"/>
  <c r="B1646" i="34"/>
  <c r="B1645" i="34"/>
  <c r="B1644" i="34"/>
  <c r="B1643" i="34"/>
  <c r="B1880" i="34"/>
  <c r="B1946" i="34"/>
  <c r="B1881" i="34"/>
  <c r="B1847" i="34"/>
  <c r="B1874" i="34"/>
  <c r="B1890" i="34"/>
  <c r="B1899" i="34"/>
  <c r="B1891" i="34"/>
  <c r="B1875" i="34"/>
  <c r="B1928" i="34"/>
  <c r="B1913" i="34"/>
  <c r="B1856" i="34"/>
  <c r="B1870" i="34"/>
  <c r="B1868" i="34"/>
  <c r="B1873" i="34"/>
  <c r="B1902" i="34"/>
  <c r="B1901" i="34"/>
  <c r="B1935" i="34"/>
  <c r="B1945" i="34"/>
  <c r="B1914" i="34"/>
  <c r="B1893" i="34"/>
  <c r="B1944" i="34"/>
  <c r="B1872" i="34"/>
  <c r="B1930" i="34"/>
  <c r="B1939" i="34"/>
  <c r="B1879" i="34"/>
  <c r="B1866" i="34"/>
  <c r="B1865" i="34"/>
  <c r="B1871" i="34"/>
  <c r="B1757" i="34"/>
  <c r="B1752" i="34"/>
  <c r="B2103" i="34"/>
  <c r="B2105" i="34"/>
  <c r="B113" i="34"/>
  <c r="B111" i="34"/>
  <c r="B109" i="34"/>
  <c r="B107" i="34"/>
  <c r="B106" i="34"/>
  <c r="B104" i="34"/>
  <c r="B97" i="34"/>
  <c r="B96" i="34"/>
  <c r="B95" i="34"/>
  <c r="B80" i="34"/>
  <c r="B2703" i="34"/>
  <c r="B2705" i="34"/>
  <c r="B2704" i="34"/>
  <c r="B3746" i="34"/>
  <c r="B3745" i="34"/>
  <c r="B3713" i="34"/>
  <c r="B3678" i="34"/>
  <c r="B3677" i="34"/>
  <c r="B3676" i="34"/>
  <c r="B3675" i="34"/>
  <c r="B3666" i="34"/>
  <c r="B3665" i="34"/>
  <c r="B3664" i="34"/>
  <c r="B3663" i="34"/>
  <c r="B3662" i="34"/>
  <c r="B3661" i="34"/>
  <c r="B2666" i="34"/>
  <c r="B2649" i="34"/>
  <c r="B2648" i="34"/>
  <c r="B576" i="34"/>
  <c r="B581" i="34"/>
  <c r="B580" i="34"/>
  <c r="B64" i="34"/>
  <c r="B68" i="34"/>
  <c r="B66" i="34"/>
  <c r="B2644" i="34"/>
  <c r="B2643" i="34"/>
  <c r="B2642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579" i="34"/>
  <c r="B578" i="34"/>
  <c r="B583" i="34"/>
  <c r="B582" i="34"/>
  <c r="B577" i="34"/>
  <c r="B545" i="34"/>
  <c r="B502" i="34"/>
  <c r="B501" i="34"/>
  <c r="B504" i="34"/>
  <c r="B503" i="34"/>
  <c r="B496" i="34"/>
  <c r="B489" i="34"/>
  <c r="B488" i="34"/>
  <c r="B487" i="34"/>
  <c r="Z487" i="34" l="1"/>
  <c r="O487" i="34"/>
  <c r="W487" i="34"/>
  <c r="P487" i="34"/>
  <c r="Q487" i="34"/>
  <c r="U487" i="34"/>
  <c r="A487" i="34"/>
  <c r="Z503" i="34"/>
  <c r="O503" i="34"/>
  <c r="W503" i="34"/>
  <c r="P503" i="34"/>
  <c r="Q503" i="34"/>
  <c r="U503" i="34"/>
  <c r="A503" i="34"/>
  <c r="P545" i="34"/>
  <c r="Q545" i="34"/>
  <c r="U545" i="34"/>
  <c r="Z545" i="34"/>
  <c r="O545" i="34"/>
  <c r="W545" i="34"/>
  <c r="A545" i="34"/>
  <c r="O578" i="34"/>
  <c r="W578" i="34"/>
  <c r="P578" i="34"/>
  <c r="Q578" i="34"/>
  <c r="U578" i="34"/>
  <c r="Z578" i="34"/>
  <c r="A578" i="34"/>
  <c r="Z2584" i="34"/>
  <c r="O2584" i="34"/>
  <c r="W2584" i="34"/>
  <c r="P2584" i="34"/>
  <c r="Q2584" i="34"/>
  <c r="U2584" i="34"/>
  <c r="A2584" i="34"/>
  <c r="Z2588" i="34"/>
  <c r="O2588" i="34"/>
  <c r="W2588" i="34"/>
  <c r="P2588" i="34"/>
  <c r="Q2588" i="34"/>
  <c r="U2588" i="34"/>
  <c r="A2588" i="34"/>
  <c r="Z2592" i="34"/>
  <c r="O2592" i="34"/>
  <c r="W2592" i="34"/>
  <c r="P2592" i="34"/>
  <c r="Q2592" i="34"/>
  <c r="U2592" i="34"/>
  <c r="A2592" i="34"/>
  <c r="Z2596" i="34"/>
  <c r="O2596" i="34"/>
  <c r="W2596" i="34"/>
  <c r="P2596" i="34"/>
  <c r="Q2596" i="34"/>
  <c r="U2596" i="34"/>
  <c r="A2596" i="34"/>
  <c r="Z2600" i="34"/>
  <c r="O2600" i="34"/>
  <c r="W2600" i="34"/>
  <c r="P2600" i="34"/>
  <c r="Q2600" i="34"/>
  <c r="U2600" i="34"/>
  <c r="A2600" i="34"/>
  <c r="Z2604" i="34"/>
  <c r="O2604" i="34"/>
  <c r="W2604" i="34"/>
  <c r="P2604" i="34"/>
  <c r="Q2604" i="34"/>
  <c r="U2604" i="34"/>
  <c r="A2604" i="34"/>
  <c r="Z2608" i="34"/>
  <c r="O2608" i="34"/>
  <c r="W2608" i="34"/>
  <c r="P2608" i="34"/>
  <c r="Q2608" i="34"/>
  <c r="U2608" i="34"/>
  <c r="A2608" i="34"/>
  <c r="Z2612" i="34"/>
  <c r="O2612" i="34"/>
  <c r="W2612" i="34"/>
  <c r="P2612" i="34"/>
  <c r="Q2612" i="34"/>
  <c r="U2612" i="34"/>
  <c r="A2612" i="34"/>
  <c r="Z2616" i="34"/>
  <c r="O2616" i="34"/>
  <c r="W2616" i="34"/>
  <c r="P2616" i="34"/>
  <c r="Q2616" i="34"/>
  <c r="U2616" i="34"/>
  <c r="A2616" i="34"/>
  <c r="Z2620" i="34"/>
  <c r="O2620" i="34"/>
  <c r="W2620" i="34"/>
  <c r="P2620" i="34"/>
  <c r="Q2620" i="34"/>
  <c r="U2620" i="34"/>
  <c r="A2620" i="34"/>
  <c r="Z2624" i="34"/>
  <c r="O2624" i="34"/>
  <c r="W2624" i="34"/>
  <c r="P2624" i="34"/>
  <c r="Q2624" i="34"/>
  <c r="U2624" i="34"/>
  <c r="A2624" i="34"/>
  <c r="Z2628" i="34"/>
  <c r="O2628" i="34"/>
  <c r="W2628" i="34"/>
  <c r="P2628" i="34"/>
  <c r="Q2628" i="34"/>
  <c r="U2628" i="34"/>
  <c r="A2628" i="34"/>
  <c r="O2643" i="34"/>
  <c r="W2643" i="34"/>
  <c r="P2643" i="34"/>
  <c r="Q2643" i="34"/>
  <c r="U2643" i="34"/>
  <c r="Z2643" i="34"/>
  <c r="A2643" i="34"/>
  <c r="R64" i="34"/>
  <c r="Z64" i="34"/>
  <c r="O64" i="34"/>
  <c r="S64" i="34"/>
  <c r="W64" i="34"/>
  <c r="P64" i="34"/>
  <c r="T64" i="34"/>
  <c r="Q64" i="34"/>
  <c r="U64" i="34"/>
  <c r="A64" i="34"/>
  <c r="Z2648" i="34"/>
  <c r="O2648" i="34"/>
  <c r="W2648" i="34"/>
  <c r="P2648" i="34"/>
  <c r="Q2648" i="34"/>
  <c r="U2648" i="34"/>
  <c r="A2648" i="34"/>
  <c r="Q3662" i="34"/>
  <c r="U3662" i="34"/>
  <c r="Z3662" i="34"/>
  <c r="O3662" i="34"/>
  <c r="W3662" i="34"/>
  <c r="P3662" i="34"/>
  <c r="A3662" i="34"/>
  <c r="Q3666" i="34"/>
  <c r="U3666" i="34"/>
  <c r="Z3666" i="34"/>
  <c r="O3666" i="34"/>
  <c r="W3666" i="34"/>
  <c r="P3666" i="34"/>
  <c r="A3666" i="34"/>
  <c r="Q3678" i="34"/>
  <c r="U3678" i="34"/>
  <c r="Z3678" i="34"/>
  <c r="O3678" i="34"/>
  <c r="W3678" i="34"/>
  <c r="P3678" i="34"/>
  <c r="A3678" i="34"/>
  <c r="Z2704" i="34"/>
  <c r="O2704" i="34"/>
  <c r="W2704" i="34"/>
  <c r="P2704" i="34"/>
  <c r="Q2704" i="34"/>
  <c r="U2704" i="34"/>
  <c r="A2704" i="34"/>
  <c r="P95" i="34"/>
  <c r="T95" i="34"/>
  <c r="Q95" i="34"/>
  <c r="U95" i="34"/>
  <c r="R95" i="34"/>
  <c r="Z95" i="34"/>
  <c r="O95" i="34"/>
  <c r="S95" i="34"/>
  <c r="W95" i="34"/>
  <c r="A95" i="34"/>
  <c r="Q106" i="34"/>
  <c r="U106" i="34"/>
  <c r="R106" i="34"/>
  <c r="Z106" i="34"/>
  <c r="O106" i="34"/>
  <c r="S106" i="34"/>
  <c r="W106" i="34"/>
  <c r="P106" i="34"/>
  <c r="T106" i="34"/>
  <c r="A106" i="34"/>
  <c r="R113" i="34"/>
  <c r="Z113" i="34"/>
  <c r="O113" i="34"/>
  <c r="S113" i="34"/>
  <c r="W113" i="34"/>
  <c r="P113" i="34"/>
  <c r="T113" i="34"/>
  <c r="Q113" i="34"/>
  <c r="U113" i="34"/>
  <c r="A113" i="34"/>
  <c r="P1757" i="34"/>
  <c r="Q1757" i="34"/>
  <c r="U1757" i="34"/>
  <c r="Z1757" i="34"/>
  <c r="O1757" i="34"/>
  <c r="W1757" i="34"/>
  <c r="A1757" i="34"/>
  <c r="Z1879" i="34"/>
  <c r="O1879" i="34"/>
  <c r="W1879" i="34"/>
  <c r="P1879" i="34"/>
  <c r="Q1879" i="34"/>
  <c r="U1879" i="34"/>
  <c r="A1879" i="34"/>
  <c r="O1944" i="34"/>
  <c r="W1944" i="34"/>
  <c r="P1944" i="34"/>
  <c r="Q1944" i="34"/>
  <c r="U1944" i="34"/>
  <c r="Z1944" i="34"/>
  <c r="A1944" i="34"/>
  <c r="P1935" i="34"/>
  <c r="Q1935" i="34"/>
  <c r="U1935" i="34"/>
  <c r="Z1935" i="34"/>
  <c r="O1935" i="34"/>
  <c r="W1935" i="34"/>
  <c r="A1935" i="34"/>
  <c r="Q1868" i="34"/>
  <c r="U1868" i="34"/>
  <c r="Z1868" i="34"/>
  <c r="O1868" i="34"/>
  <c r="W1868" i="34"/>
  <c r="P1868" i="34"/>
  <c r="A1868" i="34"/>
  <c r="O1928" i="34"/>
  <c r="W1928" i="34"/>
  <c r="P1928" i="34"/>
  <c r="Q1928" i="34"/>
  <c r="U1928" i="34"/>
  <c r="Z1928" i="34"/>
  <c r="A1928" i="34"/>
  <c r="O1890" i="34"/>
  <c r="W1890" i="34"/>
  <c r="P1890" i="34"/>
  <c r="Q1890" i="34"/>
  <c r="U1890" i="34"/>
  <c r="Z1890" i="34"/>
  <c r="A1890" i="34"/>
  <c r="Q1946" i="34"/>
  <c r="U1946" i="34"/>
  <c r="Z1946" i="34"/>
  <c r="O1946" i="34"/>
  <c r="W1946" i="34"/>
  <c r="P1946" i="34"/>
  <c r="A1946" i="34"/>
  <c r="P1645" i="34"/>
  <c r="Q1645" i="34"/>
  <c r="U1645" i="34"/>
  <c r="Z1645" i="34"/>
  <c r="O1645" i="34"/>
  <c r="W1645" i="34"/>
  <c r="A1645" i="34"/>
  <c r="O1650" i="34"/>
  <c r="W1650" i="34"/>
  <c r="P1650" i="34"/>
  <c r="Q1650" i="34"/>
  <c r="U1650" i="34"/>
  <c r="Z1650" i="34"/>
  <c r="A1650" i="34"/>
  <c r="P1685" i="34"/>
  <c r="Q1685" i="34"/>
  <c r="U1685" i="34"/>
  <c r="Z1685" i="34"/>
  <c r="O1685" i="34"/>
  <c r="W1685" i="34"/>
  <c r="A1685" i="34"/>
  <c r="Q394" i="34"/>
  <c r="U394" i="34"/>
  <c r="Z394" i="34"/>
  <c r="O394" i="34"/>
  <c r="W394" i="34"/>
  <c r="P394" i="34"/>
  <c r="A394" i="34"/>
  <c r="P2063" i="34"/>
  <c r="Q2063" i="34"/>
  <c r="U2063" i="34"/>
  <c r="Z2063" i="34"/>
  <c r="O2063" i="34"/>
  <c r="W2063" i="34"/>
  <c r="A2063" i="34"/>
  <c r="Q1796" i="34"/>
  <c r="U1796" i="34"/>
  <c r="Z1796" i="34"/>
  <c r="O1796" i="34"/>
  <c r="W1796" i="34"/>
  <c r="P1796" i="34"/>
  <c r="A1796" i="34"/>
  <c r="O1806" i="34"/>
  <c r="W1806" i="34"/>
  <c r="P1806" i="34"/>
  <c r="Q1806" i="34"/>
  <c r="U1806" i="34"/>
  <c r="Z1806" i="34"/>
  <c r="A1806" i="34"/>
  <c r="Z1755" i="34"/>
  <c r="O1755" i="34"/>
  <c r="W1755" i="34"/>
  <c r="P1755" i="34"/>
  <c r="Q1755" i="34"/>
  <c r="U1755" i="34"/>
  <c r="A1755" i="34"/>
  <c r="Z1775" i="34"/>
  <c r="O1775" i="34"/>
  <c r="W1775" i="34"/>
  <c r="P1775" i="34"/>
  <c r="Q1775" i="34"/>
  <c r="U1775" i="34"/>
  <c r="A1775" i="34"/>
  <c r="P1785" i="34"/>
  <c r="Q1785" i="34"/>
  <c r="U1785" i="34"/>
  <c r="Z1785" i="34"/>
  <c r="O1785" i="34"/>
  <c r="W1785" i="34"/>
  <c r="A1785" i="34"/>
  <c r="Z1803" i="34"/>
  <c r="O1803" i="34"/>
  <c r="W1803" i="34"/>
  <c r="P1803" i="34"/>
  <c r="Q1803" i="34"/>
  <c r="U1803" i="34"/>
  <c r="A1803" i="34"/>
  <c r="O1802" i="34"/>
  <c r="W1802" i="34"/>
  <c r="P1802" i="34"/>
  <c r="Q1802" i="34"/>
  <c r="U1802" i="34"/>
  <c r="Z1802" i="34"/>
  <c r="A1802" i="34"/>
  <c r="P1915" i="34"/>
  <c r="Q1915" i="34"/>
  <c r="U1915" i="34"/>
  <c r="Z1915" i="34"/>
  <c r="O1915" i="34"/>
  <c r="W1915" i="34"/>
  <c r="A1915" i="34"/>
  <c r="Q398" i="34"/>
  <c r="U398" i="34"/>
  <c r="Z398" i="34"/>
  <c r="O398" i="34"/>
  <c r="W398" i="34"/>
  <c r="P398" i="34"/>
  <c r="A398" i="34"/>
  <c r="Q402" i="34"/>
  <c r="U402" i="34"/>
  <c r="Z402" i="34"/>
  <c r="O402" i="34"/>
  <c r="W402" i="34"/>
  <c r="P402" i="34"/>
  <c r="A402" i="34"/>
  <c r="Q794" i="34"/>
  <c r="U794" i="34"/>
  <c r="Z794" i="34"/>
  <c r="O794" i="34"/>
  <c r="W794" i="34"/>
  <c r="P794" i="34"/>
  <c r="A794" i="34"/>
  <c r="P803" i="34"/>
  <c r="Q803" i="34"/>
  <c r="U803" i="34"/>
  <c r="Z803" i="34"/>
  <c r="O803" i="34"/>
  <c r="W803" i="34"/>
  <c r="A803" i="34"/>
  <c r="P807" i="34"/>
  <c r="Q807" i="34"/>
  <c r="U807" i="34"/>
  <c r="Z807" i="34"/>
  <c r="O807" i="34"/>
  <c r="W807" i="34"/>
  <c r="A807" i="34"/>
  <c r="Q814" i="34"/>
  <c r="U814" i="34"/>
  <c r="Z814" i="34"/>
  <c r="O814" i="34"/>
  <c r="W814" i="34"/>
  <c r="P814" i="34"/>
  <c r="A814" i="34"/>
  <c r="Q818" i="34"/>
  <c r="U818" i="34"/>
  <c r="Z818" i="34"/>
  <c r="O818" i="34"/>
  <c r="W818" i="34"/>
  <c r="P818" i="34"/>
  <c r="A818" i="34"/>
  <c r="Q822" i="34"/>
  <c r="U822" i="34"/>
  <c r="Z822" i="34"/>
  <c r="O822" i="34"/>
  <c r="W822" i="34"/>
  <c r="P822" i="34"/>
  <c r="A822" i="34"/>
  <c r="P415" i="34"/>
  <c r="Q415" i="34"/>
  <c r="U415" i="34"/>
  <c r="Z415" i="34"/>
  <c r="O415" i="34"/>
  <c r="W415" i="34"/>
  <c r="A415" i="34"/>
  <c r="P423" i="34"/>
  <c r="Q423" i="34"/>
  <c r="U423" i="34"/>
  <c r="Z423" i="34"/>
  <c r="O423" i="34"/>
  <c r="W423" i="34"/>
  <c r="A423" i="34"/>
  <c r="O1782" i="34"/>
  <c r="W1782" i="34"/>
  <c r="P1782" i="34"/>
  <c r="Q1782" i="34"/>
  <c r="U1782" i="34"/>
  <c r="Z1782" i="34"/>
  <c r="A1782" i="34"/>
  <c r="Q1748" i="34"/>
  <c r="U1748" i="34"/>
  <c r="Z1748" i="34"/>
  <c r="O1748" i="34"/>
  <c r="W1748" i="34"/>
  <c r="P1748" i="34"/>
  <c r="A1748" i="34"/>
  <c r="O1850" i="34"/>
  <c r="W1850" i="34"/>
  <c r="P1850" i="34"/>
  <c r="Q1850" i="34"/>
  <c r="U1850" i="34"/>
  <c r="Z1850" i="34"/>
  <c r="A1850" i="34"/>
  <c r="Z1921" i="34"/>
  <c r="O1921" i="34"/>
  <c r="W1921" i="34"/>
  <c r="P1921" i="34"/>
  <c r="Q1921" i="34"/>
  <c r="U1921" i="34"/>
  <c r="A1921" i="34"/>
  <c r="P1861" i="34"/>
  <c r="Q1861" i="34"/>
  <c r="U1861" i="34"/>
  <c r="Z1861" i="34"/>
  <c r="O1861" i="34"/>
  <c r="W1861" i="34"/>
  <c r="A1861" i="34"/>
  <c r="P1963" i="34"/>
  <c r="Q1963" i="34"/>
  <c r="U1963" i="34"/>
  <c r="Z1963" i="34"/>
  <c r="O1963" i="34"/>
  <c r="W1963" i="34"/>
  <c r="A1963" i="34"/>
  <c r="P1967" i="34"/>
  <c r="Q1967" i="34"/>
  <c r="U1967" i="34"/>
  <c r="Z1967" i="34"/>
  <c r="O1967" i="34"/>
  <c r="W1967" i="34"/>
  <c r="A1967" i="34"/>
  <c r="P1971" i="34"/>
  <c r="Q1971" i="34"/>
  <c r="U1971" i="34"/>
  <c r="Z1971" i="34"/>
  <c r="O1971" i="34"/>
  <c r="W1971" i="34"/>
  <c r="A1971" i="34"/>
  <c r="O2000" i="34"/>
  <c r="W2000" i="34"/>
  <c r="P2000" i="34"/>
  <c r="Q2000" i="34"/>
  <c r="U2000" i="34"/>
  <c r="Z2000" i="34"/>
  <c r="A2000" i="34"/>
  <c r="O2004" i="34"/>
  <c r="W2004" i="34"/>
  <c r="P2004" i="34"/>
  <c r="Q2004" i="34"/>
  <c r="U2004" i="34"/>
  <c r="Z2004" i="34"/>
  <c r="A2004" i="34"/>
  <c r="Z2025" i="34"/>
  <c r="O2025" i="34"/>
  <c r="W2025" i="34"/>
  <c r="P2025" i="34"/>
  <c r="Q2025" i="34"/>
  <c r="U2025" i="34"/>
  <c r="A2025" i="34"/>
  <c r="Z2029" i="34"/>
  <c r="O2029" i="34"/>
  <c r="W2029" i="34"/>
  <c r="P2029" i="34"/>
  <c r="Q2029" i="34"/>
  <c r="U2029" i="34"/>
  <c r="A2029" i="34"/>
  <c r="O2044" i="34"/>
  <c r="W2044" i="34"/>
  <c r="P2044" i="34"/>
  <c r="Q2044" i="34"/>
  <c r="U2044" i="34"/>
  <c r="Z2044" i="34"/>
  <c r="A2044" i="34"/>
  <c r="O2048" i="34"/>
  <c r="W2048" i="34"/>
  <c r="P2048" i="34"/>
  <c r="Q2048" i="34"/>
  <c r="U2048" i="34"/>
  <c r="Z2048" i="34"/>
  <c r="A2048" i="34"/>
  <c r="Q2054" i="34"/>
  <c r="U2054" i="34"/>
  <c r="Z2054" i="34"/>
  <c r="O2054" i="34"/>
  <c r="W2054" i="34"/>
  <c r="P2054" i="34"/>
  <c r="A2054" i="34"/>
  <c r="Q2058" i="34"/>
  <c r="U2058" i="34"/>
  <c r="Z2058" i="34"/>
  <c r="O2058" i="34"/>
  <c r="W2058" i="34"/>
  <c r="P2058" i="34"/>
  <c r="A2058" i="34"/>
  <c r="Z2081" i="34"/>
  <c r="O2081" i="34"/>
  <c r="W2081" i="34"/>
  <c r="P2081" i="34"/>
  <c r="Q2081" i="34"/>
  <c r="U2081" i="34"/>
  <c r="A2081" i="34"/>
  <c r="O2084" i="34"/>
  <c r="W2084" i="34"/>
  <c r="P2084" i="34"/>
  <c r="Q2084" i="34"/>
  <c r="U2084" i="34"/>
  <c r="Z2084" i="34"/>
  <c r="A2084" i="34"/>
  <c r="O2080" i="34"/>
  <c r="W2080" i="34"/>
  <c r="P2080" i="34"/>
  <c r="Q2080" i="34"/>
  <c r="U2080" i="34"/>
  <c r="Z2080" i="34"/>
  <c r="A2080" i="34"/>
  <c r="Q2118" i="34"/>
  <c r="U2118" i="34"/>
  <c r="Z2118" i="34"/>
  <c r="O2118" i="34"/>
  <c r="W2118" i="34"/>
  <c r="P2118" i="34"/>
  <c r="A2118" i="34"/>
  <c r="Q728" i="34"/>
  <c r="U728" i="34"/>
  <c r="Z728" i="34"/>
  <c r="O728" i="34"/>
  <c r="W728" i="34"/>
  <c r="P728" i="34"/>
  <c r="A728" i="34"/>
  <c r="Q736" i="34"/>
  <c r="U736" i="34"/>
  <c r="Z736" i="34"/>
  <c r="O736" i="34"/>
  <c r="W736" i="34"/>
  <c r="P736" i="34"/>
  <c r="A736" i="34"/>
  <c r="Q740" i="34"/>
  <c r="U740" i="34"/>
  <c r="Z740" i="34"/>
  <c r="O740" i="34"/>
  <c r="W740" i="34"/>
  <c r="P740" i="34"/>
  <c r="A740" i="34"/>
  <c r="P761" i="34"/>
  <c r="Q761" i="34"/>
  <c r="U761" i="34"/>
  <c r="Z761" i="34"/>
  <c r="O761" i="34"/>
  <c r="W761" i="34"/>
  <c r="A761" i="34"/>
  <c r="P765" i="34"/>
  <c r="Q765" i="34"/>
  <c r="U765" i="34"/>
  <c r="Z765" i="34"/>
  <c r="O765" i="34"/>
  <c r="W765" i="34"/>
  <c r="A765" i="34"/>
  <c r="P769" i="34"/>
  <c r="Q769" i="34"/>
  <c r="U769" i="34"/>
  <c r="Z769" i="34"/>
  <c r="O769" i="34"/>
  <c r="W769" i="34"/>
  <c r="A769" i="34"/>
  <c r="Q776" i="34"/>
  <c r="U776" i="34"/>
  <c r="Z776" i="34"/>
  <c r="O776" i="34"/>
  <c r="W776" i="34"/>
  <c r="P776" i="34"/>
  <c r="A776" i="34"/>
  <c r="Q780" i="34"/>
  <c r="U780" i="34"/>
  <c r="O780" i="34"/>
  <c r="W780" i="34"/>
  <c r="P780" i="34"/>
  <c r="Z780" i="34"/>
  <c r="A780" i="34"/>
  <c r="P791" i="34"/>
  <c r="Q791" i="34"/>
  <c r="U791" i="34"/>
  <c r="Z791" i="34"/>
  <c r="O791" i="34"/>
  <c r="W791" i="34"/>
  <c r="A791" i="34"/>
  <c r="Q488" i="34"/>
  <c r="U488" i="34"/>
  <c r="Z488" i="34"/>
  <c r="O488" i="34"/>
  <c r="W488" i="34"/>
  <c r="P488" i="34"/>
  <c r="A488" i="34"/>
  <c r="Q504" i="34"/>
  <c r="U504" i="34"/>
  <c r="Z504" i="34"/>
  <c r="O504" i="34"/>
  <c r="W504" i="34"/>
  <c r="P504" i="34"/>
  <c r="A504" i="34"/>
  <c r="P577" i="34"/>
  <c r="Q577" i="34"/>
  <c r="U577" i="34"/>
  <c r="Z577" i="34"/>
  <c r="O577" i="34"/>
  <c r="W577" i="34"/>
  <c r="A577" i="34"/>
  <c r="Z579" i="34"/>
  <c r="O579" i="34"/>
  <c r="W579" i="34"/>
  <c r="P579" i="34"/>
  <c r="Q579" i="34"/>
  <c r="U579" i="34"/>
  <c r="A579" i="34"/>
  <c r="Q2585" i="34"/>
  <c r="U2585" i="34"/>
  <c r="Z2585" i="34"/>
  <c r="O2585" i="34"/>
  <c r="W2585" i="34"/>
  <c r="P2585" i="34"/>
  <c r="A2585" i="34"/>
  <c r="Q2589" i="34"/>
  <c r="U2589" i="34"/>
  <c r="Z2589" i="34"/>
  <c r="O2589" i="34"/>
  <c r="W2589" i="34"/>
  <c r="P2589" i="34"/>
  <c r="A2589" i="34"/>
  <c r="Q2593" i="34"/>
  <c r="U2593" i="34"/>
  <c r="Z2593" i="34"/>
  <c r="O2593" i="34"/>
  <c r="W2593" i="34"/>
  <c r="P2593" i="34"/>
  <c r="A2593" i="34"/>
  <c r="Q2597" i="34"/>
  <c r="U2597" i="34"/>
  <c r="Z2597" i="34"/>
  <c r="O2597" i="34"/>
  <c r="W2597" i="34"/>
  <c r="P2597" i="34"/>
  <c r="A2597" i="34"/>
  <c r="Q2601" i="34"/>
  <c r="U2601" i="34"/>
  <c r="Z2601" i="34"/>
  <c r="O2601" i="34"/>
  <c r="W2601" i="34"/>
  <c r="P2601" i="34"/>
  <c r="A2601" i="34"/>
  <c r="Q2605" i="34"/>
  <c r="U2605" i="34"/>
  <c r="Z2605" i="34"/>
  <c r="O2605" i="34"/>
  <c r="W2605" i="34"/>
  <c r="P2605" i="34"/>
  <c r="A2605" i="34"/>
  <c r="Q2609" i="34"/>
  <c r="U2609" i="34"/>
  <c r="Z2609" i="34"/>
  <c r="O2609" i="34"/>
  <c r="W2609" i="34"/>
  <c r="P2609" i="34"/>
  <c r="A2609" i="34"/>
  <c r="Q2613" i="34"/>
  <c r="U2613" i="34"/>
  <c r="Z2613" i="34"/>
  <c r="O2613" i="34"/>
  <c r="W2613" i="34"/>
  <c r="P2613" i="34"/>
  <c r="A2613" i="34"/>
  <c r="Q2617" i="34"/>
  <c r="U2617" i="34"/>
  <c r="Z2617" i="34"/>
  <c r="O2617" i="34"/>
  <c r="W2617" i="34"/>
  <c r="P2617" i="34"/>
  <c r="A2617" i="34"/>
  <c r="Q2621" i="34"/>
  <c r="U2621" i="34"/>
  <c r="Z2621" i="34"/>
  <c r="O2621" i="34"/>
  <c r="W2621" i="34"/>
  <c r="P2621" i="34"/>
  <c r="A2621" i="34"/>
  <c r="Q2625" i="34"/>
  <c r="U2625" i="34"/>
  <c r="Z2625" i="34"/>
  <c r="O2625" i="34"/>
  <c r="W2625" i="34"/>
  <c r="P2625" i="34"/>
  <c r="A2625" i="34"/>
  <c r="Q2629" i="34"/>
  <c r="U2629" i="34"/>
  <c r="Z2629" i="34"/>
  <c r="O2629" i="34"/>
  <c r="W2629" i="34"/>
  <c r="P2629" i="34"/>
  <c r="A2629" i="34"/>
  <c r="Z2644" i="34"/>
  <c r="O2644" i="34"/>
  <c r="W2644" i="34"/>
  <c r="P2644" i="34"/>
  <c r="Q2644" i="34"/>
  <c r="U2644" i="34"/>
  <c r="A2644" i="34"/>
  <c r="Q580" i="34"/>
  <c r="U580" i="34"/>
  <c r="Z580" i="34"/>
  <c r="O580" i="34"/>
  <c r="W580" i="34"/>
  <c r="P580" i="34"/>
  <c r="A580" i="34"/>
  <c r="Q2649" i="34"/>
  <c r="U2649" i="34"/>
  <c r="Z2649" i="34"/>
  <c r="O2649" i="34"/>
  <c r="W2649" i="34"/>
  <c r="P2649" i="34"/>
  <c r="A2649" i="34"/>
  <c r="P3663" i="34"/>
  <c r="Q3663" i="34"/>
  <c r="U3663" i="34"/>
  <c r="Z3663" i="34"/>
  <c r="O3663" i="34"/>
  <c r="W3663" i="34"/>
  <c r="A3663" i="34"/>
  <c r="P3675" i="34"/>
  <c r="Q3675" i="34"/>
  <c r="U3675" i="34"/>
  <c r="Z3675" i="34"/>
  <c r="O3675" i="34"/>
  <c r="W3675" i="34"/>
  <c r="A3675" i="34"/>
  <c r="Z3713" i="34"/>
  <c r="O3713" i="34"/>
  <c r="W3713" i="34"/>
  <c r="P3713" i="34"/>
  <c r="Q3713" i="34"/>
  <c r="U3713" i="34"/>
  <c r="A3713" i="34"/>
  <c r="Q2705" i="34"/>
  <c r="U2705" i="34"/>
  <c r="Z2705" i="34"/>
  <c r="O2705" i="34"/>
  <c r="W2705" i="34"/>
  <c r="P2705" i="34"/>
  <c r="A2705" i="34"/>
  <c r="O96" i="34"/>
  <c r="S96" i="34"/>
  <c r="W96" i="34"/>
  <c r="P96" i="34"/>
  <c r="T96" i="34"/>
  <c r="Q96" i="34"/>
  <c r="U96" i="34"/>
  <c r="R96" i="34"/>
  <c r="Z96" i="34"/>
  <c r="A96" i="34"/>
  <c r="P107" i="34"/>
  <c r="T107" i="34"/>
  <c r="Q107" i="34"/>
  <c r="U107" i="34"/>
  <c r="R107" i="34"/>
  <c r="Z107" i="34"/>
  <c r="O107" i="34"/>
  <c r="S107" i="34"/>
  <c r="W107" i="34"/>
  <c r="A107" i="34"/>
  <c r="Z2105" i="34"/>
  <c r="O2105" i="34"/>
  <c r="W2105" i="34"/>
  <c r="P2105" i="34"/>
  <c r="Q2105" i="34"/>
  <c r="U2105" i="34"/>
  <c r="A2105" i="34"/>
  <c r="Z1871" i="34"/>
  <c r="O1871" i="34"/>
  <c r="W1871" i="34"/>
  <c r="P1871" i="34"/>
  <c r="Q1871" i="34"/>
  <c r="U1871" i="34"/>
  <c r="A1871" i="34"/>
  <c r="P1939" i="34"/>
  <c r="Q1939" i="34"/>
  <c r="U1939" i="34"/>
  <c r="Z1939" i="34"/>
  <c r="O1939" i="34"/>
  <c r="W1939" i="34"/>
  <c r="A1939" i="34"/>
  <c r="P1893" i="34"/>
  <c r="Q1893" i="34"/>
  <c r="U1893" i="34"/>
  <c r="O1893" i="34"/>
  <c r="W1893" i="34"/>
  <c r="Z1893" i="34"/>
  <c r="A1893" i="34"/>
  <c r="P1901" i="34"/>
  <c r="Q1901" i="34"/>
  <c r="U1901" i="34"/>
  <c r="O1901" i="34"/>
  <c r="W1901" i="34"/>
  <c r="Z1901" i="34"/>
  <c r="A1901" i="34"/>
  <c r="O1870" i="34"/>
  <c r="W1870" i="34"/>
  <c r="P1870" i="34"/>
  <c r="Q1870" i="34"/>
  <c r="U1870" i="34"/>
  <c r="Z1870" i="34"/>
  <c r="A1870" i="34"/>
  <c r="Z1875" i="34"/>
  <c r="O1875" i="34"/>
  <c r="W1875" i="34"/>
  <c r="P1875" i="34"/>
  <c r="Q1875" i="34"/>
  <c r="U1875" i="34"/>
  <c r="A1875" i="34"/>
  <c r="O1874" i="34"/>
  <c r="W1874" i="34"/>
  <c r="P1874" i="34"/>
  <c r="Q1874" i="34"/>
  <c r="U1874" i="34"/>
  <c r="Z1874" i="34"/>
  <c r="A1874" i="34"/>
  <c r="Q1880" i="34"/>
  <c r="U1880" i="34"/>
  <c r="Z1880" i="34"/>
  <c r="O1880" i="34"/>
  <c r="W1880" i="34"/>
  <c r="P1880" i="34"/>
  <c r="A1880" i="34"/>
  <c r="O1646" i="34"/>
  <c r="W1646" i="34"/>
  <c r="P1646" i="34"/>
  <c r="Q1646" i="34"/>
  <c r="U1646" i="34"/>
  <c r="Z1646" i="34"/>
  <c r="A1646" i="34"/>
  <c r="Z1651" i="34"/>
  <c r="O1651" i="34"/>
  <c r="W1651" i="34"/>
  <c r="P1651" i="34"/>
  <c r="Q1651" i="34"/>
  <c r="U1651" i="34"/>
  <c r="A1651" i="34"/>
  <c r="Q982" i="34"/>
  <c r="U982" i="34"/>
  <c r="Z982" i="34"/>
  <c r="P982" i="34"/>
  <c r="O982" i="34"/>
  <c r="W982" i="34"/>
  <c r="A982" i="34"/>
  <c r="Q2126" i="34"/>
  <c r="U2126" i="34"/>
  <c r="Z2126" i="34"/>
  <c r="O2126" i="34"/>
  <c r="W2126" i="34"/>
  <c r="P2126" i="34"/>
  <c r="A2126" i="34"/>
  <c r="O2116" i="34"/>
  <c r="W2116" i="34"/>
  <c r="P2116" i="34"/>
  <c r="Q2116" i="34"/>
  <c r="U2116" i="34"/>
  <c r="Z2116" i="34"/>
  <c r="A2116" i="34"/>
  <c r="P1813" i="34"/>
  <c r="Q1813" i="34"/>
  <c r="U1813" i="34"/>
  <c r="Z1813" i="34"/>
  <c r="O1813" i="34"/>
  <c r="W1813" i="34"/>
  <c r="A1813" i="34"/>
  <c r="Q1812" i="34"/>
  <c r="U1812" i="34"/>
  <c r="Z1812" i="34"/>
  <c r="O1812" i="34"/>
  <c r="W1812" i="34"/>
  <c r="P1812" i="34"/>
  <c r="A1812" i="34"/>
  <c r="P1777" i="34"/>
  <c r="Q1777" i="34"/>
  <c r="U1777" i="34"/>
  <c r="Z1777" i="34"/>
  <c r="O1777" i="34"/>
  <c r="W1777" i="34"/>
  <c r="A1777" i="34"/>
  <c r="Q1784" i="34"/>
  <c r="U1784" i="34"/>
  <c r="Z1784" i="34"/>
  <c r="O1784" i="34"/>
  <c r="W1784" i="34"/>
  <c r="P1784" i="34"/>
  <c r="A1784" i="34"/>
  <c r="O1790" i="34"/>
  <c r="W1790" i="34"/>
  <c r="P1790" i="34"/>
  <c r="Q1790" i="34"/>
  <c r="U1790" i="34"/>
  <c r="Z1790" i="34"/>
  <c r="A1790" i="34"/>
  <c r="O1814" i="34"/>
  <c r="W1814" i="34"/>
  <c r="P1814" i="34"/>
  <c r="Q1814" i="34"/>
  <c r="U1814" i="34"/>
  <c r="Z1814" i="34"/>
  <c r="A1814" i="34"/>
  <c r="Z1867" i="34"/>
  <c r="O1867" i="34"/>
  <c r="W1867" i="34"/>
  <c r="P1867" i="34"/>
  <c r="Q1867" i="34"/>
  <c r="U1867" i="34"/>
  <c r="A1867" i="34"/>
  <c r="Z1895" i="34"/>
  <c r="O1895" i="34"/>
  <c r="W1895" i="34"/>
  <c r="Q1895" i="34"/>
  <c r="U1895" i="34"/>
  <c r="P1895" i="34"/>
  <c r="A1895" i="34"/>
  <c r="P399" i="34"/>
  <c r="Q399" i="34"/>
  <c r="U399" i="34"/>
  <c r="Z399" i="34"/>
  <c r="O399" i="34"/>
  <c r="W399" i="34"/>
  <c r="A399" i="34"/>
  <c r="P403" i="34"/>
  <c r="Q403" i="34"/>
  <c r="U403" i="34"/>
  <c r="Z403" i="34"/>
  <c r="O403" i="34"/>
  <c r="W403" i="34"/>
  <c r="A403" i="34"/>
  <c r="P795" i="34"/>
  <c r="Q795" i="34"/>
  <c r="U795" i="34"/>
  <c r="Z795" i="34"/>
  <c r="O795" i="34"/>
  <c r="W795" i="34"/>
  <c r="A795" i="34"/>
  <c r="O804" i="34"/>
  <c r="W804" i="34"/>
  <c r="P804" i="34"/>
  <c r="Q804" i="34"/>
  <c r="U804" i="34"/>
  <c r="Z804" i="34"/>
  <c r="A804" i="34"/>
  <c r="O808" i="34"/>
  <c r="W808" i="34"/>
  <c r="P808" i="34"/>
  <c r="Q808" i="34"/>
  <c r="U808" i="34"/>
  <c r="Z808" i="34"/>
  <c r="A808" i="34"/>
  <c r="P815" i="34"/>
  <c r="Q815" i="34"/>
  <c r="U815" i="34"/>
  <c r="Z815" i="34"/>
  <c r="O815" i="34"/>
  <c r="W815" i="34"/>
  <c r="A815" i="34"/>
  <c r="P819" i="34"/>
  <c r="Q819" i="34"/>
  <c r="U819" i="34"/>
  <c r="Z819" i="34"/>
  <c r="O819" i="34"/>
  <c r="W819" i="34"/>
  <c r="A819" i="34"/>
  <c r="O412" i="34"/>
  <c r="W412" i="34"/>
  <c r="P412" i="34"/>
  <c r="Q412" i="34"/>
  <c r="U412" i="34"/>
  <c r="Z412" i="34"/>
  <c r="A412" i="34"/>
  <c r="O416" i="34"/>
  <c r="W416" i="34"/>
  <c r="P416" i="34"/>
  <c r="Q416" i="34"/>
  <c r="U416" i="34"/>
  <c r="Z416" i="34"/>
  <c r="A416" i="34"/>
  <c r="O424" i="34"/>
  <c r="W424" i="34"/>
  <c r="P424" i="34"/>
  <c r="Q424" i="34"/>
  <c r="U424" i="34"/>
  <c r="Z424" i="34"/>
  <c r="A424" i="34"/>
  <c r="Z1799" i="34"/>
  <c r="O1799" i="34"/>
  <c r="W1799" i="34"/>
  <c r="P1799" i="34"/>
  <c r="Q1799" i="34"/>
  <c r="U1799" i="34"/>
  <c r="A1799" i="34"/>
  <c r="O1754" i="34"/>
  <c r="W1754" i="34"/>
  <c r="P1754" i="34"/>
  <c r="Q1754" i="34"/>
  <c r="U1754" i="34"/>
  <c r="Z1754" i="34"/>
  <c r="A1754" i="34"/>
  <c r="O1920" i="34"/>
  <c r="W1920" i="34"/>
  <c r="P1920" i="34"/>
  <c r="Q1920" i="34"/>
  <c r="U1920" i="34"/>
  <c r="Z1920" i="34"/>
  <c r="A1920" i="34"/>
  <c r="Z1843" i="34"/>
  <c r="O1843" i="34"/>
  <c r="W1843" i="34"/>
  <c r="P1843" i="34"/>
  <c r="Q1843" i="34"/>
  <c r="U1843" i="34"/>
  <c r="A1843" i="34"/>
  <c r="O1894" i="34"/>
  <c r="W1894" i="34"/>
  <c r="P1894" i="34"/>
  <c r="Z1894" i="34"/>
  <c r="Q1894" i="34"/>
  <c r="U1894" i="34"/>
  <c r="A1894" i="34"/>
  <c r="O1964" i="34"/>
  <c r="W1964" i="34"/>
  <c r="P1964" i="34"/>
  <c r="Q1964" i="34"/>
  <c r="U1964" i="34"/>
  <c r="Z1964" i="34"/>
  <c r="A1964" i="34"/>
  <c r="O1968" i="34"/>
  <c r="W1968" i="34"/>
  <c r="P1968" i="34"/>
  <c r="Q1968" i="34"/>
  <c r="U1968" i="34"/>
  <c r="Z1968" i="34"/>
  <c r="A1968" i="34"/>
  <c r="Z1997" i="34"/>
  <c r="O1997" i="34"/>
  <c r="W1997" i="34"/>
  <c r="P1997" i="34"/>
  <c r="Q1997" i="34"/>
  <c r="U1997" i="34"/>
  <c r="A1997" i="34"/>
  <c r="Z2001" i="34"/>
  <c r="O2001" i="34"/>
  <c r="W2001" i="34"/>
  <c r="P2001" i="34"/>
  <c r="Q2001" i="34"/>
  <c r="U2001" i="34"/>
  <c r="A2001" i="34"/>
  <c r="Z2005" i="34"/>
  <c r="O2005" i="34"/>
  <c r="W2005" i="34"/>
  <c r="P2005" i="34"/>
  <c r="Q2005" i="34"/>
  <c r="U2005" i="34"/>
  <c r="A2005" i="34"/>
  <c r="Q2026" i="34"/>
  <c r="U2026" i="34"/>
  <c r="Z2026" i="34"/>
  <c r="O2026" i="34"/>
  <c r="W2026" i="34"/>
  <c r="P2026" i="34"/>
  <c r="A2026" i="34"/>
  <c r="Q2030" i="34"/>
  <c r="U2030" i="34"/>
  <c r="Z2030" i="34"/>
  <c r="O2030" i="34"/>
  <c r="W2030" i="34"/>
  <c r="P2030" i="34"/>
  <c r="A2030" i="34"/>
  <c r="Z2045" i="34"/>
  <c r="O2045" i="34"/>
  <c r="W2045" i="34"/>
  <c r="P2045" i="34"/>
  <c r="Q2045" i="34"/>
  <c r="U2045" i="34"/>
  <c r="A2045" i="34"/>
  <c r="Z2049" i="34"/>
  <c r="O2049" i="34"/>
  <c r="W2049" i="34"/>
  <c r="P2049" i="34"/>
  <c r="Q2049" i="34"/>
  <c r="U2049" i="34"/>
  <c r="A2049" i="34"/>
  <c r="P2055" i="34"/>
  <c r="Q2055" i="34"/>
  <c r="U2055" i="34"/>
  <c r="Z2055" i="34"/>
  <c r="O2055" i="34"/>
  <c r="W2055" i="34"/>
  <c r="A2055" i="34"/>
  <c r="P2059" i="34"/>
  <c r="Q2059" i="34"/>
  <c r="U2059" i="34"/>
  <c r="Z2059" i="34"/>
  <c r="O2059" i="34"/>
  <c r="W2059" i="34"/>
  <c r="A2059" i="34"/>
  <c r="O2104" i="34"/>
  <c r="W2104" i="34"/>
  <c r="P2104" i="34"/>
  <c r="Q2104" i="34"/>
  <c r="U2104" i="34"/>
  <c r="Z2104" i="34"/>
  <c r="A2104" i="34"/>
  <c r="Q2098" i="34"/>
  <c r="U2098" i="34"/>
  <c r="Z2098" i="34"/>
  <c r="O2098" i="34"/>
  <c r="W2098" i="34"/>
  <c r="P2098" i="34"/>
  <c r="A2098" i="34"/>
  <c r="Z2085" i="34"/>
  <c r="O2085" i="34"/>
  <c r="W2085" i="34"/>
  <c r="P2085" i="34"/>
  <c r="Q2085" i="34"/>
  <c r="U2085" i="34"/>
  <c r="A2085" i="34"/>
  <c r="Q724" i="34"/>
  <c r="U724" i="34"/>
  <c r="Z724" i="34"/>
  <c r="O724" i="34"/>
  <c r="W724" i="34"/>
  <c r="P724" i="34"/>
  <c r="A724" i="34"/>
  <c r="P729" i="34"/>
  <c r="Q729" i="34"/>
  <c r="U729" i="34"/>
  <c r="Z729" i="34"/>
  <c r="O729" i="34"/>
  <c r="W729" i="34"/>
  <c r="A729" i="34"/>
  <c r="P737" i="34"/>
  <c r="Q737" i="34"/>
  <c r="U737" i="34"/>
  <c r="Z737" i="34"/>
  <c r="O737" i="34"/>
  <c r="W737" i="34"/>
  <c r="A737" i="34"/>
  <c r="P741" i="34"/>
  <c r="Q741" i="34"/>
  <c r="U741" i="34"/>
  <c r="Z741" i="34"/>
  <c r="O741" i="34"/>
  <c r="W741" i="34"/>
  <c r="A741" i="34"/>
  <c r="O762" i="34"/>
  <c r="W762" i="34"/>
  <c r="P762" i="34"/>
  <c r="Q762" i="34"/>
  <c r="U762" i="34"/>
  <c r="Z762" i="34"/>
  <c r="A762" i="34"/>
  <c r="O766" i="34"/>
  <c r="W766" i="34"/>
  <c r="P766" i="34"/>
  <c r="Q766" i="34"/>
  <c r="U766" i="34"/>
  <c r="Z766" i="34"/>
  <c r="A766" i="34"/>
  <c r="P773" i="34"/>
  <c r="Q773" i="34"/>
  <c r="U773" i="34"/>
  <c r="Z773" i="34"/>
  <c r="O773" i="34"/>
  <c r="W773" i="34"/>
  <c r="A773" i="34"/>
  <c r="P777" i="34"/>
  <c r="Q777" i="34"/>
  <c r="U777" i="34"/>
  <c r="Z777" i="34"/>
  <c r="O777" i="34"/>
  <c r="W777" i="34"/>
  <c r="A777" i="34"/>
  <c r="O788" i="34"/>
  <c r="W788" i="34"/>
  <c r="P788" i="34"/>
  <c r="Q788" i="34"/>
  <c r="U788" i="34"/>
  <c r="Z788" i="34"/>
  <c r="A788" i="34"/>
  <c r="O792" i="34"/>
  <c r="W792" i="34"/>
  <c r="P792" i="34"/>
  <c r="Q792" i="34"/>
  <c r="U792" i="34"/>
  <c r="Z792" i="34"/>
  <c r="A792" i="34"/>
  <c r="P489" i="34"/>
  <c r="Q489" i="34"/>
  <c r="U489" i="34"/>
  <c r="Z489" i="34"/>
  <c r="O489" i="34"/>
  <c r="W489" i="34"/>
  <c r="A489" i="34"/>
  <c r="P501" i="34"/>
  <c r="Q501" i="34"/>
  <c r="U501" i="34"/>
  <c r="Z501" i="34"/>
  <c r="O501" i="34"/>
  <c r="W501" i="34"/>
  <c r="A501" i="34"/>
  <c r="O582" i="34"/>
  <c r="W582" i="34"/>
  <c r="P582" i="34"/>
  <c r="Q582" i="34"/>
  <c r="U582" i="34"/>
  <c r="Z582" i="34"/>
  <c r="A582" i="34"/>
  <c r="P2582" i="34"/>
  <c r="Q2582" i="34"/>
  <c r="U2582" i="34"/>
  <c r="Z2582" i="34"/>
  <c r="O2582" i="34"/>
  <c r="W2582" i="34"/>
  <c r="A2582" i="34"/>
  <c r="P2586" i="34"/>
  <c r="Q2586" i="34"/>
  <c r="U2586" i="34"/>
  <c r="Z2586" i="34"/>
  <c r="O2586" i="34"/>
  <c r="W2586" i="34"/>
  <c r="A2586" i="34"/>
  <c r="P2590" i="34"/>
  <c r="Q2590" i="34"/>
  <c r="U2590" i="34"/>
  <c r="Z2590" i="34"/>
  <c r="O2590" i="34"/>
  <c r="W2590" i="34"/>
  <c r="A2590" i="34"/>
  <c r="P2594" i="34"/>
  <c r="Q2594" i="34"/>
  <c r="U2594" i="34"/>
  <c r="Z2594" i="34"/>
  <c r="O2594" i="34"/>
  <c r="W2594" i="34"/>
  <c r="A2594" i="34"/>
  <c r="P2598" i="34"/>
  <c r="Q2598" i="34"/>
  <c r="U2598" i="34"/>
  <c r="Z2598" i="34"/>
  <c r="O2598" i="34"/>
  <c r="W2598" i="34"/>
  <c r="A2598" i="34"/>
  <c r="P2602" i="34"/>
  <c r="Q2602" i="34"/>
  <c r="U2602" i="34"/>
  <c r="Z2602" i="34"/>
  <c r="O2602" i="34"/>
  <c r="W2602" i="34"/>
  <c r="A2602" i="34"/>
  <c r="P2606" i="34"/>
  <c r="Q2606" i="34"/>
  <c r="U2606" i="34"/>
  <c r="Z2606" i="34"/>
  <c r="O2606" i="34"/>
  <c r="W2606" i="34"/>
  <c r="A2606" i="34"/>
  <c r="P2610" i="34"/>
  <c r="Q2610" i="34"/>
  <c r="U2610" i="34"/>
  <c r="Z2610" i="34"/>
  <c r="O2610" i="34"/>
  <c r="W2610" i="34"/>
  <c r="A2610" i="34"/>
  <c r="P2614" i="34"/>
  <c r="Q2614" i="34"/>
  <c r="U2614" i="34"/>
  <c r="Z2614" i="34"/>
  <c r="O2614" i="34"/>
  <c r="W2614" i="34"/>
  <c r="A2614" i="34"/>
  <c r="P2618" i="34"/>
  <c r="Q2618" i="34"/>
  <c r="U2618" i="34"/>
  <c r="Z2618" i="34"/>
  <c r="O2618" i="34"/>
  <c r="W2618" i="34"/>
  <c r="A2618" i="34"/>
  <c r="P2622" i="34"/>
  <c r="Q2622" i="34"/>
  <c r="U2622" i="34"/>
  <c r="Z2622" i="34"/>
  <c r="O2622" i="34"/>
  <c r="W2622" i="34"/>
  <c r="A2622" i="34"/>
  <c r="P2626" i="34"/>
  <c r="Q2626" i="34"/>
  <c r="U2626" i="34"/>
  <c r="Z2626" i="34"/>
  <c r="O2626" i="34"/>
  <c r="W2626" i="34"/>
  <c r="A2626" i="34"/>
  <c r="P2630" i="34"/>
  <c r="Q2630" i="34"/>
  <c r="U2630" i="34"/>
  <c r="Z2630" i="34"/>
  <c r="O2630" i="34"/>
  <c r="W2630" i="34"/>
  <c r="A2630" i="34"/>
  <c r="P66" i="34"/>
  <c r="T66" i="34"/>
  <c r="Q66" i="34"/>
  <c r="U66" i="34"/>
  <c r="R66" i="34"/>
  <c r="Z66" i="34"/>
  <c r="O66" i="34"/>
  <c r="S66" i="34"/>
  <c r="W66" i="34"/>
  <c r="A66" i="34"/>
  <c r="P581" i="34"/>
  <c r="Q581" i="34"/>
  <c r="U581" i="34"/>
  <c r="Z581" i="34"/>
  <c r="O581" i="34"/>
  <c r="W581" i="34"/>
  <c r="A581" i="34"/>
  <c r="P2666" i="34"/>
  <c r="Q2666" i="34"/>
  <c r="U2666" i="34"/>
  <c r="Z2666" i="34"/>
  <c r="O2666" i="34"/>
  <c r="W2666" i="34"/>
  <c r="A2666" i="34"/>
  <c r="O3664" i="34"/>
  <c r="W3664" i="34"/>
  <c r="P3664" i="34"/>
  <c r="Q3664" i="34"/>
  <c r="U3664" i="34"/>
  <c r="Z3664" i="34"/>
  <c r="A3664" i="34"/>
  <c r="O3676" i="34"/>
  <c r="W3676" i="34"/>
  <c r="P3676" i="34"/>
  <c r="Q3676" i="34"/>
  <c r="U3676" i="34"/>
  <c r="Z3676" i="34"/>
  <c r="A3676" i="34"/>
  <c r="Z3745" i="34"/>
  <c r="O3745" i="34"/>
  <c r="W3745" i="34"/>
  <c r="P3745" i="34"/>
  <c r="Q3745" i="34"/>
  <c r="U3745" i="34"/>
  <c r="A3745" i="34"/>
  <c r="O2703" i="34"/>
  <c r="W2703" i="34"/>
  <c r="P2703" i="34"/>
  <c r="Q2703" i="34"/>
  <c r="U2703" i="34"/>
  <c r="Z2703" i="34"/>
  <c r="A2703" i="34"/>
  <c r="R97" i="34"/>
  <c r="Z97" i="34"/>
  <c r="O97" i="34"/>
  <c r="S97" i="34"/>
  <c r="W97" i="34"/>
  <c r="P97" i="34"/>
  <c r="T97" i="34"/>
  <c r="Q97" i="34"/>
  <c r="U97" i="34"/>
  <c r="A97" i="34"/>
  <c r="R109" i="34"/>
  <c r="Z109" i="34"/>
  <c r="O109" i="34"/>
  <c r="S109" i="34"/>
  <c r="W109" i="34"/>
  <c r="P109" i="34"/>
  <c r="T109" i="34"/>
  <c r="Q109" i="34"/>
  <c r="U109" i="34"/>
  <c r="A109" i="34"/>
  <c r="P2103" i="34"/>
  <c r="Q2103" i="34"/>
  <c r="U2103" i="34"/>
  <c r="Z2103" i="34"/>
  <c r="O2103" i="34"/>
  <c r="W2103" i="34"/>
  <c r="A2103" i="34"/>
  <c r="P1865" i="34"/>
  <c r="Q1865" i="34"/>
  <c r="U1865" i="34"/>
  <c r="Z1865" i="34"/>
  <c r="O1865" i="34"/>
  <c r="W1865" i="34"/>
  <c r="A1865" i="34"/>
  <c r="Q1930" i="34"/>
  <c r="U1930" i="34"/>
  <c r="Z1930" i="34"/>
  <c r="O1930" i="34"/>
  <c r="W1930" i="34"/>
  <c r="P1930" i="34"/>
  <c r="A1930" i="34"/>
  <c r="Q1914" i="34"/>
  <c r="U1914" i="34"/>
  <c r="Z1914" i="34"/>
  <c r="O1914" i="34"/>
  <c r="W1914" i="34"/>
  <c r="P1914" i="34"/>
  <c r="A1914" i="34"/>
  <c r="O1902" i="34"/>
  <c r="W1902" i="34"/>
  <c r="P1902" i="34"/>
  <c r="Z1902" i="34"/>
  <c r="Q1902" i="34"/>
  <c r="U1902" i="34"/>
  <c r="A1902" i="34"/>
  <c r="Q1856" i="34"/>
  <c r="U1856" i="34"/>
  <c r="Z1856" i="34"/>
  <c r="O1856" i="34"/>
  <c r="W1856" i="34"/>
  <c r="P1856" i="34"/>
  <c r="A1856" i="34"/>
  <c r="Z1891" i="34"/>
  <c r="O1891" i="34"/>
  <c r="W1891" i="34"/>
  <c r="P1891" i="34"/>
  <c r="Q1891" i="34"/>
  <c r="U1891" i="34"/>
  <c r="A1891" i="34"/>
  <c r="Z1847" i="34"/>
  <c r="O1847" i="34"/>
  <c r="W1847" i="34"/>
  <c r="P1847" i="34"/>
  <c r="Q1847" i="34"/>
  <c r="U1847" i="34"/>
  <c r="A1847" i="34"/>
  <c r="Z1643" i="34"/>
  <c r="O1643" i="34"/>
  <c r="W1643" i="34"/>
  <c r="P1643" i="34"/>
  <c r="Q1643" i="34"/>
  <c r="U1643" i="34"/>
  <c r="A1643" i="34"/>
  <c r="Z1647" i="34"/>
  <c r="O1647" i="34"/>
  <c r="W1647" i="34"/>
  <c r="P1647" i="34"/>
  <c r="Q1647" i="34"/>
  <c r="U1647" i="34"/>
  <c r="A1647" i="34"/>
  <c r="Q1652" i="34"/>
  <c r="U1652" i="34"/>
  <c r="Z1652" i="34"/>
  <c r="O1652" i="34"/>
  <c r="W1652" i="34"/>
  <c r="P1652" i="34"/>
  <c r="A1652" i="34"/>
  <c r="Z998" i="34"/>
  <c r="P998" i="34"/>
  <c r="W998" i="34"/>
  <c r="O998" i="34"/>
  <c r="Q998" i="34"/>
  <c r="U998" i="34"/>
  <c r="A998" i="34"/>
  <c r="Q2130" i="34"/>
  <c r="U2130" i="34"/>
  <c r="Z2130" i="34"/>
  <c r="O2130" i="34"/>
  <c r="W2130" i="34"/>
  <c r="P2130" i="34"/>
  <c r="A2130" i="34"/>
  <c r="Z1811" i="34"/>
  <c r="O1811" i="34"/>
  <c r="W1811" i="34"/>
  <c r="P1811" i="34"/>
  <c r="Q1811" i="34"/>
  <c r="U1811" i="34"/>
  <c r="A1811" i="34"/>
  <c r="P1761" i="34"/>
  <c r="Q1761" i="34"/>
  <c r="U1761" i="34"/>
  <c r="Z1761" i="34"/>
  <c r="O1761" i="34"/>
  <c r="W1761" i="34"/>
  <c r="A1761" i="34"/>
  <c r="Z1747" i="34"/>
  <c r="O1747" i="34"/>
  <c r="W1747" i="34"/>
  <c r="P1747" i="34"/>
  <c r="Q1747" i="34"/>
  <c r="U1747" i="34"/>
  <c r="A1747" i="34"/>
  <c r="P1753" i="34"/>
  <c r="Q1753" i="34"/>
  <c r="U1753" i="34"/>
  <c r="Z1753" i="34"/>
  <c r="O1753" i="34"/>
  <c r="W1753" i="34"/>
  <c r="A1753" i="34"/>
  <c r="O1758" i="34"/>
  <c r="W1758" i="34"/>
  <c r="P1758" i="34"/>
  <c r="Q1758" i="34"/>
  <c r="U1758" i="34"/>
  <c r="Z1758" i="34"/>
  <c r="A1758" i="34"/>
  <c r="O1786" i="34"/>
  <c r="W1786" i="34"/>
  <c r="P1786" i="34"/>
  <c r="Q1786" i="34"/>
  <c r="U1786" i="34"/>
  <c r="Z1786" i="34"/>
  <c r="A1786" i="34"/>
  <c r="Z1791" i="34"/>
  <c r="O1791" i="34"/>
  <c r="W1791" i="34"/>
  <c r="P1791" i="34"/>
  <c r="Q1791" i="34"/>
  <c r="U1791" i="34"/>
  <c r="A1791" i="34"/>
  <c r="P1857" i="34"/>
  <c r="Q1857" i="34"/>
  <c r="U1857" i="34"/>
  <c r="Z1857" i="34"/>
  <c r="O1857" i="34"/>
  <c r="W1857" i="34"/>
  <c r="A1857" i="34"/>
  <c r="O396" i="34"/>
  <c r="W396" i="34"/>
  <c r="P396" i="34"/>
  <c r="Q396" i="34"/>
  <c r="U396" i="34"/>
  <c r="Z396" i="34"/>
  <c r="A396" i="34"/>
  <c r="O400" i="34"/>
  <c r="W400" i="34"/>
  <c r="P400" i="34"/>
  <c r="Q400" i="34"/>
  <c r="U400" i="34"/>
  <c r="Z400" i="34"/>
  <c r="A400" i="34"/>
  <c r="O404" i="34"/>
  <c r="W404" i="34"/>
  <c r="P404" i="34"/>
  <c r="Q404" i="34"/>
  <c r="U404" i="34"/>
  <c r="Z404" i="34"/>
  <c r="A404" i="34"/>
  <c r="O796" i="34"/>
  <c r="W796" i="34"/>
  <c r="P796" i="34"/>
  <c r="Q796" i="34"/>
  <c r="U796" i="34"/>
  <c r="Z796" i="34"/>
  <c r="A796" i="34"/>
  <c r="Z805" i="34"/>
  <c r="O805" i="34"/>
  <c r="W805" i="34"/>
  <c r="P805" i="34"/>
  <c r="Q805" i="34"/>
  <c r="U805" i="34"/>
  <c r="A805" i="34"/>
  <c r="Z809" i="34"/>
  <c r="O809" i="34"/>
  <c r="W809" i="34"/>
  <c r="P809" i="34"/>
  <c r="Q809" i="34"/>
  <c r="U809" i="34"/>
  <c r="A809" i="34"/>
  <c r="O816" i="34"/>
  <c r="W816" i="34"/>
  <c r="P816" i="34"/>
  <c r="Q816" i="34"/>
  <c r="U816" i="34"/>
  <c r="Z816" i="34"/>
  <c r="A816" i="34"/>
  <c r="O820" i="34"/>
  <c r="W820" i="34"/>
  <c r="P820" i="34"/>
  <c r="Q820" i="34"/>
  <c r="U820" i="34"/>
  <c r="Z820" i="34"/>
  <c r="A820" i="34"/>
  <c r="Z413" i="34"/>
  <c r="O413" i="34"/>
  <c r="W413" i="34"/>
  <c r="P413" i="34"/>
  <c r="Q413" i="34"/>
  <c r="U413" i="34"/>
  <c r="A413" i="34"/>
  <c r="Z421" i="34"/>
  <c r="O421" i="34"/>
  <c r="W421" i="34"/>
  <c r="P421" i="34"/>
  <c r="Q421" i="34"/>
  <c r="U421" i="34"/>
  <c r="A421" i="34"/>
  <c r="Q1780" i="34"/>
  <c r="U1780" i="34"/>
  <c r="Z1780" i="34"/>
  <c r="O1780" i="34"/>
  <c r="W1780" i="34"/>
  <c r="P1780" i="34"/>
  <c r="A1780" i="34"/>
  <c r="Q1756" i="34"/>
  <c r="U1756" i="34"/>
  <c r="Z1756" i="34"/>
  <c r="O1756" i="34"/>
  <c r="W1756" i="34"/>
  <c r="P1756" i="34"/>
  <c r="A1756" i="34"/>
  <c r="P1931" i="34"/>
  <c r="Q1931" i="34"/>
  <c r="U1931" i="34"/>
  <c r="Z1931" i="34"/>
  <c r="O1931" i="34"/>
  <c r="W1931" i="34"/>
  <c r="A1931" i="34"/>
  <c r="Z1933" i="34"/>
  <c r="O1933" i="34"/>
  <c r="W1933" i="34"/>
  <c r="P1933" i="34"/>
  <c r="Q1933" i="34"/>
  <c r="U1933" i="34"/>
  <c r="A1933" i="34"/>
  <c r="Z1905" i="34"/>
  <c r="O1905" i="34"/>
  <c r="W1905" i="34"/>
  <c r="P1905" i="34"/>
  <c r="Q1905" i="34"/>
  <c r="U1905" i="34"/>
  <c r="A1905" i="34"/>
  <c r="Q1892" i="34"/>
  <c r="U1892" i="34"/>
  <c r="Z1892" i="34"/>
  <c r="O1892" i="34"/>
  <c r="W1892" i="34"/>
  <c r="P1892" i="34"/>
  <c r="A1892" i="34"/>
  <c r="Z1965" i="34"/>
  <c r="O1965" i="34"/>
  <c r="W1965" i="34"/>
  <c r="P1965" i="34"/>
  <c r="Q1965" i="34"/>
  <c r="U1965" i="34"/>
  <c r="A1965" i="34"/>
  <c r="Z1969" i="34"/>
  <c r="O1969" i="34"/>
  <c r="W1969" i="34"/>
  <c r="P1969" i="34"/>
  <c r="Q1969" i="34"/>
  <c r="U1969" i="34"/>
  <c r="A1969" i="34"/>
  <c r="Q1998" i="34"/>
  <c r="U1998" i="34"/>
  <c r="Z1998" i="34"/>
  <c r="O1998" i="34"/>
  <c r="W1998" i="34"/>
  <c r="P1998" i="34"/>
  <c r="A1998" i="34"/>
  <c r="Q2002" i="34"/>
  <c r="U2002" i="34"/>
  <c r="Z2002" i="34"/>
  <c r="O2002" i="34"/>
  <c r="W2002" i="34"/>
  <c r="P2002" i="34"/>
  <c r="A2002" i="34"/>
  <c r="P2023" i="34"/>
  <c r="Q2023" i="34"/>
  <c r="U2023" i="34"/>
  <c r="Z2023" i="34"/>
  <c r="O2023" i="34"/>
  <c r="W2023" i="34"/>
  <c r="A2023" i="34"/>
  <c r="P2027" i="34"/>
  <c r="Q2027" i="34"/>
  <c r="U2027" i="34"/>
  <c r="Z2027" i="34"/>
  <c r="O2027" i="34"/>
  <c r="W2027" i="34"/>
  <c r="A2027" i="34"/>
  <c r="P2031" i="34"/>
  <c r="Q2031" i="34"/>
  <c r="U2031" i="34"/>
  <c r="Z2031" i="34"/>
  <c r="O2031" i="34"/>
  <c r="W2031" i="34"/>
  <c r="A2031" i="34"/>
  <c r="Q2046" i="34"/>
  <c r="U2046" i="34"/>
  <c r="Z2046" i="34"/>
  <c r="O2046" i="34"/>
  <c r="W2046" i="34"/>
  <c r="P2046" i="34"/>
  <c r="A2046" i="34"/>
  <c r="Q2050" i="34"/>
  <c r="U2050" i="34"/>
  <c r="Z2050" i="34"/>
  <c r="O2050" i="34"/>
  <c r="W2050" i="34"/>
  <c r="P2050" i="34"/>
  <c r="A2050" i="34"/>
  <c r="O2056" i="34"/>
  <c r="W2056" i="34"/>
  <c r="P2056" i="34"/>
  <c r="Q2056" i="34"/>
  <c r="U2056" i="34"/>
  <c r="Z2056" i="34"/>
  <c r="A2056" i="34"/>
  <c r="O2060" i="34"/>
  <c r="W2060" i="34"/>
  <c r="P2060" i="34"/>
  <c r="Q2060" i="34"/>
  <c r="U2060" i="34"/>
  <c r="Z2060" i="34"/>
  <c r="A2060" i="34"/>
  <c r="Z2077" i="34"/>
  <c r="O2077" i="34"/>
  <c r="W2077" i="34"/>
  <c r="P2077" i="34"/>
  <c r="Q2077" i="34"/>
  <c r="U2077" i="34"/>
  <c r="A2077" i="34"/>
  <c r="P2095" i="34"/>
  <c r="Q2095" i="34"/>
  <c r="U2095" i="34"/>
  <c r="Z2095" i="34"/>
  <c r="O2095" i="34"/>
  <c r="W2095" i="34"/>
  <c r="A2095" i="34"/>
  <c r="P2115" i="34"/>
  <c r="Q2115" i="34"/>
  <c r="U2115" i="34"/>
  <c r="Z2115" i="34"/>
  <c r="O2115" i="34"/>
  <c r="W2115" i="34"/>
  <c r="A2115" i="34"/>
  <c r="P725" i="34"/>
  <c r="Q725" i="34"/>
  <c r="U725" i="34"/>
  <c r="Z725" i="34"/>
  <c r="O725" i="34"/>
  <c r="W725" i="34"/>
  <c r="A725" i="34"/>
  <c r="Z731" i="34"/>
  <c r="O731" i="34"/>
  <c r="W731" i="34"/>
  <c r="P731" i="34"/>
  <c r="Q731" i="34"/>
  <c r="U731" i="34"/>
  <c r="A731" i="34"/>
  <c r="O738" i="34"/>
  <c r="W738" i="34"/>
  <c r="P738" i="34"/>
  <c r="Q738" i="34"/>
  <c r="U738" i="34"/>
  <c r="Z738" i="34"/>
  <c r="A738" i="34"/>
  <c r="O742" i="34"/>
  <c r="W742" i="34"/>
  <c r="P742" i="34"/>
  <c r="Q742" i="34"/>
  <c r="U742" i="34"/>
  <c r="Z742" i="34"/>
  <c r="A742" i="34"/>
  <c r="Z763" i="34"/>
  <c r="O763" i="34"/>
  <c r="W763" i="34"/>
  <c r="P763" i="34"/>
  <c r="Q763" i="34"/>
  <c r="U763" i="34"/>
  <c r="A763" i="34"/>
  <c r="Z767" i="34"/>
  <c r="O767" i="34"/>
  <c r="W767" i="34"/>
  <c r="P767" i="34"/>
  <c r="Q767" i="34"/>
  <c r="U767" i="34"/>
  <c r="A767" i="34"/>
  <c r="O774" i="34"/>
  <c r="W774" i="34"/>
  <c r="P774" i="34"/>
  <c r="Q774" i="34"/>
  <c r="U774" i="34"/>
  <c r="Z774" i="34"/>
  <c r="A774" i="34"/>
  <c r="O778" i="34"/>
  <c r="W778" i="34"/>
  <c r="P778" i="34"/>
  <c r="Q778" i="34"/>
  <c r="U778" i="34"/>
  <c r="Z778" i="34"/>
  <c r="A778" i="34"/>
  <c r="Z789" i="34"/>
  <c r="O789" i="34"/>
  <c r="W789" i="34"/>
  <c r="P789" i="34"/>
  <c r="Q789" i="34"/>
  <c r="U789" i="34"/>
  <c r="A789" i="34"/>
  <c r="Z793" i="34"/>
  <c r="O793" i="34"/>
  <c r="W793" i="34"/>
  <c r="P793" i="34"/>
  <c r="Q793" i="34"/>
  <c r="U793" i="34"/>
  <c r="A793" i="34"/>
  <c r="Q496" i="34"/>
  <c r="U496" i="34"/>
  <c r="Z496" i="34"/>
  <c r="O496" i="34"/>
  <c r="W496" i="34"/>
  <c r="P496" i="34"/>
  <c r="A496" i="34"/>
  <c r="O502" i="34"/>
  <c r="W502" i="34"/>
  <c r="P502" i="34"/>
  <c r="Q502" i="34"/>
  <c r="U502" i="34"/>
  <c r="Z502" i="34"/>
  <c r="A502" i="34"/>
  <c r="Z583" i="34"/>
  <c r="O583" i="34"/>
  <c r="W583" i="34"/>
  <c r="P583" i="34"/>
  <c r="Q583" i="34"/>
  <c r="U583" i="34"/>
  <c r="A583" i="34"/>
  <c r="O2583" i="34"/>
  <c r="W2583" i="34"/>
  <c r="P2583" i="34"/>
  <c r="Q2583" i="34"/>
  <c r="U2583" i="34"/>
  <c r="Z2583" i="34"/>
  <c r="A2583" i="34"/>
  <c r="O2587" i="34"/>
  <c r="W2587" i="34"/>
  <c r="P2587" i="34"/>
  <c r="Q2587" i="34"/>
  <c r="U2587" i="34"/>
  <c r="Z2587" i="34"/>
  <c r="A2587" i="34"/>
  <c r="O2591" i="34"/>
  <c r="W2591" i="34"/>
  <c r="P2591" i="34"/>
  <c r="Q2591" i="34"/>
  <c r="U2591" i="34"/>
  <c r="Z2591" i="34"/>
  <c r="A2591" i="34"/>
  <c r="O2595" i="34"/>
  <c r="W2595" i="34"/>
  <c r="P2595" i="34"/>
  <c r="Q2595" i="34"/>
  <c r="U2595" i="34"/>
  <c r="Z2595" i="34"/>
  <c r="A2595" i="34"/>
  <c r="O2599" i="34"/>
  <c r="W2599" i="34"/>
  <c r="P2599" i="34"/>
  <c r="Q2599" i="34"/>
  <c r="U2599" i="34"/>
  <c r="Z2599" i="34"/>
  <c r="A2599" i="34"/>
  <c r="O2603" i="34"/>
  <c r="W2603" i="34"/>
  <c r="P2603" i="34"/>
  <c r="Q2603" i="34"/>
  <c r="U2603" i="34"/>
  <c r="Z2603" i="34"/>
  <c r="A2603" i="34"/>
  <c r="O2607" i="34"/>
  <c r="W2607" i="34"/>
  <c r="P2607" i="34"/>
  <c r="Q2607" i="34"/>
  <c r="U2607" i="34"/>
  <c r="Z2607" i="34"/>
  <c r="A2607" i="34"/>
  <c r="O2611" i="34"/>
  <c r="W2611" i="34"/>
  <c r="P2611" i="34"/>
  <c r="Q2611" i="34"/>
  <c r="U2611" i="34"/>
  <c r="Z2611" i="34"/>
  <c r="A2611" i="34"/>
  <c r="O2615" i="34"/>
  <c r="W2615" i="34"/>
  <c r="P2615" i="34"/>
  <c r="Q2615" i="34"/>
  <c r="U2615" i="34"/>
  <c r="Z2615" i="34"/>
  <c r="A2615" i="34"/>
  <c r="O2619" i="34"/>
  <c r="W2619" i="34"/>
  <c r="P2619" i="34"/>
  <c r="Q2619" i="34"/>
  <c r="U2619" i="34"/>
  <c r="Z2619" i="34"/>
  <c r="A2619" i="34"/>
  <c r="O2623" i="34"/>
  <c r="W2623" i="34"/>
  <c r="P2623" i="34"/>
  <c r="Q2623" i="34"/>
  <c r="U2623" i="34"/>
  <c r="Z2623" i="34"/>
  <c r="A2623" i="34"/>
  <c r="O2627" i="34"/>
  <c r="W2627" i="34"/>
  <c r="P2627" i="34"/>
  <c r="Q2627" i="34"/>
  <c r="U2627" i="34"/>
  <c r="Z2627" i="34"/>
  <c r="A2627" i="34"/>
  <c r="P2642" i="34"/>
  <c r="Q2642" i="34"/>
  <c r="U2642" i="34"/>
  <c r="Z2642" i="34"/>
  <c r="O2642" i="34"/>
  <c r="W2642" i="34"/>
  <c r="A2642" i="34"/>
  <c r="R68" i="34"/>
  <c r="Z68" i="34"/>
  <c r="O68" i="34"/>
  <c r="S68" i="34"/>
  <c r="W68" i="34"/>
  <c r="P68" i="34"/>
  <c r="T68" i="34"/>
  <c r="Q68" i="34"/>
  <c r="U68" i="34"/>
  <c r="A68" i="34"/>
  <c r="Q576" i="34"/>
  <c r="U576" i="34"/>
  <c r="Z576" i="34"/>
  <c r="O576" i="34"/>
  <c r="W576" i="34"/>
  <c r="P576" i="34"/>
  <c r="A576" i="34"/>
  <c r="Z3661" i="34"/>
  <c r="O3661" i="34"/>
  <c r="W3661" i="34"/>
  <c r="P3661" i="34"/>
  <c r="Q3661" i="34"/>
  <c r="U3661" i="34"/>
  <c r="A3661" i="34"/>
  <c r="Z3665" i="34"/>
  <c r="O3665" i="34"/>
  <c r="W3665" i="34"/>
  <c r="P3665" i="34"/>
  <c r="Q3665" i="34"/>
  <c r="U3665" i="34"/>
  <c r="A3665" i="34"/>
  <c r="Z3677" i="34"/>
  <c r="O3677" i="34"/>
  <c r="W3677" i="34"/>
  <c r="P3677" i="34"/>
  <c r="Q3677" i="34"/>
  <c r="U3677" i="34"/>
  <c r="A3677" i="34"/>
  <c r="Q3746" i="34"/>
  <c r="U3746" i="34"/>
  <c r="Z3746" i="34"/>
  <c r="O3746" i="34"/>
  <c r="W3746" i="34"/>
  <c r="P3746" i="34"/>
  <c r="A3746" i="34"/>
  <c r="R80" i="34"/>
  <c r="Z80" i="34"/>
  <c r="O80" i="34"/>
  <c r="S80" i="34"/>
  <c r="W80" i="34"/>
  <c r="P80" i="34"/>
  <c r="T80" i="34"/>
  <c r="Q80" i="34"/>
  <c r="U80" i="34"/>
  <c r="A80" i="34"/>
  <c r="O104" i="34"/>
  <c r="S104" i="34"/>
  <c r="W104" i="34"/>
  <c r="P104" i="34"/>
  <c r="T104" i="34"/>
  <c r="Q104" i="34"/>
  <c r="U104" i="34"/>
  <c r="R104" i="34"/>
  <c r="Z104" i="34"/>
  <c r="A104" i="34"/>
  <c r="P111" i="34"/>
  <c r="T111" i="34"/>
  <c r="Q111" i="34"/>
  <c r="U111" i="34"/>
  <c r="R111" i="34"/>
  <c r="Z111" i="34"/>
  <c r="O111" i="34"/>
  <c r="S111" i="34"/>
  <c r="W111" i="34"/>
  <c r="A111" i="34"/>
  <c r="Q1752" i="34"/>
  <c r="U1752" i="34"/>
  <c r="Z1752" i="34"/>
  <c r="O1752" i="34"/>
  <c r="W1752" i="34"/>
  <c r="P1752" i="34"/>
  <c r="A1752" i="34"/>
  <c r="O1866" i="34"/>
  <c r="W1866" i="34"/>
  <c r="P1866" i="34"/>
  <c r="Q1866" i="34"/>
  <c r="U1866" i="34"/>
  <c r="Z1866" i="34"/>
  <c r="A1866" i="34"/>
  <c r="Q1872" i="34"/>
  <c r="U1872" i="34"/>
  <c r="Z1872" i="34"/>
  <c r="O1872" i="34"/>
  <c r="W1872" i="34"/>
  <c r="P1872" i="34"/>
  <c r="A1872" i="34"/>
  <c r="Z1945" i="34"/>
  <c r="O1945" i="34"/>
  <c r="W1945" i="34"/>
  <c r="P1945" i="34"/>
  <c r="Q1945" i="34"/>
  <c r="U1945" i="34"/>
  <c r="A1945" i="34"/>
  <c r="P1873" i="34"/>
  <c r="Q1873" i="34"/>
  <c r="U1873" i="34"/>
  <c r="Z1873" i="34"/>
  <c r="O1873" i="34"/>
  <c r="W1873" i="34"/>
  <c r="A1873" i="34"/>
  <c r="Z1913" i="34"/>
  <c r="O1913" i="34"/>
  <c r="W1913" i="34"/>
  <c r="P1913" i="34"/>
  <c r="Q1913" i="34"/>
  <c r="U1913" i="34"/>
  <c r="A1913" i="34"/>
  <c r="Z1899" i="34"/>
  <c r="O1899" i="34"/>
  <c r="W1899" i="34"/>
  <c r="Q1899" i="34"/>
  <c r="U1899" i="34"/>
  <c r="P1899" i="34"/>
  <c r="A1899" i="34"/>
  <c r="P1881" i="34"/>
  <c r="Q1881" i="34"/>
  <c r="U1881" i="34"/>
  <c r="Z1881" i="34"/>
  <c r="O1881" i="34"/>
  <c r="W1881" i="34"/>
  <c r="A1881" i="34"/>
  <c r="Q1644" i="34"/>
  <c r="U1644" i="34"/>
  <c r="Z1644" i="34"/>
  <c r="O1644" i="34"/>
  <c r="W1644" i="34"/>
  <c r="P1644" i="34"/>
  <c r="A1644" i="34"/>
  <c r="Q1648" i="34"/>
  <c r="U1648" i="34"/>
  <c r="Z1648" i="34"/>
  <c r="O1648" i="34"/>
  <c r="W1648" i="34"/>
  <c r="P1648" i="34"/>
  <c r="A1648" i="34"/>
  <c r="Z1683" i="34"/>
  <c r="O1683" i="34"/>
  <c r="W1683" i="34"/>
  <c r="P1683" i="34"/>
  <c r="Q1683" i="34"/>
  <c r="U1683" i="34"/>
  <c r="A1683" i="34"/>
  <c r="Z393" i="34"/>
  <c r="O393" i="34"/>
  <c r="W393" i="34"/>
  <c r="P393" i="34"/>
  <c r="Q393" i="34"/>
  <c r="U393" i="34"/>
  <c r="A393" i="34"/>
  <c r="Z2129" i="34"/>
  <c r="O2129" i="34"/>
  <c r="W2129" i="34"/>
  <c r="P2129" i="34"/>
  <c r="Q2129" i="34"/>
  <c r="U2129" i="34"/>
  <c r="A2129" i="34"/>
  <c r="Q1776" i="34"/>
  <c r="U1776" i="34"/>
  <c r="Z1776" i="34"/>
  <c r="O1776" i="34"/>
  <c r="W1776" i="34"/>
  <c r="P1776" i="34"/>
  <c r="A1776" i="34"/>
  <c r="P1805" i="34"/>
  <c r="Q1805" i="34"/>
  <c r="U1805" i="34"/>
  <c r="Z1805" i="34"/>
  <c r="O1805" i="34"/>
  <c r="W1805" i="34"/>
  <c r="A1805" i="34"/>
  <c r="Z1795" i="34"/>
  <c r="O1795" i="34"/>
  <c r="W1795" i="34"/>
  <c r="P1795" i="34"/>
  <c r="Q1795" i="34"/>
  <c r="U1795" i="34"/>
  <c r="A1795" i="34"/>
  <c r="P1773" i="34"/>
  <c r="Q1773" i="34"/>
  <c r="U1773" i="34"/>
  <c r="Z1773" i="34"/>
  <c r="O1773" i="34"/>
  <c r="W1773" i="34"/>
  <c r="A1773" i="34"/>
  <c r="P1801" i="34"/>
  <c r="Q1801" i="34"/>
  <c r="U1801" i="34"/>
  <c r="Z1801" i="34"/>
  <c r="O1801" i="34"/>
  <c r="W1801" i="34"/>
  <c r="A1801" i="34"/>
  <c r="P1809" i="34"/>
  <c r="Q1809" i="34"/>
  <c r="U1809" i="34"/>
  <c r="Z1809" i="34"/>
  <c r="O1809" i="34"/>
  <c r="W1809" i="34"/>
  <c r="A1809" i="34"/>
  <c r="O1766" i="34"/>
  <c r="W1766" i="34"/>
  <c r="P1766" i="34"/>
  <c r="Q1766" i="34"/>
  <c r="U1766" i="34"/>
  <c r="Z1766" i="34"/>
  <c r="A1766" i="34"/>
  <c r="P1927" i="34"/>
  <c r="Q1927" i="34"/>
  <c r="U1927" i="34"/>
  <c r="Z1927" i="34"/>
  <c r="O1927" i="34"/>
  <c r="W1927" i="34"/>
  <c r="A1927" i="34"/>
  <c r="Z397" i="34"/>
  <c r="O397" i="34"/>
  <c r="W397" i="34"/>
  <c r="P397" i="34"/>
  <c r="Q397" i="34"/>
  <c r="U397" i="34"/>
  <c r="A397" i="34"/>
  <c r="Z401" i="34"/>
  <c r="O401" i="34"/>
  <c r="W401" i="34"/>
  <c r="P401" i="34"/>
  <c r="Q401" i="34"/>
  <c r="U401" i="34"/>
  <c r="A401" i="34"/>
  <c r="Q2581" i="34"/>
  <c r="U2581" i="34"/>
  <c r="Z2581" i="34"/>
  <c r="O2581" i="34"/>
  <c r="W2581" i="34"/>
  <c r="P2581" i="34"/>
  <c r="A2581" i="34"/>
  <c r="Q802" i="34"/>
  <c r="U802" i="34"/>
  <c r="Z802" i="34"/>
  <c r="O802" i="34"/>
  <c r="W802" i="34"/>
  <c r="P802" i="34"/>
  <c r="A802" i="34"/>
  <c r="Q806" i="34"/>
  <c r="U806" i="34"/>
  <c r="Z806" i="34"/>
  <c r="O806" i="34"/>
  <c r="W806" i="34"/>
  <c r="P806" i="34"/>
  <c r="A806" i="34"/>
  <c r="Q810" i="34"/>
  <c r="U810" i="34"/>
  <c r="Z810" i="34"/>
  <c r="O810" i="34"/>
  <c r="W810" i="34"/>
  <c r="P810" i="34"/>
  <c r="A810" i="34"/>
  <c r="Z817" i="34"/>
  <c r="O817" i="34"/>
  <c r="W817" i="34"/>
  <c r="P817" i="34"/>
  <c r="Q817" i="34"/>
  <c r="U817" i="34"/>
  <c r="A817" i="34"/>
  <c r="Z821" i="34"/>
  <c r="O821" i="34"/>
  <c r="W821" i="34"/>
  <c r="P821" i="34"/>
  <c r="Q821" i="34"/>
  <c r="U821" i="34"/>
  <c r="A821" i="34"/>
  <c r="Q414" i="34"/>
  <c r="U414" i="34"/>
  <c r="Z414" i="34"/>
  <c r="O414" i="34"/>
  <c r="W414" i="34"/>
  <c r="P414" i="34"/>
  <c r="A414" i="34"/>
  <c r="Q422" i="34"/>
  <c r="U422" i="34"/>
  <c r="Z422" i="34"/>
  <c r="O422" i="34"/>
  <c r="W422" i="34"/>
  <c r="P422" i="34"/>
  <c r="A422" i="34"/>
  <c r="Q1808" i="34"/>
  <c r="U1808" i="34"/>
  <c r="Z1808" i="34"/>
  <c r="O1808" i="34"/>
  <c r="W1808" i="34"/>
  <c r="P1808" i="34"/>
  <c r="A1808" i="34"/>
  <c r="O1794" i="34"/>
  <c r="W1794" i="34"/>
  <c r="P1794" i="34"/>
  <c r="Q1794" i="34"/>
  <c r="U1794" i="34"/>
  <c r="Z1794" i="34"/>
  <c r="A1794" i="34"/>
  <c r="O1948" i="34"/>
  <c r="W1948" i="34"/>
  <c r="P1948" i="34"/>
  <c r="Q1948" i="34"/>
  <c r="U1948" i="34"/>
  <c r="Z1948" i="34"/>
  <c r="A1948" i="34"/>
  <c r="P1907" i="34"/>
  <c r="Q1907" i="34"/>
  <c r="U1907" i="34"/>
  <c r="Z1907" i="34"/>
  <c r="O1907" i="34"/>
  <c r="W1907" i="34"/>
  <c r="A1907" i="34"/>
  <c r="Q1848" i="34"/>
  <c r="U1848" i="34"/>
  <c r="Z1848" i="34"/>
  <c r="O1848" i="34"/>
  <c r="W1848" i="34"/>
  <c r="P1848" i="34"/>
  <c r="A1848" i="34"/>
  <c r="O1936" i="34"/>
  <c r="W1936" i="34"/>
  <c r="P1936" i="34"/>
  <c r="Q1936" i="34"/>
  <c r="U1936" i="34"/>
  <c r="Z1936" i="34"/>
  <c r="A1936" i="34"/>
  <c r="Q1966" i="34"/>
  <c r="U1966" i="34"/>
  <c r="Z1966" i="34"/>
  <c r="O1966" i="34"/>
  <c r="W1966" i="34"/>
  <c r="P1966" i="34"/>
  <c r="A1966" i="34"/>
  <c r="Q1970" i="34"/>
  <c r="U1970" i="34"/>
  <c r="Z1970" i="34"/>
  <c r="O1970" i="34"/>
  <c r="W1970" i="34"/>
  <c r="P1970" i="34"/>
  <c r="A1970" i="34"/>
  <c r="P1999" i="34"/>
  <c r="Q1999" i="34"/>
  <c r="U1999" i="34"/>
  <c r="Z1999" i="34"/>
  <c r="O1999" i="34"/>
  <c r="W1999" i="34"/>
  <c r="A1999" i="34"/>
  <c r="P2003" i="34"/>
  <c r="Q2003" i="34"/>
  <c r="U2003" i="34"/>
  <c r="Z2003" i="34"/>
  <c r="O2003" i="34"/>
  <c r="W2003" i="34"/>
  <c r="A2003" i="34"/>
  <c r="O2024" i="34"/>
  <c r="W2024" i="34"/>
  <c r="P2024" i="34"/>
  <c r="Q2024" i="34"/>
  <c r="U2024" i="34"/>
  <c r="Z2024" i="34"/>
  <c r="A2024" i="34"/>
  <c r="O2028" i="34"/>
  <c r="W2028" i="34"/>
  <c r="P2028" i="34"/>
  <c r="Q2028" i="34"/>
  <c r="U2028" i="34"/>
  <c r="Z2028" i="34"/>
  <c r="A2028" i="34"/>
  <c r="P2043" i="34"/>
  <c r="Q2043" i="34"/>
  <c r="U2043" i="34"/>
  <c r="Z2043" i="34"/>
  <c r="O2043" i="34"/>
  <c r="W2043" i="34"/>
  <c r="A2043" i="34"/>
  <c r="P2047" i="34"/>
  <c r="Q2047" i="34"/>
  <c r="U2047" i="34"/>
  <c r="Z2047" i="34"/>
  <c r="O2047" i="34"/>
  <c r="W2047" i="34"/>
  <c r="A2047" i="34"/>
  <c r="P2051" i="34"/>
  <c r="Q2051" i="34"/>
  <c r="U2051" i="34"/>
  <c r="Z2051" i="34"/>
  <c r="O2051" i="34"/>
  <c r="W2051" i="34"/>
  <c r="A2051" i="34"/>
  <c r="Z2057" i="34"/>
  <c r="O2057" i="34"/>
  <c r="W2057" i="34"/>
  <c r="P2057" i="34"/>
  <c r="Q2057" i="34"/>
  <c r="U2057" i="34"/>
  <c r="A2057" i="34"/>
  <c r="Z2061" i="34"/>
  <c r="O2061" i="34"/>
  <c r="W2061" i="34"/>
  <c r="P2061" i="34"/>
  <c r="Q2061" i="34"/>
  <c r="U2061" i="34"/>
  <c r="A2061" i="34"/>
  <c r="Q2078" i="34"/>
  <c r="U2078" i="34"/>
  <c r="Z2078" i="34"/>
  <c r="O2078" i="34"/>
  <c r="W2078" i="34"/>
  <c r="P2078" i="34"/>
  <c r="A2078" i="34"/>
  <c r="Q2102" i="34"/>
  <c r="U2102" i="34"/>
  <c r="Z2102" i="34"/>
  <c r="O2102" i="34"/>
  <c r="W2102" i="34"/>
  <c r="P2102" i="34"/>
  <c r="A2102" i="34"/>
  <c r="Q2074" i="34"/>
  <c r="U2074" i="34"/>
  <c r="Z2074" i="34"/>
  <c r="O2074" i="34"/>
  <c r="W2074" i="34"/>
  <c r="P2074" i="34"/>
  <c r="A2074" i="34"/>
  <c r="O726" i="34"/>
  <c r="W726" i="34"/>
  <c r="P726" i="34"/>
  <c r="Q726" i="34"/>
  <c r="U726" i="34"/>
  <c r="Z726" i="34"/>
  <c r="A726" i="34"/>
  <c r="Q732" i="34"/>
  <c r="U732" i="34"/>
  <c r="Z732" i="34"/>
  <c r="O732" i="34"/>
  <c r="W732" i="34"/>
  <c r="P732" i="34"/>
  <c r="A732" i="34"/>
  <c r="Z739" i="34"/>
  <c r="O739" i="34"/>
  <c r="W739" i="34"/>
  <c r="P739" i="34"/>
  <c r="Q739" i="34"/>
  <c r="U739" i="34"/>
  <c r="A739" i="34"/>
  <c r="Z743" i="34"/>
  <c r="O743" i="34"/>
  <c r="W743" i="34"/>
  <c r="P743" i="34"/>
  <c r="Q743" i="34"/>
  <c r="U743" i="34"/>
  <c r="A743" i="34"/>
  <c r="Q764" i="34"/>
  <c r="U764" i="34"/>
  <c r="Z764" i="34"/>
  <c r="O764" i="34"/>
  <c r="W764" i="34"/>
  <c r="P764" i="34"/>
  <c r="A764" i="34"/>
  <c r="Q768" i="34"/>
  <c r="U768" i="34"/>
  <c r="Z768" i="34"/>
  <c r="O768" i="34"/>
  <c r="W768" i="34"/>
  <c r="P768" i="34"/>
  <c r="A768" i="34"/>
  <c r="Z775" i="34"/>
  <c r="O775" i="34"/>
  <c r="W775" i="34"/>
  <c r="P775" i="34"/>
  <c r="Q775" i="34"/>
  <c r="U775" i="34"/>
  <c r="A775" i="34"/>
  <c r="Z779" i="34"/>
  <c r="P779" i="34"/>
  <c r="Q779" i="34"/>
  <c r="U779" i="34"/>
  <c r="O779" i="34"/>
  <c r="W779" i="34"/>
  <c r="A779" i="34"/>
  <c r="Q790" i="34"/>
  <c r="U790" i="34"/>
  <c r="Z790" i="34"/>
  <c r="O790" i="34"/>
  <c r="W790" i="34"/>
  <c r="P790" i="34"/>
  <c r="A790" i="34"/>
  <c r="B652" i="34"/>
  <c r="B653" i="34"/>
  <c r="B707" i="34"/>
  <c r="B2637" i="34"/>
  <c r="B1932" i="34"/>
  <c r="O1932" i="34" l="1"/>
  <c r="W1932" i="34"/>
  <c r="P1932" i="34"/>
  <c r="Q1932" i="34"/>
  <c r="U1932" i="34"/>
  <c r="Z1932" i="34"/>
  <c r="A1932" i="34"/>
  <c r="Q2637" i="34"/>
  <c r="U2637" i="34"/>
  <c r="Z2637" i="34"/>
  <c r="O2637" i="34"/>
  <c r="W2637" i="34"/>
  <c r="P2637" i="34"/>
  <c r="A2637" i="34"/>
  <c r="Q652" i="34"/>
  <c r="U652" i="34"/>
  <c r="Z652" i="34"/>
  <c r="O652" i="34"/>
  <c r="W652" i="34"/>
  <c r="P652" i="34"/>
  <c r="A652" i="34"/>
  <c r="Z707" i="34"/>
  <c r="O707" i="34"/>
  <c r="W707" i="34"/>
  <c r="P707" i="34"/>
  <c r="Q707" i="34"/>
  <c r="U707" i="34"/>
  <c r="A707" i="34"/>
  <c r="P653" i="34"/>
  <c r="Q653" i="34"/>
  <c r="U653" i="34"/>
  <c r="Z653" i="34"/>
  <c r="O653" i="34"/>
  <c r="W653" i="34"/>
  <c r="A653" i="34"/>
  <c r="Q70" i="60"/>
  <c r="C70" i="60" s="1"/>
  <c r="B546" i="34"/>
  <c r="B505" i="34"/>
  <c r="B98" i="34"/>
  <c r="B2650" i="34"/>
  <c r="B480" i="34"/>
  <c r="P2650" i="34" l="1"/>
  <c r="Q2650" i="34"/>
  <c r="U2650" i="34"/>
  <c r="Z2650" i="34"/>
  <c r="O2650" i="34"/>
  <c r="W2650" i="34"/>
  <c r="A2650" i="34"/>
  <c r="P505" i="34"/>
  <c r="Q505" i="34"/>
  <c r="U505" i="34"/>
  <c r="Z505" i="34"/>
  <c r="O505" i="34"/>
  <c r="W505" i="34"/>
  <c r="A505" i="34"/>
  <c r="Q98" i="34"/>
  <c r="U98" i="34"/>
  <c r="R98" i="34"/>
  <c r="Z98" i="34"/>
  <c r="O98" i="34"/>
  <c r="S98" i="34"/>
  <c r="W98" i="34"/>
  <c r="P98" i="34"/>
  <c r="T98" i="34"/>
  <c r="A98" i="34"/>
  <c r="Q480" i="34"/>
  <c r="U480" i="34"/>
  <c r="Z480" i="34"/>
  <c r="O480" i="34"/>
  <c r="W480" i="34"/>
  <c r="P480" i="34"/>
  <c r="A480" i="34"/>
  <c r="O546" i="34"/>
  <c r="W546" i="34"/>
  <c r="P546" i="34"/>
  <c r="Q546" i="34"/>
  <c r="U546" i="34"/>
  <c r="Z546" i="34"/>
  <c r="A546" i="34"/>
  <c r="Q137" i="60"/>
  <c r="C137" i="60" s="1"/>
  <c r="Q136" i="60"/>
  <c r="C136" i="60" s="1"/>
  <c r="Q135" i="60"/>
  <c r="C135" i="60" s="1"/>
  <c r="Q134" i="60"/>
  <c r="C134" i="60" s="1"/>
  <c r="Q133" i="60"/>
  <c r="C133" i="60" s="1"/>
  <c r="Q132" i="60"/>
  <c r="C132" i="60" s="1"/>
  <c r="Q131" i="60"/>
  <c r="C131" i="60" s="1"/>
  <c r="Q130" i="60"/>
  <c r="C130" i="60" s="1"/>
  <c r="Q129" i="60"/>
  <c r="C129" i="60" s="1"/>
  <c r="Q128" i="60"/>
  <c r="C128" i="60" s="1"/>
  <c r="Q127" i="60"/>
  <c r="C127" i="60" s="1"/>
  <c r="Q126" i="60"/>
  <c r="C126" i="60" s="1"/>
  <c r="Q75" i="60"/>
  <c r="C75" i="60" s="1"/>
  <c r="Q74" i="60"/>
  <c r="C74" i="60" s="1"/>
  <c r="A70" i="60" l="1"/>
  <c r="A72" i="60" l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7" i="60" s="1"/>
  <c r="A88" i="60" s="1"/>
  <c r="A89" i="60" s="1"/>
  <c r="A90" i="60" s="1"/>
  <c r="A91" i="60" s="1"/>
  <c r="A92" i="60" s="1"/>
  <c r="A93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I18" i="54"/>
  <c r="B407" i="34"/>
  <c r="P407" i="34" l="1"/>
  <c r="Q407" i="34"/>
  <c r="U407" i="34"/>
  <c r="Z407" i="34"/>
  <c r="O407" i="34"/>
  <c r="W407" i="34"/>
  <c r="A407" i="34"/>
  <c r="N11" i="34"/>
  <c r="N10" i="34"/>
  <c r="N5" i="77"/>
  <c r="O5" i="77" l="1"/>
  <c r="L5" i="75"/>
  <c r="M5" i="75"/>
  <c r="P5" i="74"/>
  <c r="O5" i="74"/>
  <c r="B2631" i="34" l="1"/>
  <c r="B2636" i="34"/>
  <c r="B1904" i="34"/>
  <c r="Z2636" i="34" l="1"/>
  <c r="O2636" i="34"/>
  <c r="W2636" i="34"/>
  <c r="P2636" i="34"/>
  <c r="Q2636" i="34"/>
  <c r="U2636" i="34"/>
  <c r="A2636" i="34"/>
  <c r="Q1904" i="34"/>
  <c r="W1904" i="34"/>
  <c r="O1904" i="34"/>
  <c r="P1904" i="34"/>
  <c r="U1904" i="34"/>
  <c r="Z1904" i="34"/>
  <c r="A1904" i="34"/>
  <c r="O2631" i="34"/>
  <c r="W2631" i="34"/>
  <c r="P2631" i="34"/>
  <c r="Q2631" i="34"/>
  <c r="U2631" i="34"/>
  <c r="Z2631" i="34"/>
  <c r="A2631" i="34"/>
  <c r="B718" i="34"/>
  <c r="B717" i="34"/>
  <c r="O718" i="34" l="1"/>
  <c r="W718" i="34"/>
  <c r="P718" i="34"/>
  <c r="Q718" i="34"/>
  <c r="U718" i="34"/>
  <c r="Z718" i="34"/>
  <c r="A718" i="34"/>
  <c r="P717" i="34"/>
  <c r="Q717" i="34"/>
  <c r="U717" i="34"/>
  <c r="Z717" i="34"/>
  <c r="O717" i="34"/>
  <c r="W717" i="34"/>
  <c r="A717" i="34"/>
  <c r="B799" i="34"/>
  <c r="B719" i="34"/>
  <c r="D5" i="61"/>
  <c r="Q72" i="60"/>
  <c r="C72" i="60" s="1"/>
  <c r="Q69" i="60"/>
  <c r="C69" i="60" s="1"/>
  <c r="Q201" i="60"/>
  <c r="C201" i="60" s="1"/>
  <c r="Q203" i="60"/>
  <c r="C203" i="60" s="1"/>
  <c r="Q202" i="60"/>
  <c r="C202" i="60" s="1"/>
  <c r="Q204" i="60"/>
  <c r="C204" i="60" s="1"/>
  <c r="Q205" i="60"/>
  <c r="C205" i="60" s="1"/>
  <c r="Q225" i="60"/>
  <c r="Q150" i="60"/>
  <c r="C150" i="60" s="1"/>
  <c r="Q151" i="60"/>
  <c r="C151" i="60" s="1"/>
  <c r="Q192" i="60"/>
  <c r="O61" i="60"/>
  <c r="Q8" i="60"/>
  <c r="C8" i="60" s="1"/>
  <c r="A148" i="60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Q7" i="60"/>
  <c r="Q148" i="60"/>
  <c r="Q149" i="60"/>
  <c r="C149" i="60" s="1"/>
  <c r="Q200" i="60"/>
  <c r="C200" i="60" s="1"/>
  <c r="I9" i="70"/>
  <c r="I7" i="70"/>
  <c r="I21" i="70"/>
  <c r="I12" i="70"/>
  <c r="I8" i="70"/>
  <c r="I14" i="70"/>
  <c r="I49" i="70"/>
  <c r="I22" i="70"/>
  <c r="G12" i="61"/>
  <c r="D12" i="61"/>
  <c r="I12" i="61"/>
  <c r="C12" i="61"/>
  <c r="F12" i="61"/>
  <c r="H12" i="61"/>
  <c r="E12" i="61"/>
  <c r="Z719" i="34" l="1"/>
  <c r="O719" i="34"/>
  <c r="W719" i="34"/>
  <c r="P719" i="34"/>
  <c r="Q719" i="34"/>
  <c r="U719" i="34"/>
  <c r="A719" i="34"/>
  <c r="P799" i="34"/>
  <c r="Q799" i="34"/>
  <c r="U799" i="34"/>
  <c r="Z799" i="34"/>
  <c r="O799" i="34"/>
  <c r="W799" i="34"/>
  <c r="A799" i="34"/>
  <c r="C140" i="60"/>
  <c r="C226" i="60"/>
  <c r="Q61" i="60"/>
  <c r="Q140" i="60"/>
  <c r="C148" i="60"/>
  <c r="Q193" i="60"/>
  <c r="C7" i="60"/>
  <c r="C61" i="60" s="1"/>
  <c r="Q226" i="60"/>
  <c r="F226" i="60" s="1"/>
  <c r="C193" i="60" l="1"/>
  <c r="P14" i="64" l="1"/>
  <c r="Q3" i="56"/>
  <c r="P3" i="56"/>
  <c r="R11" i="34" l="1"/>
  <c r="S11" i="34"/>
  <c r="T11" i="34"/>
  <c r="X11" i="34"/>
  <c r="Y11" i="34"/>
  <c r="B645" i="34" l="1"/>
  <c r="B644" i="34"/>
  <c r="Q644" i="34" l="1"/>
  <c r="U644" i="34"/>
  <c r="Z644" i="34"/>
  <c r="O644" i="34"/>
  <c r="W644" i="34"/>
  <c r="P644" i="34"/>
  <c r="A644" i="34"/>
  <c r="P645" i="34"/>
  <c r="Q645" i="34"/>
  <c r="U645" i="34"/>
  <c r="Z645" i="34"/>
  <c r="O645" i="34"/>
  <c r="W645" i="34"/>
  <c r="A645" i="34"/>
  <c r="A787" i="55"/>
  <c r="S10" i="34"/>
  <c r="A3" i="15" l="1"/>
  <c r="A2" i="15"/>
  <c r="N8" i="73"/>
  <c r="M8" i="73"/>
  <c r="A2" i="73"/>
  <c r="A1" i="73"/>
  <c r="A3" i="68" l="1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1953" i="34" l="1"/>
  <c r="B1952" i="34"/>
  <c r="B1951" i="34"/>
  <c r="B1862" i="34"/>
  <c r="B1886" i="34"/>
  <c r="B1917" i="34"/>
  <c r="B1863" i="34"/>
  <c r="B1911" i="34"/>
  <c r="B1883" i="34"/>
  <c r="B2632" i="34"/>
  <c r="B1991" i="34"/>
  <c r="B1990" i="34"/>
  <c r="B1981" i="34"/>
  <c r="B1980" i="34"/>
  <c r="B1889" i="34"/>
  <c r="B2022" i="34"/>
  <c r="B2021" i="34"/>
  <c r="B832" i="34"/>
  <c r="B831" i="34"/>
  <c r="B830" i="34"/>
  <c r="B827" i="34"/>
  <c r="B800" i="34"/>
  <c r="B787" i="34"/>
  <c r="B801" i="34"/>
  <c r="B824" i="34"/>
  <c r="B825" i="34"/>
  <c r="B826" i="34"/>
  <c r="B828" i="34"/>
  <c r="B829" i="34"/>
  <c r="B833" i="34"/>
  <c r="B409" i="34"/>
  <c r="B410" i="34"/>
  <c r="B411" i="34"/>
  <c r="B438" i="34"/>
  <c r="B439" i="34"/>
  <c r="B2633" i="34"/>
  <c r="B2634" i="34"/>
  <c r="B1855" i="34"/>
  <c r="B1954" i="34"/>
  <c r="B1955" i="34"/>
  <c r="B1956" i="34"/>
  <c r="B1957" i="34"/>
  <c r="B1958" i="34"/>
  <c r="B1960" i="34"/>
  <c r="B1961" i="34"/>
  <c r="B1962" i="34"/>
  <c r="B1972" i="34"/>
  <c r="B1973" i="34"/>
  <c r="B1975" i="34"/>
  <c r="B1976" i="34"/>
  <c r="B1977" i="34"/>
  <c r="B1978" i="34"/>
  <c r="B1979" i="34"/>
  <c r="B1983" i="34"/>
  <c r="B1984" i="34"/>
  <c r="B1985" i="34"/>
  <c r="B1986" i="34"/>
  <c r="B1987" i="34"/>
  <c r="B1988" i="34"/>
  <c r="B1989" i="34"/>
  <c r="B2006" i="34"/>
  <c r="B2007" i="34"/>
  <c r="B2016" i="34"/>
  <c r="B2017" i="34"/>
  <c r="B2009" i="34"/>
  <c r="B2019" i="34"/>
  <c r="B2020" i="34"/>
  <c r="B2036" i="34"/>
  <c r="B2037" i="34"/>
  <c r="B2038" i="34"/>
  <c r="B2039" i="34"/>
  <c r="B2040" i="34"/>
  <c r="B2041" i="34"/>
  <c r="B2042" i="34"/>
  <c r="B2082" i="34"/>
  <c r="B2106" i="34"/>
  <c r="B2087" i="34"/>
  <c r="B2096" i="34"/>
  <c r="B1992" i="34"/>
  <c r="B1993" i="34"/>
  <c r="B1994" i="34"/>
  <c r="B1995" i="34"/>
  <c r="B1996" i="34"/>
  <c r="B2012" i="34"/>
  <c r="B2013" i="34"/>
  <c r="B2014" i="34"/>
  <c r="B2015" i="34"/>
  <c r="B2083" i="34"/>
  <c r="B2088" i="34"/>
  <c r="B2079" i="34"/>
  <c r="B2089" i="34"/>
  <c r="B2086" i="34"/>
  <c r="B2090" i="34"/>
  <c r="B2065" i="34"/>
  <c r="B2068" i="34"/>
  <c r="B2071" i="34"/>
  <c r="B2117" i="34"/>
  <c r="B2114" i="34"/>
  <c r="B2125" i="34"/>
  <c r="B2073" i="34"/>
  <c r="B2100" i="34"/>
  <c r="B2075" i="34"/>
  <c r="B2111" i="34"/>
  <c r="B2091" i="34"/>
  <c r="B2093" i="34"/>
  <c r="B2069" i="34"/>
  <c r="B2108" i="34"/>
  <c r="B2070" i="34"/>
  <c r="B2107" i="34"/>
  <c r="B2066" i="34"/>
  <c r="B2094" i="34"/>
  <c r="B2064" i="34"/>
  <c r="B2092" i="34"/>
  <c r="B2122" i="34"/>
  <c r="B2110" i="34"/>
  <c r="B2067" i="34"/>
  <c r="B2127" i="34"/>
  <c r="B2076" i="34"/>
  <c r="B2124" i="34"/>
  <c r="B2072" i="34"/>
  <c r="B2121" i="34"/>
  <c r="B2128" i="34"/>
  <c r="B2101" i="34"/>
  <c r="B2112" i="34"/>
  <c r="B2097" i="34"/>
  <c r="B2099" i="34"/>
  <c r="B2113" i="34"/>
  <c r="B2123" i="34"/>
  <c r="B2062" i="34"/>
  <c r="B2131" i="34"/>
  <c r="I13" i="71"/>
  <c r="O11" i="42"/>
  <c r="N11" i="42"/>
  <c r="P2123" i="34" l="1"/>
  <c r="Q2123" i="34"/>
  <c r="U2123" i="34"/>
  <c r="Z2123" i="34"/>
  <c r="O2123" i="34"/>
  <c r="W2123" i="34"/>
  <c r="A2123" i="34"/>
  <c r="O2112" i="34"/>
  <c r="W2112" i="34"/>
  <c r="P2112" i="34"/>
  <c r="Q2112" i="34"/>
  <c r="U2112" i="34"/>
  <c r="Z2112" i="34"/>
  <c r="A2112" i="34"/>
  <c r="O2072" i="34"/>
  <c r="W2072" i="34"/>
  <c r="P2072" i="34"/>
  <c r="Q2072" i="34"/>
  <c r="U2072" i="34"/>
  <c r="Z2072" i="34"/>
  <c r="A2072" i="34"/>
  <c r="P2067" i="34"/>
  <c r="Q2067" i="34"/>
  <c r="U2067" i="34"/>
  <c r="Z2067" i="34"/>
  <c r="O2067" i="34"/>
  <c r="W2067" i="34"/>
  <c r="A2067" i="34"/>
  <c r="O2064" i="34"/>
  <c r="W2064" i="34"/>
  <c r="P2064" i="34"/>
  <c r="Q2064" i="34"/>
  <c r="U2064" i="34"/>
  <c r="Z2064" i="34"/>
  <c r="A2064" i="34"/>
  <c r="Q2070" i="34"/>
  <c r="U2070" i="34"/>
  <c r="Z2070" i="34"/>
  <c r="O2070" i="34"/>
  <c r="W2070" i="34"/>
  <c r="P2070" i="34"/>
  <c r="A2070" i="34"/>
  <c r="P2091" i="34"/>
  <c r="Q2091" i="34"/>
  <c r="U2091" i="34"/>
  <c r="Z2091" i="34"/>
  <c r="O2091" i="34"/>
  <c r="W2091" i="34"/>
  <c r="A2091" i="34"/>
  <c r="Z2073" i="34"/>
  <c r="O2073" i="34"/>
  <c r="W2073" i="34"/>
  <c r="P2073" i="34"/>
  <c r="Q2073" i="34"/>
  <c r="U2073" i="34"/>
  <c r="A2073" i="34"/>
  <c r="P2071" i="34"/>
  <c r="Q2071" i="34"/>
  <c r="U2071" i="34"/>
  <c r="Z2071" i="34"/>
  <c r="O2071" i="34"/>
  <c r="W2071" i="34"/>
  <c r="A2071" i="34"/>
  <c r="Q2086" i="34"/>
  <c r="U2086" i="34"/>
  <c r="Z2086" i="34"/>
  <c r="O2086" i="34"/>
  <c r="W2086" i="34"/>
  <c r="P2086" i="34"/>
  <c r="A2086" i="34"/>
  <c r="P2083" i="34"/>
  <c r="Q2083" i="34"/>
  <c r="U2083" i="34"/>
  <c r="Z2083" i="34"/>
  <c r="O2083" i="34"/>
  <c r="W2083" i="34"/>
  <c r="A2083" i="34"/>
  <c r="O2012" i="34"/>
  <c r="W2012" i="34"/>
  <c r="P2012" i="34"/>
  <c r="Q2012" i="34"/>
  <c r="U2012" i="34"/>
  <c r="Z2012" i="34"/>
  <c r="A2012" i="34"/>
  <c r="Z1993" i="34"/>
  <c r="O1993" i="34"/>
  <c r="W1993" i="34"/>
  <c r="P1993" i="34"/>
  <c r="Q1993" i="34"/>
  <c r="U1993" i="34"/>
  <c r="A1993" i="34"/>
  <c r="Q2106" i="34"/>
  <c r="U2106" i="34"/>
  <c r="Z2106" i="34"/>
  <c r="O2106" i="34"/>
  <c r="W2106" i="34"/>
  <c r="P2106" i="34"/>
  <c r="A2106" i="34"/>
  <c r="O2040" i="34"/>
  <c r="W2040" i="34"/>
  <c r="P2040" i="34"/>
  <c r="Q2040" i="34"/>
  <c r="U2040" i="34"/>
  <c r="Z2040" i="34"/>
  <c r="A2040" i="34"/>
  <c r="O2036" i="34"/>
  <c r="W2036" i="34"/>
  <c r="P2036" i="34"/>
  <c r="Q2036" i="34"/>
  <c r="U2036" i="34"/>
  <c r="Z2036" i="34"/>
  <c r="A2036" i="34"/>
  <c r="Z2017" i="34"/>
  <c r="O2017" i="34"/>
  <c r="W2017" i="34"/>
  <c r="P2017" i="34"/>
  <c r="Q2017" i="34"/>
  <c r="U2017" i="34"/>
  <c r="A2017" i="34"/>
  <c r="Z1989" i="34"/>
  <c r="O1989" i="34"/>
  <c r="W1989" i="34"/>
  <c r="P1989" i="34"/>
  <c r="Q1989" i="34"/>
  <c r="U1989" i="34"/>
  <c r="A1989" i="34"/>
  <c r="Z1985" i="34"/>
  <c r="O1985" i="34"/>
  <c r="W1985" i="34"/>
  <c r="P1985" i="34"/>
  <c r="Q1985" i="34"/>
  <c r="U1985" i="34"/>
  <c r="A1985" i="34"/>
  <c r="Q1978" i="34"/>
  <c r="U1978" i="34"/>
  <c r="Z1978" i="34"/>
  <c r="O1978" i="34"/>
  <c r="W1978" i="34"/>
  <c r="P1978" i="34"/>
  <c r="A1978" i="34"/>
  <c r="Z1973" i="34"/>
  <c r="O1973" i="34"/>
  <c r="W1973" i="34"/>
  <c r="P1973" i="34"/>
  <c r="Q1973" i="34"/>
  <c r="U1973" i="34"/>
  <c r="A1973" i="34"/>
  <c r="O1960" i="34"/>
  <c r="W1960" i="34"/>
  <c r="P1960" i="34"/>
  <c r="Q1960" i="34"/>
  <c r="U1960" i="34"/>
  <c r="Z1960" i="34"/>
  <c r="A1960" i="34"/>
  <c r="P1955" i="34"/>
  <c r="Q1955" i="34"/>
  <c r="U1955" i="34"/>
  <c r="Z1955" i="34"/>
  <c r="O1955" i="34"/>
  <c r="W1955" i="34"/>
  <c r="A1955" i="34"/>
  <c r="Q2633" i="34"/>
  <c r="U2633" i="34"/>
  <c r="Z2633" i="34"/>
  <c r="O2633" i="34"/>
  <c r="W2633" i="34"/>
  <c r="P2633" i="34"/>
  <c r="A2633" i="34"/>
  <c r="Q410" i="34"/>
  <c r="U410" i="34"/>
  <c r="Z410" i="34"/>
  <c r="O410" i="34"/>
  <c r="W410" i="34"/>
  <c r="P410" i="34"/>
  <c r="A410" i="34"/>
  <c r="O828" i="34"/>
  <c r="W828" i="34"/>
  <c r="P828" i="34"/>
  <c r="Q828" i="34"/>
  <c r="U828" i="34"/>
  <c r="Z828" i="34"/>
  <c r="A828" i="34"/>
  <c r="Z801" i="34"/>
  <c r="O801" i="34"/>
  <c r="W801" i="34"/>
  <c r="P801" i="34"/>
  <c r="Q801" i="34"/>
  <c r="U801" i="34"/>
  <c r="A801" i="34"/>
  <c r="Q830" i="34"/>
  <c r="U830" i="34"/>
  <c r="Z830" i="34"/>
  <c r="O830" i="34"/>
  <c r="W830" i="34"/>
  <c r="P830" i="34"/>
  <c r="A830" i="34"/>
  <c r="Q2022" i="34"/>
  <c r="U2022" i="34"/>
  <c r="Z2022" i="34"/>
  <c r="O2022" i="34"/>
  <c r="W2022" i="34"/>
  <c r="P2022" i="34"/>
  <c r="A2022" i="34"/>
  <c r="Q1990" i="34"/>
  <c r="U1990" i="34"/>
  <c r="Z1990" i="34"/>
  <c r="O1990" i="34"/>
  <c r="W1990" i="34"/>
  <c r="P1990" i="34"/>
  <c r="A1990" i="34"/>
  <c r="P1911" i="34"/>
  <c r="Q1911" i="34"/>
  <c r="U1911" i="34"/>
  <c r="Z1911" i="34"/>
  <c r="O1911" i="34"/>
  <c r="W1911" i="34"/>
  <c r="A1911" i="34"/>
  <c r="O1862" i="34"/>
  <c r="W1862" i="34"/>
  <c r="P1862" i="34"/>
  <c r="Q1862" i="34"/>
  <c r="U1862" i="34"/>
  <c r="Z1862" i="34"/>
  <c r="A1862" i="34"/>
  <c r="Z2113" i="34"/>
  <c r="O2113" i="34"/>
  <c r="W2113" i="34"/>
  <c r="P2113" i="34"/>
  <c r="Q2113" i="34"/>
  <c r="U2113" i="34"/>
  <c r="A2113" i="34"/>
  <c r="Z2101" i="34"/>
  <c r="O2101" i="34"/>
  <c r="W2101" i="34"/>
  <c r="P2101" i="34"/>
  <c r="Q2101" i="34"/>
  <c r="U2101" i="34"/>
  <c r="A2101" i="34"/>
  <c r="O2124" i="34"/>
  <c r="W2124" i="34"/>
  <c r="P2124" i="34"/>
  <c r="Q2124" i="34"/>
  <c r="U2124" i="34"/>
  <c r="Z2124" i="34"/>
  <c r="A2124" i="34"/>
  <c r="Q2110" i="34"/>
  <c r="U2110" i="34"/>
  <c r="Z2110" i="34"/>
  <c r="O2110" i="34"/>
  <c r="W2110" i="34"/>
  <c r="P2110" i="34"/>
  <c r="A2110" i="34"/>
  <c r="Q2094" i="34"/>
  <c r="U2094" i="34"/>
  <c r="Z2094" i="34"/>
  <c r="O2094" i="34"/>
  <c r="W2094" i="34"/>
  <c r="P2094" i="34"/>
  <c r="A2094" i="34"/>
  <c r="O2108" i="34"/>
  <c r="W2108" i="34"/>
  <c r="P2108" i="34"/>
  <c r="Q2108" i="34"/>
  <c r="U2108" i="34"/>
  <c r="Z2108" i="34"/>
  <c r="A2108" i="34"/>
  <c r="P2111" i="34"/>
  <c r="Q2111" i="34"/>
  <c r="U2111" i="34"/>
  <c r="Z2111" i="34"/>
  <c r="O2111" i="34"/>
  <c r="W2111" i="34"/>
  <c r="A2111" i="34"/>
  <c r="Z2125" i="34"/>
  <c r="O2125" i="34"/>
  <c r="W2125" i="34"/>
  <c r="P2125" i="34"/>
  <c r="Q2125" i="34"/>
  <c r="U2125" i="34"/>
  <c r="A2125" i="34"/>
  <c r="O2068" i="34"/>
  <c r="W2068" i="34"/>
  <c r="P2068" i="34"/>
  <c r="Q2068" i="34"/>
  <c r="U2068" i="34"/>
  <c r="Z2068" i="34"/>
  <c r="A2068" i="34"/>
  <c r="Z2089" i="34"/>
  <c r="O2089" i="34"/>
  <c r="W2089" i="34"/>
  <c r="P2089" i="34"/>
  <c r="Q2089" i="34"/>
  <c r="U2089" i="34"/>
  <c r="A2089" i="34"/>
  <c r="P2015" i="34"/>
  <c r="Q2015" i="34"/>
  <c r="U2015" i="34"/>
  <c r="Z2015" i="34"/>
  <c r="O2015" i="34"/>
  <c r="W2015" i="34"/>
  <c r="A2015" i="34"/>
  <c r="O1996" i="34"/>
  <c r="W1996" i="34"/>
  <c r="P1996" i="34"/>
  <c r="Q1996" i="34"/>
  <c r="U1996" i="34"/>
  <c r="Z1996" i="34"/>
  <c r="A1996" i="34"/>
  <c r="O1992" i="34"/>
  <c r="W1992" i="34"/>
  <c r="P1992" i="34"/>
  <c r="Q1992" i="34"/>
  <c r="U1992" i="34"/>
  <c r="Z1992" i="34"/>
  <c r="A1992" i="34"/>
  <c r="Q2082" i="34"/>
  <c r="U2082" i="34"/>
  <c r="Z2082" i="34"/>
  <c r="O2082" i="34"/>
  <c r="W2082" i="34"/>
  <c r="P2082" i="34"/>
  <c r="A2082" i="34"/>
  <c r="P2039" i="34"/>
  <c r="Q2039" i="34"/>
  <c r="U2039" i="34"/>
  <c r="Z2039" i="34"/>
  <c r="O2039" i="34"/>
  <c r="W2039" i="34"/>
  <c r="A2039" i="34"/>
  <c r="O2020" i="34"/>
  <c r="W2020" i="34"/>
  <c r="P2020" i="34"/>
  <c r="Q2020" i="34"/>
  <c r="U2020" i="34"/>
  <c r="Z2020" i="34"/>
  <c r="A2020" i="34"/>
  <c r="O2016" i="34"/>
  <c r="W2016" i="34"/>
  <c r="P2016" i="34"/>
  <c r="Q2016" i="34"/>
  <c r="U2016" i="34"/>
  <c r="Z2016" i="34"/>
  <c r="A2016" i="34"/>
  <c r="O1988" i="34"/>
  <c r="W1988" i="34"/>
  <c r="P1988" i="34"/>
  <c r="Q1988" i="34"/>
  <c r="U1988" i="34"/>
  <c r="Z1988" i="34"/>
  <c r="A1988" i="34"/>
  <c r="O1984" i="34"/>
  <c r="W1984" i="34"/>
  <c r="P1984" i="34"/>
  <c r="Q1984" i="34"/>
  <c r="U1984" i="34"/>
  <c r="Z1984" i="34"/>
  <c r="A1984" i="34"/>
  <c r="Z1977" i="34"/>
  <c r="O1977" i="34"/>
  <c r="W1977" i="34"/>
  <c r="P1977" i="34"/>
  <c r="Q1977" i="34"/>
  <c r="U1977" i="34"/>
  <c r="A1977" i="34"/>
  <c r="O1972" i="34"/>
  <c r="W1972" i="34"/>
  <c r="P1972" i="34"/>
  <c r="Q1972" i="34"/>
  <c r="U1972" i="34"/>
  <c r="Z1972" i="34"/>
  <c r="A1972" i="34"/>
  <c r="Q1958" i="34"/>
  <c r="U1958" i="34"/>
  <c r="Z1958" i="34"/>
  <c r="O1958" i="34"/>
  <c r="W1958" i="34"/>
  <c r="P1958" i="34"/>
  <c r="A1958" i="34"/>
  <c r="Q1954" i="34"/>
  <c r="U1954" i="34"/>
  <c r="Z1954" i="34"/>
  <c r="O1954" i="34"/>
  <c r="W1954" i="34"/>
  <c r="P1954" i="34"/>
  <c r="A1954" i="34"/>
  <c r="P439" i="34"/>
  <c r="Q439" i="34"/>
  <c r="U439" i="34"/>
  <c r="O439" i="34"/>
  <c r="W439" i="34"/>
  <c r="Z439" i="34"/>
  <c r="A439" i="34"/>
  <c r="Z409" i="34"/>
  <c r="O409" i="34"/>
  <c r="W409" i="34"/>
  <c r="P409" i="34"/>
  <c r="Q409" i="34"/>
  <c r="U409" i="34"/>
  <c r="A409" i="34"/>
  <c r="Q826" i="34"/>
  <c r="U826" i="34"/>
  <c r="Z826" i="34"/>
  <c r="O826" i="34"/>
  <c r="W826" i="34"/>
  <c r="P826" i="34"/>
  <c r="A826" i="34"/>
  <c r="P787" i="34"/>
  <c r="Q787" i="34"/>
  <c r="U787" i="34"/>
  <c r="Z787" i="34"/>
  <c r="O787" i="34"/>
  <c r="W787" i="34"/>
  <c r="A787" i="34"/>
  <c r="P831" i="34"/>
  <c r="Q831" i="34"/>
  <c r="U831" i="34"/>
  <c r="Z831" i="34"/>
  <c r="O831" i="34"/>
  <c r="W831" i="34"/>
  <c r="A831" i="34"/>
  <c r="P1889" i="34"/>
  <c r="Q1889" i="34"/>
  <c r="U1889" i="34"/>
  <c r="Z1889" i="34"/>
  <c r="O1889" i="34"/>
  <c r="W1889" i="34"/>
  <c r="A1889" i="34"/>
  <c r="P1991" i="34"/>
  <c r="Q1991" i="34"/>
  <c r="U1991" i="34"/>
  <c r="Z1991" i="34"/>
  <c r="O1991" i="34"/>
  <c r="W1991" i="34"/>
  <c r="A1991" i="34"/>
  <c r="Z1863" i="34"/>
  <c r="O1863" i="34"/>
  <c r="W1863" i="34"/>
  <c r="P1863" i="34"/>
  <c r="Q1863" i="34"/>
  <c r="U1863" i="34"/>
  <c r="A1863" i="34"/>
  <c r="P1951" i="34"/>
  <c r="Q1951" i="34"/>
  <c r="U1951" i="34"/>
  <c r="Z1951" i="34"/>
  <c r="O1951" i="34"/>
  <c r="W1951" i="34"/>
  <c r="A1951" i="34"/>
  <c r="P2131" i="34"/>
  <c r="Q2131" i="34"/>
  <c r="U2131" i="34"/>
  <c r="Z2131" i="34"/>
  <c r="O2131" i="34"/>
  <c r="W2131" i="34"/>
  <c r="A2131" i="34"/>
  <c r="P2099" i="34"/>
  <c r="Q2099" i="34"/>
  <c r="U2099" i="34"/>
  <c r="Z2099" i="34"/>
  <c r="O2099" i="34"/>
  <c r="W2099" i="34"/>
  <c r="A2099" i="34"/>
  <c r="O2128" i="34"/>
  <c r="W2128" i="34"/>
  <c r="P2128" i="34"/>
  <c r="Q2128" i="34"/>
  <c r="U2128" i="34"/>
  <c r="Z2128" i="34"/>
  <c r="A2128" i="34"/>
  <c r="O2076" i="34"/>
  <c r="W2076" i="34"/>
  <c r="P2076" i="34"/>
  <c r="Q2076" i="34"/>
  <c r="U2076" i="34"/>
  <c r="Z2076" i="34"/>
  <c r="A2076" i="34"/>
  <c r="Q2122" i="34"/>
  <c r="U2122" i="34"/>
  <c r="Z2122" i="34"/>
  <c r="O2122" i="34"/>
  <c r="W2122" i="34"/>
  <c r="P2122" i="34"/>
  <c r="A2122" i="34"/>
  <c r="Q2066" i="34"/>
  <c r="U2066" i="34"/>
  <c r="Z2066" i="34"/>
  <c r="O2066" i="34"/>
  <c r="W2066" i="34"/>
  <c r="P2066" i="34"/>
  <c r="A2066" i="34"/>
  <c r="Z2069" i="34"/>
  <c r="O2069" i="34"/>
  <c r="W2069" i="34"/>
  <c r="P2069" i="34"/>
  <c r="Q2069" i="34"/>
  <c r="U2069" i="34"/>
  <c r="A2069" i="34"/>
  <c r="P2075" i="34"/>
  <c r="Q2075" i="34"/>
  <c r="U2075" i="34"/>
  <c r="Z2075" i="34"/>
  <c r="O2075" i="34"/>
  <c r="W2075" i="34"/>
  <c r="A2075" i="34"/>
  <c r="Q2114" i="34"/>
  <c r="U2114" i="34"/>
  <c r="Z2114" i="34"/>
  <c r="O2114" i="34"/>
  <c r="W2114" i="34"/>
  <c r="P2114" i="34"/>
  <c r="A2114" i="34"/>
  <c r="Z2065" i="34"/>
  <c r="O2065" i="34"/>
  <c r="W2065" i="34"/>
  <c r="P2065" i="34"/>
  <c r="Q2065" i="34"/>
  <c r="U2065" i="34"/>
  <c r="A2065" i="34"/>
  <c r="P2079" i="34"/>
  <c r="Q2079" i="34"/>
  <c r="U2079" i="34"/>
  <c r="Z2079" i="34"/>
  <c r="O2079" i="34"/>
  <c r="W2079" i="34"/>
  <c r="A2079" i="34"/>
  <c r="Q2014" i="34"/>
  <c r="U2014" i="34"/>
  <c r="Z2014" i="34"/>
  <c r="O2014" i="34"/>
  <c r="W2014" i="34"/>
  <c r="P2014" i="34"/>
  <c r="A2014" i="34"/>
  <c r="P1995" i="34"/>
  <c r="Q1995" i="34"/>
  <c r="U1995" i="34"/>
  <c r="Z1995" i="34"/>
  <c r="O1995" i="34"/>
  <c r="W1995" i="34"/>
  <c r="A1995" i="34"/>
  <c r="O2096" i="34"/>
  <c r="W2096" i="34"/>
  <c r="P2096" i="34"/>
  <c r="Q2096" i="34"/>
  <c r="U2096" i="34"/>
  <c r="Z2096" i="34"/>
  <c r="A2096" i="34"/>
  <c r="Q2042" i="34"/>
  <c r="U2042" i="34"/>
  <c r="Z2042" i="34"/>
  <c r="O2042" i="34"/>
  <c r="W2042" i="34"/>
  <c r="P2042" i="34"/>
  <c r="A2042" i="34"/>
  <c r="Q2038" i="34"/>
  <c r="U2038" i="34"/>
  <c r="Z2038" i="34"/>
  <c r="O2038" i="34"/>
  <c r="W2038" i="34"/>
  <c r="P2038" i="34"/>
  <c r="A2038" i="34"/>
  <c r="P2019" i="34"/>
  <c r="Q2019" i="34"/>
  <c r="U2019" i="34"/>
  <c r="Z2019" i="34"/>
  <c r="O2019" i="34"/>
  <c r="W2019" i="34"/>
  <c r="A2019" i="34"/>
  <c r="P2007" i="34"/>
  <c r="Q2007" i="34"/>
  <c r="U2007" i="34"/>
  <c r="Z2007" i="34"/>
  <c r="O2007" i="34"/>
  <c r="W2007" i="34"/>
  <c r="A2007" i="34"/>
  <c r="P1987" i="34"/>
  <c r="Q1987" i="34"/>
  <c r="U1987" i="34"/>
  <c r="Z1987" i="34"/>
  <c r="O1987" i="34"/>
  <c r="W1987" i="34"/>
  <c r="A1987" i="34"/>
  <c r="P1983" i="34"/>
  <c r="Q1983" i="34"/>
  <c r="U1983" i="34"/>
  <c r="Z1983" i="34"/>
  <c r="O1983" i="34"/>
  <c r="W1983" i="34"/>
  <c r="A1983" i="34"/>
  <c r="O1976" i="34"/>
  <c r="W1976" i="34"/>
  <c r="P1976" i="34"/>
  <c r="Q1976" i="34"/>
  <c r="U1976" i="34"/>
  <c r="Z1976" i="34"/>
  <c r="A1976" i="34"/>
  <c r="Q1962" i="34"/>
  <c r="U1962" i="34"/>
  <c r="Z1962" i="34"/>
  <c r="O1962" i="34"/>
  <c r="W1962" i="34"/>
  <c r="P1962" i="34"/>
  <c r="A1962" i="34"/>
  <c r="Z1957" i="34"/>
  <c r="O1957" i="34"/>
  <c r="W1957" i="34"/>
  <c r="P1957" i="34"/>
  <c r="Q1957" i="34"/>
  <c r="U1957" i="34"/>
  <c r="A1957" i="34"/>
  <c r="Z1855" i="34"/>
  <c r="O1855" i="34"/>
  <c r="W1855" i="34"/>
  <c r="P1855" i="34"/>
  <c r="Q1855" i="34"/>
  <c r="U1855" i="34"/>
  <c r="A1855" i="34"/>
  <c r="Q438" i="34"/>
  <c r="U438" i="34"/>
  <c r="Z438" i="34"/>
  <c r="O438" i="34"/>
  <c r="W438" i="34"/>
  <c r="P438" i="34"/>
  <c r="A438" i="34"/>
  <c r="Z833" i="34"/>
  <c r="O833" i="34"/>
  <c r="W833" i="34"/>
  <c r="P833" i="34"/>
  <c r="Q833" i="34"/>
  <c r="U833" i="34"/>
  <c r="A833" i="34"/>
  <c r="Z825" i="34"/>
  <c r="O825" i="34"/>
  <c r="W825" i="34"/>
  <c r="P825" i="34"/>
  <c r="Q825" i="34"/>
  <c r="U825" i="34"/>
  <c r="A825" i="34"/>
  <c r="O800" i="34"/>
  <c r="W800" i="34"/>
  <c r="P800" i="34"/>
  <c r="Q800" i="34"/>
  <c r="U800" i="34"/>
  <c r="Z800" i="34"/>
  <c r="A800" i="34"/>
  <c r="O832" i="34"/>
  <c r="W832" i="34"/>
  <c r="P832" i="34"/>
  <c r="Q832" i="34"/>
  <c r="U832" i="34"/>
  <c r="Z832" i="34"/>
  <c r="A832" i="34"/>
  <c r="O1980" i="34"/>
  <c r="W1980" i="34"/>
  <c r="P1980" i="34"/>
  <c r="Q1980" i="34"/>
  <c r="U1980" i="34"/>
  <c r="Z1980" i="34"/>
  <c r="A1980" i="34"/>
  <c r="Z2632" i="34"/>
  <c r="O2632" i="34"/>
  <c r="W2632" i="34"/>
  <c r="P2632" i="34"/>
  <c r="Q2632" i="34"/>
  <c r="U2632" i="34"/>
  <c r="A2632" i="34"/>
  <c r="Z1917" i="34"/>
  <c r="O1917" i="34"/>
  <c r="W1917" i="34"/>
  <c r="P1917" i="34"/>
  <c r="Q1917" i="34"/>
  <c r="U1917" i="34"/>
  <c r="A1917" i="34"/>
  <c r="O1952" i="34"/>
  <c r="W1952" i="34"/>
  <c r="P1952" i="34"/>
  <c r="Q1952" i="34"/>
  <c r="U1952" i="34"/>
  <c r="Z1952" i="34"/>
  <c r="A1952" i="34"/>
  <c r="Q2062" i="34"/>
  <c r="U2062" i="34"/>
  <c r="Z2062" i="34"/>
  <c r="O2062" i="34"/>
  <c r="W2062" i="34"/>
  <c r="P2062" i="34"/>
  <c r="A2062" i="34"/>
  <c r="Z2097" i="34"/>
  <c r="O2097" i="34"/>
  <c r="W2097" i="34"/>
  <c r="P2097" i="34"/>
  <c r="Q2097" i="34"/>
  <c r="U2097" i="34"/>
  <c r="A2097" i="34"/>
  <c r="Z2121" i="34"/>
  <c r="O2121" i="34"/>
  <c r="W2121" i="34"/>
  <c r="P2121" i="34"/>
  <c r="Q2121" i="34"/>
  <c r="U2121" i="34"/>
  <c r="A2121" i="34"/>
  <c r="P2127" i="34"/>
  <c r="Q2127" i="34"/>
  <c r="U2127" i="34"/>
  <c r="Z2127" i="34"/>
  <c r="O2127" i="34"/>
  <c r="W2127" i="34"/>
  <c r="A2127" i="34"/>
  <c r="O2092" i="34"/>
  <c r="W2092" i="34"/>
  <c r="P2092" i="34"/>
  <c r="Q2092" i="34"/>
  <c r="U2092" i="34"/>
  <c r="Z2092" i="34"/>
  <c r="A2092" i="34"/>
  <c r="P2107" i="34"/>
  <c r="Q2107" i="34"/>
  <c r="U2107" i="34"/>
  <c r="Z2107" i="34"/>
  <c r="O2107" i="34"/>
  <c r="W2107" i="34"/>
  <c r="A2107" i="34"/>
  <c r="Z2093" i="34"/>
  <c r="O2093" i="34"/>
  <c r="W2093" i="34"/>
  <c r="P2093" i="34"/>
  <c r="Q2093" i="34"/>
  <c r="U2093" i="34"/>
  <c r="A2093" i="34"/>
  <c r="O2100" i="34"/>
  <c r="W2100" i="34"/>
  <c r="P2100" i="34"/>
  <c r="Q2100" i="34"/>
  <c r="U2100" i="34"/>
  <c r="Z2100" i="34"/>
  <c r="A2100" i="34"/>
  <c r="Z2117" i="34"/>
  <c r="O2117" i="34"/>
  <c r="W2117" i="34"/>
  <c r="P2117" i="34"/>
  <c r="Q2117" i="34"/>
  <c r="U2117" i="34"/>
  <c r="A2117" i="34"/>
  <c r="Q2090" i="34"/>
  <c r="U2090" i="34"/>
  <c r="Z2090" i="34"/>
  <c r="O2090" i="34"/>
  <c r="W2090" i="34"/>
  <c r="P2090" i="34"/>
  <c r="A2090" i="34"/>
  <c r="O2088" i="34"/>
  <c r="W2088" i="34"/>
  <c r="P2088" i="34"/>
  <c r="Q2088" i="34"/>
  <c r="U2088" i="34"/>
  <c r="Z2088" i="34"/>
  <c r="A2088" i="34"/>
  <c r="Z2013" i="34"/>
  <c r="O2013" i="34"/>
  <c r="W2013" i="34"/>
  <c r="P2013" i="34"/>
  <c r="Q2013" i="34"/>
  <c r="U2013" i="34"/>
  <c r="A2013" i="34"/>
  <c r="Q1994" i="34"/>
  <c r="U1994" i="34"/>
  <c r="Z1994" i="34"/>
  <c r="O1994" i="34"/>
  <c r="W1994" i="34"/>
  <c r="P1994" i="34"/>
  <c r="A1994" i="34"/>
  <c r="P2087" i="34"/>
  <c r="Q2087" i="34"/>
  <c r="U2087" i="34"/>
  <c r="Z2087" i="34"/>
  <c r="O2087" i="34"/>
  <c r="W2087" i="34"/>
  <c r="A2087" i="34"/>
  <c r="Z2041" i="34"/>
  <c r="O2041" i="34"/>
  <c r="W2041" i="34"/>
  <c r="P2041" i="34"/>
  <c r="Q2041" i="34"/>
  <c r="U2041" i="34"/>
  <c r="A2041" i="34"/>
  <c r="Z2037" i="34"/>
  <c r="O2037" i="34"/>
  <c r="W2037" i="34"/>
  <c r="P2037" i="34"/>
  <c r="Q2037" i="34"/>
  <c r="U2037" i="34"/>
  <c r="A2037" i="34"/>
  <c r="Z2009" i="34"/>
  <c r="O2009" i="34"/>
  <c r="W2009" i="34"/>
  <c r="P2009" i="34"/>
  <c r="Q2009" i="34"/>
  <c r="U2009" i="34"/>
  <c r="A2009" i="34"/>
  <c r="Q2006" i="34"/>
  <c r="U2006" i="34"/>
  <c r="Z2006" i="34"/>
  <c r="O2006" i="34"/>
  <c r="W2006" i="34"/>
  <c r="P2006" i="34"/>
  <c r="A2006" i="34"/>
  <c r="Q1986" i="34"/>
  <c r="U1986" i="34"/>
  <c r="Z1986" i="34"/>
  <c r="O1986" i="34"/>
  <c r="W1986" i="34"/>
  <c r="P1986" i="34"/>
  <c r="A1986" i="34"/>
  <c r="P1979" i="34"/>
  <c r="Q1979" i="34"/>
  <c r="U1979" i="34"/>
  <c r="Z1979" i="34"/>
  <c r="O1979" i="34"/>
  <c r="W1979" i="34"/>
  <c r="A1979" i="34"/>
  <c r="P1975" i="34"/>
  <c r="Q1975" i="34"/>
  <c r="U1975" i="34"/>
  <c r="Z1975" i="34"/>
  <c r="O1975" i="34"/>
  <c r="W1975" i="34"/>
  <c r="A1975" i="34"/>
  <c r="Z1961" i="34"/>
  <c r="O1961" i="34"/>
  <c r="W1961" i="34"/>
  <c r="P1961" i="34"/>
  <c r="Q1961" i="34"/>
  <c r="U1961" i="34"/>
  <c r="A1961" i="34"/>
  <c r="O1956" i="34"/>
  <c r="W1956" i="34"/>
  <c r="P1956" i="34"/>
  <c r="Q1956" i="34"/>
  <c r="U1956" i="34"/>
  <c r="Z1956" i="34"/>
  <c r="A1956" i="34"/>
  <c r="P2634" i="34"/>
  <c r="Q2634" i="34"/>
  <c r="U2634" i="34"/>
  <c r="Z2634" i="34"/>
  <c r="O2634" i="34"/>
  <c r="W2634" i="34"/>
  <c r="A2634" i="34"/>
  <c r="P411" i="34"/>
  <c r="Q411" i="34"/>
  <c r="U411" i="34"/>
  <c r="Z411" i="34"/>
  <c r="O411" i="34"/>
  <c r="W411" i="34"/>
  <c r="A411" i="34"/>
  <c r="Z829" i="34"/>
  <c r="O829" i="34"/>
  <c r="W829" i="34"/>
  <c r="P829" i="34"/>
  <c r="Q829" i="34"/>
  <c r="U829" i="34"/>
  <c r="A829" i="34"/>
  <c r="O824" i="34"/>
  <c r="W824" i="34"/>
  <c r="P824" i="34"/>
  <c r="Q824" i="34"/>
  <c r="U824" i="34"/>
  <c r="Z824" i="34"/>
  <c r="A824" i="34"/>
  <c r="P827" i="34"/>
  <c r="Q827" i="34"/>
  <c r="U827" i="34"/>
  <c r="Z827" i="34"/>
  <c r="O827" i="34"/>
  <c r="W827" i="34"/>
  <c r="A827" i="34"/>
  <c r="Z2021" i="34"/>
  <c r="O2021" i="34"/>
  <c r="W2021" i="34"/>
  <c r="P2021" i="34"/>
  <c r="Q2021" i="34"/>
  <c r="U2021" i="34"/>
  <c r="A2021" i="34"/>
  <c r="Z1981" i="34"/>
  <c r="O1981" i="34"/>
  <c r="W1981" i="34"/>
  <c r="P1981" i="34"/>
  <c r="Q1981" i="34"/>
  <c r="U1981" i="34"/>
  <c r="A1981" i="34"/>
  <c r="Z1883" i="34"/>
  <c r="O1883" i="34"/>
  <c r="W1883" i="34"/>
  <c r="P1883" i="34"/>
  <c r="Q1883" i="34"/>
  <c r="U1883" i="34"/>
  <c r="A1883" i="34"/>
  <c r="O1886" i="34"/>
  <c r="W1886" i="34"/>
  <c r="P1886" i="34"/>
  <c r="Q1886" i="34"/>
  <c r="U1886" i="34"/>
  <c r="Z1886" i="34"/>
  <c r="A1886" i="34"/>
  <c r="Z1953" i="34"/>
  <c r="O1953" i="34"/>
  <c r="W1953" i="34"/>
  <c r="P1953" i="34"/>
  <c r="Q1953" i="34"/>
  <c r="U1953" i="34"/>
  <c r="A1953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B753" i="34" l="1"/>
  <c r="B754" i="34"/>
  <c r="B755" i="34"/>
  <c r="B756" i="34"/>
  <c r="B757" i="34"/>
  <c r="B758" i="34"/>
  <c r="B745" i="34"/>
  <c r="B746" i="34"/>
  <c r="B784" i="34"/>
  <c r="B785" i="34"/>
  <c r="B786" i="34"/>
  <c r="O746" i="34" l="1"/>
  <c r="W746" i="34"/>
  <c r="P746" i="34"/>
  <c r="Q746" i="34"/>
  <c r="U746" i="34"/>
  <c r="Z746" i="34"/>
  <c r="A746" i="34"/>
  <c r="Q756" i="34"/>
  <c r="U756" i="34"/>
  <c r="Z756" i="34"/>
  <c r="O756" i="34"/>
  <c r="W756" i="34"/>
  <c r="P756" i="34"/>
  <c r="A756" i="34"/>
  <c r="Q786" i="34"/>
  <c r="U786" i="34"/>
  <c r="Z786" i="34"/>
  <c r="O786" i="34"/>
  <c r="W786" i="34"/>
  <c r="P786" i="34"/>
  <c r="A786" i="34"/>
  <c r="P745" i="34"/>
  <c r="Q745" i="34"/>
  <c r="U745" i="34"/>
  <c r="Z745" i="34"/>
  <c r="O745" i="34"/>
  <c r="W745" i="34"/>
  <c r="A745" i="34"/>
  <c r="Z755" i="34"/>
  <c r="O755" i="34"/>
  <c r="W755" i="34"/>
  <c r="P755" i="34"/>
  <c r="Q755" i="34"/>
  <c r="U755" i="34"/>
  <c r="A755" i="34"/>
  <c r="Z785" i="34"/>
  <c r="O785" i="34"/>
  <c r="W785" i="34"/>
  <c r="P785" i="34"/>
  <c r="Q785" i="34"/>
  <c r="U785" i="34"/>
  <c r="A785" i="34"/>
  <c r="O758" i="34"/>
  <c r="W758" i="34"/>
  <c r="P758" i="34"/>
  <c r="Q758" i="34"/>
  <c r="U758" i="34"/>
  <c r="Z758" i="34"/>
  <c r="A758" i="34"/>
  <c r="O754" i="34"/>
  <c r="W754" i="34"/>
  <c r="P754" i="34"/>
  <c r="Q754" i="34"/>
  <c r="U754" i="34"/>
  <c r="Z754" i="34"/>
  <c r="A754" i="34"/>
  <c r="O784" i="34"/>
  <c r="W784" i="34"/>
  <c r="P784" i="34"/>
  <c r="Q784" i="34"/>
  <c r="U784" i="34"/>
  <c r="Z784" i="34"/>
  <c r="A784" i="34"/>
  <c r="P757" i="34"/>
  <c r="Q757" i="34"/>
  <c r="U757" i="34"/>
  <c r="Z757" i="34"/>
  <c r="O757" i="34"/>
  <c r="W757" i="34"/>
  <c r="A757" i="34"/>
  <c r="P753" i="34"/>
  <c r="Q753" i="34"/>
  <c r="U753" i="34"/>
  <c r="Z753" i="34"/>
  <c r="O753" i="34"/>
  <c r="W753" i="34"/>
  <c r="A753" i="34"/>
  <c r="B712" i="34"/>
  <c r="B713" i="34"/>
  <c r="B714" i="34"/>
  <c r="B715" i="34"/>
  <c r="B716" i="34"/>
  <c r="B749" i="34"/>
  <c r="B750" i="34"/>
  <c r="B751" i="34"/>
  <c r="B752" i="34"/>
  <c r="B697" i="34"/>
  <c r="B698" i="34"/>
  <c r="B701" i="34"/>
  <c r="B702" i="34"/>
  <c r="B703" i="34"/>
  <c r="B708" i="34"/>
  <c r="B709" i="34"/>
  <c r="B710" i="34"/>
  <c r="B711" i="34"/>
  <c r="B696" i="34"/>
  <c r="B1020" i="34"/>
  <c r="B695" i="34"/>
  <c r="B721" i="34"/>
  <c r="B720" i="34"/>
  <c r="B437" i="34"/>
  <c r="B436" i="34"/>
  <c r="B435" i="34"/>
  <c r="B434" i="34"/>
  <c r="B433" i="34"/>
  <c r="B813" i="34"/>
  <c r="B798" i="34"/>
  <c r="B797" i="34"/>
  <c r="B772" i="34"/>
  <c r="B1019" i="34"/>
  <c r="B981" i="34"/>
  <c r="B1014" i="34"/>
  <c r="B408" i="34"/>
  <c r="B634" i="34"/>
  <c r="B635" i="34"/>
  <c r="B704" i="34"/>
  <c r="B705" i="34"/>
  <c r="B706" i="34"/>
  <c r="B967" i="34"/>
  <c r="B811" i="34"/>
  <c r="B812" i="34"/>
  <c r="B689" i="34"/>
  <c r="B690" i="34"/>
  <c r="B759" i="34"/>
  <c r="B760" i="34"/>
  <c r="B770" i="34"/>
  <c r="B771" i="34"/>
  <c r="B686" i="34"/>
  <c r="B659" i="34"/>
  <c r="B660" i="34"/>
  <c r="B655" i="34"/>
  <c r="B656" i="34"/>
  <c r="B648" i="34"/>
  <c r="B649" i="34"/>
  <c r="B650" i="34"/>
  <c r="B651" i="34"/>
  <c r="B646" i="34"/>
  <c r="B647" i="34"/>
  <c r="B1158" i="34"/>
  <c r="B623" i="34"/>
  <c r="B624" i="34"/>
  <c r="B625" i="34"/>
  <c r="B626" i="34"/>
  <c r="B968" i="34"/>
  <c r="B980" i="34"/>
  <c r="B1015" i="34"/>
  <c r="B1016" i="34"/>
  <c r="B1017" i="34"/>
  <c r="B1018" i="34"/>
  <c r="B405" i="34"/>
  <c r="B406" i="34"/>
  <c r="B687" i="34"/>
  <c r="B688" i="34"/>
  <c r="B692" i="34"/>
  <c r="B693" i="34"/>
  <c r="B683" i="34"/>
  <c r="B684" i="34"/>
  <c r="B685" i="34"/>
  <c r="Z683" i="34" l="1"/>
  <c r="O683" i="34"/>
  <c r="W683" i="34"/>
  <c r="P683" i="34"/>
  <c r="Q683" i="34"/>
  <c r="U683" i="34"/>
  <c r="A683" i="34"/>
  <c r="Z687" i="34"/>
  <c r="O687" i="34"/>
  <c r="W687" i="34"/>
  <c r="P687" i="34"/>
  <c r="Q687" i="34"/>
  <c r="U687" i="34"/>
  <c r="A687" i="34"/>
  <c r="Z1017" i="34"/>
  <c r="O1017" i="34"/>
  <c r="W1017" i="34"/>
  <c r="P1017" i="34"/>
  <c r="Q1017" i="34"/>
  <c r="U1017" i="34"/>
  <c r="A1017" i="34"/>
  <c r="O968" i="34"/>
  <c r="W968" i="34"/>
  <c r="P968" i="34"/>
  <c r="Q968" i="34"/>
  <c r="U968" i="34"/>
  <c r="Z968" i="34"/>
  <c r="A968" i="34"/>
  <c r="Z623" i="34"/>
  <c r="O623" i="34"/>
  <c r="W623" i="34"/>
  <c r="P623" i="34"/>
  <c r="Q623" i="34"/>
  <c r="U623" i="34"/>
  <c r="A623" i="34"/>
  <c r="Z651" i="34"/>
  <c r="O651" i="34"/>
  <c r="W651" i="34"/>
  <c r="P651" i="34"/>
  <c r="Q651" i="34"/>
  <c r="U651" i="34"/>
  <c r="A651" i="34"/>
  <c r="Q656" i="34"/>
  <c r="U656" i="34"/>
  <c r="Z656" i="34"/>
  <c r="O656" i="34"/>
  <c r="W656" i="34"/>
  <c r="P656" i="34"/>
  <c r="A656" i="34"/>
  <c r="O686" i="34"/>
  <c r="W686" i="34"/>
  <c r="P686" i="34"/>
  <c r="Q686" i="34"/>
  <c r="U686" i="34"/>
  <c r="Z686" i="34"/>
  <c r="A686" i="34"/>
  <c r="Z759" i="34"/>
  <c r="O759" i="34"/>
  <c r="W759" i="34"/>
  <c r="P759" i="34"/>
  <c r="Q759" i="34"/>
  <c r="U759" i="34"/>
  <c r="A759" i="34"/>
  <c r="P811" i="34"/>
  <c r="Q811" i="34"/>
  <c r="U811" i="34"/>
  <c r="Z811" i="34"/>
  <c r="O811" i="34"/>
  <c r="W811" i="34"/>
  <c r="A811" i="34"/>
  <c r="Q704" i="34"/>
  <c r="U704" i="34"/>
  <c r="Z704" i="34"/>
  <c r="O704" i="34"/>
  <c r="W704" i="34"/>
  <c r="P704" i="34"/>
  <c r="A704" i="34"/>
  <c r="Q1014" i="34"/>
  <c r="U1014" i="34"/>
  <c r="Z1014" i="34"/>
  <c r="O1014" i="34"/>
  <c r="W1014" i="34"/>
  <c r="P1014" i="34"/>
  <c r="A1014" i="34"/>
  <c r="Z797" i="34"/>
  <c r="O797" i="34"/>
  <c r="W797" i="34"/>
  <c r="P797" i="34"/>
  <c r="Q797" i="34"/>
  <c r="U797" i="34"/>
  <c r="A797" i="34"/>
  <c r="Q434" i="34"/>
  <c r="U434" i="34"/>
  <c r="Z434" i="34"/>
  <c r="O434" i="34"/>
  <c r="W434" i="34"/>
  <c r="P434" i="34"/>
  <c r="A434" i="34"/>
  <c r="Q720" i="34"/>
  <c r="U720" i="34"/>
  <c r="Z720" i="34"/>
  <c r="O720" i="34"/>
  <c r="W720" i="34"/>
  <c r="P720" i="34"/>
  <c r="A720" i="34"/>
  <c r="Q696" i="34"/>
  <c r="U696" i="34"/>
  <c r="Z696" i="34"/>
  <c r="O696" i="34"/>
  <c r="W696" i="34"/>
  <c r="P696" i="34"/>
  <c r="A696" i="34"/>
  <c r="Q708" i="34"/>
  <c r="U708" i="34"/>
  <c r="Z708" i="34"/>
  <c r="O708" i="34"/>
  <c r="W708" i="34"/>
  <c r="P708" i="34"/>
  <c r="A708" i="34"/>
  <c r="O698" i="34"/>
  <c r="W698" i="34"/>
  <c r="P698" i="34"/>
  <c r="Q698" i="34"/>
  <c r="U698" i="34"/>
  <c r="Z698" i="34"/>
  <c r="A698" i="34"/>
  <c r="O750" i="34"/>
  <c r="W750" i="34"/>
  <c r="P750" i="34"/>
  <c r="Q750" i="34"/>
  <c r="U750" i="34"/>
  <c r="Z750" i="34"/>
  <c r="A750" i="34"/>
  <c r="O714" i="34"/>
  <c r="W714" i="34"/>
  <c r="P714" i="34"/>
  <c r="Q714" i="34"/>
  <c r="U714" i="34"/>
  <c r="Z714" i="34"/>
  <c r="A714" i="34"/>
  <c r="P693" i="34"/>
  <c r="Q693" i="34"/>
  <c r="U693" i="34"/>
  <c r="Z693" i="34"/>
  <c r="O693" i="34"/>
  <c r="W693" i="34"/>
  <c r="A693" i="34"/>
  <c r="Q406" i="34"/>
  <c r="U406" i="34"/>
  <c r="Z406" i="34"/>
  <c r="O406" i="34"/>
  <c r="W406" i="34"/>
  <c r="P406" i="34"/>
  <c r="A406" i="34"/>
  <c r="O1016" i="34"/>
  <c r="W1016" i="34"/>
  <c r="P1016" i="34"/>
  <c r="Q1016" i="34"/>
  <c r="U1016" i="34"/>
  <c r="Z1016" i="34"/>
  <c r="A1016" i="34"/>
  <c r="O626" i="34"/>
  <c r="W626" i="34"/>
  <c r="P626" i="34"/>
  <c r="Q626" i="34"/>
  <c r="U626" i="34"/>
  <c r="Z626" i="34"/>
  <c r="A626" i="34"/>
  <c r="Q1158" i="34"/>
  <c r="U1158" i="34"/>
  <c r="Z1158" i="34"/>
  <c r="O1158" i="34"/>
  <c r="W1158" i="34"/>
  <c r="P1158" i="34"/>
  <c r="A1158" i="34"/>
  <c r="O650" i="34"/>
  <c r="W650" i="34"/>
  <c r="P650" i="34"/>
  <c r="Q650" i="34"/>
  <c r="U650" i="34"/>
  <c r="Z650" i="34"/>
  <c r="A650" i="34"/>
  <c r="Z655" i="34"/>
  <c r="O655" i="34"/>
  <c r="W655" i="34"/>
  <c r="P655" i="34"/>
  <c r="Q655" i="34"/>
  <c r="U655" i="34"/>
  <c r="A655" i="34"/>
  <c r="Z771" i="34"/>
  <c r="O771" i="34"/>
  <c r="W771" i="34"/>
  <c r="P771" i="34"/>
  <c r="Q771" i="34"/>
  <c r="U771" i="34"/>
  <c r="A771" i="34"/>
  <c r="O690" i="34"/>
  <c r="W690" i="34"/>
  <c r="P690" i="34"/>
  <c r="Q690" i="34"/>
  <c r="U690" i="34"/>
  <c r="Z690" i="34"/>
  <c r="A690" i="34"/>
  <c r="P967" i="34"/>
  <c r="Q967" i="34"/>
  <c r="U967" i="34"/>
  <c r="Z967" i="34"/>
  <c r="O967" i="34"/>
  <c r="W967" i="34"/>
  <c r="A967" i="34"/>
  <c r="Z635" i="34"/>
  <c r="O635" i="34"/>
  <c r="W635" i="34"/>
  <c r="P635" i="34"/>
  <c r="Q635" i="34"/>
  <c r="U635" i="34"/>
  <c r="A635" i="34"/>
  <c r="Z981" i="34"/>
  <c r="O981" i="34"/>
  <c r="W981" i="34"/>
  <c r="Q981" i="34"/>
  <c r="U981" i="34"/>
  <c r="P981" i="34"/>
  <c r="A981" i="34"/>
  <c r="Q798" i="34"/>
  <c r="U798" i="34"/>
  <c r="Z798" i="34"/>
  <c r="O798" i="34"/>
  <c r="W798" i="34"/>
  <c r="P798" i="34"/>
  <c r="A798" i="34"/>
  <c r="P435" i="34"/>
  <c r="Q435" i="34"/>
  <c r="U435" i="34"/>
  <c r="Z435" i="34"/>
  <c r="O435" i="34"/>
  <c r="W435" i="34"/>
  <c r="A435" i="34"/>
  <c r="P721" i="34"/>
  <c r="Q721" i="34"/>
  <c r="U721" i="34"/>
  <c r="Z721" i="34"/>
  <c r="O721" i="34"/>
  <c r="W721" i="34"/>
  <c r="A721" i="34"/>
  <c r="Z711" i="34"/>
  <c r="O711" i="34"/>
  <c r="W711" i="34"/>
  <c r="P711" i="34"/>
  <c r="Q711" i="34"/>
  <c r="U711" i="34"/>
  <c r="A711" i="34"/>
  <c r="Z703" i="34"/>
  <c r="O703" i="34"/>
  <c r="W703" i="34"/>
  <c r="P703" i="34"/>
  <c r="Q703" i="34"/>
  <c r="U703" i="34"/>
  <c r="A703" i="34"/>
  <c r="P697" i="34"/>
  <c r="Q697" i="34"/>
  <c r="U697" i="34"/>
  <c r="Z697" i="34"/>
  <c r="O697" i="34"/>
  <c r="W697" i="34"/>
  <c r="A697" i="34"/>
  <c r="P749" i="34"/>
  <c r="Q749" i="34"/>
  <c r="U749" i="34"/>
  <c r="Z749" i="34"/>
  <c r="O749" i="34"/>
  <c r="W749" i="34"/>
  <c r="A749" i="34"/>
  <c r="P713" i="34"/>
  <c r="Q713" i="34"/>
  <c r="U713" i="34"/>
  <c r="Z713" i="34"/>
  <c r="O713" i="34"/>
  <c r="W713" i="34"/>
  <c r="A713" i="34"/>
  <c r="P685" i="34"/>
  <c r="Q685" i="34"/>
  <c r="U685" i="34"/>
  <c r="Z685" i="34"/>
  <c r="O685" i="34"/>
  <c r="W685" i="34"/>
  <c r="A685" i="34"/>
  <c r="Q692" i="34"/>
  <c r="U692" i="34"/>
  <c r="Z692" i="34"/>
  <c r="O692" i="34"/>
  <c r="W692" i="34"/>
  <c r="P692" i="34"/>
  <c r="A692" i="34"/>
  <c r="Z405" i="34"/>
  <c r="O405" i="34"/>
  <c r="W405" i="34"/>
  <c r="P405" i="34"/>
  <c r="Q405" i="34"/>
  <c r="U405" i="34"/>
  <c r="A405" i="34"/>
  <c r="P1015" i="34"/>
  <c r="Q1015" i="34"/>
  <c r="U1015" i="34"/>
  <c r="Z1015" i="34"/>
  <c r="O1015" i="34"/>
  <c r="W1015" i="34"/>
  <c r="A1015" i="34"/>
  <c r="P625" i="34"/>
  <c r="Q625" i="34"/>
  <c r="U625" i="34"/>
  <c r="Z625" i="34"/>
  <c r="O625" i="34"/>
  <c r="W625" i="34"/>
  <c r="A625" i="34"/>
  <c r="Z647" i="34"/>
  <c r="O647" i="34"/>
  <c r="W647" i="34"/>
  <c r="P647" i="34"/>
  <c r="Q647" i="34"/>
  <c r="U647" i="34"/>
  <c r="A647" i="34"/>
  <c r="P649" i="34"/>
  <c r="Q649" i="34"/>
  <c r="U649" i="34"/>
  <c r="Z649" i="34"/>
  <c r="O649" i="34"/>
  <c r="W649" i="34"/>
  <c r="A649" i="34"/>
  <c r="Q660" i="34"/>
  <c r="U660" i="34"/>
  <c r="Z660" i="34"/>
  <c r="O660" i="34"/>
  <c r="W660" i="34"/>
  <c r="P660" i="34"/>
  <c r="A660" i="34"/>
  <c r="O770" i="34"/>
  <c r="W770" i="34"/>
  <c r="P770" i="34"/>
  <c r="Q770" i="34"/>
  <c r="U770" i="34"/>
  <c r="Z770" i="34"/>
  <c r="A770" i="34"/>
  <c r="P689" i="34"/>
  <c r="Q689" i="34"/>
  <c r="U689" i="34"/>
  <c r="Z689" i="34"/>
  <c r="O689" i="34"/>
  <c r="W689" i="34"/>
  <c r="A689" i="34"/>
  <c r="O706" i="34"/>
  <c r="W706" i="34"/>
  <c r="P706" i="34"/>
  <c r="Q706" i="34"/>
  <c r="U706" i="34"/>
  <c r="Z706" i="34"/>
  <c r="A706" i="34"/>
  <c r="O634" i="34"/>
  <c r="W634" i="34"/>
  <c r="P634" i="34"/>
  <c r="Q634" i="34"/>
  <c r="U634" i="34"/>
  <c r="Z634" i="34"/>
  <c r="A634" i="34"/>
  <c r="P1019" i="34"/>
  <c r="Q1019" i="34"/>
  <c r="U1019" i="34"/>
  <c r="Z1019" i="34"/>
  <c r="O1019" i="34"/>
  <c r="W1019" i="34"/>
  <c r="A1019" i="34"/>
  <c r="Z813" i="34"/>
  <c r="O813" i="34"/>
  <c r="W813" i="34"/>
  <c r="P813" i="34"/>
  <c r="Q813" i="34"/>
  <c r="U813" i="34"/>
  <c r="A813" i="34"/>
  <c r="O436" i="34"/>
  <c r="W436" i="34"/>
  <c r="P436" i="34"/>
  <c r="Q436" i="34"/>
  <c r="U436" i="34"/>
  <c r="Z436" i="34"/>
  <c r="A436" i="34"/>
  <c r="Z695" i="34"/>
  <c r="O695" i="34"/>
  <c r="W695" i="34"/>
  <c r="P695" i="34"/>
  <c r="Q695" i="34"/>
  <c r="U695" i="34"/>
  <c r="A695" i="34"/>
  <c r="O710" i="34"/>
  <c r="W710" i="34"/>
  <c r="P710" i="34"/>
  <c r="Q710" i="34"/>
  <c r="U710" i="34"/>
  <c r="Z710" i="34"/>
  <c r="A710" i="34"/>
  <c r="O702" i="34"/>
  <c r="W702" i="34"/>
  <c r="P702" i="34"/>
  <c r="Q702" i="34"/>
  <c r="U702" i="34"/>
  <c r="Z702" i="34"/>
  <c r="A702" i="34"/>
  <c r="Q752" i="34"/>
  <c r="U752" i="34"/>
  <c r="Z752" i="34"/>
  <c r="O752" i="34"/>
  <c r="W752" i="34"/>
  <c r="P752" i="34"/>
  <c r="A752" i="34"/>
  <c r="Q716" i="34"/>
  <c r="U716" i="34"/>
  <c r="Z716" i="34"/>
  <c r="O716" i="34"/>
  <c r="W716" i="34"/>
  <c r="P716" i="34"/>
  <c r="A716" i="34"/>
  <c r="Q712" i="34"/>
  <c r="U712" i="34"/>
  <c r="Z712" i="34"/>
  <c r="O712" i="34"/>
  <c r="W712" i="34"/>
  <c r="P712" i="34"/>
  <c r="A712" i="34"/>
  <c r="Q684" i="34"/>
  <c r="U684" i="34"/>
  <c r="Z684" i="34"/>
  <c r="O684" i="34"/>
  <c r="W684" i="34"/>
  <c r="P684" i="34"/>
  <c r="A684" i="34"/>
  <c r="Q688" i="34"/>
  <c r="U688" i="34"/>
  <c r="Z688" i="34"/>
  <c r="O688" i="34"/>
  <c r="W688" i="34"/>
  <c r="P688" i="34"/>
  <c r="A688" i="34"/>
  <c r="Q1018" i="34"/>
  <c r="U1018" i="34"/>
  <c r="Z1018" i="34"/>
  <c r="O1018" i="34"/>
  <c r="W1018" i="34"/>
  <c r="P1018" i="34"/>
  <c r="A1018" i="34"/>
  <c r="O980" i="34"/>
  <c r="W980" i="34"/>
  <c r="P980" i="34"/>
  <c r="Z980" i="34"/>
  <c r="Q980" i="34"/>
  <c r="U980" i="34"/>
  <c r="A980" i="34"/>
  <c r="Q624" i="34"/>
  <c r="U624" i="34"/>
  <c r="Z624" i="34"/>
  <c r="O624" i="34"/>
  <c r="W624" i="34"/>
  <c r="P624" i="34"/>
  <c r="A624" i="34"/>
  <c r="O646" i="34"/>
  <c r="W646" i="34"/>
  <c r="P646" i="34"/>
  <c r="Q646" i="34"/>
  <c r="U646" i="34"/>
  <c r="Z646" i="34"/>
  <c r="A646" i="34"/>
  <c r="Q648" i="34"/>
  <c r="U648" i="34"/>
  <c r="Z648" i="34"/>
  <c r="O648" i="34"/>
  <c r="W648" i="34"/>
  <c r="P648" i="34"/>
  <c r="A648" i="34"/>
  <c r="Z659" i="34"/>
  <c r="O659" i="34"/>
  <c r="W659" i="34"/>
  <c r="P659" i="34"/>
  <c r="Q659" i="34"/>
  <c r="U659" i="34"/>
  <c r="A659" i="34"/>
  <c r="Q760" i="34"/>
  <c r="U760" i="34"/>
  <c r="Z760" i="34"/>
  <c r="O760" i="34"/>
  <c r="W760" i="34"/>
  <c r="P760" i="34"/>
  <c r="A760" i="34"/>
  <c r="O812" i="34"/>
  <c r="W812" i="34"/>
  <c r="P812" i="34"/>
  <c r="Q812" i="34"/>
  <c r="U812" i="34"/>
  <c r="Z812" i="34"/>
  <c r="A812" i="34"/>
  <c r="P705" i="34"/>
  <c r="Q705" i="34"/>
  <c r="U705" i="34"/>
  <c r="Z705" i="34"/>
  <c r="O705" i="34"/>
  <c r="W705" i="34"/>
  <c r="A705" i="34"/>
  <c r="O408" i="34"/>
  <c r="W408" i="34"/>
  <c r="P408" i="34"/>
  <c r="Q408" i="34"/>
  <c r="U408" i="34"/>
  <c r="Z408" i="34"/>
  <c r="A408" i="34"/>
  <c r="Q772" i="34"/>
  <c r="U772" i="34"/>
  <c r="Z772" i="34"/>
  <c r="O772" i="34"/>
  <c r="W772" i="34"/>
  <c r="P772" i="34"/>
  <c r="A772" i="34"/>
  <c r="Z433" i="34"/>
  <c r="O433" i="34"/>
  <c r="W433" i="34"/>
  <c r="P433" i="34"/>
  <c r="Q433" i="34"/>
  <c r="U433" i="34"/>
  <c r="A433" i="34"/>
  <c r="Z437" i="34"/>
  <c r="O437" i="34"/>
  <c r="W437" i="34"/>
  <c r="P437" i="34"/>
  <c r="Q437" i="34"/>
  <c r="U437" i="34"/>
  <c r="A437" i="34"/>
  <c r="O1020" i="34"/>
  <c r="W1020" i="34"/>
  <c r="P1020" i="34"/>
  <c r="Q1020" i="34"/>
  <c r="U1020" i="34"/>
  <c r="Z1020" i="34"/>
  <c r="A1020" i="34"/>
  <c r="P709" i="34"/>
  <c r="Q709" i="34"/>
  <c r="U709" i="34"/>
  <c r="Z709" i="34"/>
  <c r="O709" i="34"/>
  <c r="W709" i="34"/>
  <c r="A709" i="34"/>
  <c r="P701" i="34"/>
  <c r="Q701" i="34"/>
  <c r="U701" i="34"/>
  <c r="Z701" i="34"/>
  <c r="O701" i="34"/>
  <c r="W701" i="34"/>
  <c r="A701" i="34"/>
  <c r="Z751" i="34"/>
  <c r="O751" i="34"/>
  <c r="W751" i="34"/>
  <c r="P751" i="34"/>
  <c r="Q751" i="34"/>
  <c r="U751" i="34"/>
  <c r="A751" i="34"/>
  <c r="Z715" i="34"/>
  <c r="O715" i="34"/>
  <c r="W715" i="34"/>
  <c r="P715" i="34"/>
  <c r="Q715" i="34"/>
  <c r="U715" i="34"/>
  <c r="A715" i="34"/>
  <c r="B2035" i="34"/>
  <c r="B2034" i="34"/>
  <c r="B2033" i="34"/>
  <c r="B2011" i="34"/>
  <c r="B2010" i="34"/>
  <c r="B1853" i="34"/>
  <c r="B442" i="34"/>
  <c r="B441" i="34"/>
  <c r="B440" i="34"/>
  <c r="B781" i="34"/>
  <c r="B748" i="34"/>
  <c r="B747" i="34"/>
  <c r="B733" i="34"/>
  <c r="B734" i="34"/>
  <c r="B657" i="34"/>
  <c r="Z747" i="34" l="1"/>
  <c r="O747" i="34"/>
  <c r="W747" i="34"/>
  <c r="P747" i="34"/>
  <c r="Q747" i="34"/>
  <c r="U747" i="34"/>
  <c r="A747" i="34"/>
  <c r="O441" i="34"/>
  <c r="P441" i="34"/>
  <c r="Q441" i="34"/>
  <c r="U441" i="34"/>
  <c r="Z441" i="34"/>
  <c r="W441" i="34"/>
  <c r="A441" i="34"/>
  <c r="P2011" i="34"/>
  <c r="Q2011" i="34"/>
  <c r="U2011" i="34"/>
  <c r="Z2011" i="34"/>
  <c r="O2011" i="34"/>
  <c r="W2011" i="34"/>
  <c r="A2011" i="34"/>
  <c r="O734" i="34"/>
  <c r="W734" i="34"/>
  <c r="P734" i="34"/>
  <c r="Q734" i="34"/>
  <c r="U734" i="34"/>
  <c r="Z734" i="34"/>
  <c r="A734" i="34"/>
  <c r="P1853" i="34"/>
  <c r="Q1853" i="34"/>
  <c r="U1853" i="34"/>
  <c r="Z1853" i="34"/>
  <c r="O1853" i="34"/>
  <c r="W1853" i="34"/>
  <c r="A1853" i="34"/>
  <c r="P733" i="34"/>
  <c r="Q733" i="34"/>
  <c r="U733" i="34"/>
  <c r="Z733" i="34"/>
  <c r="O733" i="34"/>
  <c r="W733" i="34"/>
  <c r="A733" i="34"/>
  <c r="O440" i="34"/>
  <c r="W440" i="34"/>
  <c r="P440" i="34"/>
  <c r="Q440" i="34"/>
  <c r="U440" i="34"/>
  <c r="Z440" i="34"/>
  <c r="A440" i="34"/>
  <c r="Q2010" i="34"/>
  <c r="U2010" i="34"/>
  <c r="Z2010" i="34"/>
  <c r="O2010" i="34"/>
  <c r="W2010" i="34"/>
  <c r="P2010" i="34"/>
  <c r="A2010" i="34"/>
  <c r="P2035" i="34"/>
  <c r="Q2035" i="34"/>
  <c r="U2035" i="34"/>
  <c r="Z2035" i="34"/>
  <c r="O2035" i="34"/>
  <c r="W2035" i="34"/>
  <c r="A2035" i="34"/>
  <c r="Q748" i="34"/>
  <c r="U748" i="34"/>
  <c r="Z748" i="34"/>
  <c r="O748" i="34"/>
  <c r="W748" i="34"/>
  <c r="P748" i="34"/>
  <c r="A748" i="34"/>
  <c r="P657" i="34"/>
  <c r="Q657" i="34"/>
  <c r="U657" i="34"/>
  <c r="Z657" i="34"/>
  <c r="O657" i="34"/>
  <c r="W657" i="34"/>
  <c r="A657" i="34"/>
  <c r="O442" i="34"/>
  <c r="W442" i="34"/>
  <c r="P442" i="34"/>
  <c r="Q442" i="34"/>
  <c r="U442" i="34"/>
  <c r="Z442" i="34"/>
  <c r="A442" i="34"/>
  <c r="Z2033" i="34"/>
  <c r="O2033" i="34"/>
  <c r="W2033" i="34"/>
  <c r="P2033" i="34"/>
  <c r="Q2033" i="34"/>
  <c r="U2033" i="34"/>
  <c r="A2033" i="34"/>
  <c r="Z781" i="34"/>
  <c r="O781" i="34"/>
  <c r="W781" i="34"/>
  <c r="P781" i="34"/>
  <c r="Q781" i="34"/>
  <c r="U781" i="34"/>
  <c r="A781" i="34"/>
  <c r="Q2034" i="34"/>
  <c r="U2034" i="34"/>
  <c r="Z2034" i="34"/>
  <c r="O2034" i="34"/>
  <c r="W2034" i="34"/>
  <c r="P2034" i="34"/>
  <c r="A2034" i="34"/>
  <c r="A14" i="71"/>
  <c r="E37" i="71" s="1"/>
  <c r="A19" i="71"/>
  <c r="A20" i="71"/>
  <c r="A17" i="71"/>
  <c r="B782" i="34"/>
  <c r="A18" i="71"/>
  <c r="B2053" i="34"/>
  <c r="A16" i="71"/>
  <c r="A15" i="71"/>
  <c r="T10" i="34"/>
  <c r="Z2053" i="34" l="1"/>
  <c r="O2053" i="34"/>
  <c r="W2053" i="34"/>
  <c r="P2053" i="34"/>
  <c r="Q2053" i="34"/>
  <c r="U2053" i="34"/>
  <c r="A2053" i="34"/>
  <c r="Q782" i="34"/>
  <c r="U782" i="34"/>
  <c r="Z782" i="34"/>
  <c r="O782" i="34"/>
  <c r="W782" i="34"/>
  <c r="P782" i="34"/>
  <c r="A782" i="34"/>
  <c r="A36" i="71"/>
  <c r="H2" i="71"/>
  <c r="R10" i="34"/>
  <c r="E6" i="43" l="1"/>
  <c r="O8" i="43"/>
  <c r="N8" i="43"/>
  <c r="B691" i="34" l="1"/>
  <c r="B823" i="34"/>
  <c r="B1906" i="34"/>
  <c r="B1959" i="34"/>
  <c r="B2008" i="34"/>
  <c r="B2018" i="34"/>
  <c r="B2032" i="34"/>
  <c r="B2052" i="34"/>
  <c r="B2120" i="34"/>
  <c r="B1156" i="34"/>
  <c r="P1959" i="34" l="1"/>
  <c r="Q1959" i="34"/>
  <c r="U1959" i="34"/>
  <c r="Z1959" i="34"/>
  <c r="O1959" i="34"/>
  <c r="W1959" i="34"/>
  <c r="A1959" i="34"/>
  <c r="O2032" i="34"/>
  <c r="W2032" i="34"/>
  <c r="P2032" i="34"/>
  <c r="Q2032" i="34"/>
  <c r="U2032" i="34"/>
  <c r="Z2032" i="34"/>
  <c r="A2032" i="34"/>
  <c r="Q1906" i="34"/>
  <c r="U1906" i="34"/>
  <c r="Z1906" i="34"/>
  <c r="O1906" i="34"/>
  <c r="W1906" i="34"/>
  <c r="P1906" i="34"/>
  <c r="A1906" i="34"/>
  <c r="O1156" i="34"/>
  <c r="W1156" i="34"/>
  <c r="P1156" i="34"/>
  <c r="Q1156" i="34"/>
  <c r="U1156" i="34"/>
  <c r="Z1156" i="34"/>
  <c r="A1156" i="34"/>
  <c r="Q2018" i="34"/>
  <c r="U2018" i="34"/>
  <c r="Z2018" i="34"/>
  <c r="O2018" i="34"/>
  <c r="W2018" i="34"/>
  <c r="P2018" i="34"/>
  <c r="A2018" i="34"/>
  <c r="P823" i="34"/>
  <c r="Q823" i="34"/>
  <c r="U823" i="34"/>
  <c r="Z823" i="34"/>
  <c r="O823" i="34"/>
  <c r="W823" i="34"/>
  <c r="A823" i="34"/>
  <c r="O2052" i="34"/>
  <c r="W2052" i="34"/>
  <c r="P2052" i="34"/>
  <c r="Q2052" i="34"/>
  <c r="U2052" i="34"/>
  <c r="Z2052" i="34"/>
  <c r="A2052" i="34"/>
  <c r="O2120" i="34"/>
  <c r="W2120" i="34"/>
  <c r="P2120" i="34"/>
  <c r="Q2120" i="34"/>
  <c r="U2120" i="34"/>
  <c r="Z2120" i="34"/>
  <c r="A2120" i="34"/>
  <c r="O2008" i="34"/>
  <c r="W2008" i="34"/>
  <c r="P2008" i="34"/>
  <c r="Q2008" i="34"/>
  <c r="U2008" i="34"/>
  <c r="Z2008" i="34"/>
  <c r="A2008" i="34"/>
  <c r="Z691" i="34"/>
  <c r="O691" i="34"/>
  <c r="W691" i="34"/>
  <c r="P691" i="34"/>
  <c r="Q691" i="34"/>
  <c r="U691" i="34"/>
  <c r="A691" i="34"/>
  <c r="B694" i="34"/>
  <c r="O694" i="34" l="1"/>
  <c r="W694" i="34"/>
  <c r="P694" i="34"/>
  <c r="Q694" i="34"/>
  <c r="U694" i="34"/>
  <c r="Z694" i="34"/>
  <c r="A694" i="34"/>
  <c r="C52" i="15"/>
  <c r="D52" i="15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4484" i="34" l="1"/>
  <c r="B4485" i="34"/>
  <c r="B4486" i="34"/>
  <c r="B4487" i="34"/>
  <c r="B4488" i="34"/>
  <c r="A4488" i="34" s="1"/>
  <c r="B4489" i="34"/>
  <c r="Z4487" i="34" l="1"/>
  <c r="O4487" i="34"/>
  <c r="W4487" i="34"/>
  <c r="P4487" i="34"/>
  <c r="Q4487" i="34"/>
  <c r="U4487" i="34"/>
  <c r="A4487" i="34"/>
  <c r="O4486" i="34"/>
  <c r="W4486" i="34"/>
  <c r="P4486" i="34"/>
  <c r="Q4486" i="34"/>
  <c r="U4486" i="34"/>
  <c r="Z4486" i="34"/>
  <c r="A4486" i="34"/>
  <c r="P4485" i="34"/>
  <c r="Q4485" i="34"/>
  <c r="U4485" i="34"/>
  <c r="Z4485" i="34"/>
  <c r="O4485" i="34"/>
  <c r="W4485" i="34"/>
  <c r="A4485" i="34"/>
  <c r="Q4484" i="34"/>
  <c r="U4484" i="34"/>
  <c r="Z4484" i="34"/>
  <c r="O4484" i="34"/>
  <c r="W4484" i="34"/>
  <c r="P4484" i="34"/>
  <c r="A4484" i="34"/>
  <c r="O4489" i="34"/>
  <c r="W4489" i="34"/>
  <c r="P4489" i="34"/>
  <c r="Q4489" i="34"/>
  <c r="U4489" i="34"/>
  <c r="Z4489" i="34"/>
  <c r="P4488" i="34"/>
  <c r="Q4488" i="34"/>
  <c r="U4488" i="34"/>
  <c r="Z4488" i="34"/>
  <c r="O4488" i="34"/>
  <c r="W4488" i="34"/>
  <c r="A4489" i="34"/>
  <c r="I6" i="43"/>
  <c r="H11" i="43" l="1"/>
  <c r="A15" i="12"/>
  <c r="A87" i="43" l="1"/>
  <c r="C89" i="43"/>
  <c r="B87" i="43"/>
  <c r="D89" i="43"/>
  <c r="C87" i="43"/>
  <c r="E89" i="43"/>
  <c r="D87" i="43"/>
  <c r="F89" i="43"/>
  <c r="E87" i="43"/>
  <c r="G89" i="43"/>
  <c r="F87" i="43"/>
  <c r="A90" i="43"/>
  <c r="G87" i="43"/>
  <c r="B90" i="43"/>
  <c r="A88" i="43"/>
  <c r="C90" i="43"/>
  <c r="B88" i="43"/>
  <c r="D90" i="43"/>
  <c r="C88" i="43"/>
  <c r="E90" i="43"/>
  <c r="D88" i="43"/>
  <c r="F90" i="43"/>
  <c r="E88" i="43"/>
  <c r="G90" i="43"/>
  <c r="F88" i="43"/>
  <c r="G88" i="43"/>
  <c r="A89" i="43"/>
  <c r="B89" i="43"/>
  <c r="F18" i="43"/>
  <c r="F20" i="43"/>
  <c r="F22" i="43"/>
  <c r="F24" i="43"/>
  <c r="F19" i="43"/>
  <c r="F21" i="43"/>
  <c r="F23" i="43"/>
  <c r="A45" i="43"/>
  <c r="F66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F6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F6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F6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F7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E65" i="43"/>
  <c r="F45" i="43"/>
  <c r="D63" i="43"/>
  <c r="D83" i="43"/>
  <c r="C61" i="43"/>
  <c r="E83" i="43"/>
  <c r="B61" i="43"/>
  <c r="B81" i="43"/>
  <c r="A59" i="43"/>
  <c r="C81" i="43"/>
  <c r="D57" i="43"/>
  <c r="D77" i="43"/>
  <c r="A57" i="43"/>
  <c r="A77" i="43"/>
  <c r="B57" i="43"/>
  <c r="A84" i="43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G62" i="43"/>
  <c r="G82" i="43"/>
  <c r="A63" i="43"/>
  <c r="F80" i="43"/>
  <c r="B59" i="43"/>
  <c r="B79" i="43"/>
  <c r="F58" i="43"/>
  <c r="A81" i="43"/>
  <c r="F65" i="43"/>
  <c r="F85" i="43"/>
  <c r="E63" i="43"/>
  <c r="G85" i="43"/>
  <c r="A62" i="43"/>
  <c r="A82" i="43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F71" i="43"/>
  <c r="C51" i="43"/>
  <c r="A69" i="43"/>
  <c r="G46" i="43"/>
  <c r="G66" i="43"/>
  <c r="A47" i="43"/>
  <c r="A44" i="43"/>
  <c r="C44" i="43"/>
  <c r="E44" i="43"/>
  <c r="G44" i="43"/>
  <c r="D44" i="43"/>
  <c r="B44" i="43"/>
  <c r="F44" i="43"/>
  <c r="A12" i="43"/>
  <c r="G96" i="43" s="1"/>
  <c r="A7" i="60"/>
  <c r="A8" i="60" s="1"/>
  <c r="A9" i="60" s="1"/>
  <c r="A10" i="60" s="1"/>
  <c r="A11" i="60" s="1"/>
  <c r="A12" i="60" s="1"/>
  <c r="A13" i="60" l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F2" i="43"/>
  <c r="A95" i="43"/>
  <c r="K21" i="34"/>
  <c r="K20" i="34"/>
  <c r="K17" i="34"/>
  <c r="K10" i="34" l="1"/>
  <c r="B11" i="34"/>
  <c r="U11" i="34" s="1"/>
  <c r="B12" i="34"/>
  <c r="B13" i="34"/>
  <c r="B15" i="34"/>
  <c r="B16" i="34"/>
  <c r="B22" i="34"/>
  <c r="B17" i="34"/>
  <c r="B19" i="34"/>
  <c r="B20" i="34"/>
  <c r="B21" i="34"/>
  <c r="B10" i="34"/>
  <c r="Q17" i="34" l="1"/>
  <c r="U17" i="34"/>
  <c r="Z17" i="34"/>
  <c r="O17" i="34"/>
  <c r="W17" i="34"/>
  <c r="P17" i="34"/>
  <c r="A17" i="34"/>
  <c r="Q13" i="34"/>
  <c r="U13" i="34"/>
  <c r="Z13" i="34"/>
  <c r="O13" i="34"/>
  <c r="W13" i="34"/>
  <c r="P13" i="34"/>
  <c r="Z20" i="34"/>
  <c r="O20" i="34"/>
  <c r="W20" i="34"/>
  <c r="P20" i="34"/>
  <c r="Q20" i="34"/>
  <c r="U20" i="34"/>
  <c r="A20" i="34"/>
  <c r="Q21" i="34"/>
  <c r="U21" i="34"/>
  <c r="Z21" i="34"/>
  <c r="O21" i="34"/>
  <c r="W21" i="34"/>
  <c r="P21" i="34"/>
  <c r="A21" i="34"/>
  <c r="P22" i="34"/>
  <c r="Q22" i="34"/>
  <c r="U22" i="34"/>
  <c r="Z22" i="34"/>
  <c r="O22" i="34"/>
  <c r="W22" i="34"/>
  <c r="A22" i="34"/>
  <c r="Z16" i="34"/>
  <c r="O16" i="34"/>
  <c r="W16" i="34"/>
  <c r="P16" i="34"/>
  <c r="Q16" i="34"/>
  <c r="U16" i="34"/>
  <c r="A16" i="34"/>
  <c r="O19" i="34"/>
  <c r="W19" i="34"/>
  <c r="P19" i="34"/>
  <c r="Q19" i="34"/>
  <c r="U19" i="34"/>
  <c r="Z19" i="34"/>
  <c r="A19" i="34"/>
  <c r="O15" i="34"/>
  <c r="W15" i="34"/>
  <c r="P15" i="34"/>
  <c r="Q15" i="34"/>
  <c r="U15" i="34"/>
  <c r="Z15" i="34"/>
  <c r="A15" i="34"/>
  <c r="Z12" i="34"/>
  <c r="O12" i="34"/>
  <c r="W12" i="34"/>
  <c r="P12" i="34"/>
  <c r="Q12" i="34"/>
  <c r="U12" i="34"/>
  <c r="U10" i="34"/>
  <c r="A12" i="34"/>
  <c r="A13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6" i="74" l="1"/>
  <c r="F37" i="74" s="1"/>
  <c r="G34" i="77"/>
  <c r="F33" i="77"/>
  <c r="F34" i="77" s="1"/>
  <c r="G28" i="78"/>
  <c r="G24" i="75"/>
  <c r="F23" i="75"/>
  <c r="F24" i="75" s="1"/>
  <c r="G37" i="74"/>
  <c r="G29" i="78" l="1"/>
  <c r="F28" i="78"/>
  <c r="F29" i="78" s="1"/>
  <c r="B11" i="61"/>
  <c r="I226" i="60"/>
  <c r="I193" i="60"/>
  <c r="A192" i="60"/>
  <c r="I140" i="60"/>
  <c r="E69" i="60" s="1"/>
  <c r="I61" i="60"/>
  <c r="A31" i="58"/>
  <c r="I13" i="58"/>
  <c r="C8" i="58"/>
  <c r="A73" i="57"/>
  <c r="L13" i="57"/>
  <c r="K13" i="57"/>
  <c r="I7" i="57"/>
  <c r="C7" i="56"/>
  <c r="D5" i="56"/>
  <c r="G787" i="55"/>
  <c r="A159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G173" i="60" l="1"/>
  <c r="E175" i="60"/>
  <c r="F176" i="60"/>
  <c r="G177" i="60"/>
  <c r="E179" i="60"/>
  <c r="F180" i="60"/>
  <c r="G181" i="60"/>
  <c r="E183" i="60"/>
  <c r="F188" i="60"/>
  <c r="E191" i="60"/>
  <c r="F191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90" i="60"/>
  <c r="G191" i="60"/>
  <c r="F173" i="60"/>
  <c r="G174" i="60"/>
  <c r="E176" i="60"/>
  <c r="F177" i="60"/>
  <c r="G178" i="60"/>
  <c r="E180" i="60"/>
  <c r="H180" i="60" s="1"/>
  <c r="J180" i="60" s="1"/>
  <c r="F181" i="60"/>
  <c r="G182" i="60"/>
  <c r="E184" i="60"/>
  <c r="F185" i="60"/>
  <c r="G186" i="60"/>
  <c r="E188" i="60"/>
  <c r="F189" i="60"/>
  <c r="G190" i="60"/>
  <c r="F184" i="60"/>
  <c r="G185" i="60"/>
  <c r="E187" i="60"/>
  <c r="H187" i="60" s="1"/>
  <c r="J187" i="60" s="1"/>
  <c r="G189" i="60"/>
  <c r="E190" i="60"/>
  <c r="F172" i="60"/>
  <c r="G172" i="60"/>
  <c r="E172" i="60"/>
  <c r="G159" i="60"/>
  <c r="E161" i="60"/>
  <c r="F162" i="60"/>
  <c r="G163" i="60"/>
  <c r="E165" i="60"/>
  <c r="F166" i="60"/>
  <c r="G167" i="60"/>
  <c r="E169" i="60"/>
  <c r="G171" i="60"/>
  <c r="E160" i="60"/>
  <c r="F161" i="60"/>
  <c r="G162" i="60"/>
  <c r="E164" i="60"/>
  <c r="F165" i="60"/>
  <c r="G166" i="60"/>
  <c r="H166" i="60" s="1"/>
  <c r="J166" i="60" s="1"/>
  <c r="E168" i="60"/>
  <c r="F169" i="60"/>
  <c r="G170" i="60"/>
  <c r="E159" i="60"/>
  <c r="F160" i="60"/>
  <c r="G161" i="60"/>
  <c r="E163" i="60"/>
  <c r="F164" i="60"/>
  <c r="G165" i="60"/>
  <c r="E167" i="60"/>
  <c r="F168" i="60"/>
  <c r="G169" i="60"/>
  <c r="E171" i="60"/>
  <c r="F159" i="60"/>
  <c r="G160" i="60"/>
  <c r="E162" i="60"/>
  <c r="F163" i="60"/>
  <c r="G164" i="60"/>
  <c r="E166" i="60"/>
  <c r="F167" i="60"/>
  <c r="G168" i="60"/>
  <c r="E170" i="60"/>
  <c r="F171" i="60"/>
  <c r="F170" i="60"/>
  <c r="F148" i="60"/>
  <c r="V4488" i="34"/>
  <c r="V4489" i="34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I46" i="57"/>
  <c r="I48" i="57"/>
  <c r="I50" i="57"/>
  <c r="I52" i="57"/>
  <c r="I54" i="57"/>
  <c r="I56" i="57"/>
  <c r="I58" i="57"/>
  <c r="I60" i="57"/>
  <c r="I62" i="57"/>
  <c r="I64" i="57"/>
  <c r="I66" i="57"/>
  <c r="I68" i="57"/>
  <c r="I70" i="57"/>
  <c r="I72" i="57"/>
  <c r="G20" i="57"/>
  <c r="G24" i="57"/>
  <c r="G30" i="57"/>
  <c r="G36" i="57"/>
  <c r="G42" i="57"/>
  <c r="G48" i="57"/>
  <c r="G52" i="57"/>
  <c r="G58" i="57"/>
  <c r="G64" i="57"/>
  <c r="G70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G45" i="57"/>
  <c r="G47" i="57"/>
  <c r="G49" i="57"/>
  <c r="G51" i="57"/>
  <c r="G53" i="57"/>
  <c r="G55" i="57"/>
  <c r="G57" i="57"/>
  <c r="G59" i="57"/>
  <c r="G61" i="57"/>
  <c r="G63" i="57"/>
  <c r="G65" i="57"/>
  <c r="G67" i="57"/>
  <c r="G69" i="57"/>
  <c r="G71" i="57"/>
  <c r="I14" i="57"/>
  <c r="G18" i="57"/>
  <c r="G22" i="57"/>
  <c r="G28" i="57"/>
  <c r="G34" i="57"/>
  <c r="G40" i="57"/>
  <c r="G46" i="57"/>
  <c r="G54" i="57"/>
  <c r="G60" i="57"/>
  <c r="G66" i="57"/>
  <c r="G72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I45" i="57"/>
  <c r="I47" i="57"/>
  <c r="I49" i="57"/>
  <c r="I51" i="57"/>
  <c r="I53" i="57"/>
  <c r="I55" i="57"/>
  <c r="I57" i="57"/>
  <c r="I59" i="57"/>
  <c r="I61" i="57"/>
  <c r="I63" i="57"/>
  <c r="I65" i="57"/>
  <c r="I67" i="57"/>
  <c r="I69" i="57"/>
  <c r="I71" i="57"/>
  <c r="G14" i="57"/>
  <c r="G16" i="57"/>
  <c r="G26" i="57"/>
  <c r="G32" i="57"/>
  <c r="G38" i="57"/>
  <c r="G44" i="57"/>
  <c r="G50" i="57"/>
  <c r="G56" i="57"/>
  <c r="G62" i="57"/>
  <c r="G68" i="57"/>
  <c r="V12" i="34"/>
  <c r="G138" i="60"/>
  <c r="E138" i="60"/>
  <c r="F138" i="60"/>
  <c r="F88" i="60"/>
  <c r="F87" i="60"/>
  <c r="F85" i="60"/>
  <c r="F84" i="60"/>
  <c r="F83" i="60"/>
  <c r="F82" i="60"/>
  <c r="F81" i="60"/>
  <c r="F80" i="60"/>
  <c r="F79" i="60"/>
  <c r="F78" i="60"/>
  <c r="F77" i="60"/>
  <c r="F76" i="60"/>
  <c r="E88" i="60"/>
  <c r="E87" i="60"/>
  <c r="E85" i="60"/>
  <c r="E84" i="60"/>
  <c r="E83" i="60"/>
  <c r="E82" i="60"/>
  <c r="E81" i="60"/>
  <c r="E80" i="60"/>
  <c r="E79" i="60"/>
  <c r="E78" i="60"/>
  <c r="E77" i="60"/>
  <c r="E76" i="60"/>
  <c r="G88" i="60"/>
  <c r="G87" i="60"/>
  <c r="G85" i="60"/>
  <c r="G84" i="60"/>
  <c r="G83" i="60"/>
  <c r="G82" i="60"/>
  <c r="G81" i="60"/>
  <c r="G80" i="60"/>
  <c r="G79" i="60"/>
  <c r="G78" i="60"/>
  <c r="G77" i="60"/>
  <c r="G76" i="60"/>
  <c r="F101" i="60"/>
  <c r="F100" i="60"/>
  <c r="F99" i="60"/>
  <c r="F98" i="60"/>
  <c r="F97" i="60"/>
  <c r="F96" i="60"/>
  <c r="F95" i="60"/>
  <c r="F93" i="60"/>
  <c r="F92" i="60"/>
  <c r="F91" i="60"/>
  <c r="F90" i="60"/>
  <c r="F89" i="60"/>
  <c r="E101" i="60"/>
  <c r="E100" i="60"/>
  <c r="E99" i="60"/>
  <c r="E98" i="60"/>
  <c r="E97" i="60"/>
  <c r="E96" i="60"/>
  <c r="E95" i="60"/>
  <c r="E93" i="60"/>
  <c r="E92" i="60"/>
  <c r="E91" i="60"/>
  <c r="E90" i="60"/>
  <c r="E89" i="60"/>
  <c r="G101" i="60"/>
  <c r="G100" i="60"/>
  <c r="G99" i="60"/>
  <c r="G98" i="60"/>
  <c r="G97" i="60"/>
  <c r="G96" i="60"/>
  <c r="G95" i="60"/>
  <c r="G93" i="60"/>
  <c r="G92" i="60"/>
  <c r="G91" i="60"/>
  <c r="G90" i="60"/>
  <c r="G89" i="60"/>
  <c r="F113" i="60"/>
  <c r="F112" i="60"/>
  <c r="F111" i="60"/>
  <c r="F110" i="60"/>
  <c r="F109" i="60"/>
  <c r="F108" i="60"/>
  <c r="F107" i="60"/>
  <c r="F106" i="60"/>
  <c r="E111" i="60"/>
  <c r="E110" i="60"/>
  <c r="E109" i="60"/>
  <c r="E108" i="60"/>
  <c r="E107" i="60"/>
  <c r="E113" i="60"/>
  <c r="E106" i="60"/>
  <c r="E105" i="60"/>
  <c r="E104" i="60"/>
  <c r="E103" i="60"/>
  <c r="E102" i="60"/>
  <c r="G113" i="60"/>
  <c r="G112" i="60"/>
  <c r="G111" i="60"/>
  <c r="G110" i="60"/>
  <c r="G109" i="60"/>
  <c r="G108" i="60"/>
  <c r="G107" i="60"/>
  <c r="G106" i="60"/>
  <c r="G105" i="60"/>
  <c r="G104" i="60"/>
  <c r="G103" i="60"/>
  <c r="G102" i="60"/>
  <c r="F105" i="60"/>
  <c r="F104" i="60"/>
  <c r="F103" i="60"/>
  <c r="F102" i="60"/>
  <c r="E112" i="60"/>
  <c r="F125" i="60"/>
  <c r="F123" i="60"/>
  <c r="F122" i="60"/>
  <c r="F121" i="60"/>
  <c r="F120" i="60"/>
  <c r="F119" i="60"/>
  <c r="F117" i="60"/>
  <c r="F116" i="60"/>
  <c r="F115" i="60"/>
  <c r="F114" i="60"/>
  <c r="E120" i="60"/>
  <c r="E119" i="60"/>
  <c r="E115" i="60"/>
  <c r="E114" i="60"/>
  <c r="E125" i="60"/>
  <c r="G125" i="60"/>
  <c r="G124" i="60"/>
  <c r="G123" i="60"/>
  <c r="G122" i="60"/>
  <c r="G121" i="60"/>
  <c r="G120" i="60"/>
  <c r="G119" i="60"/>
  <c r="G118" i="60"/>
  <c r="G117" i="60"/>
  <c r="G116" i="60"/>
  <c r="G115" i="60"/>
  <c r="G114" i="60"/>
  <c r="F124" i="60"/>
  <c r="F118" i="60"/>
  <c r="E124" i="60"/>
  <c r="E123" i="60"/>
  <c r="E122" i="60"/>
  <c r="E121" i="60"/>
  <c r="E118" i="60"/>
  <c r="E117" i="60"/>
  <c r="E116" i="60"/>
  <c r="F14" i="57"/>
  <c r="E17" i="60"/>
  <c r="G17" i="60"/>
  <c r="F17" i="60"/>
  <c r="E36" i="60"/>
  <c r="G34" i="60"/>
  <c r="F33" i="60"/>
  <c r="E32" i="60"/>
  <c r="G30" i="60"/>
  <c r="F29" i="60"/>
  <c r="E28" i="60"/>
  <c r="G26" i="60"/>
  <c r="F25" i="60"/>
  <c r="E24" i="60"/>
  <c r="G22" i="60"/>
  <c r="F21" i="60"/>
  <c r="E20" i="60"/>
  <c r="G35" i="60"/>
  <c r="F34" i="60"/>
  <c r="E33" i="60"/>
  <c r="G31" i="60"/>
  <c r="F30" i="60"/>
  <c r="E29" i="60"/>
  <c r="G27" i="60"/>
  <c r="F26" i="60"/>
  <c r="E25" i="60"/>
  <c r="G23" i="60"/>
  <c r="F22" i="60"/>
  <c r="E21" i="60"/>
  <c r="G36" i="60"/>
  <c r="F35" i="60"/>
  <c r="E34" i="60"/>
  <c r="G32" i="60"/>
  <c r="F31" i="60"/>
  <c r="E30" i="60"/>
  <c r="G28" i="60"/>
  <c r="F27" i="60"/>
  <c r="E26" i="60"/>
  <c r="G24" i="60"/>
  <c r="F23" i="60"/>
  <c r="E22" i="60"/>
  <c r="G20" i="60"/>
  <c r="F36" i="60"/>
  <c r="E35" i="60"/>
  <c r="G33" i="60"/>
  <c r="F32" i="60"/>
  <c r="E31" i="60"/>
  <c r="G29" i="60"/>
  <c r="F28" i="60"/>
  <c r="E27" i="60"/>
  <c r="G25" i="60"/>
  <c r="F24" i="60"/>
  <c r="E23" i="60"/>
  <c r="G21" i="60"/>
  <c r="F20" i="60"/>
  <c r="G54" i="60"/>
  <c r="F53" i="60"/>
  <c r="E52" i="60"/>
  <c r="G50" i="60"/>
  <c r="F49" i="60"/>
  <c r="E48" i="60"/>
  <c r="G55" i="60"/>
  <c r="F54" i="60"/>
  <c r="E53" i="60"/>
  <c r="G51" i="60"/>
  <c r="F50" i="60"/>
  <c r="E49" i="60"/>
  <c r="G47" i="60"/>
  <c r="F55" i="60"/>
  <c r="E54" i="60"/>
  <c r="G52" i="60"/>
  <c r="F51" i="60"/>
  <c r="E50" i="60"/>
  <c r="G48" i="60"/>
  <c r="F47" i="60"/>
  <c r="E55" i="60"/>
  <c r="G53" i="60"/>
  <c r="F52" i="60"/>
  <c r="E51" i="60"/>
  <c r="G49" i="60"/>
  <c r="F48" i="60"/>
  <c r="E47" i="60"/>
  <c r="G15" i="60"/>
  <c r="E18" i="60"/>
  <c r="G37" i="60"/>
  <c r="F40" i="60"/>
  <c r="F44" i="60"/>
  <c r="F56" i="60"/>
  <c r="G57" i="60"/>
  <c r="E45" i="60"/>
  <c r="G56" i="60"/>
  <c r="E16" i="60"/>
  <c r="F18" i="60"/>
  <c r="G19" i="60"/>
  <c r="E38" i="60"/>
  <c r="F39" i="60"/>
  <c r="G40" i="60"/>
  <c r="E42" i="60"/>
  <c r="F43" i="60"/>
  <c r="G44" i="60"/>
  <c r="E59" i="60"/>
  <c r="F59" i="60"/>
  <c r="E15" i="60"/>
  <c r="F16" i="60"/>
  <c r="G18" i="60"/>
  <c r="E37" i="60"/>
  <c r="F38" i="60"/>
  <c r="G39" i="60"/>
  <c r="E41" i="60"/>
  <c r="F42" i="60"/>
  <c r="G43" i="60"/>
  <c r="F46" i="60"/>
  <c r="F15" i="60"/>
  <c r="G16" i="60"/>
  <c r="E19" i="60"/>
  <c r="F37" i="60"/>
  <c r="G38" i="60"/>
  <c r="E40" i="60"/>
  <c r="F41" i="60"/>
  <c r="G42" i="60"/>
  <c r="E44" i="60"/>
  <c r="F45" i="60"/>
  <c r="G46" i="60"/>
  <c r="E57" i="60"/>
  <c r="F58" i="60"/>
  <c r="G59" i="60"/>
  <c r="F19" i="60"/>
  <c r="E39" i="60"/>
  <c r="H39" i="60" s="1"/>
  <c r="J39" i="60" s="1"/>
  <c r="G41" i="60"/>
  <c r="E43" i="60"/>
  <c r="G45" i="60"/>
  <c r="E56" i="60"/>
  <c r="F57" i="60"/>
  <c r="G58" i="60"/>
  <c r="E46" i="60"/>
  <c r="E58" i="60"/>
  <c r="F13" i="57"/>
  <c r="G9" i="60"/>
  <c r="E10" i="60"/>
  <c r="G11" i="60"/>
  <c r="E12" i="60"/>
  <c r="G13" i="60"/>
  <c r="E14" i="60"/>
  <c r="F10" i="60"/>
  <c r="F12" i="60"/>
  <c r="F14" i="60"/>
  <c r="E9" i="60"/>
  <c r="G10" i="60"/>
  <c r="E11" i="60"/>
  <c r="G12" i="60"/>
  <c r="E13" i="60"/>
  <c r="G14" i="60"/>
  <c r="F9" i="60"/>
  <c r="F11" i="60"/>
  <c r="F13" i="60"/>
  <c r="W10" i="34"/>
  <c r="V11" i="34"/>
  <c r="F201" i="60"/>
  <c r="F202" i="60"/>
  <c r="E203" i="60"/>
  <c r="G208" i="60"/>
  <c r="G209" i="60"/>
  <c r="G210" i="60"/>
  <c r="F211" i="60"/>
  <c r="E212" i="60"/>
  <c r="E213" i="60"/>
  <c r="E214" i="60"/>
  <c r="G216" i="60"/>
  <c r="G217" i="60"/>
  <c r="G218" i="60"/>
  <c r="F219" i="60"/>
  <c r="E220" i="60"/>
  <c r="E221" i="60"/>
  <c r="E222" i="60"/>
  <c r="G224" i="60"/>
  <c r="G201" i="60"/>
  <c r="G202" i="60"/>
  <c r="F203" i="60"/>
  <c r="E204" i="60"/>
  <c r="E205" i="60"/>
  <c r="E206" i="60"/>
  <c r="E207" i="60"/>
  <c r="G211" i="60"/>
  <c r="F212" i="60"/>
  <c r="F213" i="60"/>
  <c r="F214" i="60"/>
  <c r="E215" i="60"/>
  <c r="G219" i="60"/>
  <c r="F220" i="60"/>
  <c r="F221" i="60"/>
  <c r="F222" i="60"/>
  <c r="E223" i="60"/>
  <c r="G203" i="60"/>
  <c r="F204" i="60"/>
  <c r="F205" i="60"/>
  <c r="F206" i="60"/>
  <c r="F207" i="60"/>
  <c r="E208" i="60"/>
  <c r="E209" i="60"/>
  <c r="E210" i="60"/>
  <c r="G212" i="60"/>
  <c r="G213" i="60"/>
  <c r="G214" i="60"/>
  <c r="F215" i="60"/>
  <c r="E216" i="60"/>
  <c r="E217" i="60"/>
  <c r="E218" i="60"/>
  <c r="G220" i="60"/>
  <c r="G221" i="60"/>
  <c r="G222" i="60"/>
  <c r="F223" i="60"/>
  <c r="E224" i="60"/>
  <c r="E201" i="60"/>
  <c r="E202" i="60"/>
  <c r="G204" i="60"/>
  <c r="G205" i="60"/>
  <c r="G206" i="60"/>
  <c r="G207" i="60"/>
  <c r="F208" i="60"/>
  <c r="F209" i="60"/>
  <c r="F210" i="60"/>
  <c r="E211" i="60"/>
  <c r="G215" i="60"/>
  <c r="F216" i="60"/>
  <c r="F217" i="60"/>
  <c r="F218" i="60"/>
  <c r="E219" i="60"/>
  <c r="G223" i="60"/>
  <c r="F224" i="60"/>
  <c r="W11" i="34"/>
  <c r="A10" i="56"/>
  <c r="A12" i="56"/>
  <c r="H33" i="56"/>
  <c r="F33" i="56"/>
  <c r="F32" i="56"/>
  <c r="B63" i="57"/>
  <c r="F63" i="57"/>
  <c r="C64" i="57"/>
  <c r="D65" i="57"/>
  <c r="E66" i="57"/>
  <c r="B67" i="57"/>
  <c r="F67" i="57"/>
  <c r="C68" i="57"/>
  <c r="D69" i="57"/>
  <c r="E70" i="57"/>
  <c r="B71" i="57"/>
  <c r="F71" i="57"/>
  <c r="C72" i="57"/>
  <c r="C63" i="57"/>
  <c r="D64" i="57"/>
  <c r="E65" i="57"/>
  <c r="B66" i="57"/>
  <c r="F66" i="57"/>
  <c r="C67" i="57"/>
  <c r="D68" i="57"/>
  <c r="E69" i="57"/>
  <c r="B70" i="57"/>
  <c r="F70" i="57"/>
  <c r="C71" i="57"/>
  <c r="D72" i="57"/>
  <c r="D63" i="57"/>
  <c r="E64" i="57"/>
  <c r="B65" i="57"/>
  <c r="F65" i="57"/>
  <c r="C66" i="57"/>
  <c r="D67" i="57"/>
  <c r="E68" i="57"/>
  <c r="B69" i="57"/>
  <c r="F69" i="57"/>
  <c r="C70" i="57"/>
  <c r="D71" i="57"/>
  <c r="E72" i="57"/>
  <c r="E63" i="57"/>
  <c r="B64" i="57"/>
  <c r="F64" i="57"/>
  <c r="C65" i="57"/>
  <c r="D66" i="57"/>
  <c r="E67" i="57"/>
  <c r="B68" i="57"/>
  <c r="F68" i="57"/>
  <c r="C69" i="57"/>
  <c r="D70" i="57"/>
  <c r="E71" i="57"/>
  <c r="B72" i="57"/>
  <c r="F72" i="57"/>
  <c r="B39" i="57"/>
  <c r="F39" i="57"/>
  <c r="C40" i="57"/>
  <c r="D41" i="57"/>
  <c r="E42" i="57"/>
  <c r="B43" i="57"/>
  <c r="F43" i="57"/>
  <c r="C44" i="57"/>
  <c r="D45" i="57"/>
  <c r="E46" i="57"/>
  <c r="B47" i="57"/>
  <c r="F47" i="57"/>
  <c r="C48" i="57"/>
  <c r="D49" i="57"/>
  <c r="E50" i="57"/>
  <c r="B51" i="57"/>
  <c r="F51" i="57"/>
  <c r="C52" i="57"/>
  <c r="D53" i="57"/>
  <c r="E54" i="57"/>
  <c r="B55" i="57"/>
  <c r="F55" i="57"/>
  <c r="C56" i="57"/>
  <c r="D57" i="57"/>
  <c r="E58" i="57"/>
  <c r="B59" i="57"/>
  <c r="F59" i="57"/>
  <c r="C60" i="57"/>
  <c r="D61" i="57"/>
  <c r="D62" i="57"/>
  <c r="C39" i="57"/>
  <c r="D40" i="57"/>
  <c r="E41" i="57"/>
  <c r="B42" i="57"/>
  <c r="C43" i="57"/>
  <c r="D44" i="57"/>
  <c r="E45" i="57"/>
  <c r="B46" i="57"/>
  <c r="F46" i="57"/>
  <c r="C47" i="57"/>
  <c r="D48" i="57"/>
  <c r="E49" i="57"/>
  <c r="B50" i="57"/>
  <c r="F50" i="57"/>
  <c r="C51" i="57"/>
  <c r="D52" i="57"/>
  <c r="E53" i="57"/>
  <c r="B54" i="57"/>
  <c r="F54" i="57"/>
  <c r="C55" i="57"/>
  <c r="D56" i="57"/>
  <c r="E57" i="57"/>
  <c r="B58" i="57"/>
  <c r="F58" i="57"/>
  <c r="C59" i="57"/>
  <c r="D60" i="57"/>
  <c r="E61" i="57"/>
  <c r="E62" i="57"/>
  <c r="D39" i="57"/>
  <c r="E40" i="57"/>
  <c r="B41" i="57"/>
  <c r="F41" i="57"/>
  <c r="C42" i="57"/>
  <c r="D43" i="57"/>
  <c r="E44" i="57"/>
  <c r="B45" i="57"/>
  <c r="F45" i="57"/>
  <c r="C46" i="57"/>
  <c r="D47" i="57"/>
  <c r="E48" i="57"/>
  <c r="B49" i="57"/>
  <c r="F49" i="57"/>
  <c r="C50" i="57"/>
  <c r="D51" i="57"/>
  <c r="E52" i="57"/>
  <c r="B53" i="57"/>
  <c r="F53" i="57"/>
  <c r="C54" i="57"/>
  <c r="D55" i="57"/>
  <c r="E56" i="57"/>
  <c r="B57" i="57"/>
  <c r="F57" i="57"/>
  <c r="C58" i="57"/>
  <c r="D59" i="57"/>
  <c r="E60" i="57"/>
  <c r="B61" i="57"/>
  <c r="F61" i="57"/>
  <c r="B62" i="57"/>
  <c r="F62" i="57"/>
  <c r="E39" i="57"/>
  <c r="B40" i="57"/>
  <c r="F40" i="57"/>
  <c r="C41" i="57"/>
  <c r="D42" i="57"/>
  <c r="E43" i="57"/>
  <c r="B44" i="57"/>
  <c r="F44" i="57"/>
  <c r="C45" i="57"/>
  <c r="D46" i="57"/>
  <c r="E47" i="57"/>
  <c r="B48" i="57"/>
  <c r="F48" i="57"/>
  <c r="C49" i="57"/>
  <c r="D50" i="57"/>
  <c r="E51" i="57"/>
  <c r="B52" i="57"/>
  <c r="F52" i="57"/>
  <c r="C53" i="57"/>
  <c r="D54" i="57"/>
  <c r="E55" i="57"/>
  <c r="B56" i="57"/>
  <c r="F56" i="57"/>
  <c r="C57" i="57"/>
  <c r="D58" i="57"/>
  <c r="E59" i="57"/>
  <c r="B60" i="57"/>
  <c r="F60" i="57"/>
  <c r="C61" i="57"/>
  <c r="C62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I787" i="55"/>
  <c r="E158" i="60"/>
  <c r="G157" i="60"/>
  <c r="E156" i="60"/>
  <c r="G155" i="60"/>
  <c r="E154" i="60"/>
  <c r="G153" i="60"/>
  <c r="E153" i="60"/>
  <c r="F158" i="60"/>
  <c r="F157" i="60"/>
  <c r="F156" i="60"/>
  <c r="F155" i="60"/>
  <c r="F154" i="60"/>
  <c r="F153" i="60"/>
  <c r="G158" i="60"/>
  <c r="E157" i="60"/>
  <c r="G156" i="60"/>
  <c r="E155" i="60"/>
  <c r="G154" i="60"/>
  <c r="G137" i="60"/>
  <c r="G72" i="60"/>
  <c r="E74" i="60"/>
  <c r="G75" i="60"/>
  <c r="E126" i="60"/>
  <c r="G127" i="60"/>
  <c r="E128" i="60"/>
  <c r="G129" i="60"/>
  <c r="E130" i="60"/>
  <c r="G131" i="60"/>
  <c r="E132" i="60"/>
  <c r="G133" i="60"/>
  <c r="E134" i="60"/>
  <c r="G135" i="60"/>
  <c r="E136" i="60"/>
  <c r="G69" i="60"/>
  <c r="E70" i="60"/>
  <c r="F74" i="60"/>
  <c r="F126" i="60"/>
  <c r="F128" i="60"/>
  <c r="F130" i="60"/>
  <c r="F132" i="60"/>
  <c r="F134" i="60"/>
  <c r="F136" i="60"/>
  <c r="F70" i="60"/>
  <c r="E137" i="60"/>
  <c r="E72" i="60"/>
  <c r="G74" i="60"/>
  <c r="E75" i="60"/>
  <c r="G126" i="60"/>
  <c r="E127" i="60"/>
  <c r="G128" i="60"/>
  <c r="E129" i="60"/>
  <c r="G130" i="60"/>
  <c r="E131" i="60"/>
  <c r="G132" i="60"/>
  <c r="E133" i="60"/>
  <c r="G134" i="60"/>
  <c r="E135" i="60"/>
  <c r="G136" i="60"/>
  <c r="G70" i="60"/>
  <c r="F137" i="60"/>
  <c r="F72" i="60"/>
  <c r="F75" i="60"/>
  <c r="F127" i="60"/>
  <c r="F129" i="60"/>
  <c r="F131" i="60"/>
  <c r="F133" i="60"/>
  <c r="F135" i="60"/>
  <c r="F69" i="60"/>
  <c r="L14" i="54"/>
  <c r="L15" i="54" s="1"/>
  <c r="L16" i="54" s="1"/>
  <c r="L18" i="54"/>
  <c r="L19" i="54" s="1"/>
  <c r="G149" i="60"/>
  <c r="E150" i="60"/>
  <c r="G151" i="60"/>
  <c r="E152" i="60"/>
  <c r="F149" i="60"/>
  <c r="F151" i="60"/>
  <c r="G148" i="60"/>
  <c r="E148" i="60"/>
  <c r="F150" i="60"/>
  <c r="E149" i="60"/>
  <c r="G150" i="60"/>
  <c r="F152" i="60"/>
  <c r="E151" i="60"/>
  <c r="G152" i="60"/>
  <c r="E8" i="60"/>
  <c r="F8" i="60"/>
  <c r="G8" i="60"/>
  <c r="F7" i="60"/>
  <c r="G7" i="60"/>
  <c r="E7" i="60"/>
  <c r="E200" i="60"/>
  <c r="G200" i="60"/>
  <c r="F20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3" i="57" s="1"/>
  <c r="C19" i="57"/>
  <c r="F18" i="57"/>
  <c r="B18" i="57"/>
  <c r="C15" i="57"/>
  <c r="B14" i="57"/>
  <c r="A14" i="57" s="1"/>
  <c r="J77" i="57" s="1"/>
  <c r="F19" i="57"/>
  <c r="B19" i="57"/>
  <c r="C16" i="57"/>
  <c r="F15" i="57"/>
  <c r="B15" i="57"/>
  <c r="I13" i="61"/>
  <c r="I14" i="61" s="1"/>
  <c r="C13" i="61"/>
  <c r="C14" i="61" s="1"/>
  <c r="H188" i="60" l="1"/>
  <c r="J188" i="60" s="1"/>
  <c r="H176" i="60"/>
  <c r="J176" i="60" s="1"/>
  <c r="H217" i="60"/>
  <c r="H190" i="60"/>
  <c r="J190" i="60" s="1"/>
  <c r="H171" i="60"/>
  <c r="H169" i="60"/>
  <c r="J169" i="60" s="1"/>
  <c r="H172" i="60"/>
  <c r="J172" i="60" s="1"/>
  <c r="H181" i="60"/>
  <c r="J181" i="60" s="1"/>
  <c r="H186" i="60"/>
  <c r="J186" i="60" s="1"/>
  <c r="H183" i="60"/>
  <c r="J183" i="60" s="1"/>
  <c r="H185" i="60"/>
  <c r="J185" i="60" s="1"/>
  <c r="H174" i="60"/>
  <c r="J174" i="60" s="1"/>
  <c r="H189" i="60"/>
  <c r="J189" i="60" s="1"/>
  <c r="H173" i="60"/>
  <c r="J173" i="60" s="1"/>
  <c r="H178" i="60"/>
  <c r="J178" i="60" s="1"/>
  <c r="J191" i="60"/>
  <c r="H175" i="60"/>
  <c r="J175" i="60" s="1"/>
  <c r="H170" i="60"/>
  <c r="J170" i="60" s="1"/>
  <c r="H184" i="60"/>
  <c r="J184" i="60" s="1"/>
  <c r="H177" i="60"/>
  <c r="J177" i="60" s="1"/>
  <c r="H182" i="60"/>
  <c r="J182" i="60" s="1"/>
  <c r="H179" i="60"/>
  <c r="J179" i="60" s="1"/>
  <c r="H152" i="60"/>
  <c r="H2" i="55"/>
  <c r="H209" i="60"/>
  <c r="H148" i="60"/>
  <c r="J148" i="60" s="1"/>
  <c r="H168" i="60"/>
  <c r="J168" i="60" s="1"/>
  <c r="H163" i="60"/>
  <c r="J163" i="60" s="1"/>
  <c r="H165" i="60"/>
  <c r="J165" i="60" s="1"/>
  <c r="H155" i="60"/>
  <c r="H159" i="60"/>
  <c r="H167" i="60"/>
  <c r="J167" i="60" s="1"/>
  <c r="H150" i="60"/>
  <c r="H149" i="60"/>
  <c r="H156" i="60"/>
  <c r="H160" i="60"/>
  <c r="J171" i="60"/>
  <c r="H164" i="60"/>
  <c r="J164" i="60" s="1"/>
  <c r="H151" i="60"/>
  <c r="H69" i="60"/>
  <c r="H153" i="60"/>
  <c r="H157" i="60"/>
  <c r="H161" i="60"/>
  <c r="H154" i="60"/>
  <c r="H158" i="60"/>
  <c r="H162" i="60"/>
  <c r="H18" i="60"/>
  <c r="H218" i="60"/>
  <c r="H20" i="60"/>
  <c r="J20" i="60" s="1"/>
  <c r="H72" i="60"/>
  <c r="H74" i="60"/>
  <c r="H27" i="60"/>
  <c r="H26" i="60"/>
  <c r="H25" i="60"/>
  <c r="H24" i="60"/>
  <c r="H17" i="60"/>
  <c r="H224" i="60"/>
  <c r="H210" i="60"/>
  <c r="H23" i="60"/>
  <c r="H22" i="60"/>
  <c r="H21" i="60"/>
  <c r="J21" i="60" s="1"/>
  <c r="H70" i="60"/>
  <c r="H19" i="60"/>
  <c r="J20" i="57"/>
  <c r="H20" i="57"/>
  <c r="H22" i="57"/>
  <c r="J22" i="57"/>
  <c r="H24" i="57"/>
  <c r="J24" i="57"/>
  <c r="H26" i="57"/>
  <c r="J26" i="57"/>
  <c r="H37" i="57"/>
  <c r="J37" i="57"/>
  <c r="H27" i="57"/>
  <c r="J27" i="57"/>
  <c r="H32" i="57"/>
  <c r="J32" i="57"/>
  <c r="H29" i="57"/>
  <c r="J29" i="57"/>
  <c r="H48" i="57"/>
  <c r="J48" i="57"/>
  <c r="H57" i="57"/>
  <c r="J57" i="57"/>
  <c r="H41" i="57"/>
  <c r="J41" i="57"/>
  <c r="H58" i="57"/>
  <c r="J58" i="57"/>
  <c r="H55" i="57"/>
  <c r="J55" i="57"/>
  <c r="H39" i="57"/>
  <c r="J39" i="57"/>
  <c r="H64" i="57"/>
  <c r="J64" i="57"/>
  <c r="H71" i="57"/>
  <c r="J71" i="57"/>
  <c r="H23" i="57"/>
  <c r="J23" i="57"/>
  <c r="H38" i="57"/>
  <c r="J38" i="57"/>
  <c r="H35" i="57"/>
  <c r="J35" i="57"/>
  <c r="H34" i="57"/>
  <c r="J34" i="57"/>
  <c r="H28" i="57"/>
  <c r="J28" i="57"/>
  <c r="H25" i="57"/>
  <c r="J25" i="57"/>
  <c r="H60" i="57"/>
  <c r="J60" i="57"/>
  <c r="H44" i="57"/>
  <c r="J44" i="57"/>
  <c r="H62" i="57"/>
  <c r="J62" i="57"/>
  <c r="H53" i="57"/>
  <c r="J53" i="57"/>
  <c r="H54" i="57"/>
  <c r="J54" i="57"/>
  <c r="H51" i="57"/>
  <c r="J51" i="57"/>
  <c r="H70" i="57"/>
  <c r="J70" i="57"/>
  <c r="H67" i="57"/>
  <c r="J67" i="57"/>
  <c r="H18" i="57"/>
  <c r="J18" i="57"/>
  <c r="H16" i="57"/>
  <c r="J16" i="57"/>
  <c r="H36" i="57"/>
  <c r="J36" i="57"/>
  <c r="H56" i="57"/>
  <c r="J56" i="57"/>
  <c r="H40" i="57"/>
  <c r="J40" i="57"/>
  <c r="H49" i="57"/>
  <c r="J49" i="57"/>
  <c r="H50" i="57"/>
  <c r="J50" i="57"/>
  <c r="H47" i="57"/>
  <c r="J47" i="57"/>
  <c r="H72" i="57"/>
  <c r="J72" i="57"/>
  <c r="H69" i="57"/>
  <c r="J69" i="57"/>
  <c r="H66" i="57"/>
  <c r="J66" i="57"/>
  <c r="H63" i="57"/>
  <c r="J63" i="57"/>
  <c r="H19" i="57"/>
  <c r="J19" i="57"/>
  <c r="H17" i="57"/>
  <c r="J17" i="57"/>
  <c r="H15" i="57"/>
  <c r="J15" i="57"/>
  <c r="H21" i="57"/>
  <c r="J21" i="57"/>
  <c r="H30" i="57"/>
  <c r="J30" i="57"/>
  <c r="H31" i="57"/>
  <c r="J31" i="57"/>
  <c r="H33" i="57"/>
  <c r="J33" i="57"/>
  <c r="H52" i="57"/>
  <c r="J52" i="57"/>
  <c r="H61" i="57"/>
  <c r="J61" i="57"/>
  <c r="H45" i="57"/>
  <c r="J45" i="57"/>
  <c r="H46" i="57"/>
  <c r="J46" i="57"/>
  <c r="H59" i="57"/>
  <c r="J59" i="57"/>
  <c r="H43" i="57"/>
  <c r="J43" i="57"/>
  <c r="H68" i="57"/>
  <c r="J68" i="57"/>
  <c r="H65" i="57"/>
  <c r="J65" i="57"/>
  <c r="H138" i="60"/>
  <c r="J138" i="60" s="1"/>
  <c r="H116" i="60"/>
  <c r="J116" i="60" s="1"/>
  <c r="H112" i="60"/>
  <c r="J112" i="60" s="1"/>
  <c r="H123" i="60"/>
  <c r="J123" i="60" s="1"/>
  <c r="H117" i="60"/>
  <c r="J117" i="60" s="1"/>
  <c r="H125" i="60"/>
  <c r="J125" i="60" s="1"/>
  <c r="H120" i="60"/>
  <c r="J120" i="60" s="1"/>
  <c r="H76" i="60"/>
  <c r="J76" i="60" s="1"/>
  <c r="H80" i="60"/>
  <c r="J80" i="60" s="1"/>
  <c r="H84" i="60"/>
  <c r="J84" i="60" s="1"/>
  <c r="H77" i="60"/>
  <c r="J77" i="60" s="1"/>
  <c r="H81" i="60"/>
  <c r="J81" i="60" s="1"/>
  <c r="H85" i="60"/>
  <c r="J85" i="60" s="1"/>
  <c r="H78" i="60"/>
  <c r="J78" i="60" s="1"/>
  <c r="H82" i="60"/>
  <c r="J82" i="60" s="1"/>
  <c r="H87" i="60"/>
  <c r="J87" i="60" s="1"/>
  <c r="H79" i="60"/>
  <c r="J79" i="60" s="1"/>
  <c r="H83" i="60"/>
  <c r="J83" i="60" s="1"/>
  <c r="H88" i="60"/>
  <c r="J88" i="60" s="1"/>
  <c r="H89" i="60"/>
  <c r="J89" i="60" s="1"/>
  <c r="H93" i="60"/>
  <c r="J93" i="60" s="1"/>
  <c r="H98" i="60"/>
  <c r="J98" i="60" s="1"/>
  <c r="H90" i="60"/>
  <c r="J90" i="60" s="1"/>
  <c r="H95" i="60"/>
  <c r="J95" i="60" s="1"/>
  <c r="H99" i="60"/>
  <c r="J99" i="60" s="1"/>
  <c r="H91" i="60"/>
  <c r="J91" i="60" s="1"/>
  <c r="H96" i="60"/>
  <c r="J96" i="60" s="1"/>
  <c r="H100" i="60"/>
  <c r="J100" i="60" s="1"/>
  <c r="H92" i="60"/>
  <c r="J92" i="60" s="1"/>
  <c r="H97" i="60"/>
  <c r="J97" i="60" s="1"/>
  <c r="H101" i="60"/>
  <c r="J101" i="60" s="1"/>
  <c r="H122" i="60"/>
  <c r="J122" i="60" s="1"/>
  <c r="H105" i="60"/>
  <c r="J105" i="60" s="1"/>
  <c r="H108" i="60"/>
  <c r="J108" i="60" s="1"/>
  <c r="H102" i="60"/>
  <c r="J102" i="60" s="1"/>
  <c r="H106" i="60"/>
  <c r="J106" i="60" s="1"/>
  <c r="H109" i="60"/>
  <c r="J109" i="60" s="1"/>
  <c r="H118" i="60"/>
  <c r="J118" i="60" s="1"/>
  <c r="H124" i="60"/>
  <c r="J124" i="60" s="1"/>
  <c r="H103" i="60"/>
  <c r="J103" i="60" s="1"/>
  <c r="H113" i="60"/>
  <c r="J113" i="60" s="1"/>
  <c r="H110" i="60"/>
  <c r="J110" i="60" s="1"/>
  <c r="H104" i="60"/>
  <c r="J104" i="60" s="1"/>
  <c r="H107" i="60"/>
  <c r="J107" i="60" s="1"/>
  <c r="H111" i="60"/>
  <c r="J111" i="60" s="1"/>
  <c r="H55" i="60"/>
  <c r="J55" i="60" s="1"/>
  <c r="H119" i="60"/>
  <c r="J119" i="60" s="1"/>
  <c r="H114" i="60"/>
  <c r="J114" i="60" s="1"/>
  <c r="H121" i="60"/>
  <c r="J121" i="60" s="1"/>
  <c r="H115" i="60"/>
  <c r="J115" i="60" s="1"/>
  <c r="H208" i="60"/>
  <c r="H47" i="60"/>
  <c r="J47" i="60" s="1"/>
  <c r="H216" i="60"/>
  <c r="H46" i="60"/>
  <c r="J46" i="60" s="1"/>
  <c r="H51" i="60"/>
  <c r="J51" i="60" s="1"/>
  <c r="H204" i="60"/>
  <c r="H221" i="60"/>
  <c r="H214" i="60"/>
  <c r="H203" i="60"/>
  <c r="H201" i="60"/>
  <c r="H207" i="60"/>
  <c r="H220" i="60"/>
  <c r="H213" i="60"/>
  <c r="H215" i="60"/>
  <c r="H206" i="60"/>
  <c r="H212" i="60"/>
  <c r="H211" i="60"/>
  <c r="H223" i="60"/>
  <c r="H205" i="60"/>
  <c r="H222" i="60"/>
  <c r="H219" i="60"/>
  <c r="H202" i="60"/>
  <c r="H54" i="60"/>
  <c r="J54" i="60" s="1"/>
  <c r="J17" i="60"/>
  <c r="H44" i="60"/>
  <c r="J44" i="60" s="1"/>
  <c r="H35" i="60"/>
  <c r="J35" i="60" s="1"/>
  <c r="H34" i="60"/>
  <c r="J34" i="60" s="1"/>
  <c r="H56" i="60"/>
  <c r="J56" i="60" s="1"/>
  <c r="H31" i="60"/>
  <c r="J31" i="60" s="1"/>
  <c r="H30" i="60"/>
  <c r="J30" i="60" s="1"/>
  <c r="H43" i="60"/>
  <c r="J43" i="60" s="1"/>
  <c r="H33" i="60"/>
  <c r="J33" i="60" s="1"/>
  <c r="H32" i="60"/>
  <c r="J32" i="60" s="1"/>
  <c r="H50" i="60"/>
  <c r="J50" i="60" s="1"/>
  <c r="H29" i="60"/>
  <c r="J29" i="60" s="1"/>
  <c r="H28" i="60"/>
  <c r="J28" i="60" s="1"/>
  <c r="J27" i="60"/>
  <c r="J26" i="60"/>
  <c r="J25" i="60"/>
  <c r="J24" i="60"/>
  <c r="H40" i="60"/>
  <c r="J40" i="60" s="1"/>
  <c r="J23" i="60"/>
  <c r="J22" i="60"/>
  <c r="H36" i="60"/>
  <c r="J36" i="60" s="1"/>
  <c r="H52" i="60"/>
  <c r="J52" i="60" s="1"/>
  <c r="H48" i="60"/>
  <c r="J48" i="60" s="1"/>
  <c r="H37" i="60"/>
  <c r="J37" i="60" s="1"/>
  <c r="H53" i="60"/>
  <c r="J53" i="60" s="1"/>
  <c r="H49" i="60"/>
  <c r="J49" i="60" s="1"/>
  <c r="H42" i="60"/>
  <c r="J42" i="60" s="1"/>
  <c r="H45" i="60"/>
  <c r="J45" i="60" s="1"/>
  <c r="H41" i="60"/>
  <c r="J41" i="60" s="1"/>
  <c r="H59" i="60"/>
  <c r="J59" i="60" s="1"/>
  <c r="H58" i="60"/>
  <c r="J58" i="60" s="1"/>
  <c r="H57" i="60"/>
  <c r="J57" i="60" s="1"/>
  <c r="H16" i="60"/>
  <c r="J16" i="60" s="1"/>
  <c r="J18" i="60"/>
  <c r="J19" i="60"/>
  <c r="H15" i="60"/>
  <c r="J15" i="60" s="1"/>
  <c r="H38" i="60"/>
  <c r="J38" i="60" s="1"/>
  <c r="H7" i="60"/>
  <c r="H127" i="60"/>
  <c r="H14" i="60"/>
  <c r="J14" i="60" s="1"/>
  <c r="H10" i="60"/>
  <c r="J10" i="60" s="1"/>
  <c r="H8" i="60"/>
  <c r="H13" i="60"/>
  <c r="J13" i="60" s="1"/>
  <c r="H9" i="60"/>
  <c r="J9" i="60" s="1"/>
  <c r="H12" i="60"/>
  <c r="J12" i="60" s="1"/>
  <c r="H11" i="60"/>
  <c r="J11" i="60" s="1"/>
  <c r="H75" i="60"/>
  <c r="H130" i="60"/>
  <c r="H129" i="60"/>
  <c r="H126" i="60"/>
  <c r="H128" i="60"/>
  <c r="K4499" i="34"/>
  <c r="J288" i="55" s="1" a="1"/>
  <c r="J288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H200" i="60"/>
  <c r="J130" i="60"/>
  <c r="J224" i="60"/>
  <c r="J209" i="60"/>
  <c r="J215" i="60"/>
  <c r="J214" i="60"/>
  <c r="J212" i="60"/>
  <c r="J219" i="60"/>
  <c r="J217" i="60"/>
  <c r="J207" i="60"/>
  <c r="J222" i="60"/>
  <c r="J210" i="60"/>
  <c r="J206" i="60"/>
  <c r="J213" i="60"/>
  <c r="J202" i="60"/>
  <c r="J218" i="60"/>
  <c r="J223" i="60"/>
  <c r="J22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A30" i="56"/>
  <c r="B17" i="56"/>
  <c r="D17" i="56" s="1"/>
  <c r="M8" i="39"/>
  <c r="K787" i="55"/>
  <c r="J211" i="60"/>
  <c r="J208" i="60"/>
  <c r="J216" i="60"/>
  <c r="J220" i="60"/>
  <c r="J161" i="60"/>
  <c r="H131" i="60"/>
  <c r="J131" i="60" s="1"/>
  <c r="J72" i="60"/>
  <c r="H137" i="60"/>
  <c r="J137" i="60" s="1"/>
  <c r="J153" i="60"/>
  <c r="J157" i="60"/>
  <c r="J156" i="60"/>
  <c r="J155" i="60"/>
  <c r="J154" i="60"/>
  <c r="B24" i="56"/>
  <c r="F24" i="56"/>
  <c r="J159" i="60"/>
  <c r="J162" i="60"/>
  <c r="J160" i="60"/>
  <c r="J158" i="60"/>
  <c r="H136" i="60"/>
  <c r="J136" i="60" s="1"/>
  <c r="J128" i="60"/>
  <c r="H133" i="60"/>
  <c r="J133" i="60" s="1"/>
  <c r="J75" i="60"/>
  <c r="J70" i="60"/>
  <c r="H135" i="60"/>
  <c r="J135" i="60" s="1"/>
  <c r="J127" i="60"/>
  <c r="H132" i="60"/>
  <c r="J132" i="60" s="1"/>
  <c r="J74" i="60"/>
  <c r="J69" i="60"/>
  <c r="J129" i="60"/>
  <c r="H134" i="60"/>
  <c r="J134" i="60" s="1"/>
  <c r="J126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7" i="60"/>
  <c r="B12" i="61"/>
  <c r="D13" i="61"/>
  <c r="D14" i="61" s="1"/>
  <c r="G13" i="61"/>
  <c r="G14" i="61" s="1"/>
  <c r="E13" i="61"/>
  <c r="E14" i="61" s="1"/>
  <c r="J8" i="60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B13" i="61"/>
  <c r="H427" i="55" l="1" a="1"/>
  <c r="H427" i="55" s="1"/>
  <c r="H323" i="55" a="1"/>
  <c r="H323" i="55" s="1"/>
  <c r="J424" i="55" a="1"/>
  <c r="J424" i="55" s="1"/>
  <c r="H376" i="55" a="1"/>
  <c r="H376" i="55" s="1"/>
  <c r="H708" i="55" a="1"/>
  <c r="H708" i="55" s="1"/>
  <c r="J402" i="55" a="1"/>
  <c r="J402" i="55" s="1"/>
  <c r="J585" i="55" a="1"/>
  <c r="J585" i="55" s="1"/>
  <c r="H746" i="55" a="1"/>
  <c r="H746" i="55" s="1"/>
  <c r="H352" i="55" a="1"/>
  <c r="H352" i="55" s="1"/>
  <c r="J411" i="55" a="1"/>
  <c r="J411" i="55" s="1"/>
  <c r="H737" i="55" a="1"/>
  <c r="H737" i="55" s="1"/>
  <c r="H599" i="55" a="1"/>
  <c r="H599" i="55" s="1"/>
  <c r="H411" i="55" a="1"/>
  <c r="H411" i="55" s="1"/>
  <c r="L411" i="55" s="1"/>
  <c r="M411" i="55" s="1"/>
  <c r="J734" i="55" a="1"/>
  <c r="J734" i="55" s="1"/>
  <c r="J624" i="55" a="1"/>
  <c r="J624" i="55" s="1"/>
  <c r="H494" i="55" a="1"/>
  <c r="H494" i="55" s="1"/>
  <c r="J746" i="55" a="1"/>
  <c r="J746" i="55" s="1"/>
  <c r="J352" i="55" a="1"/>
  <c r="J352" i="55" s="1"/>
  <c r="J603" i="55" a="1"/>
  <c r="J603" i="55" s="1"/>
  <c r="J672" i="55" a="1"/>
  <c r="J672" i="55" s="1"/>
  <c r="H508" i="55" a="1"/>
  <c r="H508" i="55" s="1"/>
  <c r="J520" i="55" a="1"/>
  <c r="J520" i="55" s="1"/>
  <c r="J694" i="55" a="1"/>
  <c r="J694" i="55" s="1"/>
  <c r="H662" i="55" a="1"/>
  <c r="H662" i="55" s="1"/>
  <c r="H520" i="55" a="1"/>
  <c r="H520" i="55" s="1"/>
  <c r="H694" i="55" a="1"/>
  <c r="H694" i="55" s="1"/>
  <c r="L694" i="55" s="1"/>
  <c r="M694" i="55" s="1"/>
  <c r="J754" i="55" a="1"/>
  <c r="J754" i="55" s="1"/>
  <c r="H524" i="55" a="1"/>
  <c r="H524" i="55" s="1"/>
  <c r="H617" i="55" a="1"/>
  <c r="H617" i="55" s="1"/>
  <c r="J508" i="55" a="1"/>
  <c r="J508" i="55" s="1"/>
  <c r="J438" i="55" a="1"/>
  <c r="J438" i="55" s="1"/>
  <c r="H461" i="55" a="1"/>
  <c r="H461" i="55" s="1"/>
  <c r="H743" i="55" a="1"/>
  <c r="H743" i="55" s="1"/>
  <c r="J628" i="55" a="1"/>
  <c r="J628" i="55" s="1"/>
  <c r="H592" i="55" a="1"/>
  <c r="H592" i="55" s="1"/>
  <c r="H312" i="55" a="1"/>
  <c r="H312" i="55" s="1"/>
  <c r="H628" i="55" a="1"/>
  <c r="H628" i="55" s="1"/>
  <c r="J587" i="55" a="1"/>
  <c r="J587" i="55" s="1"/>
  <c r="J616" i="55" a="1"/>
  <c r="J616" i="55" s="1"/>
  <c r="H579" i="55" a="1"/>
  <c r="H579" i="55" s="1"/>
  <c r="J461" i="55" a="1"/>
  <c r="J461" i="55" s="1"/>
  <c r="J743" i="55" a="1"/>
  <c r="J743" i="55" s="1"/>
  <c r="J394" i="55" a="1"/>
  <c r="J394" i="55" s="1"/>
  <c r="H496" i="55" a="1"/>
  <c r="H496" i="55" s="1"/>
  <c r="H347" i="55" a="1"/>
  <c r="H347" i="55" s="1"/>
  <c r="J423" i="55" a="1"/>
  <c r="J423" i="55" s="1"/>
  <c r="H417" i="55" a="1"/>
  <c r="H417" i="55" s="1"/>
  <c r="H720" i="55" a="1"/>
  <c r="H720" i="55" s="1"/>
  <c r="H423" i="55" a="1"/>
  <c r="H423" i="55" s="1"/>
  <c r="J737" i="55" a="1"/>
  <c r="J737" i="55" s="1"/>
  <c r="J599" i="55" a="1"/>
  <c r="J599" i="55" s="1"/>
  <c r="H585" i="55" a="1"/>
  <c r="H585" i="55" s="1"/>
  <c r="L585" i="55" s="1"/>
  <c r="M585" i="55" s="1"/>
  <c r="J496" i="55" a="1"/>
  <c r="J496" i="55" s="1"/>
  <c r="J347" i="55" a="1"/>
  <c r="J347" i="55" s="1"/>
  <c r="J708" i="55" a="1"/>
  <c r="J708" i="55" s="1"/>
  <c r="H493" i="55" a="1"/>
  <c r="H493" i="55" s="1"/>
  <c r="J541" i="55" a="1"/>
  <c r="J541" i="55" s="1"/>
  <c r="J338" i="55" a="1"/>
  <c r="J338" i="55" s="1"/>
  <c r="H424" i="55" a="1"/>
  <c r="H424" i="55" s="1"/>
  <c r="L424" i="55" s="1"/>
  <c r="M424" i="55" s="1"/>
  <c r="J376" i="55" a="1"/>
  <c r="J376" i="55" s="1"/>
  <c r="H338" i="55" a="1"/>
  <c r="H338" i="55" s="1"/>
  <c r="J662" i="55" a="1"/>
  <c r="J662" i="55" s="1"/>
  <c r="H603" i="55" a="1"/>
  <c r="H603" i="55" s="1"/>
  <c r="L603" i="55" s="1"/>
  <c r="M603" i="55" s="1"/>
  <c r="H672" i="55" a="1"/>
  <c r="H672" i="55" s="1"/>
  <c r="L672" i="55" s="1"/>
  <c r="M672" i="55" s="1"/>
  <c r="J493" i="55" a="1"/>
  <c r="J493" i="55" s="1"/>
  <c r="J524" i="55" a="1"/>
  <c r="J524" i="55" s="1"/>
  <c r="J494" i="55" a="1"/>
  <c r="J494" i="55" s="1"/>
  <c r="H479" i="55" a="1"/>
  <c r="H479" i="55" s="1"/>
  <c r="H618" i="55" a="1"/>
  <c r="H618" i="55" s="1"/>
  <c r="J665" i="55" a="1"/>
  <c r="J665" i="55" s="1"/>
  <c r="H734" i="55" a="1"/>
  <c r="H734" i="55" s="1"/>
  <c r="L734" i="55" s="1"/>
  <c r="M734" i="55" s="1"/>
  <c r="H624" i="55" a="1"/>
  <c r="H624" i="55" s="1"/>
  <c r="L624" i="55" s="1"/>
  <c r="M624" i="55" s="1"/>
  <c r="H665" i="55" a="1"/>
  <c r="H665" i="55" s="1"/>
  <c r="J592" i="55" a="1"/>
  <c r="J592" i="55" s="1"/>
  <c r="J312" i="55" a="1"/>
  <c r="J312" i="55" s="1"/>
  <c r="H438" i="55" a="1"/>
  <c r="H438" i="55" s="1"/>
  <c r="L438" i="55" s="1"/>
  <c r="M438" i="55" s="1"/>
  <c r="J479" i="55" a="1"/>
  <c r="J479" i="55" s="1"/>
  <c r="J618" i="55" a="1"/>
  <c r="J618" i="55" s="1"/>
  <c r="J617" i="55" a="1"/>
  <c r="J617" i="55" s="1"/>
  <c r="H286" i="55" a="1"/>
  <c r="H286" i="55" s="1"/>
  <c r="J393" i="55" a="1"/>
  <c r="J393" i="55" s="1"/>
  <c r="J695" i="55" a="1"/>
  <c r="J695" i="55" s="1"/>
  <c r="H754" i="55" a="1"/>
  <c r="H754" i="55" s="1"/>
  <c r="L754" i="55" s="1"/>
  <c r="M754" i="55" s="1"/>
  <c r="H541" i="55" a="1"/>
  <c r="H541" i="55" s="1"/>
  <c r="L541" i="55" s="1"/>
  <c r="M541" i="55" s="1"/>
  <c r="H695" i="55" a="1"/>
  <c r="H695" i="55" s="1"/>
  <c r="J720" i="55" a="1"/>
  <c r="J720" i="55" s="1"/>
  <c r="H394" i="55" a="1"/>
  <c r="H394" i="55" s="1"/>
  <c r="L394" i="55" s="1"/>
  <c r="M394" i="55" s="1"/>
  <c r="J427" i="55" a="1"/>
  <c r="J427" i="55" s="1"/>
  <c r="J286" i="55" a="1"/>
  <c r="J286" i="55" s="1"/>
  <c r="H393" i="55" a="1"/>
  <c r="H393" i="55" s="1"/>
  <c r="L393" i="55" s="1"/>
  <c r="M393" i="55" s="1"/>
  <c r="J579" i="55" a="1"/>
  <c r="J579" i="55" s="1"/>
  <c r="H402" i="55" a="1"/>
  <c r="H402" i="55" s="1"/>
  <c r="L402" i="55" s="1"/>
  <c r="M402" i="55" s="1"/>
  <c r="J417" i="55" a="1"/>
  <c r="J417" i="55" s="1"/>
  <c r="J323" i="55" a="1"/>
  <c r="J323" i="55" s="1"/>
  <c r="H587" i="55" a="1"/>
  <c r="H587" i="55" s="1"/>
  <c r="L587" i="55" s="1"/>
  <c r="M587" i="55" s="1"/>
  <c r="H616" i="55" a="1"/>
  <c r="H616" i="55" s="1"/>
  <c r="L616" i="55" s="1"/>
  <c r="M616" i="55" s="1"/>
  <c r="J784" i="55" a="1"/>
  <c r="J784" i="55" s="1"/>
  <c r="J315" i="55" a="1"/>
  <c r="J315" i="55" s="1"/>
  <c r="H365" i="55" a="1"/>
  <c r="H365" i="55" s="1"/>
  <c r="H305" i="55" a="1"/>
  <c r="H305" i="55" s="1"/>
  <c r="H784" i="55" a="1"/>
  <c r="H784" i="55" s="1"/>
  <c r="L784" i="55" s="1"/>
  <c r="H315" i="55" a="1"/>
  <c r="H315" i="55" s="1"/>
  <c r="L315" i="55" s="1"/>
  <c r="M315" i="55" s="1"/>
  <c r="H380" i="55" a="1"/>
  <c r="H380" i="55" s="1"/>
  <c r="J346" i="55" a="1"/>
  <c r="J346" i="55" s="1"/>
  <c r="J670" i="55" a="1"/>
  <c r="J670" i="55" s="1"/>
  <c r="H666" i="55" a="1"/>
  <c r="H666" i="55" s="1"/>
  <c r="J380" i="55" a="1"/>
  <c r="J380" i="55" s="1"/>
  <c r="H346" i="55" a="1"/>
  <c r="H346" i="55" s="1"/>
  <c r="L346" i="55" s="1"/>
  <c r="M346" i="55" s="1"/>
  <c r="H364" i="55" a="1"/>
  <c r="H364" i="55" s="1"/>
  <c r="H716" i="55" a="1"/>
  <c r="H716" i="55" s="1"/>
  <c r="H331" i="55" a="1"/>
  <c r="H331" i="55" s="1"/>
  <c r="H361" i="55" a="1"/>
  <c r="H361" i="55" s="1"/>
  <c r="J364" i="55" a="1"/>
  <c r="J364" i="55" s="1"/>
  <c r="H670" i="55" a="1"/>
  <c r="H670" i="55" s="1"/>
  <c r="L670" i="55" s="1"/>
  <c r="M670" i="55" s="1"/>
  <c r="J331" i="55" a="1"/>
  <c r="J331" i="55" s="1"/>
  <c r="J783" i="55" a="1"/>
  <c r="J783" i="55" s="1"/>
  <c r="J365" i="55" a="1"/>
  <c r="J365" i="55" s="1"/>
  <c r="H532" i="55" a="1"/>
  <c r="H532" i="55" s="1"/>
  <c r="J716" i="55" a="1"/>
  <c r="J716" i="55" s="1"/>
  <c r="H783" i="55" a="1"/>
  <c r="H783" i="55" s="1"/>
  <c r="L783" i="55" s="1"/>
  <c r="M783" i="55" s="1"/>
  <c r="J361" i="55" a="1"/>
  <c r="J361" i="55" s="1"/>
  <c r="J532" i="55" a="1"/>
  <c r="J532" i="55" s="1"/>
  <c r="J305" i="55" a="1"/>
  <c r="J305" i="55" s="1"/>
  <c r="J666" i="55" a="1"/>
  <c r="J666" i="55" s="1"/>
  <c r="Q23" i="57"/>
  <c r="H498" i="55" a="1"/>
  <c r="H498" i="55" s="1"/>
  <c r="H409" i="55" a="1"/>
  <c r="H409" i="55" s="1"/>
  <c r="H407" i="55" a="1"/>
  <c r="H407" i="55" s="1"/>
  <c r="J382" i="55" a="1"/>
  <c r="J382" i="55" s="1"/>
  <c r="H382" i="55" a="1"/>
  <c r="H382" i="55" s="1"/>
  <c r="H761" i="55" a="1"/>
  <c r="H761" i="55" s="1"/>
  <c r="H619" i="55" a="1"/>
  <c r="H619" i="55" s="1"/>
  <c r="H519" i="55" a="1"/>
  <c r="H519" i="55" s="1"/>
  <c r="J409" i="55" a="1"/>
  <c r="J409" i="55" s="1"/>
  <c r="J407" i="55" a="1"/>
  <c r="J407" i="55" s="1"/>
  <c r="J418" i="55" a="1"/>
  <c r="J418" i="55" s="1"/>
  <c r="J519" i="55" a="1"/>
  <c r="J519" i="55" s="1"/>
  <c r="H418" i="55" a="1"/>
  <c r="H418" i="55" s="1"/>
  <c r="J761" i="55" a="1"/>
  <c r="J761" i="55" s="1"/>
  <c r="J619" i="55" a="1"/>
  <c r="J619" i="55" s="1"/>
  <c r="J704" i="55" a="1"/>
  <c r="J704" i="55" s="1"/>
  <c r="J498" i="55" a="1"/>
  <c r="J498" i="55" s="1"/>
  <c r="H704" i="55" a="1"/>
  <c r="H704" i="55" s="1"/>
  <c r="H551" i="55" a="1"/>
  <c r="H551" i="55" s="1"/>
  <c r="H590" i="55" a="1"/>
  <c r="H590" i="55" s="1"/>
  <c r="H678" i="55" a="1"/>
  <c r="H678" i="55" s="1"/>
  <c r="J593" i="55" a="1"/>
  <c r="J593" i="55" s="1"/>
  <c r="H593" i="55" a="1"/>
  <c r="H593" i="55" s="1"/>
  <c r="H295" i="55" a="1"/>
  <c r="H295" i="55" s="1"/>
  <c r="H696" i="55" a="1"/>
  <c r="H696" i="55" s="1"/>
  <c r="H608" i="55" a="1"/>
  <c r="H608" i="55" s="1"/>
  <c r="J590" i="55" a="1"/>
  <c r="J590" i="55" s="1"/>
  <c r="J678" i="55" a="1"/>
  <c r="J678" i="55" s="1"/>
  <c r="J668" i="55" a="1"/>
  <c r="J668" i="55" s="1"/>
  <c r="J608" i="55" a="1"/>
  <c r="J608" i="55" s="1"/>
  <c r="H668" i="55" a="1"/>
  <c r="H668" i="55" s="1"/>
  <c r="J295" i="55" a="1"/>
  <c r="J295" i="55" s="1"/>
  <c r="J696" i="55" a="1"/>
  <c r="J696" i="55" s="1"/>
  <c r="H333" i="55" a="1"/>
  <c r="H333" i="55" s="1"/>
  <c r="J551" i="55" a="1"/>
  <c r="J551" i="55" s="1"/>
  <c r="J333" i="55" a="1"/>
  <c r="J333" i="55" s="1"/>
  <c r="H731" i="55" a="1"/>
  <c r="H731" i="55" s="1"/>
  <c r="H324" i="55" a="1"/>
  <c r="H324" i="55" s="1"/>
  <c r="H613" i="55" a="1"/>
  <c r="H613" i="55" s="1"/>
  <c r="J478" i="55" a="1"/>
  <c r="J478" i="55" s="1"/>
  <c r="J414" i="55" a="1"/>
  <c r="J414" i="55" s="1"/>
  <c r="H512" i="55" a="1"/>
  <c r="H512" i="55" s="1"/>
  <c r="J59" i="55" a="1"/>
  <c r="J59" i="55" s="1"/>
  <c r="H302" i="55" a="1"/>
  <c r="H302" i="55" s="1"/>
  <c r="J731" i="55" a="1"/>
  <c r="J731" i="55" s="1"/>
  <c r="J324" i="55" a="1"/>
  <c r="J324" i="55" s="1"/>
  <c r="J613" i="55" a="1"/>
  <c r="J613" i="55" s="1"/>
  <c r="J609" i="55" a="1"/>
  <c r="J609" i="55" s="1"/>
  <c r="H478" i="55" a="1"/>
  <c r="H478" i="55" s="1"/>
  <c r="H414" i="55" a="1"/>
  <c r="H414" i="55" s="1"/>
  <c r="L414" i="55" s="1"/>
  <c r="M414" i="55" s="1"/>
  <c r="J512" i="55" a="1"/>
  <c r="J512" i="55" s="1"/>
  <c r="H609" i="55" a="1"/>
  <c r="H609" i="55" s="1"/>
  <c r="L609" i="55" s="1"/>
  <c r="M609" i="55" s="1"/>
  <c r="J302" i="55" a="1"/>
  <c r="J302" i="55" s="1"/>
  <c r="H59" i="55" a="1"/>
  <c r="H59" i="55" s="1"/>
  <c r="E48" i="70" a="1"/>
  <c r="E48" i="70" s="1"/>
  <c r="F43" i="70" a="1"/>
  <c r="F43" i="70" s="1"/>
  <c r="F46" i="70" a="1"/>
  <c r="F46" i="70" s="1"/>
  <c r="F45" i="70" a="1"/>
  <c r="F45" i="70" s="1"/>
  <c r="F48" i="70" a="1"/>
  <c r="F48" i="70" s="1"/>
  <c r="H48" i="70" s="1"/>
  <c r="F47" i="70" a="1"/>
  <c r="F47" i="70" s="1"/>
  <c r="E43" i="70" a="1"/>
  <c r="E43" i="70" s="1"/>
  <c r="E44" i="70" a="1"/>
  <c r="E44" i="70" s="1"/>
  <c r="E45" i="70" a="1"/>
  <c r="E45" i="70" s="1"/>
  <c r="E46" i="70" a="1"/>
  <c r="E46" i="70" s="1"/>
  <c r="E47" i="70" a="1"/>
  <c r="E47" i="70" s="1"/>
  <c r="F44" i="70" a="1"/>
  <c r="F44" i="70" s="1"/>
  <c r="H44" i="70" s="1"/>
  <c r="H700" i="55" a="1"/>
  <c r="H700" i="55" s="1"/>
  <c r="H686" i="55" a="1"/>
  <c r="H686" i="55" s="1"/>
  <c r="J774" i="55" a="1"/>
  <c r="J774" i="55" s="1"/>
  <c r="J778" i="55" a="1"/>
  <c r="J778" i="55" s="1"/>
  <c r="H778" i="55" a="1"/>
  <c r="H778" i="55" s="1"/>
  <c r="H771" i="55" a="1"/>
  <c r="H771" i="55" s="1"/>
  <c r="H254" i="55" a="1"/>
  <c r="H254" i="55" s="1"/>
  <c r="H614" i="55" a="1"/>
  <c r="H614" i="55" s="1"/>
  <c r="J686" i="55" a="1"/>
  <c r="J686" i="55" s="1"/>
  <c r="J254" i="55" a="1"/>
  <c r="J254" i="55" s="1"/>
  <c r="J614" i="55" a="1"/>
  <c r="J614" i="55" s="1"/>
  <c r="H779" i="55" a="1"/>
  <c r="H779" i="55" s="1"/>
  <c r="H275" i="55" a="1"/>
  <c r="H275" i="55" s="1"/>
  <c r="J771" i="55" a="1"/>
  <c r="J771" i="55" s="1"/>
  <c r="J779" i="55" a="1"/>
  <c r="J779" i="55" s="1"/>
  <c r="J275" i="55" a="1"/>
  <c r="J275" i="55" s="1"/>
  <c r="J700" i="55" a="1"/>
  <c r="J700" i="55" s="1"/>
  <c r="H774" i="55" a="1"/>
  <c r="H774" i="55" s="1"/>
  <c r="J773" i="55" a="1"/>
  <c r="J773" i="55" s="1"/>
  <c r="J775" i="55" a="1"/>
  <c r="J775" i="55" s="1"/>
  <c r="J781" i="55" a="1"/>
  <c r="J781" i="55" s="1"/>
  <c r="J491" i="55" a="1"/>
  <c r="J491" i="55" s="1"/>
  <c r="H770" i="55" a="1"/>
  <c r="H770" i="55" s="1"/>
  <c r="H776" i="55" a="1"/>
  <c r="H776" i="55" s="1"/>
  <c r="H763" i="55" a="1"/>
  <c r="H763" i="55" s="1"/>
  <c r="H768" i="55" a="1"/>
  <c r="H768" i="55" s="1"/>
  <c r="J782" i="55" a="1"/>
  <c r="J782" i="55" s="1"/>
  <c r="H762" i="55" a="1"/>
  <c r="H762" i="55" s="1"/>
  <c r="J767" i="55" a="1"/>
  <c r="J767" i="55" s="1"/>
  <c r="H491" i="55" a="1"/>
  <c r="H491" i="55" s="1"/>
  <c r="L491" i="55" s="1"/>
  <c r="J772" i="55" a="1"/>
  <c r="J772" i="55" s="1"/>
  <c r="H765" i="55" a="1"/>
  <c r="H765" i="55" s="1"/>
  <c r="H782" i="55" a="1"/>
  <c r="H782" i="55" s="1"/>
  <c r="H769" i="55" a="1"/>
  <c r="H769" i="55" s="1"/>
  <c r="H780" i="55" a="1"/>
  <c r="H780" i="55" s="1"/>
  <c r="H777" i="55" a="1"/>
  <c r="H777" i="55" s="1"/>
  <c r="H773" i="55" a="1"/>
  <c r="H773" i="55" s="1"/>
  <c r="H775" i="55" a="1"/>
  <c r="H775" i="55" s="1"/>
  <c r="H781" i="55" a="1"/>
  <c r="H781" i="55" s="1"/>
  <c r="J770" i="55" a="1"/>
  <c r="J770" i="55" s="1"/>
  <c r="J763" i="55" a="1"/>
  <c r="J763" i="55" s="1"/>
  <c r="J768" i="55" a="1"/>
  <c r="J768" i="55" s="1"/>
  <c r="J764" i="55" a="1"/>
  <c r="J764" i="55" s="1"/>
  <c r="J777" i="55" a="1"/>
  <c r="J777" i="55" s="1"/>
  <c r="H764" i="55" a="1"/>
  <c r="H764" i="55" s="1"/>
  <c r="J762" i="55" a="1"/>
  <c r="J762" i="55" s="1"/>
  <c r="H767" i="55" a="1"/>
  <c r="H767" i="55" s="1"/>
  <c r="J765" i="55" a="1"/>
  <c r="J765" i="55" s="1"/>
  <c r="H772" i="55" a="1"/>
  <c r="H772" i="55" s="1"/>
  <c r="J769" i="55" a="1"/>
  <c r="J769" i="55" s="1"/>
  <c r="J780" i="55" a="1"/>
  <c r="J780" i="55" s="1"/>
  <c r="H766" i="55" a="1"/>
  <c r="H766" i="55" s="1"/>
  <c r="J776" i="55" a="1"/>
  <c r="J776" i="55" s="1"/>
  <c r="J766" i="55" a="1"/>
  <c r="J766" i="55" s="1"/>
  <c r="H30" i="55" a="1"/>
  <c r="H30" i="55" s="1"/>
  <c r="H65" i="55" a="1"/>
  <c r="H65" i="55" s="1"/>
  <c r="H44" i="55" a="1"/>
  <c r="H44" i="55" s="1"/>
  <c r="J251" i="55" a="1"/>
  <c r="J251" i="55" s="1"/>
  <c r="J309" i="55" a="1"/>
  <c r="J309" i="55" s="1"/>
  <c r="J489" i="55" a="1"/>
  <c r="J489" i="55" s="1"/>
  <c r="J20" i="55" a="1"/>
  <c r="J20" i="55" s="1"/>
  <c r="H706" i="55" a="1"/>
  <c r="H706" i="55" s="1"/>
  <c r="H68" i="55" a="1"/>
  <c r="H68" i="55" s="1"/>
  <c r="H309" i="55" a="1"/>
  <c r="H309" i="55" s="1"/>
  <c r="H489" i="55" a="1"/>
  <c r="H489" i="55" s="1"/>
  <c r="J387" i="55" a="1"/>
  <c r="J387" i="55" s="1"/>
  <c r="J65" i="55" a="1"/>
  <c r="J65" i="55" s="1"/>
  <c r="J44" i="55" a="1"/>
  <c r="J44" i="55" s="1"/>
  <c r="J27" i="55" a="1"/>
  <c r="J27" i="55" s="1"/>
  <c r="H72" i="55" a="1"/>
  <c r="H72" i="55" s="1"/>
  <c r="H73" i="55" a="1"/>
  <c r="H73" i="55" s="1"/>
  <c r="H22" i="55" a="1"/>
  <c r="H22" i="55" s="1"/>
  <c r="H83" i="55" a="1"/>
  <c r="H83" i="55" s="1"/>
  <c r="J31" i="55" a="1"/>
  <c r="J31" i="55" s="1"/>
  <c r="H29" i="55" a="1"/>
  <c r="H29" i="55" s="1"/>
  <c r="J24" i="55" a="1"/>
  <c r="J24" i="55" s="1"/>
  <c r="H27" i="55" a="1"/>
  <c r="H27" i="55" s="1"/>
  <c r="L27" i="55" s="1"/>
  <c r="M27" i="55" s="1"/>
  <c r="H28" i="55" a="1"/>
  <c r="H28" i="55" s="1"/>
  <c r="H42" i="55" a="1"/>
  <c r="H42" i="55" s="1"/>
  <c r="J29" i="55" a="1"/>
  <c r="J29" i="55" s="1"/>
  <c r="J28" i="55" a="1"/>
  <c r="J28" i="55" s="1"/>
  <c r="J42" i="55" a="1"/>
  <c r="J42" i="55" s="1"/>
  <c r="J22" i="55" a="1"/>
  <c r="J22" i="55" s="1"/>
  <c r="J83" i="55" a="1"/>
  <c r="J83" i="55" s="1"/>
  <c r="J66" i="55" a="1"/>
  <c r="J66" i="55" s="1"/>
  <c r="H82" i="55" a="1"/>
  <c r="H82" i="55" s="1"/>
  <c r="H387" i="55" a="1"/>
  <c r="H387" i="55" s="1"/>
  <c r="H45" i="55" a="1"/>
  <c r="H45" i="55" s="1"/>
  <c r="H21" i="55" a="1"/>
  <c r="H21" i="55" s="1"/>
  <c r="J71" i="55" a="1"/>
  <c r="J71" i="55" s="1"/>
  <c r="J81" i="55" a="1"/>
  <c r="J81" i="55" s="1"/>
  <c r="J72" i="55" a="1"/>
  <c r="J72" i="55" s="1"/>
  <c r="H66" i="55" a="1"/>
  <c r="H66" i="55" s="1"/>
  <c r="L66" i="55" s="1"/>
  <c r="M66" i="55" s="1"/>
  <c r="H251" i="55" a="1"/>
  <c r="H251" i="55" s="1"/>
  <c r="L251" i="55" s="1"/>
  <c r="M251" i="55" s="1"/>
  <c r="H87" i="55" a="1"/>
  <c r="H87" i="55" s="1"/>
  <c r="H81" i="55" a="1"/>
  <c r="H81" i="55" s="1"/>
  <c r="J30" i="55" a="1"/>
  <c r="J30" i="55" s="1"/>
  <c r="J87" i="55" a="1"/>
  <c r="J87" i="55" s="1"/>
  <c r="J45" i="55" a="1"/>
  <c r="J45" i="55" s="1"/>
  <c r="J21" i="55" a="1"/>
  <c r="J21" i="55" s="1"/>
  <c r="J32" i="55" a="1"/>
  <c r="J32" i="55" s="1"/>
  <c r="H20" i="55" a="1"/>
  <c r="H20" i="55" s="1"/>
  <c r="H24" i="55" a="1"/>
  <c r="H24" i="55" s="1"/>
  <c r="J41" i="55" a="1"/>
  <c r="J41" i="55" s="1"/>
  <c r="H389" i="55" a="1"/>
  <c r="H389" i="55" s="1"/>
  <c r="J52" i="55" a="1"/>
  <c r="J52" i="55" s="1"/>
  <c r="J88" i="55" a="1"/>
  <c r="J88" i="55" s="1"/>
  <c r="J82" i="55" a="1"/>
  <c r="J82" i="55" s="1"/>
  <c r="H32" i="55" a="1"/>
  <c r="H32" i="55" s="1"/>
  <c r="L32" i="55" s="1"/>
  <c r="M32" i="55" s="1"/>
  <c r="H71" i="55" a="1"/>
  <c r="H71" i="55" s="1"/>
  <c r="L71" i="55" s="1"/>
  <c r="M71" i="55" s="1"/>
  <c r="H52" i="55" a="1"/>
  <c r="H52" i="55" s="1"/>
  <c r="H88" i="55" a="1"/>
  <c r="H88" i="55" s="1"/>
  <c r="J73" i="55" a="1"/>
  <c r="J73" i="55" s="1"/>
  <c r="H31" i="55" a="1"/>
  <c r="H31" i="55" s="1"/>
  <c r="L31" i="55" s="1"/>
  <c r="M31" i="55" s="1"/>
  <c r="H41" i="55" a="1"/>
  <c r="H41" i="55" s="1"/>
  <c r="J68" i="55" a="1"/>
  <c r="J68" i="55" s="1"/>
  <c r="J706" i="55" a="1"/>
  <c r="J706" i="55" s="1"/>
  <c r="J389" i="55" a="1"/>
  <c r="J389" i="55" s="1"/>
  <c r="J650" i="55" a="1"/>
  <c r="J650" i="55" s="1"/>
  <c r="H650" i="55" a="1"/>
  <c r="H650" i="55" s="1"/>
  <c r="H249" i="55" a="1"/>
  <c r="H249" i="55" s="1"/>
  <c r="J250" i="55" a="1"/>
  <c r="J250" i="55" s="1"/>
  <c r="H247" i="55" a="1"/>
  <c r="H247" i="55" s="1"/>
  <c r="J245" i="55" a="1"/>
  <c r="J245" i="55" s="1"/>
  <c r="H250" i="55" a="1"/>
  <c r="H250" i="55" s="1"/>
  <c r="J748" i="55" a="1"/>
  <c r="J748" i="55" s="1"/>
  <c r="H245" i="55" a="1"/>
  <c r="H245" i="55" s="1"/>
  <c r="J369" i="55" a="1"/>
  <c r="J369" i="55" s="1"/>
  <c r="H241" i="55" a="1"/>
  <c r="H241" i="55" s="1"/>
  <c r="J248" i="55" a="1"/>
  <c r="J248" i="55" s="1"/>
  <c r="H258" i="55" a="1"/>
  <c r="H258" i="55" s="1"/>
  <c r="J246" i="55" a="1"/>
  <c r="J246" i="55" s="1"/>
  <c r="H248" i="55" a="1"/>
  <c r="H248" i="55" s="1"/>
  <c r="J249" i="55" a="1"/>
  <c r="J249" i="55" s="1"/>
  <c r="H246" i="55" a="1"/>
  <c r="H246" i="55" s="1"/>
  <c r="J247" i="55" a="1"/>
  <c r="J247" i="55" s="1"/>
  <c r="H257" i="55" a="1"/>
  <c r="H257" i="55" s="1"/>
  <c r="J259" i="55" a="1"/>
  <c r="J259" i="55" s="1"/>
  <c r="J257" i="55" a="1"/>
  <c r="J257" i="55" s="1"/>
  <c r="J244" i="55" a="1"/>
  <c r="J244" i="55" s="1"/>
  <c r="H259" i="55" a="1"/>
  <c r="H259" i="55" s="1"/>
  <c r="J241" i="55" a="1"/>
  <c r="J241" i="55" s="1"/>
  <c r="H244" i="55" a="1"/>
  <c r="H244" i="55" s="1"/>
  <c r="J258" i="55" a="1"/>
  <c r="J258" i="55" s="1"/>
  <c r="H329" i="55" a="1"/>
  <c r="H329" i="55" s="1"/>
  <c r="H748" i="55" a="1"/>
  <c r="H748" i="55" s="1"/>
  <c r="L748" i="55" s="1"/>
  <c r="J329" i="55" a="1"/>
  <c r="J329" i="55" s="1"/>
  <c r="H369" i="55" a="1"/>
  <c r="H369" i="55" s="1"/>
  <c r="L369" i="55" s="1"/>
  <c r="J261" i="55" a="1"/>
  <c r="J261" i="55" s="1"/>
  <c r="H261" i="55" a="1"/>
  <c r="H261" i="55" s="1"/>
  <c r="H242" i="55" a="1"/>
  <c r="H242" i="55" s="1"/>
  <c r="J242" i="55" a="1"/>
  <c r="J242" i="55" s="1"/>
  <c r="H260" i="55" a="1"/>
  <c r="H260" i="55" s="1"/>
  <c r="J260" i="55" a="1"/>
  <c r="J260" i="55" s="1"/>
  <c r="J436" i="55" a="1"/>
  <c r="J436" i="55" s="1"/>
  <c r="J281" i="55" a="1"/>
  <c r="J281" i="55" s="1"/>
  <c r="J279" i="55" a="1"/>
  <c r="J279" i="55" s="1"/>
  <c r="J490" i="55" a="1"/>
  <c r="J490" i="55" s="1"/>
  <c r="J454" i="55" a="1"/>
  <c r="J454" i="55" s="1"/>
  <c r="H256" i="55" a="1"/>
  <c r="H256" i="55" s="1"/>
  <c r="J256" i="55" a="1"/>
  <c r="J256" i="55" s="1"/>
  <c r="H436" i="55" a="1"/>
  <c r="H436" i="55" s="1"/>
  <c r="H281" i="55" a="1"/>
  <c r="H281" i="55" s="1"/>
  <c r="H279" i="55" a="1"/>
  <c r="H279" i="55" s="1"/>
  <c r="H490" i="55" a="1"/>
  <c r="H490" i="55" s="1"/>
  <c r="H454" i="55" a="1"/>
  <c r="H454" i="55" s="1"/>
  <c r="H443" i="55" a="1"/>
  <c r="H443" i="55" s="1"/>
  <c r="J477" i="55" a="1"/>
  <c r="J477" i="55" s="1"/>
  <c r="H429" i="55" a="1"/>
  <c r="H429" i="55" s="1"/>
  <c r="J443" i="55" a="1"/>
  <c r="J443" i="55" s="1"/>
  <c r="H477" i="55" a="1"/>
  <c r="H477" i="55" s="1"/>
  <c r="J17" i="55" a="1"/>
  <c r="J17" i="55" s="1"/>
  <c r="J429" i="55" a="1"/>
  <c r="J429" i="55" s="1"/>
  <c r="H17" i="55" a="1"/>
  <c r="H17" i="55" s="1"/>
  <c r="J15" i="55" a="1"/>
  <c r="J15" i="55" s="1"/>
  <c r="H15" i="55" a="1"/>
  <c r="H15" i="55" s="1"/>
  <c r="J570" i="55" a="1"/>
  <c r="J570" i="55" s="1"/>
  <c r="H570" i="55" a="1"/>
  <c r="H570" i="55" s="1"/>
  <c r="H114" i="55" a="1"/>
  <c r="H114" i="55" s="1"/>
  <c r="J123" i="55" a="1"/>
  <c r="J123" i="55" s="1"/>
  <c r="H123" i="55" a="1"/>
  <c r="H123" i="55" s="1"/>
  <c r="J405" i="55" a="1"/>
  <c r="J405" i="55" s="1"/>
  <c r="H405" i="55" a="1"/>
  <c r="H405" i="55" s="1"/>
  <c r="J637" i="55" a="1"/>
  <c r="J637" i="55" s="1"/>
  <c r="H637" i="55" a="1"/>
  <c r="H637" i="55" s="1"/>
  <c r="J571" i="55" a="1"/>
  <c r="J571" i="55" s="1"/>
  <c r="H571" i="55" a="1"/>
  <c r="H571" i="55" s="1"/>
  <c r="J114" i="55" a="1"/>
  <c r="J114" i="55" s="1"/>
  <c r="H115" i="55" a="1"/>
  <c r="H115" i="55" s="1"/>
  <c r="J133" i="55" a="1"/>
  <c r="J133" i="55" s="1"/>
  <c r="H133" i="55" a="1"/>
  <c r="H133" i="55" s="1"/>
  <c r="J109" i="55" a="1"/>
  <c r="J109" i="55" s="1"/>
  <c r="H109" i="55" a="1"/>
  <c r="H109" i="55" s="1"/>
  <c r="J161" i="55" a="1"/>
  <c r="J161" i="55" s="1"/>
  <c r="H161" i="55" a="1"/>
  <c r="H161" i="55" s="1"/>
  <c r="J53" i="55" a="1"/>
  <c r="J53" i="55" s="1"/>
  <c r="J115" i="55" a="1"/>
  <c r="J115" i="55" s="1"/>
  <c r="H53" i="55" a="1"/>
  <c r="H53" i="55" s="1"/>
  <c r="J112" i="55" a="1"/>
  <c r="J112" i="55" s="1"/>
  <c r="H112" i="55" a="1"/>
  <c r="H112" i="55" s="1"/>
  <c r="H128" i="55" a="1"/>
  <c r="H128" i="55" s="1"/>
  <c r="J92" i="55" a="1"/>
  <c r="J92" i="55" s="1"/>
  <c r="H92" i="55" a="1"/>
  <c r="H92" i="55" s="1"/>
  <c r="J105" i="55" a="1"/>
  <c r="J105" i="55" s="1"/>
  <c r="H105" i="55" a="1"/>
  <c r="H105" i="55" s="1"/>
  <c r="J132" i="55" a="1"/>
  <c r="J132" i="55" s="1"/>
  <c r="H132" i="55" a="1"/>
  <c r="H132" i="55" s="1"/>
  <c r="J113" i="55" a="1"/>
  <c r="J113" i="55" s="1"/>
  <c r="J128" i="55" a="1"/>
  <c r="J128" i="55" s="1"/>
  <c r="H113" i="55" a="1"/>
  <c r="H113" i="55" s="1"/>
  <c r="J143" i="55" a="1"/>
  <c r="J143" i="55" s="1"/>
  <c r="H143" i="55" a="1"/>
  <c r="H143" i="55" s="1"/>
  <c r="J85" i="55" a="1"/>
  <c r="J85" i="55" s="1"/>
  <c r="J23" i="55" a="1"/>
  <c r="J23" i="55" s="1"/>
  <c r="H85" i="55" a="1"/>
  <c r="H85" i="55" s="1"/>
  <c r="H23" i="55" a="1"/>
  <c r="H23" i="55" s="1"/>
  <c r="J43" i="55" a="1"/>
  <c r="J43" i="55" s="1"/>
  <c r="J67" i="55" a="1"/>
  <c r="J67" i="55" s="1"/>
  <c r="H43" i="55" a="1"/>
  <c r="H43" i="55" s="1"/>
  <c r="H67" i="55" a="1"/>
  <c r="H67" i="55" s="1"/>
  <c r="J735" i="55" a="1"/>
  <c r="J735" i="55" s="1"/>
  <c r="J316" i="55" a="1"/>
  <c r="J316" i="55" s="1"/>
  <c r="H518" i="55" a="1"/>
  <c r="H518" i="55" s="1"/>
  <c r="J518" i="55" a="1"/>
  <c r="J518" i="55" s="1"/>
  <c r="H285" i="55" a="1"/>
  <c r="H285" i="55" s="1"/>
  <c r="J285" i="55" a="1"/>
  <c r="J285" i="55" s="1"/>
  <c r="H745" i="55" a="1"/>
  <c r="H745" i="55" s="1"/>
  <c r="J745" i="55" a="1"/>
  <c r="J745" i="55" s="1"/>
  <c r="H581" i="55" a="1"/>
  <c r="H581" i="55" s="1"/>
  <c r="J581" i="55" a="1"/>
  <c r="J581" i="55" s="1"/>
  <c r="H735" i="55" a="1"/>
  <c r="H735" i="55" s="1"/>
  <c r="H316" i="55" a="1"/>
  <c r="H316" i="55" s="1"/>
  <c r="H482" i="55" a="1"/>
  <c r="H482" i="55" s="1"/>
  <c r="J655" i="55" a="1"/>
  <c r="J655" i="55" s="1"/>
  <c r="H655" i="55" a="1"/>
  <c r="H655" i="55" s="1"/>
  <c r="J99" i="55" a="1"/>
  <c r="J99" i="55" s="1"/>
  <c r="J760" i="55" a="1"/>
  <c r="J760" i="55" s="1"/>
  <c r="H701" i="55" a="1"/>
  <c r="H701" i="55" s="1"/>
  <c r="J292" i="55" a="1"/>
  <c r="J292" i="55" s="1"/>
  <c r="H292" i="55" a="1"/>
  <c r="H292" i="55" s="1"/>
  <c r="J645" i="55" a="1"/>
  <c r="J645" i="55" s="1"/>
  <c r="J701" i="55" a="1"/>
  <c r="J701" i="55" s="1"/>
  <c r="H348" i="55" a="1"/>
  <c r="H348" i="55" s="1"/>
  <c r="J348" i="55" a="1"/>
  <c r="J348" i="55" s="1"/>
  <c r="H645" i="55" a="1"/>
  <c r="H645" i="55" s="1"/>
  <c r="L645" i="55" s="1"/>
  <c r="J577" i="55" a="1"/>
  <c r="J577" i="55" s="1"/>
  <c r="H577" i="55" a="1"/>
  <c r="H577" i="55" s="1"/>
  <c r="H544" i="55" a="1"/>
  <c r="H544" i="55" s="1"/>
  <c r="J544" i="55" a="1"/>
  <c r="J544" i="55" s="1"/>
  <c r="H14" i="55" a="1"/>
  <c r="H14" i="55" s="1"/>
  <c r="J582" i="55" a="1"/>
  <c r="J582" i="55" s="1"/>
  <c r="H582" i="55" a="1"/>
  <c r="H582" i="55" s="1"/>
  <c r="J482" i="55" a="1"/>
  <c r="J482" i="55" s="1"/>
  <c r="J14" i="55" a="1"/>
  <c r="J14" i="55" s="1"/>
  <c r="H99" i="55" a="1"/>
  <c r="H99" i="55" s="1"/>
  <c r="H760" i="55" a="1"/>
  <c r="H760" i="55" s="1"/>
  <c r="F38" i="70" a="1"/>
  <c r="F38" i="70" s="1"/>
  <c r="F41" i="70" a="1"/>
  <c r="F41" i="70" s="1"/>
  <c r="E42" i="70" a="1"/>
  <c r="E42" i="70" s="1"/>
  <c r="E39" i="70" a="1"/>
  <c r="E39" i="70" s="1"/>
  <c r="F40" i="70" a="1"/>
  <c r="F40" i="70" s="1"/>
  <c r="E41" i="70" a="1"/>
  <c r="E41" i="70" s="1"/>
  <c r="G41" i="70" s="1"/>
  <c r="E40" i="70" a="1"/>
  <c r="E40" i="70" s="1"/>
  <c r="E38" i="70" a="1"/>
  <c r="E38" i="70" s="1"/>
  <c r="F42" i="70" a="1"/>
  <c r="F42" i="70" s="1"/>
  <c r="F39" i="70" a="1"/>
  <c r="F39" i="70" s="1"/>
  <c r="J400" i="55" a="1"/>
  <c r="J400" i="55" s="1"/>
  <c r="H558" i="55" a="1"/>
  <c r="H558" i="55" s="1"/>
  <c r="J690" i="55" a="1"/>
  <c r="J690" i="55" s="1"/>
  <c r="H400" i="55" a="1"/>
  <c r="H400" i="55" s="1"/>
  <c r="J559" i="55" a="1"/>
  <c r="J559" i="55" s="1"/>
  <c r="H560" i="55" a="1"/>
  <c r="H560" i="55" s="1"/>
  <c r="J689" i="55" a="1"/>
  <c r="J689" i="55" s="1"/>
  <c r="J367" i="55" a="1"/>
  <c r="J367" i="55" s="1"/>
  <c r="H327" i="55" a="1"/>
  <c r="H327" i="55" s="1"/>
  <c r="J514" i="55" a="1"/>
  <c r="J514" i="55" s="1"/>
  <c r="H367" i="55" a="1"/>
  <c r="H367" i="55" s="1"/>
  <c r="J589" i="55" a="1"/>
  <c r="J589" i="55" s="1"/>
  <c r="H690" i="55" a="1"/>
  <c r="H690" i="55" s="1"/>
  <c r="J558" i="55" a="1"/>
  <c r="J558" i="55" s="1"/>
  <c r="H559" i="55" a="1"/>
  <c r="H559" i="55" s="1"/>
  <c r="H724" i="55" a="1"/>
  <c r="H724" i="55" s="1"/>
  <c r="J431" i="55" a="1"/>
  <c r="J431" i="55" s="1"/>
  <c r="J395" i="55" a="1"/>
  <c r="J395" i="55" s="1"/>
  <c r="H514" i="55" a="1"/>
  <c r="H514" i="55" s="1"/>
  <c r="J327" i="55" a="1"/>
  <c r="J327" i="55" s="1"/>
  <c r="H589" i="55" a="1"/>
  <c r="H589" i="55" s="1"/>
  <c r="J561" i="55" a="1"/>
  <c r="J561" i="55" s="1"/>
  <c r="H689" i="55" a="1"/>
  <c r="H689" i="55" s="1"/>
  <c r="L689" i="55" s="1"/>
  <c r="M689" i="55" s="1"/>
  <c r="J560" i="55" a="1"/>
  <c r="J560" i="55" s="1"/>
  <c r="H561" i="55" a="1"/>
  <c r="H561" i="55" s="1"/>
  <c r="J724" i="55" a="1"/>
  <c r="J724" i="55" s="1"/>
  <c r="H431" i="55" a="1"/>
  <c r="H431" i="55" s="1"/>
  <c r="H395" i="55" a="1"/>
  <c r="H395" i="55" s="1"/>
  <c r="J641" i="55" a="1"/>
  <c r="J641" i="55" s="1"/>
  <c r="H337" i="55" a="1"/>
  <c r="H337" i="55" s="1"/>
  <c r="H606" i="55" a="1"/>
  <c r="H606" i="55" s="1"/>
  <c r="H273" i="55" a="1"/>
  <c r="H273" i="55" s="1"/>
  <c r="J755" i="55" a="1"/>
  <c r="J755" i="55" s="1"/>
  <c r="H756" i="55" a="1"/>
  <c r="H756" i="55" s="1"/>
  <c r="H336" i="55" a="1"/>
  <c r="H336" i="55" s="1"/>
  <c r="J747" i="55" a="1"/>
  <c r="J747" i="55" s="1"/>
  <c r="J462" i="55" a="1"/>
  <c r="J462" i="55" s="1"/>
  <c r="J630" i="55" a="1"/>
  <c r="J630" i="55" s="1"/>
  <c r="J472" i="55" a="1"/>
  <c r="J472" i="55" s="1"/>
  <c r="J337" i="55" a="1"/>
  <c r="J337" i="55" s="1"/>
  <c r="J741" i="55" a="1"/>
  <c r="J741" i="55" s="1"/>
  <c r="J473" i="55" a="1"/>
  <c r="J473" i="55" s="1"/>
  <c r="J568" i="55" a="1"/>
  <c r="J568" i="55" s="1"/>
  <c r="J726" i="55" a="1"/>
  <c r="J726" i="55" s="1"/>
  <c r="J740" i="55" a="1"/>
  <c r="J740" i="55" s="1"/>
  <c r="J515" i="55" a="1"/>
  <c r="J515" i="55" s="1"/>
  <c r="H470" i="55" a="1"/>
  <c r="H470" i="55" s="1"/>
  <c r="J492" i="55" a="1"/>
  <c r="J492" i="55" s="1"/>
  <c r="J713" i="55" a="1"/>
  <c r="J713" i="55" s="1"/>
  <c r="J693" i="55" a="1"/>
  <c r="J693" i="55" s="1"/>
  <c r="J480" i="55" a="1"/>
  <c r="J480" i="55" s="1"/>
  <c r="J397" i="55" a="1"/>
  <c r="J397" i="55" s="1"/>
  <c r="H442" i="55" a="1"/>
  <c r="H442" i="55" s="1"/>
  <c r="J504" i="55" a="1"/>
  <c r="J504" i="55" s="1"/>
  <c r="H480" i="55" a="1"/>
  <c r="H480" i="55" s="1"/>
  <c r="L480" i="55" s="1"/>
  <c r="M480" i="55" s="1"/>
  <c r="H751" i="55" a="1"/>
  <c r="H751" i="55" s="1"/>
  <c r="H568" i="55" a="1"/>
  <c r="H568" i="55" s="1"/>
  <c r="H390" i="55" a="1"/>
  <c r="H390" i="55" s="1"/>
  <c r="H441" i="55" a="1"/>
  <c r="H441" i="55" s="1"/>
  <c r="H448" i="55" a="1"/>
  <c r="H448" i="55" s="1"/>
  <c r="H280" i="55" a="1"/>
  <c r="H280" i="55" s="1"/>
  <c r="H362" i="55" a="1"/>
  <c r="H362" i="55" s="1"/>
  <c r="J643" i="55" a="1"/>
  <c r="J643" i="55" s="1"/>
  <c r="H304" i="55" a="1"/>
  <c r="H304" i="55" s="1"/>
  <c r="H752" i="55" a="1"/>
  <c r="H752" i="55" s="1"/>
  <c r="H420" i="55" a="1"/>
  <c r="H420" i="55" s="1"/>
  <c r="J396" i="55" a="1"/>
  <c r="J396" i="55" s="1"/>
  <c r="H632" i="55" a="1"/>
  <c r="H632" i="55" s="1"/>
  <c r="H505" i="55" a="1"/>
  <c r="H505" i="55" s="1"/>
  <c r="H330" i="55" a="1"/>
  <c r="H330" i="55" s="1"/>
  <c r="J756" i="55" a="1"/>
  <c r="J756" i="55" s="1"/>
  <c r="H663" i="55" a="1"/>
  <c r="H663" i="55" s="1"/>
  <c r="H349" i="55" a="1"/>
  <c r="H349" i="55" s="1"/>
  <c r="H622" i="55" a="1"/>
  <c r="H622" i="55" s="1"/>
  <c r="J531" i="55" a="1"/>
  <c r="J531" i="55" s="1"/>
  <c r="H391" i="55" a="1"/>
  <c r="H391" i="55" s="1"/>
  <c r="J785" i="55" a="1"/>
  <c r="J785" i="55" s="1"/>
  <c r="H572" i="55" a="1"/>
  <c r="H572" i="55" s="1"/>
  <c r="H556" i="55" a="1"/>
  <c r="H556" i="55" s="1"/>
  <c r="J322" i="55" a="1"/>
  <c r="J322" i="55" s="1"/>
  <c r="J435" i="55" a="1"/>
  <c r="J435" i="55" s="1"/>
  <c r="J697" i="55" a="1"/>
  <c r="J697" i="55" s="1"/>
  <c r="J470" i="55" a="1"/>
  <c r="J470" i="55" s="1"/>
  <c r="J465" i="55" a="1"/>
  <c r="J465" i="55" s="1"/>
  <c r="J412" i="55" a="1"/>
  <c r="J412" i="55" s="1"/>
  <c r="J426" i="55" a="1"/>
  <c r="J426" i="55" s="1"/>
  <c r="H744" i="55" a="1"/>
  <c r="H744" i="55" s="1"/>
  <c r="J390" i="55" a="1"/>
  <c r="J390" i="55" s="1"/>
  <c r="J441" i="55" a="1"/>
  <c r="J441" i="55" s="1"/>
  <c r="J448" i="55" a="1"/>
  <c r="J448" i="55" s="1"/>
  <c r="H521" i="55" a="1"/>
  <c r="H521" i="55" s="1"/>
  <c r="H363" i="55" a="1"/>
  <c r="H363" i="55" s="1"/>
  <c r="J679" i="55" a="1"/>
  <c r="J679" i="55" s="1"/>
  <c r="J596" i="55" a="1"/>
  <c r="J596" i="55" s="1"/>
  <c r="H287" i="55" a="1"/>
  <c r="H287" i="55" s="1"/>
  <c r="J517" i="55" a="1"/>
  <c r="J517" i="55" s="1"/>
  <c r="H396" i="55" a="1"/>
  <c r="H396" i="55" s="1"/>
  <c r="J594" i="55" a="1"/>
  <c r="J594" i="55" s="1"/>
  <c r="H640" i="55" a="1"/>
  <c r="H640" i="55" s="1"/>
  <c r="H525" i="55" a="1"/>
  <c r="H525" i="55" s="1"/>
  <c r="H530" i="55" a="1"/>
  <c r="H530" i="55" s="1"/>
  <c r="H499" i="55" a="1"/>
  <c r="H499" i="55" s="1"/>
  <c r="J363" i="55" a="1"/>
  <c r="J363" i="55" s="1"/>
  <c r="H679" i="55" a="1"/>
  <c r="H679" i="55" s="1"/>
  <c r="H596" i="55" a="1"/>
  <c r="H596" i="55" s="1"/>
  <c r="H755" i="55" a="1"/>
  <c r="H755" i="55" s="1"/>
  <c r="J547" i="55" a="1"/>
  <c r="J547" i="55" s="1"/>
  <c r="J355" i="55" a="1"/>
  <c r="J355" i="55" s="1"/>
  <c r="H705" i="55" a="1"/>
  <c r="H705" i="55" s="1"/>
  <c r="J625" i="55" a="1"/>
  <c r="J625" i="55" s="1"/>
  <c r="J481" i="55" a="1"/>
  <c r="J481" i="55" s="1"/>
  <c r="H463" i="55" a="1"/>
  <c r="H463" i="55" s="1"/>
  <c r="H293" i="55" a="1"/>
  <c r="H293" i="55" s="1"/>
  <c r="H671" i="55" a="1"/>
  <c r="H671" i="55" s="1"/>
  <c r="H332" i="55" a="1"/>
  <c r="H332" i="55" s="1"/>
  <c r="J280" i="55" a="1"/>
  <c r="J280" i="55" s="1"/>
  <c r="H641" i="55" a="1"/>
  <c r="H641" i="55" s="1"/>
  <c r="L641" i="55" s="1"/>
  <c r="M641" i="55" s="1"/>
  <c r="J415" i="55" a="1"/>
  <c r="J415" i="55" s="1"/>
  <c r="H546" i="55" a="1"/>
  <c r="H546" i="55" s="1"/>
  <c r="J687" i="55" a="1"/>
  <c r="J687" i="55" s="1"/>
  <c r="J287" i="55" a="1"/>
  <c r="J287" i="55" s="1"/>
  <c r="J543" i="55" a="1"/>
  <c r="J543" i="55" s="1"/>
  <c r="H392" i="55" a="1"/>
  <c r="H392" i="55" s="1"/>
  <c r="J291" i="55" a="1"/>
  <c r="J291" i="55" s="1"/>
  <c r="J404" i="55" a="1"/>
  <c r="J404" i="55" s="1"/>
  <c r="J408" i="55" a="1"/>
  <c r="J408" i="55" s="1"/>
  <c r="H615" i="55" a="1"/>
  <c r="H615" i="55" s="1"/>
  <c r="H594" i="55" a="1"/>
  <c r="H594" i="55" s="1"/>
  <c r="J640" i="55" a="1"/>
  <c r="J640" i="55" s="1"/>
  <c r="J525" i="55" a="1"/>
  <c r="J525" i="55" s="1"/>
  <c r="H533" i="55" a="1"/>
  <c r="H533" i="55" s="1"/>
  <c r="J566" i="55" a="1"/>
  <c r="J566" i="55" s="1"/>
  <c r="J351" i="55" a="1"/>
  <c r="J351" i="55" s="1"/>
  <c r="J639" i="55" a="1"/>
  <c r="J639" i="55" s="1"/>
  <c r="J469" i="55" a="1"/>
  <c r="J469" i="55" s="1"/>
  <c r="H416" i="55" a="1"/>
  <c r="H416" i="55" s="1"/>
  <c r="H697" i="55" a="1"/>
  <c r="H697" i="55" s="1"/>
  <c r="J530" i="55" a="1"/>
  <c r="J530" i="55" s="1"/>
  <c r="J332" i="55" a="1"/>
  <c r="J332" i="55" s="1"/>
  <c r="J357" i="55" a="1"/>
  <c r="J357" i="55" s="1"/>
  <c r="H509" i="55" a="1"/>
  <c r="H509" i="55" s="1"/>
  <c r="H739" i="55" a="1"/>
  <c r="H739" i="55" s="1"/>
  <c r="H440" i="55" a="1"/>
  <c r="H440" i="55" s="1"/>
  <c r="H513" i="55" a="1"/>
  <c r="H513" i="55" s="1"/>
  <c r="H717" i="55" a="1"/>
  <c r="H717" i="55" s="1"/>
  <c r="H625" i="55" a="1"/>
  <c r="H625" i="55" s="1"/>
  <c r="J742" i="55" a="1"/>
  <c r="J742" i="55" s="1"/>
  <c r="H626" i="55" a="1"/>
  <c r="H626" i="55" s="1"/>
  <c r="H381" i="55" a="1"/>
  <c r="H381" i="55" s="1"/>
  <c r="H698" i="55" a="1"/>
  <c r="H698" i="55" s="1"/>
  <c r="J336" i="55" a="1"/>
  <c r="J336" i="55" s="1"/>
  <c r="H747" i="55" a="1"/>
  <c r="H747" i="55" s="1"/>
  <c r="H611" i="55" a="1"/>
  <c r="H611" i="55" s="1"/>
  <c r="J728" i="55" a="1"/>
  <c r="J728" i="55" s="1"/>
  <c r="H714" i="55" a="1"/>
  <c r="H714" i="55" s="1"/>
  <c r="H623" i="55" a="1"/>
  <c r="H623" i="55" s="1"/>
  <c r="H419" i="55" a="1"/>
  <c r="H419" i="55" s="1"/>
  <c r="H462" i="55" a="1"/>
  <c r="H462" i="55" s="1"/>
  <c r="H527" i="55" a="1"/>
  <c r="H527" i="55" s="1"/>
  <c r="J703" i="55" a="1"/>
  <c r="J703" i="55" s="1"/>
  <c r="H547" i="55" a="1"/>
  <c r="H547" i="55" s="1"/>
  <c r="H355" i="55" a="1"/>
  <c r="H355" i="55" s="1"/>
  <c r="J705" i="55" a="1"/>
  <c r="J705" i="55" s="1"/>
  <c r="J391" i="55" a="1"/>
  <c r="J391" i="55" s="1"/>
  <c r="J330" i="55" a="1"/>
  <c r="J330" i="55" s="1"/>
  <c r="J533" i="55" a="1"/>
  <c r="J533" i="55" s="1"/>
  <c r="J663" i="55" a="1"/>
  <c r="J663" i="55" s="1"/>
  <c r="J349" i="55" a="1"/>
  <c r="J349" i="55" s="1"/>
  <c r="J622" i="55" a="1"/>
  <c r="J622" i="55" s="1"/>
  <c r="H526" i="55" a="1"/>
  <c r="H526" i="55" s="1"/>
  <c r="J739" i="55" a="1"/>
  <c r="J739" i="55" s="1"/>
  <c r="J440" i="55" a="1"/>
  <c r="J440" i="55" s="1"/>
  <c r="J513" i="55" a="1"/>
  <c r="J513" i="55" s="1"/>
  <c r="H472" i="55" a="1"/>
  <c r="H472" i="55" s="1"/>
  <c r="L472" i="55" s="1"/>
  <c r="M472" i="55" s="1"/>
  <c r="J386" i="55" a="1"/>
  <c r="J386" i="55" s="1"/>
  <c r="J501" i="55" a="1"/>
  <c r="J501" i="55" s="1"/>
  <c r="J552" i="55" a="1"/>
  <c r="J552" i="55" s="1"/>
  <c r="H510" i="55" a="1"/>
  <c r="H510" i="55" s="1"/>
  <c r="H343" i="55" a="1"/>
  <c r="H343" i="55" s="1"/>
  <c r="J698" i="55" a="1"/>
  <c r="J698" i="55" s="1"/>
  <c r="J567" i="55" a="1"/>
  <c r="J567" i="55" s="1"/>
  <c r="H294" i="55" a="1"/>
  <c r="H294" i="55" s="1"/>
  <c r="H413" i="55" a="1"/>
  <c r="H413" i="55" s="1"/>
  <c r="H531" i="55" a="1"/>
  <c r="H531" i="55" s="1"/>
  <c r="H240" i="55" a="1"/>
  <c r="H240" i="55" s="1"/>
  <c r="H386" i="55" a="1"/>
  <c r="H386" i="55" s="1"/>
  <c r="H501" i="55" a="1"/>
  <c r="H501" i="55" s="1"/>
  <c r="H552" i="55" a="1"/>
  <c r="H552" i="55" s="1"/>
  <c r="H378" i="55" a="1"/>
  <c r="H378" i="55" s="1"/>
  <c r="H669" i="55" a="1"/>
  <c r="H669" i="55" s="1"/>
  <c r="H425" i="55" a="1"/>
  <c r="H425" i="55" s="1"/>
  <c r="J410" i="55" a="1"/>
  <c r="J410" i="55" s="1"/>
  <c r="H511" i="55" a="1"/>
  <c r="H511" i="55" s="1"/>
  <c r="H373" i="55" a="1"/>
  <c r="H373" i="55" s="1"/>
  <c r="H439" i="55" a="1"/>
  <c r="H439" i="55" s="1"/>
  <c r="H517" i="55" a="1"/>
  <c r="H517" i="55" s="1"/>
  <c r="H638" i="55" a="1"/>
  <c r="H638" i="55" s="1"/>
  <c r="J717" i="55" a="1"/>
  <c r="J717" i="55" s="1"/>
  <c r="H528" i="55" a="1"/>
  <c r="H528" i="55" s="1"/>
  <c r="J526" i="55" a="1"/>
  <c r="J526" i="55" s="1"/>
  <c r="J588" i="55" a="1"/>
  <c r="J588" i="55" s="1"/>
  <c r="J595" i="55" a="1"/>
  <c r="J595" i="55" s="1"/>
  <c r="J430" i="55" a="1"/>
  <c r="J430" i="55" s="1"/>
  <c r="J510" i="55" a="1"/>
  <c r="J510" i="55" s="1"/>
  <c r="J375" i="55" a="1"/>
  <c r="J375" i="55" s="1"/>
  <c r="H481" i="55" a="1"/>
  <c r="H481" i="55" s="1"/>
  <c r="L481" i="55" s="1"/>
  <c r="J463" i="55" a="1"/>
  <c r="J463" i="55" s="1"/>
  <c r="J293" i="55" a="1"/>
  <c r="J293" i="55" s="1"/>
  <c r="J671" i="55" a="1"/>
  <c r="J671" i="55" s="1"/>
  <c r="J572" i="55" a="1"/>
  <c r="J572" i="55" s="1"/>
  <c r="H567" i="55" a="1"/>
  <c r="H567" i="55" s="1"/>
  <c r="J294" i="55" a="1"/>
  <c r="J294" i="55" s="1"/>
  <c r="J362" i="55" a="1"/>
  <c r="J362" i="55" s="1"/>
  <c r="H643" i="55" a="1"/>
  <c r="H643" i="55" s="1"/>
  <c r="L643" i="55" s="1"/>
  <c r="M643" i="55" s="1"/>
  <c r="J304" i="55" a="1"/>
  <c r="J304" i="55" s="1"/>
  <c r="J752" i="55" a="1"/>
  <c r="J752" i="55" s="1"/>
  <c r="J420" i="55" a="1"/>
  <c r="J420" i="55" s="1"/>
  <c r="J753" i="55" a="1"/>
  <c r="J753" i="55" s="1"/>
  <c r="H504" i="55" a="1"/>
  <c r="H504" i="55" s="1"/>
  <c r="L504" i="55" s="1"/>
  <c r="M504" i="55" s="1"/>
  <c r="J413" i="55" a="1"/>
  <c r="J413" i="55" s="1"/>
  <c r="H753" i="55" a="1"/>
  <c r="H753" i="55" s="1"/>
  <c r="H447" i="55" a="1"/>
  <c r="H447" i="55" s="1"/>
  <c r="J751" i="55" a="1"/>
  <c r="J751" i="55" s="1"/>
  <c r="H446" i="55" a="1"/>
  <c r="H446" i="55" s="1"/>
  <c r="J449" i="55" a="1"/>
  <c r="J449" i="55" s="1"/>
  <c r="H368" i="55" a="1"/>
  <c r="H368" i="55" s="1"/>
  <c r="H397" i="55" a="1"/>
  <c r="H397" i="55" s="1"/>
  <c r="L397" i="55" s="1"/>
  <c r="H503" i="55" a="1"/>
  <c r="H503" i="55" s="1"/>
  <c r="H410" i="55" a="1"/>
  <c r="H410" i="55" s="1"/>
  <c r="H492" i="55" a="1"/>
  <c r="H492" i="55" s="1"/>
  <c r="H713" i="55" a="1"/>
  <c r="H713" i="55" s="1"/>
  <c r="H693" i="55" a="1"/>
  <c r="H693" i="55" s="1"/>
  <c r="L693" i="55" s="1"/>
  <c r="H703" i="55" a="1"/>
  <c r="H703" i="55" s="1"/>
  <c r="H415" i="55" a="1"/>
  <c r="H415" i="55" s="1"/>
  <c r="J546" i="55" a="1"/>
  <c r="J546" i="55" s="1"/>
  <c r="H687" i="55" a="1"/>
  <c r="H687" i="55" s="1"/>
  <c r="J499" i="55" a="1"/>
  <c r="J499" i="55" s="1"/>
  <c r="J749" i="55" a="1"/>
  <c r="J749" i="55" s="1"/>
  <c r="H457" i="55" a="1"/>
  <c r="H457" i="55" s="1"/>
  <c r="H607" i="55" a="1"/>
  <c r="H607" i="55" s="1"/>
  <c r="J569" i="55" a="1"/>
  <c r="J569" i="55" s="1"/>
  <c r="J527" i="55" a="1"/>
  <c r="J527" i="55" s="1"/>
  <c r="J629" i="55" a="1"/>
  <c r="J629" i="55" s="1"/>
  <c r="J565" i="55" a="1"/>
  <c r="J565" i="55" s="1"/>
  <c r="J378" i="55" a="1"/>
  <c r="J378" i="55" s="1"/>
  <c r="J669" i="55" a="1"/>
  <c r="J669" i="55" s="1"/>
  <c r="J425" i="55" a="1"/>
  <c r="J425" i="55" s="1"/>
  <c r="J497" i="55" a="1"/>
  <c r="J497" i="55" s="1"/>
  <c r="J611" i="55" a="1"/>
  <c r="J611" i="55" s="1"/>
  <c r="H728" i="55" a="1"/>
  <c r="H728" i="55" s="1"/>
  <c r="L728" i="55" s="1"/>
  <c r="M728" i="55" s="1"/>
  <c r="J714" i="55" a="1"/>
  <c r="J714" i="55" s="1"/>
  <c r="J623" i="55" a="1"/>
  <c r="J623" i="55" s="1"/>
  <c r="J419" i="55" a="1"/>
  <c r="J419" i="55" s="1"/>
  <c r="H421" i="55" a="1"/>
  <c r="H421" i="55" s="1"/>
  <c r="H449" i="55" a="1"/>
  <c r="H449" i="55" s="1"/>
  <c r="J368" i="55" a="1"/>
  <c r="J368" i="55" s="1"/>
  <c r="J591" i="55" a="1"/>
  <c r="J591" i="55" s="1"/>
  <c r="H284" i="55" a="1"/>
  <c r="H284" i="55" s="1"/>
  <c r="J372" i="55" a="1"/>
  <c r="J372" i="55" s="1"/>
  <c r="J598" i="55" a="1"/>
  <c r="J598" i="55" s="1"/>
  <c r="J422" i="55" a="1"/>
  <c r="J422" i="55" s="1"/>
  <c r="H320" i="55" a="1"/>
  <c r="H320" i="55" s="1"/>
  <c r="J744" i="55" a="1"/>
  <c r="J744" i="55" s="1"/>
  <c r="J19" i="55" a="1"/>
  <c r="J19" i="55" s="1"/>
  <c r="J646" i="55" a="1"/>
  <c r="J646" i="55" s="1"/>
  <c r="H597" i="55" a="1"/>
  <c r="H597" i="55" s="1"/>
  <c r="H569" i="55" a="1"/>
  <c r="H569" i="55" s="1"/>
  <c r="H591" i="55" a="1"/>
  <c r="H591" i="55" s="1"/>
  <c r="J284" i="55" a="1"/>
  <c r="J284" i="55" s="1"/>
  <c r="H372" i="55" a="1"/>
  <c r="H372" i="55" s="1"/>
  <c r="H598" i="55" a="1"/>
  <c r="H598" i="55" s="1"/>
  <c r="H422" i="55" a="1"/>
  <c r="H422" i="55" s="1"/>
  <c r="J509" i="55" a="1"/>
  <c r="J509" i="55" s="1"/>
  <c r="H289" i="55" a="1"/>
  <c r="H289" i="55" s="1"/>
  <c r="J421" i="55" a="1"/>
  <c r="J421" i="55" s="1"/>
  <c r="J632" i="55" a="1"/>
  <c r="J632" i="55" s="1"/>
  <c r="J505" i="55" a="1"/>
  <c r="J505" i="55" s="1"/>
  <c r="J638" i="55" a="1"/>
  <c r="J638" i="55" s="1"/>
  <c r="J320" i="55" a="1"/>
  <c r="J320" i="55" s="1"/>
  <c r="J521" i="55" a="1"/>
  <c r="J521" i="55" s="1"/>
  <c r="J511" i="55" a="1"/>
  <c r="J511" i="55" s="1"/>
  <c r="J373" i="55" a="1"/>
  <c r="J373" i="55" s="1"/>
  <c r="J439" i="55" a="1"/>
  <c r="J439" i="55" s="1"/>
  <c r="J339" i="55" a="1"/>
  <c r="J339" i="55" s="1"/>
  <c r="H19" i="55" a="1"/>
  <c r="H19" i="55" s="1"/>
  <c r="H646" i="55" a="1"/>
  <c r="H646" i="55" s="1"/>
  <c r="J597" i="55" a="1"/>
  <c r="J597" i="55" s="1"/>
  <c r="H529" i="55" a="1"/>
  <c r="H529" i="55" s="1"/>
  <c r="H742" i="55" a="1"/>
  <c r="H742" i="55" s="1"/>
  <c r="J626" i="55" a="1"/>
  <c r="J626" i="55" s="1"/>
  <c r="J381" i="55" a="1"/>
  <c r="J381" i="55" s="1"/>
  <c r="H785" i="55" a="1"/>
  <c r="H785" i="55" s="1"/>
  <c r="H497" i="55" a="1"/>
  <c r="H497" i="55" s="1"/>
  <c r="J416" i="55" a="1"/>
  <c r="J416" i="55" s="1"/>
  <c r="J447" i="55" a="1"/>
  <c r="J447" i="55" s="1"/>
  <c r="J437" i="55" a="1"/>
  <c r="J437" i="55" s="1"/>
  <c r="H339" i="55" a="1"/>
  <c r="H339" i="55" s="1"/>
  <c r="J283" i="55" a="1"/>
  <c r="J283" i="55" s="1"/>
  <c r="J675" i="55" a="1"/>
  <c r="J675" i="55" s="1"/>
  <c r="H319" i="55" a="1"/>
  <c r="H319" i="55" s="1"/>
  <c r="H437" i="55" a="1"/>
  <c r="H437" i="55" s="1"/>
  <c r="H629" i="55" a="1"/>
  <c r="H629" i="55" s="1"/>
  <c r="L629" i="55" s="1"/>
  <c r="M629" i="55" s="1"/>
  <c r="H288" i="55" a="1"/>
  <c r="H288" i="55" s="1"/>
  <c r="L288" i="55" s="1"/>
  <c r="M288" i="55" s="1"/>
  <c r="H566" i="55" a="1"/>
  <c r="H566" i="55" s="1"/>
  <c r="H351" i="55" a="1"/>
  <c r="H351" i="55" s="1"/>
  <c r="H639" i="55" a="1"/>
  <c r="H639" i="55" s="1"/>
  <c r="L639" i="55" s="1"/>
  <c r="M639" i="55" s="1"/>
  <c r="J466" i="55" a="1"/>
  <c r="J466" i="55" s="1"/>
  <c r="H588" i="55" a="1"/>
  <c r="H588" i="55" s="1"/>
  <c r="H595" i="55" a="1"/>
  <c r="H595" i="55" s="1"/>
  <c r="L595" i="55" s="1"/>
  <c r="M595" i="55" s="1"/>
  <c r="H430" i="55" a="1"/>
  <c r="H430" i="55" s="1"/>
  <c r="L430" i="55" s="1"/>
  <c r="M430" i="55" s="1"/>
  <c r="J240" i="55" a="1"/>
  <c r="J240" i="55" s="1"/>
  <c r="H465" i="55" a="1"/>
  <c r="H465" i="55" s="1"/>
  <c r="H412" i="55" a="1"/>
  <c r="H412" i="55" s="1"/>
  <c r="H426" i="55" a="1"/>
  <c r="H426" i="55" s="1"/>
  <c r="L426" i="55" s="1"/>
  <c r="M426" i="55" s="1"/>
  <c r="J507" i="55" a="1"/>
  <c r="J507" i="55" s="1"/>
  <c r="H469" i="55" a="1"/>
  <c r="H469" i="55" s="1"/>
  <c r="L469" i="55" s="1"/>
  <c r="M469" i="55" s="1"/>
  <c r="J606" i="55" a="1"/>
  <c r="J606" i="55" s="1"/>
  <c r="J615" i="55" a="1"/>
  <c r="J615" i="55" s="1"/>
  <c r="J289" i="55" a="1"/>
  <c r="J289" i="55" s="1"/>
  <c r="J358" i="55" a="1"/>
  <c r="J358" i="55" s="1"/>
  <c r="J459" i="55" a="1"/>
  <c r="J459" i="55" s="1"/>
  <c r="J442" i="55" a="1"/>
  <c r="J442" i="55" s="1"/>
  <c r="J529" i="55" a="1"/>
  <c r="J529" i="55" s="1"/>
  <c r="H749" i="55" a="1"/>
  <c r="H749" i="55" s="1"/>
  <c r="J457" i="55" a="1"/>
  <c r="J457" i="55" s="1"/>
  <c r="J607" i="55" a="1"/>
  <c r="J607" i="55" s="1"/>
  <c r="J343" i="55" a="1"/>
  <c r="J343" i="55" s="1"/>
  <c r="H283" i="55" a="1"/>
  <c r="H283" i="55" s="1"/>
  <c r="H675" i="55" a="1"/>
  <c r="H675" i="55" s="1"/>
  <c r="J319" i="55" a="1"/>
  <c r="J319" i="55" s="1"/>
  <c r="H375" i="55" a="1"/>
  <c r="H375" i="55" s="1"/>
  <c r="H388" i="55" a="1"/>
  <c r="H388" i="55" s="1"/>
  <c r="J644" i="55" a="1"/>
  <c r="J644" i="55" s="1"/>
  <c r="J586" i="55" a="1"/>
  <c r="J586" i="55" s="1"/>
  <c r="H630" i="55" a="1"/>
  <c r="H630" i="55" s="1"/>
  <c r="L630" i="55" s="1"/>
  <c r="M630" i="55" s="1"/>
  <c r="H466" i="55" a="1"/>
  <c r="H466" i="55" s="1"/>
  <c r="H726" i="55" a="1"/>
  <c r="H726" i="55" s="1"/>
  <c r="L726" i="55" s="1"/>
  <c r="M726" i="55" s="1"/>
  <c r="H740" i="55" a="1"/>
  <c r="H740" i="55" s="1"/>
  <c r="L740" i="55" s="1"/>
  <c r="M740" i="55" s="1"/>
  <c r="H515" i="55" a="1"/>
  <c r="H515" i="55" s="1"/>
  <c r="L515" i="55" s="1"/>
  <c r="H507" i="55" a="1"/>
  <c r="H507" i="55" s="1"/>
  <c r="H565" i="55" a="1"/>
  <c r="H565" i="55" s="1"/>
  <c r="J388" i="55" a="1"/>
  <c r="J388" i="55" s="1"/>
  <c r="H644" i="55" a="1"/>
  <c r="H644" i="55" s="1"/>
  <c r="H586" i="55" a="1"/>
  <c r="H586" i="55" s="1"/>
  <c r="J446" i="55" a="1"/>
  <c r="J446" i="55" s="1"/>
  <c r="J556" i="55" a="1"/>
  <c r="J556" i="55" s="1"/>
  <c r="H322" i="55" a="1"/>
  <c r="H322" i="55" s="1"/>
  <c r="L322" i="55" s="1"/>
  <c r="H543" i="55" a="1"/>
  <c r="H543" i="55" s="1"/>
  <c r="L543" i="55" s="1"/>
  <c r="J392" i="55" a="1"/>
  <c r="J392" i="55" s="1"/>
  <c r="H291" i="55" a="1"/>
  <c r="H291" i="55" s="1"/>
  <c r="H404" i="55" a="1"/>
  <c r="H404" i="55" s="1"/>
  <c r="L404" i="55" s="1"/>
  <c r="M404" i="55" s="1"/>
  <c r="H408" i="55" a="1"/>
  <c r="H408" i="55" s="1"/>
  <c r="L408" i="55" s="1"/>
  <c r="M408" i="55" s="1"/>
  <c r="H357" i="55" a="1"/>
  <c r="H357" i="55" s="1"/>
  <c r="J528" i="55" a="1"/>
  <c r="J528" i="55" s="1"/>
  <c r="H435" i="55" a="1"/>
  <c r="H435" i="55" s="1"/>
  <c r="L435" i="55" s="1"/>
  <c r="M435" i="55" s="1"/>
  <c r="H473" i="55" a="1"/>
  <c r="H473" i="55" s="1"/>
  <c r="L473" i="55" s="1"/>
  <c r="M473" i="55" s="1"/>
  <c r="H459" i="55" a="1"/>
  <c r="H459" i="55" s="1"/>
  <c r="J503" i="55" a="1"/>
  <c r="J503" i="55" s="1"/>
  <c r="H741" i="55" a="1"/>
  <c r="H741" i="55" s="1"/>
  <c r="L741" i="55" s="1"/>
  <c r="M741" i="55" s="1"/>
  <c r="H358" i="55" a="1"/>
  <c r="H358" i="55" s="1"/>
  <c r="E30" i="15" a="1"/>
  <c r="E30" i="15" s="1"/>
  <c r="F32" i="15" a="1"/>
  <c r="F32" i="15" s="1"/>
  <c r="F30" i="15" a="1"/>
  <c r="F30" i="15" s="1"/>
  <c r="E32" i="15" a="1"/>
  <c r="E32" i="15" s="1"/>
  <c r="E31" i="15" a="1"/>
  <c r="E31" i="15" s="1"/>
  <c r="F31" i="15" a="1"/>
  <c r="F31" i="15" s="1"/>
  <c r="J660" i="55" a="1"/>
  <c r="J660" i="55" s="1"/>
  <c r="J464" i="55" a="1"/>
  <c r="J464" i="55" s="1"/>
  <c r="J12" i="55" a="1"/>
  <c r="J12" i="55" s="1"/>
  <c r="J732" i="55" a="1"/>
  <c r="J732" i="55" s="1"/>
  <c r="J106" i="55" a="1"/>
  <c r="J106" i="55" s="1"/>
  <c r="H234" i="55" a="1"/>
  <c r="H234" i="55" s="1"/>
  <c r="H562" i="55" a="1"/>
  <c r="H562" i="55" s="1"/>
  <c r="H403" i="55" a="1"/>
  <c r="H403" i="55" s="1"/>
  <c r="H545" i="55" a="1"/>
  <c r="H545" i="55" s="1"/>
  <c r="H657" i="55" a="1"/>
  <c r="H657" i="55" s="1"/>
  <c r="H268" i="55" a="1"/>
  <c r="H268" i="55" s="1"/>
  <c r="J101" i="55" a="1"/>
  <c r="J101" i="55" s="1"/>
  <c r="J141" i="55" a="1"/>
  <c r="J141" i="55" s="1"/>
  <c r="H484" i="55" a="1"/>
  <c r="H484" i="55" s="1"/>
  <c r="J140" i="55" a="1"/>
  <c r="J140" i="55" s="1"/>
  <c r="J474" i="55" a="1"/>
  <c r="J474" i="55" s="1"/>
  <c r="J549" i="55" a="1"/>
  <c r="J549" i="55" s="1"/>
  <c r="J234" i="55" a="1"/>
  <c r="J234" i="55" s="1"/>
  <c r="H664" i="55" a="1"/>
  <c r="H664" i="55" s="1"/>
  <c r="H173" i="55" a="1"/>
  <c r="H173" i="55" s="1"/>
  <c r="H522" i="55" a="1"/>
  <c r="H522" i="55" s="1"/>
  <c r="H95" i="55" a="1"/>
  <c r="H95" i="55" s="1"/>
  <c r="H758" i="55" a="1"/>
  <c r="H758" i="55" s="1"/>
  <c r="H471" i="55" a="1"/>
  <c r="H471" i="55" s="1"/>
  <c r="H653" i="55" a="1"/>
  <c r="H653" i="55" s="1"/>
  <c r="H117" i="55" a="1"/>
  <c r="H117" i="55" s="1"/>
  <c r="H206" i="55" a="1"/>
  <c r="H206" i="55" s="1"/>
  <c r="J711" i="55" a="1"/>
  <c r="J711" i="55" s="1"/>
  <c r="J95" i="55" a="1"/>
  <c r="J95" i="55" s="1"/>
  <c r="H725" i="55" a="1"/>
  <c r="H725" i="55" s="1"/>
  <c r="H120" i="55" a="1"/>
  <c r="H120" i="55" s="1"/>
  <c r="J199" i="55" a="1"/>
  <c r="J199" i="55" s="1"/>
  <c r="H450" i="55" a="1"/>
  <c r="H450" i="55" s="1"/>
  <c r="J722" i="55" a="1"/>
  <c r="J722" i="55" s="1"/>
  <c r="J231" i="55" a="1"/>
  <c r="J231" i="55" s="1"/>
  <c r="H199" i="55" a="1"/>
  <c r="H199" i="55" s="1"/>
  <c r="L199" i="55" s="1"/>
  <c r="M199" i="55" s="1"/>
  <c r="J475" i="55" a="1"/>
  <c r="J475" i="55" s="1"/>
  <c r="J237" i="55" a="1"/>
  <c r="J237" i="55" s="1"/>
  <c r="J729" i="55" a="1"/>
  <c r="J729" i="55" s="1"/>
  <c r="H253" i="55" a="1"/>
  <c r="H253" i="55" s="1"/>
  <c r="H36" i="55" a="1"/>
  <c r="H36" i="55" s="1"/>
  <c r="J76" i="55" a="1"/>
  <c r="J76" i="55" s="1"/>
  <c r="H157" i="55" a="1"/>
  <c r="H157" i="55" s="1"/>
  <c r="J74" i="55" a="1"/>
  <c r="J74" i="55" s="1"/>
  <c r="H217" i="55" a="1"/>
  <c r="H217" i="55" s="1"/>
  <c r="H207" i="55" a="1"/>
  <c r="H207" i="55" s="1"/>
  <c r="J308" i="55" a="1"/>
  <c r="J308" i="55" s="1"/>
  <c r="J307" i="55" a="1"/>
  <c r="J307" i="55" s="1"/>
  <c r="H98" i="55" a="1"/>
  <c r="H98" i="55" s="1"/>
  <c r="J486" i="55" a="1"/>
  <c r="J486" i="55" s="1"/>
  <c r="H554" i="55" a="1"/>
  <c r="H554" i="55" s="1"/>
  <c r="J370" i="55" a="1"/>
  <c r="J370" i="55" s="1"/>
  <c r="H371" i="55" a="1"/>
  <c r="H371" i="55" s="1"/>
  <c r="H152" i="55" a="1"/>
  <c r="H152" i="55" s="1"/>
  <c r="J93" i="55" a="1"/>
  <c r="J93" i="55" s="1"/>
  <c r="H401" i="55" a="1"/>
  <c r="H401" i="55" s="1"/>
  <c r="H635" i="55" a="1"/>
  <c r="H635" i="55" s="1"/>
  <c r="H621" i="55" a="1"/>
  <c r="H621" i="55" s="1"/>
  <c r="H736" i="55" a="1"/>
  <c r="H736" i="55" s="1"/>
  <c r="J276" i="55" a="1"/>
  <c r="J276" i="55" s="1"/>
  <c r="H711" i="55" a="1"/>
  <c r="H711" i="55" s="1"/>
  <c r="H631" i="55" a="1"/>
  <c r="H631" i="55" s="1"/>
  <c r="H193" i="55" a="1"/>
  <c r="H193" i="55" s="1"/>
  <c r="H272" i="55" a="1"/>
  <c r="H272" i="55" s="1"/>
  <c r="H564" i="55" a="1"/>
  <c r="H564" i="55" s="1"/>
  <c r="J642" i="55" a="1"/>
  <c r="J642" i="55" s="1"/>
  <c r="H676" i="55" a="1"/>
  <c r="H676" i="55" s="1"/>
  <c r="E40" i="15" a="1"/>
  <c r="E40" i="15" s="1"/>
  <c r="J350" i="55" a="1"/>
  <c r="J350" i="55" s="1"/>
  <c r="H723" i="55" a="1"/>
  <c r="H723" i="55" s="1"/>
  <c r="J175" i="55" a="1"/>
  <c r="J175" i="55" s="1"/>
  <c r="H46" i="55" a="1"/>
  <c r="H46" i="55" s="1"/>
  <c r="J188" i="55" a="1"/>
  <c r="J188" i="55" s="1"/>
  <c r="H271" i="55" a="1"/>
  <c r="H271" i="55" s="1"/>
  <c r="H340" i="55" a="1"/>
  <c r="H340" i="55" s="1"/>
  <c r="J219" i="55" a="1"/>
  <c r="J219" i="55" s="1"/>
  <c r="J502" i="55" a="1"/>
  <c r="J502" i="55" s="1"/>
  <c r="J189" i="55" a="1"/>
  <c r="J189" i="55" s="1"/>
  <c r="H290" i="55" a="1"/>
  <c r="H290" i="55" s="1"/>
  <c r="H110" i="55" a="1"/>
  <c r="H110" i="55" s="1"/>
  <c r="H171" i="55" a="1"/>
  <c r="H171" i="55" s="1"/>
  <c r="H184" i="55" a="1"/>
  <c r="H184" i="55" s="1"/>
  <c r="H495" i="55" a="1"/>
  <c r="H495" i="55" s="1"/>
  <c r="J468" i="55" a="1"/>
  <c r="J468" i="55" s="1"/>
  <c r="J601" i="55" a="1"/>
  <c r="J601" i="55" s="1"/>
  <c r="J37" i="55" a="1"/>
  <c r="J37" i="55" s="1"/>
  <c r="H370" i="55" a="1"/>
  <c r="H370" i="55" s="1"/>
  <c r="H691" i="55" a="1"/>
  <c r="H691" i="55" s="1"/>
  <c r="H681" i="55" a="1"/>
  <c r="H681" i="55" s="1"/>
  <c r="J444" i="55" a="1"/>
  <c r="J444" i="55" s="1"/>
  <c r="H719" i="55" a="1"/>
  <c r="H719" i="55" s="1"/>
  <c r="H172" i="55" a="1"/>
  <c r="H172" i="55" s="1"/>
  <c r="H54" i="55" a="1"/>
  <c r="H54" i="55" s="1"/>
  <c r="J278" i="55" a="1"/>
  <c r="J278" i="55" s="1"/>
  <c r="H51" i="55" a="1"/>
  <c r="H51" i="55" s="1"/>
  <c r="J574" i="55" a="1"/>
  <c r="J574" i="55" s="1"/>
  <c r="H451" i="55" a="1"/>
  <c r="H451" i="55" s="1"/>
  <c r="H183" i="55" a="1"/>
  <c r="H183" i="55" s="1"/>
  <c r="J206" i="55" a="1"/>
  <c r="J206" i="55" s="1"/>
  <c r="H542" i="55" a="1"/>
  <c r="H542" i="55" s="1"/>
  <c r="J476" i="55" a="1"/>
  <c r="J476" i="55" s="1"/>
  <c r="H627" i="55" a="1"/>
  <c r="H627" i="55" s="1"/>
  <c r="H216" i="55" a="1"/>
  <c r="H216" i="55" s="1"/>
  <c r="J612" i="55" a="1"/>
  <c r="J612" i="55" s="1"/>
  <c r="H648" i="55" a="1"/>
  <c r="H648" i="55" s="1"/>
  <c r="J226" i="55" a="1"/>
  <c r="J226" i="55" s="1"/>
  <c r="H127" i="55" a="1"/>
  <c r="H127" i="55" s="1"/>
  <c r="H636" i="55" a="1"/>
  <c r="H636" i="55" s="1"/>
  <c r="J467" i="55" a="1"/>
  <c r="J467" i="55" s="1"/>
  <c r="J116" i="55" a="1"/>
  <c r="J116" i="55" s="1"/>
  <c r="H659" i="55" a="1"/>
  <c r="H659" i="55" s="1"/>
  <c r="J371" i="55" a="1"/>
  <c r="J371" i="55" s="1"/>
  <c r="H93" i="55" a="1"/>
  <c r="H93" i="55" s="1"/>
  <c r="J50" i="55" a="1"/>
  <c r="J50" i="55" s="1"/>
  <c r="J758" i="55" a="1"/>
  <c r="J758" i="55" s="1"/>
  <c r="J216" i="55" a="1"/>
  <c r="J216" i="55" s="1"/>
  <c r="J328" i="55" a="1"/>
  <c r="J328" i="55" s="1"/>
  <c r="J262" i="55" a="1"/>
  <c r="J262" i="55" s="1"/>
  <c r="H185" i="55" a="1"/>
  <c r="H185" i="55" s="1"/>
  <c r="H455" i="55" a="1"/>
  <c r="H455" i="55" s="1"/>
  <c r="J47" i="55" a="1"/>
  <c r="J47" i="55" s="1"/>
  <c r="J127" i="55" a="1"/>
  <c r="J127" i="55" s="1"/>
  <c r="J342" i="55" a="1"/>
  <c r="J342" i="55" s="1"/>
  <c r="J326" i="55" a="1"/>
  <c r="J326" i="55" s="1"/>
  <c r="J723" i="55" a="1"/>
  <c r="J723" i="55" s="1"/>
  <c r="J201" i="55" a="1"/>
  <c r="J201" i="55" s="1"/>
  <c r="H188" i="55" a="1"/>
  <c r="H188" i="55" s="1"/>
  <c r="H230" i="55" a="1"/>
  <c r="H230" i="55" s="1"/>
  <c r="J243" i="55" a="1"/>
  <c r="J243" i="55" s="1"/>
  <c r="J46" i="55" a="1"/>
  <c r="J46" i="55" s="1"/>
  <c r="J97" i="55" a="1"/>
  <c r="J97" i="55" s="1"/>
  <c r="J631" i="55" a="1"/>
  <c r="J631" i="55" s="1"/>
  <c r="J153" i="55" a="1"/>
  <c r="J153" i="55" s="1"/>
  <c r="H33" i="55" a="1"/>
  <c r="H33" i="55" s="1"/>
  <c r="J126" i="55" a="1"/>
  <c r="J126" i="55" s="1"/>
  <c r="H583" i="55" a="1"/>
  <c r="H583" i="55" s="1"/>
  <c r="J681" i="55" a="1"/>
  <c r="J681" i="55" s="1"/>
  <c r="J406" i="55" a="1"/>
  <c r="J406" i="55" s="1"/>
  <c r="H715" i="55" a="1"/>
  <c r="H715" i="55" s="1"/>
  <c r="H374" i="55" a="1"/>
  <c r="H374" i="55" s="1"/>
  <c r="H574" i="55" a="1"/>
  <c r="H574" i="55" s="1"/>
  <c r="H296" i="55" a="1"/>
  <c r="H296" i="55" s="1"/>
  <c r="J542" i="55" a="1"/>
  <c r="J542" i="55" s="1"/>
  <c r="J168" i="55" a="1"/>
  <c r="J168" i="55" s="1"/>
  <c r="J537" i="55" a="1"/>
  <c r="J537" i="55" s="1"/>
  <c r="J185" i="55" a="1"/>
  <c r="J185" i="55" s="1"/>
  <c r="J359" i="55" a="1"/>
  <c r="J359" i="55" s="1"/>
  <c r="J691" i="55" a="1"/>
  <c r="J691" i="55" s="1"/>
  <c r="H642" i="55" a="1"/>
  <c r="H642" i="55" s="1"/>
  <c r="H49" i="55" a="1"/>
  <c r="H49" i="55" s="1"/>
  <c r="J181" i="55" a="1"/>
  <c r="J181" i="55" s="1"/>
  <c r="H39" i="55" a="1"/>
  <c r="H39" i="55" s="1"/>
  <c r="J759" i="55" a="1"/>
  <c r="J759" i="55" s="1"/>
  <c r="H166" i="55" a="1"/>
  <c r="H166" i="55" s="1"/>
  <c r="J55" i="55" a="1"/>
  <c r="J55" i="55" s="1"/>
  <c r="J610" i="55" a="1"/>
  <c r="J610" i="55" s="1"/>
  <c r="H181" i="55" a="1"/>
  <c r="H181" i="55" s="1"/>
  <c r="J653" i="55" a="1"/>
  <c r="J653" i="55" s="1"/>
  <c r="H652" i="55" a="1"/>
  <c r="H652" i="55" s="1"/>
  <c r="H231" i="55" a="1"/>
  <c r="H231" i="55" s="1"/>
  <c r="J80" i="55" a="1"/>
  <c r="J80" i="55" s="1"/>
  <c r="H150" i="55" a="1"/>
  <c r="H150" i="55" s="1"/>
  <c r="J269" i="55" a="1"/>
  <c r="J269" i="55" s="1"/>
  <c r="J379" i="55" a="1"/>
  <c r="J379" i="55" s="1"/>
  <c r="J659" i="55" a="1"/>
  <c r="J659" i="55" s="1"/>
  <c r="H399" i="55" a="1"/>
  <c r="H399" i="55" s="1"/>
  <c r="H223" i="55" a="1"/>
  <c r="H223" i="55" s="1"/>
  <c r="H278" i="55" a="1"/>
  <c r="H278" i="55" s="1"/>
  <c r="H196" i="55" a="1"/>
  <c r="H196" i="55" s="1"/>
  <c r="H366" i="55" a="1"/>
  <c r="H366" i="55" s="1"/>
  <c r="H385" i="55" a="1"/>
  <c r="H385" i="55" s="1"/>
  <c r="H153" i="55" a="1"/>
  <c r="H153" i="55" s="1"/>
  <c r="J48" i="55" a="1"/>
  <c r="J48" i="55" s="1"/>
  <c r="H406" i="55" a="1"/>
  <c r="H406" i="55" s="1"/>
  <c r="J235" i="55" a="1"/>
  <c r="J235" i="55" s="1"/>
  <c r="H131" i="55" a="1"/>
  <c r="H131" i="55" s="1"/>
  <c r="H297" i="55" a="1"/>
  <c r="H297" i="55" s="1"/>
  <c r="H684" i="55" a="1"/>
  <c r="H684" i="55" s="1"/>
  <c r="H654" i="55" a="1"/>
  <c r="H654" i="55" s="1"/>
  <c r="J217" i="55" a="1"/>
  <c r="J217" i="55" s="1"/>
  <c r="J647" i="55" a="1"/>
  <c r="J647" i="55" s="1"/>
  <c r="J208" i="55" a="1"/>
  <c r="J208" i="55" s="1"/>
  <c r="J661" i="55" a="1"/>
  <c r="J661" i="55" s="1"/>
  <c r="J89" i="55" a="1"/>
  <c r="J89" i="55" s="1"/>
  <c r="J169" i="55" a="1"/>
  <c r="J169" i="55" s="1"/>
  <c r="J487" i="55" a="1"/>
  <c r="J487" i="55" s="1"/>
  <c r="H121" i="55" a="1"/>
  <c r="H121" i="55" s="1"/>
  <c r="J267" i="55" a="1"/>
  <c r="J267" i="55" s="1"/>
  <c r="J657" i="55" a="1"/>
  <c r="J657" i="55" s="1"/>
  <c r="J186" i="55" a="1"/>
  <c r="J186" i="55" s="1"/>
  <c r="H76" i="55" a="1"/>
  <c r="H76" i="55" s="1"/>
  <c r="H174" i="55" a="1"/>
  <c r="H174" i="55" s="1"/>
  <c r="J374" i="55" a="1"/>
  <c r="J374" i="55" s="1"/>
  <c r="J299" i="55" a="1"/>
  <c r="J299" i="55" s="1"/>
  <c r="J538" i="55" a="1"/>
  <c r="J538" i="55" s="1"/>
  <c r="J600" i="55" a="1"/>
  <c r="J600" i="55" s="1"/>
  <c r="H209" i="55" a="1"/>
  <c r="H209" i="55" s="1"/>
  <c r="H168" i="55" a="1"/>
  <c r="H168" i="55" s="1"/>
  <c r="J353" i="55" a="1"/>
  <c r="J353" i="55" s="1"/>
  <c r="H328" i="55" a="1"/>
  <c r="H328" i="55" s="1"/>
  <c r="J451" i="55" a="1"/>
  <c r="J451" i="55" s="1"/>
  <c r="H47" i="55" a="1"/>
  <c r="H47" i="55" s="1"/>
  <c r="J103" i="55" a="1"/>
  <c r="J103" i="55" s="1"/>
  <c r="J224" i="55" a="1"/>
  <c r="J224" i="55" s="1"/>
  <c r="H219" i="55" a="1"/>
  <c r="H219" i="55" s="1"/>
  <c r="H235" i="55" a="1"/>
  <c r="H235" i="55" s="1"/>
  <c r="J131" i="55" a="1"/>
  <c r="J131" i="55" s="1"/>
  <c r="H62" i="55" a="1"/>
  <c r="H62" i="55" s="1"/>
  <c r="J223" i="55" a="1"/>
  <c r="J223" i="55" s="1"/>
  <c r="H360" i="55" a="1"/>
  <c r="H360" i="55" s="1"/>
  <c r="H48" i="55" a="1"/>
  <c r="H48" i="55" s="1"/>
  <c r="J398" i="55" a="1"/>
  <c r="J398" i="55" s="1"/>
  <c r="H325" i="55" a="1"/>
  <c r="H325" i="55" s="1"/>
  <c r="H211" i="55" a="1"/>
  <c r="H211" i="55" s="1"/>
  <c r="H50" i="55" a="1"/>
  <c r="H50" i="55" s="1"/>
  <c r="J555" i="55" a="1"/>
  <c r="J555" i="55" s="1"/>
  <c r="H759" i="55" a="1"/>
  <c r="H759" i="55" s="1"/>
  <c r="J60" i="55" a="1"/>
  <c r="J60" i="55" s="1"/>
  <c r="H553" i="55" a="1"/>
  <c r="H553" i="55" s="1"/>
  <c r="H57" i="55" a="1"/>
  <c r="H57" i="55" s="1"/>
  <c r="J124" i="55" a="1"/>
  <c r="J124" i="55" s="1"/>
  <c r="H137" i="55" a="1"/>
  <c r="H137" i="55" s="1"/>
  <c r="H656" i="55" a="1"/>
  <c r="H656" i="55" s="1"/>
  <c r="H126" i="55" a="1"/>
  <c r="H126" i="55" s="1"/>
  <c r="H335" i="55" a="1"/>
  <c r="H335" i="55" s="1"/>
  <c r="J58" i="55" a="1"/>
  <c r="J58" i="55" s="1"/>
  <c r="J712" i="55" a="1"/>
  <c r="J712" i="55" s="1"/>
  <c r="J317" i="55" a="1"/>
  <c r="J317" i="55" s="1"/>
  <c r="H326" i="55" a="1"/>
  <c r="H326" i="55" s="1"/>
  <c r="J366" i="55" a="1"/>
  <c r="J366" i="55" s="1"/>
  <c r="J621" i="55" a="1"/>
  <c r="J621" i="55" s="1"/>
  <c r="H733" i="55" a="1"/>
  <c r="H733" i="55" s="1"/>
  <c r="J297" i="55" a="1"/>
  <c r="J297" i="55" s="1"/>
  <c r="J471" i="55" a="1"/>
  <c r="J471" i="55" s="1"/>
  <c r="J656" i="55" a="1"/>
  <c r="J656" i="55" s="1"/>
  <c r="H709" i="55" a="1"/>
  <c r="H709" i="55" s="1"/>
  <c r="J648" i="55" a="1"/>
  <c r="J648" i="55" s="1"/>
  <c r="J136" i="55" a="1"/>
  <c r="J136" i="55" s="1"/>
  <c r="H674" i="55" a="1"/>
  <c r="H674" i="55" s="1"/>
  <c r="J354" i="55" a="1"/>
  <c r="J354" i="55" s="1"/>
  <c r="J63" i="55" a="1"/>
  <c r="J63" i="55" s="1"/>
  <c r="J306" i="55" a="1"/>
  <c r="J306" i="55" s="1"/>
  <c r="J311" i="55" a="1"/>
  <c r="J311" i="55" s="1"/>
  <c r="H299" i="55" a="1"/>
  <c r="H299" i="55" s="1"/>
  <c r="J583" i="55" a="1"/>
  <c r="J583" i="55" s="1"/>
  <c r="H187" i="55" a="1"/>
  <c r="H187" i="55" s="1"/>
  <c r="J340" i="55" a="1"/>
  <c r="J340" i="55" s="1"/>
  <c r="H255" i="55" a="1"/>
  <c r="H255" i="55" s="1"/>
  <c r="J209" i="55" a="1"/>
  <c r="J209" i="55" s="1"/>
  <c r="J356" i="55" a="1"/>
  <c r="J356" i="55" s="1"/>
  <c r="H192" i="55" a="1"/>
  <c r="H192" i="55" s="1"/>
  <c r="J654" i="55" a="1"/>
  <c r="J654" i="55" s="1"/>
  <c r="J282" i="55" a="1"/>
  <c r="J282" i="55" s="1"/>
  <c r="J69" i="55" a="1"/>
  <c r="J69" i="55" s="1"/>
  <c r="H673" i="55" a="1"/>
  <c r="H673" i="55" s="1"/>
  <c r="H80" i="55" a="1"/>
  <c r="H80" i="55" s="1"/>
  <c r="H483" i="55" a="1"/>
  <c r="H483" i="55" s="1"/>
  <c r="J125" i="55" a="1"/>
  <c r="J125" i="55" s="1"/>
  <c r="J177" i="55" a="1"/>
  <c r="J177" i="55" s="1"/>
  <c r="J184" i="55" a="1"/>
  <c r="J184" i="55" s="1"/>
  <c r="H60" i="55" a="1"/>
  <c r="H60" i="55" s="1"/>
  <c r="H69" i="55" a="1"/>
  <c r="H69" i="55" s="1"/>
  <c r="L69" i="55" s="1"/>
  <c r="M69" i="55" s="1"/>
  <c r="H667" i="55" a="1"/>
  <c r="H667" i="55" s="1"/>
  <c r="J506" i="55" a="1"/>
  <c r="J506" i="55" s="1"/>
  <c r="J64" i="55" a="1"/>
  <c r="J64" i="55" s="1"/>
  <c r="J627" i="55" a="1"/>
  <c r="J627" i="55" s="1"/>
  <c r="H55" i="55" a="1"/>
  <c r="H55" i="55" s="1"/>
  <c r="H197" i="55" a="1"/>
  <c r="H197" i="55" s="1"/>
  <c r="H692" i="55" a="1"/>
  <c r="H692" i="55" s="1"/>
  <c r="H738" i="55" a="1"/>
  <c r="H738" i="55" s="1"/>
  <c r="J214" i="55" a="1"/>
  <c r="J214" i="55" s="1"/>
  <c r="H204" i="55" a="1"/>
  <c r="H204" i="55" s="1"/>
  <c r="H557" i="55" a="1"/>
  <c r="H557" i="55" s="1"/>
  <c r="J192" i="55" a="1"/>
  <c r="J192" i="55" s="1"/>
  <c r="J360" i="55" a="1"/>
  <c r="J360" i="55" s="1"/>
  <c r="H96" i="55" a="1"/>
  <c r="H96" i="55" s="1"/>
  <c r="J733" i="55" a="1"/>
  <c r="J733" i="55" s="1"/>
  <c r="J383" i="55" a="1"/>
  <c r="J383" i="55" s="1"/>
  <c r="H486" i="55" a="1"/>
  <c r="H486" i="55" s="1"/>
  <c r="J196" i="55" a="1"/>
  <c r="J196" i="55" s="1"/>
  <c r="H58" i="55" a="1"/>
  <c r="H58" i="55" s="1"/>
  <c r="H712" i="55" a="1"/>
  <c r="H712" i="55" s="1"/>
  <c r="J296" i="55" a="1"/>
  <c r="J296" i="55" s="1"/>
  <c r="H237" i="55" a="1"/>
  <c r="H237" i="55" s="1"/>
  <c r="L237" i="55" s="1"/>
  <c r="M237" i="55" s="1"/>
  <c r="H506" i="55" a="1"/>
  <c r="H506" i="55" s="1"/>
  <c r="J78" i="55" a="1"/>
  <c r="J78" i="55" s="1"/>
  <c r="J310" i="55" a="1"/>
  <c r="J310" i="55" s="1"/>
  <c r="J51" i="55" a="1"/>
  <c r="J51" i="55" s="1"/>
  <c r="J709" i="55" a="1"/>
  <c r="J709" i="55" s="1"/>
  <c r="J553" i="55" a="1"/>
  <c r="J553" i="55" s="1"/>
  <c r="H354" i="55" a="1"/>
  <c r="H354" i="55" s="1"/>
  <c r="H476" i="55" a="1"/>
  <c r="H476" i="55" s="1"/>
  <c r="H342" i="55" a="1"/>
  <c r="H342" i="55" s="1"/>
  <c r="H136" i="55" a="1"/>
  <c r="H136" i="55" s="1"/>
  <c r="H444" i="55" a="1"/>
  <c r="H444" i="55" s="1"/>
  <c r="J719" i="55" a="1"/>
  <c r="J719" i="55" s="1"/>
  <c r="J652" i="55" a="1"/>
  <c r="J652" i="55" s="1"/>
  <c r="H379" i="55" a="1"/>
  <c r="H379" i="55" s="1"/>
  <c r="H555" i="55" a="1"/>
  <c r="H555" i="55" s="1"/>
  <c r="J160" i="55" a="1"/>
  <c r="J160" i="55" s="1"/>
  <c r="J198" i="55" a="1"/>
  <c r="J198" i="55" s="1"/>
  <c r="H116" i="55" a="1"/>
  <c r="H116" i="55" s="1"/>
  <c r="J118" i="55" a="1"/>
  <c r="J118" i="55" s="1"/>
  <c r="H601" i="55" a="1"/>
  <c r="H601" i="55" s="1"/>
  <c r="L601" i="55" s="1"/>
  <c r="M601" i="55" s="1"/>
  <c r="J273" i="55" a="1"/>
  <c r="J273" i="55" s="1"/>
  <c r="L273" i="55" s="1"/>
  <c r="M273" i="55" s="1"/>
  <c r="J738" i="55" a="1"/>
  <c r="J738" i="55" s="1"/>
  <c r="J721" i="55" a="1"/>
  <c r="J721" i="55" s="1"/>
  <c r="J651" i="55" a="1"/>
  <c r="J651" i="55" s="1"/>
  <c r="H534" i="55" a="1"/>
  <c r="H534" i="55" s="1"/>
  <c r="J495" i="55" a="1"/>
  <c r="J495" i="55" s="1"/>
  <c r="H702" i="55" a="1"/>
  <c r="H702" i="55" s="1"/>
  <c r="J110" i="55" a="1"/>
  <c r="J110" i="55" s="1"/>
  <c r="J265" i="55" a="1"/>
  <c r="J265" i="55" s="1"/>
  <c r="J166" i="55" a="1"/>
  <c r="J166" i="55" s="1"/>
  <c r="H282" i="55" a="1"/>
  <c r="H282" i="55" s="1"/>
  <c r="J129" i="55" a="1"/>
  <c r="J129" i="55" s="1"/>
  <c r="H453" i="55" a="1"/>
  <c r="H453" i="55" s="1"/>
  <c r="J580" i="55" a="1"/>
  <c r="J580" i="55" s="1"/>
  <c r="J38" i="55" a="1"/>
  <c r="J38" i="55" s="1"/>
  <c r="J715" i="55" a="1"/>
  <c r="J715" i="55" s="1"/>
  <c r="H722" i="55" a="1"/>
  <c r="H722" i="55" s="1"/>
  <c r="L722" i="55" s="1"/>
  <c r="M722" i="55" s="1"/>
  <c r="H107" i="55" a="1"/>
  <c r="H107" i="55" s="1"/>
  <c r="J450" i="55" a="1"/>
  <c r="J450" i="55" s="1"/>
  <c r="H600" i="55" a="1"/>
  <c r="H600" i="55" s="1"/>
  <c r="J483" i="55" a="1"/>
  <c r="J483" i="55" s="1"/>
  <c r="H516" i="55" a="1"/>
  <c r="H516" i="55" s="1"/>
  <c r="H142" i="55" a="1"/>
  <c r="H142" i="55" s="1"/>
  <c r="H64" i="55" a="1"/>
  <c r="H64" i="55" s="1"/>
  <c r="J335" i="55" a="1"/>
  <c r="J335" i="55" s="1"/>
  <c r="J172" i="55" a="1"/>
  <c r="J172" i="55" s="1"/>
  <c r="J584" i="55" a="1"/>
  <c r="J584" i="55" s="1"/>
  <c r="H580" i="55" a="1"/>
  <c r="H580" i="55" s="1"/>
  <c r="J171" i="55" a="1"/>
  <c r="J171" i="55" s="1"/>
  <c r="J70" i="55" a="1"/>
  <c r="J70" i="55" s="1"/>
  <c r="J33" i="55" a="1"/>
  <c r="J33" i="55" s="1"/>
  <c r="J673" i="55" a="1"/>
  <c r="J673" i="55" s="1"/>
  <c r="H63" i="55" a="1"/>
  <c r="H63" i="55" s="1"/>
  <c r="J460" i="55" a="1"/>
  <c r="J460" i="55" s="1"/>
  <c r="J564" i="55" a="1"/>
  <c r="J564" i="55" s="1"/>
  <c r="J170" i="55" a="1"/>
  <c r="J170" i="55" s="1"/>
  <c r="J165" i="55" a="1"/>
  <c r="J165" i="55" s="1"/>
  <c r="H77" i="55" a="1"/>
  <c r="H77" i="55" s="1"/>
  <c r="J150" i="55" a="1"/>
  <c r="J150" i="55" s="1"/>
  <c r="J230" i="55" a="1"/>
  <c r="J230" i="55" s="1"/>
  <c r="J636" i="55" a="1"/>
  <c r="J636" i="55" s="1"/>
  <c r="H314" i="55" a="1"/>
  <c r="H314" i="55" s="1"/>
  <c r="H651" i="55" a="1"/>
  <c r="H651" i="55" s="1"/>
  <c r="H175" i="55" a="1"/>
  <c r="H175" i="55" s="1"/>
  <c r="L175" i="55" s="1"/>
  <c r="M175" i="55" s="1"/>
  <c r="J702" i="55" a="1"/>
  <c r="J702" i="55" s="1"/>
  <c r="J94" i="55" a="1"/>
  <c r="J94" i="55" s="1"/>
  <c r="J137" i="55" a="1"/>
  <c r="J137" i="55" s="1"/>
  <c r="H70" i="55" a="1"/>
  <c r="H70" i="55" s="1"/>
  <c r="H135" i="55" a="1"/>
  <c r="H135" i="55" s="1"/>
  <c r="H428" i="55" a="1"/>
  <c r="H428" i="55" s="1"/>
  <c r="H38" i="55" a="1"/>
  <c r="H38" i="55" s="1"/>
  <c r="J667" i="55" a="1"/>
  <c r="J667" i="55" s="1"/>
  <c r="J135" i="55" a="1"/>
  <c r="J135" i="55" s="1"/>
  <c r="H236" i="55" a="1"/>
  <c r="H236" i="55" s="1"/>
  <c r="H94" i="55" a="1"/>
  <c r="H94" i="55" s="1"/>
  <c r="H243" i="55" a="1"/>
  <c r="H243" i="55" s="1"/>
  <c r="H232" i="55" a="1"/>
  <c r="H232" i="55" s="1"/>
  <c r="J142" i="55" a="1"/>
  <c r="J142" i="55" s="1"/>
  <c r="J534" i="55" a="1"/>
  <c r="J534" i="55" s="1"/>
  <c r="H124" i="55" a="1"/>
  <c r="H124" i="55" s="1"/>
  <c r="H306" i="55" a="1"/>
  <c r="H306" i="55" s="1"/>
  <c r="J325" i="55" a="1"/>
  <c r="J325" i="55" s="1"/>
  <c r="J211" i="55" a="1"/>
  <c r="J211" i="55" s="1"/>
  <c r="J522" i="55" a="1"/>
  <c r="J522" i="55" s="1"/>
  <c r="H649" i="55" a="1"/>
  <c r="H649" i="55" s="1"/>
  <c r="H468" i="55" a="1"/>
  <c r="H468" i="55" s="1"/>
  <c r="J554" i="55" a="1"/>
  <c r="J554" i="55" s="1"/>
  <c r="J452" i="55" a="1"/>
  <c r="J452" i="55" s="1"/>
  <c r="J57" i="55" a="1"/>
  <c r="J57" i="55" s="1"/>
  <c r="J500" i="55" a="1"/>
  <c r="J500" i="55" s="1"/>
  <c r="J62" i="55" a="1"/>
  <c r="J62" i="55" s="1"/>
  <c r="J445" i="55" a="1"/>
  <c r="J445" i="55" s="1"/>
  <c r="J676" i="55" a="1"/>
  <c r="J676" i="55" s="1"/>
  <c r="H162" i="55" a="1"/>
  <c r="H162" i="55" s="1"/>
  <c r="H353" i="55" a="1"/>
  <c r="H353" i="55" s="1"/>
  <c r="H229" i="55" a="1"/>
  <c r="H229" i="55" s="1"/>
  <c r="H189" i="55" a="1"/>
  <c r="H189" i="55" s="1"/>
  <c r="J255" i="55" a="1"/>
  <c r="J255" i="55" s="1"/>
  <c r="J488" i="55" a="1"/>
  <c r="J488" i="55" s="1"/>
  <c r="H313" i="55" a="1"/>
  <c r="H313" i="55" s="1"/>
  <c r="H103" i="55" a="1"/>
  <c r="H103" i="55" s="1"/>
  <c r="H537" i="55" a="1"/>
  <c r="H537" i="55" s="1"/>
  <c r="H467" i="55" a="1"/>
  <c r="H467" i="55" s="1"/>
  <c r="H170" i="55" a="1"/>
  <c r="H170" i="55" s="1"/>
  <c r="H262" i="55" a="1"/>
  <c r="H262" i="55" s="1"/>
  <c r="J433" i="55" a="1"/>
  <c r="J433" i="55" s="1"/>
  <c r="H177" i="55" a="1"/>
  <c r="H177" i="55" s="1"/>
  <c r="J232" i="55" a="1"/>
  <c r="J232" i="55" s="1"/>
  <c r="J736" i="55" a="1"/>
  <c r="J736" i="55" s="1"/>
  <c r="H269" i="55" a="1"/>
  <c r="H269" i="55" s="1"/>
  <c r="H610" i="55" a="1"/>
  <c r="H610" i="55" s="1"/>
  <c r="H130" i="55" a="1"/>
  <c r="H130" i="55" s="1"/>
  <c r="J635" i="55" a="1"/>
  <c r="J635" i="55" s="1"/>
  <c r="J90" i="55" a="1"/>
  <c r="J90" i="55" s="1"/>
  <c r="H460" i="55" a="1"/>
  <c r="H460" i="55" s="1"/>
  <c r="H502" i="55" a="1"/>
  <c r="H502" i="55" s="1"/>
  <c r="L502" i="55" s="1"/>
  <c r="M502" i="55" s="1"/>
  <c r="H129" i="55" a="1"/>
  <c r="H129" i="55" s="1"/>
  <c r="J453" i="55" a="1"/>
  <c r="J453" i="55" s="1"/>
  <c r="H398" i="55" a="1"/>
  <c r="H398" i="55" s="1"/>
  <c r="J290" i="55" a="1"/>
  <c r="J290" i="55" s="1"/>
  <c r="H433" i="55" a="1"/>
  <c r="H433" i="55" s="1"/>
  <c r="H224" i="55" a="1"/>
  <c r="H224" i="55" s="1"/>
  <c r="J428" i="55" a="1"/>
  <c r="J428" i="55" s="1"/>
  <c r="H165" i="55" a="1"/>
  <c r="H165" i="55" s="1"/>
  <c r="J77" i="55" a="1"/>
  <c r="J77" i="55" s="1"/>
  <c r="H125" i="55" a="1"/>
  <c r="H125" i="55" s="1"/>
  <c r="H78" i="55" a="1"/>
  <c r="H78" i="55" s="1"/>
  <c r="H310" i="55" a="1"/>
  <c r="H310" i="55" s="1"/>
  <c r="H750" i="55" a="1"/>
  <c r="H750" i="55" s="1"/>
  <c r="H118" i="55" a="1"/>
  <c r="H118" i="55" s="1"/>
  <c r="J385" i="55" a="1"/>
  <c r="J385" i="55" s="1"/>
  <c r="H311" i="55" a="1"/>
  <c r="H311" i="55" s="1"/>
  <c r="H612" i="55" a="1"/>
  <c r="H612" i="55" s="1"/>
  <c r="H201" i="55" a="1"/>
  <c r="H201" i="55" s="1"/>
  <c r="L201" i="55" s="1"/>
  <c r="M201" i="55" s="1"/>
  <c r="H445" i="55" a="1"/>
  <c r="H445" i="55" s="1"/>
  <c r="J49" i="55" a="1"/>
  <c r="J49" i="55" s="1"/>
  <c r="H226" i="55" a="1"/>
  <c r="H226" i="55" s="1"/>
  <c r="J187" i="55" a="1"/>
  <c r="J187" i="55" s="1"/>
  <c r="H317" i="55" a="1"/>
  <c r="H317" i="55" s="1"/>
  <c r="H350" i="55" a="1"/>
  <c r="H350" i="55" s="1"/>
  <c r="L350" i="55" s="1"/>
  <c r="M350" i="55" s="1"/>
  <c r="J229" i="55" a="1"/>
  <c r="J229" i="55" s="1"/>
  <c r="H538" i="55" a="1"/>
  <c r="H538" i="55" s="1"/>
  <c r="J313" i="55" a="1"/>
  <c r="J313" i="55" s="1"/>
  <c r="J271" i="55" a="1"/>
  <c r="J271" i="55" s="1"/>
  <c r="H265" i="55" a="1"/>
  <c r="H265" i="55" s="1"/>
  <c r="J314" i="55" a="1"/>
  <c r="J314" i="55" s="1"/>
  <c r="H488" i="55" a="1"/>
  <c r="H488" i="55" s="1"/>
  <c r="H500" i="55" a="1"/>
  <c r="H500" i="55" s="1"/>
  <c r="H202" i="55" a="1"/>
  <c r="H202" i="55" s="1"/>
  <c r="H100" i="55" a="1"/>
  <c r="H100" i="55" s="1"/>
  <c r="J54" i="55" a="1"/>
  <c r="J54" i="55" s="1"/>
  <c r="H633" i="55" a="1"/>
  <c r="H633" i="55" s="1"/>
  <c r="H721" i="55" a="1"/>
  <c r="H721" i="55" s="1"/>
  <c r="H220" i="55" a="1"/>
  <c r="H220" i="55" s="1"/>
  <c r="J236" i="55" a="1"/>
  <c r="J236" i="55" s="1"/>
  <c r="J197" i="55" a="1"/>
  <c r="J197" i="55" s="1"/>
  <c r="H37" i="55" a="1"/>
  <c r="H37" i="55" s="1"/>
  <c r="H90" i="55" a="1"/>
  <c r="H90" i="55" s="1"/>
  <c r="H160" i="55" a="1"/>
  <c r="H160" i="55" s="1"/>
  <c r="J220" i="55" a="1"/>
  <c r="J220" i="55" s="1"/>
  <c r="H383" i="55" a="1"/>
  <c r="H383" i="55" s="1"/>
  <c r="H276" i="55" a="1"/>
  <c r="H276" i="55" s="1"/>
  <c r="J658" i="55" a="1"/>
  <c r="J658" i="55" s="1"/>
  <c r="J138" i="55" a="1"/>
  <c r="J138" i="55" s="1"/>
  <c r="H549" i="55" a="1"/>
  <c r="H549" i="55" s="1"/>
  <c r="L549" i="55" s="1"/>
  <c r="M549" i="55" s="1"/>
  <c r="H540" i="55" a="1"/>
  <c r="H540" i="55" s="1"/>
  <c r="J151" i="55" a="1"/>
  <c r="J151" i="55" s="1"/>
  <c r="H227" i="55" a="1"/>
  <c r="H227" i="55" s="1"/>
  <c r="H573" i="55" a="1"/>
  <c r="H573" i="55" s="1"/>
  <c r="H252" i="55" a="1"/>
  <c r="H252" i="55" s="1"/>
  <c r="H35" i="55" a="1"/>
  <c r="H35" i="55" s="1"/>
  <c r="J191" i="55" a="1"/>
  <c r="J191" i="55" s="1"/>
  <c r="H456" i="55" a="1"/>
  <c r="H456" i="55" s="1"/>
  <c r="H602" i="55" a="1"/>
  <c r="H602" i="55" s="1"/>
  <c r="H682" i="55" a="1"/>
  <c r="H682" i="55" s="1"/>
  <c r="J134" i="55" a="1"/>
  <c r="J134" i="55" s="1"/>
  <c r="H452" i="55" a="1"/>
  <c r="H452" i="55" s="1"/>
  <c r="J39" i="55" a="1"/>
  <c r="J39" i="55" s="1"/>
  <c r="J100" i="55" a="1"/>
  <c r="J100" i="55" s="1"/>
  <c r="J91" i="55" a="1"/>
  <c r="J91" i="55" s="1"/>
  <c r="H584" i="55" a="1"/>
  <c r="H584" i="55" s="1"/>
  <c r="J692" i="55" a="1"/>
  <c r="J692" i="55" s="1"/>
  <c r="H214" i="55" a="1"/>
  <c r="H214" i="55" s="1"/>
  <c r="H97" i="55" a="1"/>
  <c r="H97" i="55" s="1"/>
  <c r="L97" i="55" s="1"/>
  <c r="M97" i="55" s="1"/>
  <c r="J699" i="55" a="1"/>
  <c r="J699" i="55" s="1"/>
  <c r="J750" i="55" a="1"/>
  <c r="J750" i="55" s="1"/>
  <c r="J107" i="55" a="1"/>
  <c r="J107" i="55" s="1"/>
  <c r="H359" i="55" a="1"/>
  <c r="H359" i="55" s="1"/>
  <c r="H475" i="55" a="1"/>
  <c r="H475" i="55" s="1"/>
  <c r="L475" i="55" s="1"/>
  <c r="M475" i="55" s="1"/>
  <c r="J202" i="55" a="1"/>
  <c r="J202" i="55" s="1"/>
  <c r="J272" i="55" a="1"/>
  <c r="J272" i="55" s="1"/>
  <c r="H356" i="55" a="1"/>
  <c r="H356" i="55" s="1"/>
  <c r="J96" i="55" a="1"/>
  <c r="J96" i="55" s="1"/>
  <c r="H91" i="55" a="1"/>
  <c r="H91" i="55" s="1"/>
  <c r="H12" i="55" a="1"/>
  <c r="H12" i="55" s="1"/>
  <c r="J277" i="55" a="1"/>
  <c r="J277" i="55" s="1"/>
  <c r="H106" i="55" a="1"/>
  <c r="H106" i="55" s="1"/>
  <c r="L106" i="55" s="1"/>
  <c r="M106" i="55" s="1"/>
  <c r="J456" i="55" a="1"/>
  <c r="J456" i="55" s="1"/>
  <c r="H228" i="55" a="1"/>
  <c r="H228" i="55" s="1"/>
  <c r="H318" i="55" a="1"/>
  <c r="H318" i="55" s="1"/>
  <c r="J157" i="55" a="1"/>
  <c r="J157" i="55" s="1"/>
  <c r="H141" i="55" a="1"/>
  <c r="H141" i="55" s="1"/>
  <c r="J156" i="55" a="1"/>
  <c r="J156" i="55" s="1"/>
  <c r="H167" i="55" a="1"/>
  <c r="H167" i="55" s="1"/>
  <c r="H13" i="55" a="1"/>
  <c r="H13" i="55" s="1"/>
  <c r="J146" i="55" a="1"/>
  <c r="J146" i="55" s="1"/>
  <c r="H680" i="55" a="1"/>
  <c r="H680" i="55" s="1"/>
  <c r="H274" i="55" a="1"/>
  <c r="H274" i="55" s="1"/>
  <c r="H156" i="55" a="1"/>
  <c r="H156" i="55" s="1"/>
  <c r="H485" i="55" a="1"/>
  <c r="H485" i="55" s="1"/>
  <c r="H198" i="55" a="1"/>
  <c r="H198" i="55" s="1"/>
  <c r="J516" i="55" a="1"/>
  <c r="J516" i="55" s="1"/>
  <c r="J204" i="55" a="1"/>
  <c r="J204" i="55" s="1"/>
  <c r="J162" i="55" a="1"/>
  <c r="J162" i="55" s="1"/>
  <c r="J152" i="55" a="1"/>
  <c r="J152" i="55" s="1"/>
  <c r="J649" i="55" a="1"/>
  <c r="J649" i="55" s="1"/>
  <c r="H699" i="55" a="1"/>
  <c r="H699" i="55" s="1"/>
  <c r="J120" i="55" a="1"/>
  <c r="J120" i="55" s="1"/>
  <c r="J455" i="55" a="1"/>
  <c r="J455" i="55" s="1"/>
  <c r="J399" i="55" a="1"/>
  <c r="J399" i="55" s="1"/>
  <c r="J117" i="55" a="1"/>
  <c r="J117" i="55" s="1"/>
  <c r="J130" i="55" a="1"/>
  <c r="J130" i="55" s="1"/>
  <c r="J401" i="55" a="1"/>
  <c r="J401" i="55" s="1"/>
  <c r="J183" i="55" a="1"/>
  <c r="J183" i="55" s="1"/>
  <c r="J684" i="55" a="1"/>
  <c r="J684" i="55" s="1"/>
  <c r="J725" i="55" a="1"/>
  <c r="J725" i="55" s="1"/>
  <c r="J633" i="55" a="1"/>
  <c r="J633" i="55" s="1"/>
  <c r="J674" i="55" a="1"/>
  <c r="J674" i="55" s="1"/>
  <c r="J193" i="55" a="1"/>
  <c r="J193" i="55" s="1"/>
  <c r="J557" i="55" a="1"/>
  <c r="J557" i="55" s="1"/>
  <c r="H536" i="55" a="1"/>
  <c r="H536" i="55" s="1"/>
  <c r="H213" i="55" a="1"/>
  <c r="H213" i="55" s="1"/>
  <c r="H186" i="55" a="1"/>
  <c r="H186" i="55" s="1"/>
  <c r="J119" i="55" a="1"/>
  <c r="J119" i="55" s="1"/>
  <c r="J345" i="55" a="1"/>
  <c r="J345" i="55" s="1"/>
  <c r="H163" i="55" a="1"/>
  <c r="H163" i="55" s="1"/>
  <c r="J536" i="55" a="1"/>
  <c r="J536" i="55" s="1"/>
  <c r="J213" i="55" a="1"/>
  <c r="J213" i="55" s="1"/>
  <c r="J182" i="55" a="1"/>
  <c r="J182" i="55" s="1"/>
  <c r="J86" i="55" a="1"/>
  <c r="J86" i="55" s="1"/>
  <c r="J548" i="55" a="1"/>
  <c r="J548" i="55" s="1"/>
  <c r="J154" i="55" a="1"/>
  <c r="J154" i="55" s="1"/>
  <c r="J274" i="55" a="1"/>
  <c r="J274" i="55" s="1"/>
  <c r="J341" i="55" a="1"/>
  <c r="J341" i="55" s="1"/>
  <c r="H458" i="55" a="1"/>
  <c r="H458" i="55" s="1"/>
  <c r="J605" i="55" a="1"/>
  <c r="J605" i="55" s="1"/>
  <c r="J677" i="55" a="1"/>
  <c r="J677" i="55" s="1"/>
  <c r="H563" i="55" a="1"/>
  <c r="H563" i="55" s="1"/>
  <c r="J344" i="55" a="1"/>
  <c r="J344" i="55" s="1"/>
  <c r="J205" i="55" a="1"/>
  <c r="J205" i="55" s="1"/>
  <c r="H182" i="55" a="1"/>
  <c r="H182" i="55" s="1"/>
  <c r="H111" i="55" a="1"/>
  <c r="H111" i="55" s="1"/>
  <c r="J149" i="55" a="1"/>
  <c r="J149" i="55" s="1"/>
  <c r="H535" i="55" a="1"/>
  <c r="H535" i="55" s="1"/>
  <c r="J203" i="55" a="1"/>
  <c r="J203" i="55" s="1"/>
  <c r="J174" i="55" a="1"/>
  <c r="J174" i="55" s="1"/>
  <c r="L174" i="55" s="1"/>
  <c r="M174" i="55" s="1"/>
  <c r="H84" i="55" a="1"/>
  <c r="H84" i="55" s="1"/>
  <c r="J562" i="55" a="1"/>
  <c r="J562" i="55" s="1"/>
  <c r="J266" i="55" a="1"/>
  <c r="J266" i="55" s="1"/>
  <c r="J35" i="55" a="1"/>
  <c r="J35" i="55" s="1"/>
  <c r="H200" i="55" a="1"/>
  <c r="H200" i="55" s="1"/>
  <c r="H208" i="55" a="1"/>
  <c r="H208" i="55" s="1"/>
  <c r="J604" i="55" a="1"/>
  <c r="J604" i="55" s="1"/>
  <c r="J210" i="55" a="1"/>
  <c r="J210" i="55" s="1"/>
  <c r="H718" i="55" a="1"/>
  <c r="H718" i="55" s="1"/>
  <c r="J634" i="55" a="1"/>
  <c r="J634" i="55" s="1"/>
  <c r="H138" i="55" a="1"/>
  <c r="H138" i="55" s="1"/>
  <c r="J61" i="55" a="1"/>
  <c r="J61" i="55" s="1"/>
  <c r="H605" i="55" a="1"/>
  <c r="H605" i="55" s="1"/>
  <c r="J620" i="55" a="1"/>
  <c r="J620" i="55" s="1"/>
  <c r="J377" i="55" a="1"/>
  <c r="J377" i="55" s="1"/>
  <c r="H660" i="55" a="1"/>
  <c r="H660" i="55" s="1"/>
  <c r="L660" i="55" s="1"/>
  <c r="M660" i="55" s="1"/>
  <c r="J575" i="55" a="1"/>
  <c r="J575" i="55" s="1"/>
  <c r="H75" i="55" a="1"/>
  <c r="H75" i="55" s="1"/>
  <c r="J688" i="55" a="1"/>
  <c r="J688" i="55" s="1"/>
  <c r="H550" i="55" a="1"/>
  <c r="H550" i="55" s="1"/>
  <c r="J270" i="55" a="1"/>
  <c r="J270" i="55" s="1"/>
  <c r="H164" i="55" a="1"/>
  <c r="H164" i="55" s="1"/>
  <c r="J79" i="55" a="1"/>
  <c r="J79" i="55" s="1"/>
  <c r="H212" i="55" a="1"/>
  <c r="H212" i="55" s="1"/>
  <c r="J98" i="55" a="1"/>
  <c r="J98" i="55" s="1"/>
  <c r="L98" i="55" s="1"/>
  <c r="M98" i="55" s="1"/>
  <c r="J550" i="55" a="1"/>
  <c r="J550" i="55" s="1"/>
  <c r="H270" i="55" a="1"/>
  <c r="H270" i="55" s="1"/>
  <c r="H145" i="55" a="1"/>
  <c r="H145" i="55" s="1"/>
  <c r="J36" i="55" a="1"/>
  <c r="J36" i="55" s="1"/>
  <c r="L36" i="55" s="1"/>
  <c r="M36" i="55" s="1"/>
  <c r="H178" i="55" a="1"/>
  <c r="H178" i="55" s="1"/>
  <c r="J155" i="55" a="1"/>
  <c r="J155" i="55" s="1"/>
  <c r="J148" i="55" a="1"/>
  <c r="J148" i="55" s="1"/>
  <c r="J535" i="55" a="1"/>
  <c r="J535" i="55" s="1"/>
  <c r="J180" i="55" a="1"/>
  <c r="J180" i="55" s="1"/>
  <c r="H144" i="55" a="1"/>
  <c r="H144" i="55" s="1"/>
  <c r="H661" i="55" a="1"/>
  <c r="H661" i="55" s="1"/>
  <c r="L661" i="55" s="1"/>
  <c r="M661" i="55" s="1"/>
  <c r="J144" i="55" a="1"/>
  <c r="J144" i="55" s="1"/>
  <c r="J727" i="55" a="1"/>
  <c r="J727" i="55" s="1"/>
  <c r="H61" i="55" a="1"/>
  <c r="H61" i="55" s="1"/>
  <c r="H683" i="55" a="1"/>
  <c r="H683" i="55" s="1"/>
  <c r="H345" i="55" a="1"/>
  <c r="H345" i="55" s="1"/>
  <c r="H155" i="55" a="1"/>
  <c r="H155" i="55" s="1"/>
  <c r="J167" i="55" a="1"/>
  <c r="J167" i="55" s="1"/>
  <c r="H86" i="55" a="1"/>
  <c r="H86" i="55" s="1"/>
  <c r="J215" i="55" a="1"/>
  <c r="J215" i="55" s="1"/>
  <c r="J111" i="55" a="1"/>
  <c r="J111" i="55" s="1"/>
  <c r="H647" i="55" a="1"/>
  <c r="H647" i="55" s="1"/>
  <c r="H154" i="55" a="1"/>
  <c r="H154" i="55" s="1"/>
  <c r="J147" i="55" a="1"/>
  <c r="J147" i="55" s="1"/>
  <c r="H56" i="55" a="1"/>
  <c r="H56" i="55" s="1"/>
  <c r="J485" i="55" a="1"/>
  <c r="J485" i="55" s="1"/>
  <c r="H179" i="55" a="1"/>
  <c r="H179" i="55" s="1"/>
  <c r="J545" i="55" a="1"/>
  <c r="J545" i="55" s="1"/>
  <c r="L545" i="55" s="1"/>
  <c r="M545" i="55" s="1"/>
  <c r="H307" i="55" a="1"/>
  <c r="H307" i="55" s="1"/>
  <c r="L307" i="55" s="1"/>
  <c r="M307" i="55" s="1"/>
  <c r="H575" i="55" a="1"/>
  <c r="H575" i="55" s="1"/>
  <c r="H604" i="55" a="1"/>
  <c r="H604" i="55" s="1"/>
  <c r="H321" i="55" a="1"/>
  <c r="H321" i="55" s="1"/>
  <c r="J539" i="55" a="1"/>
  <c r="J539" i="55" s="1"/>
  <c r="J563" i="55" a="1"/>
  <c r="J563" i="55" s="1"/>
  <c r="J228" i="55" a="1"/>
  <c r="J228" i="55" s="1"/>
  <c r="H108" i="55" a="1"/>
  <c r="H108" i="55" s="1"/>
  <c r="H685" i="55" a="1"/>
  <c r="H685" i="55" s="1"/>
  <c r="J523" i="55" a="1"/>
  <c r="J523" i="55" s="1"/>
  <c r="H548" i="55" a="1"/>
  <c r="H548" i="55" s="1"/>
  <c r="J484" i="55" a="1"/>
  <c r="J484" i="55" s="1"/>
  <c r="L484" i="55" s="1"/>
  <c r="M484" i="55" s="1"/>
  <c r="H263" i="55" a="1"/>
  <c r="H263" i="55" s="1"/>
  <c r="J145" i="55" a="1"/>
  <c r="J145" i="55" s="1"/>
  <c r="H40" i="55" a="1"/>
  <c r="H40" i="55" s="1"/>
  <c r="J195" i="55" a="1"/>
  <c r="J195" i="55" s="1"/>
  <c r="J707" i="55" a="1"/>
  <c r="J707" i="55" s="1"/>
  <c r="H474" i="55" a="1"/>
  <c r="H474" i="55" s="1"/>
  <c r="L474" i="55" s="1"/>
  <c r="M474" i="55" s="1"/>
  <c r="J253" i="55" a="1"/>
  <c r="J253" i="55" s="1"/>
  <c r="L253" i="55" s="1"/>
  <c r="M253" i="55" s="1"/>
  <c r="J122" i="55" a="1"/>
  <c r="J122" i="55" s="1"/>
  <c r="H16" i="55" a="1"/>
  <c r="H16" i="55" s="1"/>
  <c r="J221" i="55" a="1"/>
  <c r="J221" i="55" s="1"/>
  <c r="H149" i="55" a="1"/>
  <c r="H149" i="55" s="1"/>
  <c r="H300" i="55" a="1"/>
  <c r="H300" i="55" s="1"/>
  <c r="H267" i="55" a="1"/>
  <c r="H267" i="55" s="1"/>
  <c r="L267" i="55" s="1"/>
  <c r="M267" i="55" s="1"/>
  <c r="H148" i="55" a="1"/>
  <c r="H148" i="55" s="1"/>
  <c r="H74" i="55" a="1"/>
  <c r="H74" i="55" s="1"/>
  <c r="L74" i="55" s="1"/>
  <c r="M74" i="55" s="1"/>
  <c r="J268" i="55" a="1"/>
  <c r="J268" i="55" s="1"/>
  <c r="L268" i="55" s="1"/>
  <c r="M268" i="55" s="1"/>
  <c r="J40" i="55" a="1"/>
  <c r="J40" i="55" s="1"/>
  <c r="H729" i="55" a="1"/>
  <c r="H729" i="55" s="1"/>
  <c r="L729" i="55" s="1"/>
  <c r="M729" i="55" s="1"/>
  <c r="H266" i="55" a="1"/>
  <c r="H266" i="55" s="1"/>
  <c r="H139" i="55" a="1"/>
  <c r="H139" i="55" s="1"/>
  <c r="H34" i="55" a="1"/>
  <c r="H34" i="55" s="1"/>
  <c r="J227" i="55" a="1"/>
  <c r="J227" i="55" s="1"/>
  <c r="J163" i="55" a="1"/>
  <c r="J163" i="55" s="1"/>
  <c r="J303" i="55" a="1"/>
  <c r="J303" i="55" s="1"/>
  <c r="H634" i="55" a="1"/>
  <c r="H634" i="55" s="1"/>
  <c r="J75" i="55" a="1"/>
  <c r="J75" i="55" s="1"/>
  <c r="J108" i="55" a="1"/>
  <c r="J108" i="55" s="1"/>
  <c r="H432" i="55" a="1"/>
  <c r="H432" i="55" s="1"/>
  <c r="H303" i="55" a="1"/>
  <c r="H303" i="55" s="1"/>
  <c r="J458" i="55" a="1"/>
  <c r="J458" i="55" s="1"/>
  <c r="H434" i="55" a="1"/>
  <c r="H434" i="55" s="1"/>
  <c r="J264" i="55" a="1"/>
  <c r="J264" i="55" s="1"/>
  <c r="H147" i="55" a="1"/>
  <c r="H147" i="55" s="1"/>
  <c r="J56" i="55" a="1"/>
  <c r="J56" i="55" s="1"/>
  <c r="J263" i="55" a="1"/>
  <c r="J263" i="55" s="1"/>
  <c r="J26" i="55" a="1"/>
  <c r="J26" i="55" s="1"/>
  <c r="J434" i="55" a="1"/>
  <c r="J434" i="55" s="1"/>
  <c r="H264" i="55" a="1"/>
  <c r="H264" i="55" s="1"/>
  <c r="J25" i="55" a="1"/>
  <c r="J25" i="55" s="1"/>
  <c r="H225" i="55" a="1"/>
  <c r="H225" i="55" s="1"/>
  <c r="H151" i="55" a="1"/>
  <c r="H151" i="55" s="1"/>
  <c r="J664" i="55" a="1"/>
  <c r="J664" i="55" s="1"/>
  <c r="L664" i="55" s="1"/>
  <c r="J403" i="55" a="1"/>
  <c r="J403" i="55" s="1"/>
  <c r="L403" i="55" s="1"/>
  <c r="M403" i="55" s="1"/>
  <c r="H159" i="55" a="1"/>
  <c r="H159" i="55" s="1"/>
  <c r="J432" i="55" a="1"/>
  <c r="J432" i="55" s="1"/>
  <c r="H334" i="55" a="1"/>
  <c r="H334" i="55" s="1"/>
  <c r="H298" i="55" a="1"/>
  <c r="H298" i="55" s="1"/>
  <c r="J578" i="55" a="1"/>
  <c r="J578" i="55" s="1"/>
  <c r="H578" i="55" a="1"/>
  <c r="H578" i="55" s="1"/>
  <c r="H539" i="55" a="1"/>
  <c r="H539" i="55" s="1"/>
  <c r="H688" i="55" a="1"/>
  <c r="H688" i="55" s="1"/>
  <c r="J233" i="55" a="1"/>
  <c r="J233" i="55" s="1"/>
  <c r="H658" i="55" a="1"/>
  <c r="H658" i="55" s="1"/>
  <c r="H301" i="55" a="1"/>
  <c r="H301" i="55" s="1"/>
  <c r="H341" i="55" a="1"/>
  <c r="H341" i="55" s="1"/>
  <c r="J757" i="55" a="1"/>
  <c r="J757" i="55" s="1"/>
  <c r="H222" i="55" a="1"/>
  <c r="H222" i="55" s="1"/>
  <c r="H194" i="55" a="1"/>
  <c r="H194" i="55" s="1"/>
  <c r="H134" i="55" a="1"/>
  <c r="H134" i="55" s="1"/>
  <c r="H25" i="55" a="1"/>
  <c r="H25" i="55" s="1"/>
  <c r="H169" i="55" a="1"/>
  <c r="H169" i="55" s="1"/>
  <c r="H487" i="55" a="1"/>
  <c r="H487" i="55" s="1"/>
  <c r="H221" i="55" a="1"/>
  <c r="H221" i="55" s="1"/>
  <c r="H191" i="55" a="1"/>
  <c r="H191" i="55" s="1"/>
  <c r="H102" i="55" a="1"/>
  <c r="H102" i="55" s="1"/>
  <c r="J540" i="55" a="1"/>
  <c r="J540" i="55" s="1"/>
  <c r="H205" i="55" a="1"/>
  <c r="H205" i="55" s="1"/>
  <c r="J102" i="55" a="1"/>
  <c r="J102" i="55" s="1"/>
  <c r="J685" i="55" a="1"/>
  <c r="J685" i="55" s="1"/>
  <c r="J300" i="55" a="1"/>
  <c r="J300" i="55" s="1"/>
  <c r="J207" i="55" a="1"/>
  <c r="J207" i="55" s="1"/>
  <c r="L207" i="55" s="1"/>
  <c r="M207" i="55" s="1"/>
  <c r="H384" i="55" a="1"/>
  <c r="H384" i="55" s="1"/>
  <c r="H620" i="55" a="1"/>
  <c r="H620" i="55" s="1"/>
  <c r="H757" i="55" a="1"/>
  <c r="H757" i="55" s="1"/>
  <c r="J218" i="55" a="1"/>
  <c r="J218" i="55" s="1"/>
  <c r="J190" i="55" a="1"/>
  <c r="J190" i="55" s="1"/>
  <c r="H122" i="55" a="1"/>
  <c r="H122" i="55" s="1"/>
  <c r="J13" i="55" a="1"/>
  <c r="J13" i="55" s="1"/>
  <c r="J164" i="55" a="1"/>
  <c r="J164" i="55" s="1"/>
  <c r="H576" i="55" a="1"/>
  <c r="H576" i="55" s="1"/>
  <c r="H218" i="55" a="1"/>
  <c r="H218" i="55" s="1"/>
  <c r="H190" i="55" a="1"/>
  <c r="H190" i="55" s="1"/>
  <c r="H101" i="55" a="1"/>
  <c r="H101" i="55" s="1"/>
  <c r="L101" i="55" s="1"/>
  <c r="M101" i="55" s="1"/>
  <c r="J680" i="55" a="1"/>
  <c r="J680" i="55" s="1"/>
  <c r="J158" i="55" a="1"/>
  <c r="J158" i="55" s="1"/>
  <c r="J84" i="55" a="1"/>
  <c r="J84" i="55" s="1"/>
  <c r="J384" i="55" a="1"/>
  <c r="J384" i="55" s="1"/>
  <c r="J334" i="55" a="1"/>
  <c r="J334" i="55" s="1"/>
  <c r="H89" i="55" a="1"/>
  <c r="H89" i="55" s="1"/>
  <c r="L89" i="55" s="1"/>
  <c r="M89" i="55" s="1"/>
  <c r="H464" i="55" a="1"/>
  <c r="H464" i="55" s="1"/>
  <c r="L464" i="55" s="1"/>
  <c r="M464" i="55" s="1"/>
  <c r="J159" i="55" a="1"/>
  <c r="J159" i="55" s="1"/>
  <c r="H238" i="55" a="1"/>
  <c r="H238" i="55" s="1"/>
  <c r="J239" i="55" a="1"/>
  <c r="J239" i="55" s="1"/>
  <c r="H140" i="55" a="1"/>
  <c r="H140" i="55" s="1"/>
  <c r="L140" i="55" s="1"/>
  <c r="M140" i="55" s="1"/>
  <c r="J34" i="55" a="1"/>
  <c r="J34" i="55" s="1"/>
  <c r="H180" i="55" a="1"/>
  <c r="H180" i="55" s="1"/>
  <c r="H732" i="55" a="1"/>
  <c r="H732" i="55" s="1"/>
  <c r="L732" i="55" s="1"/>
  <c r="M732" i="55" s="1"/>
  <c r="J238" i="55" a="1"/>
  <c r="J238" i="55" s="1"/>
  <c r="H239" i="55" a="1"/>
  <c r="H239" i="55" s="1"/>
  <c r="H119" i="55" a="1"/>
  <c r="H119" i="55" s="1"/>
  <c r="J682" i="55" a="1"/>
  <c r="J682" i="55" s="1"/>
  <c r="H215" i="55" a="1"/>
  <c r="H215" i="55" s="1"/>
  <c r="J139" i="55" a="1"/>
  <c r="J139" i="55" s="1"/>
  <c r="J602" i="55" a="1"/>
  <c r="J602" i="55" s="1"/>
  <c r="J683" i="55" a="1"/>
  <c r="J683" i="55" s="1"/>
  <c r="H233" i="55" a="1"/>
  <c r="H233" i="55" s="1"/>
  <c r="J18" i="55" a="1"/>
  <c r="J18" i="55" s="1"/>
  <c r="J710" i="55" a="1"/>
  <c r="J710" i="55" s="1"/>
  <c r="H176" i="55" a="1"/>
  <c r="H176" i="55" s="1"/>
  <c r="J321" i="55" a="1"/>
  <c r="J321" i="55" s="1"/>
  <c r="H730" i="55" a="1"/>
  <c r="H730" i="55" s="1"/>
  <c r="J225" i="55" a="1"/>
  <c r="J225" i="55" s="1"/>
  <c r="H195" i="55" a="1"/>
  <c r="H195" i="55" s="1"/>
  <c r="H26" i="55" a="1"/>
  <c r="H26" i="55" s="1"/>
  <c r="J178" i="55" a="1"/>
  <c r="J178" i="55" s="1"/>
  <c r="J730" i="55" a="1"/>
  <c r="J730" i="55" s="1"/>
  <c r="J222" i="55" a="1"/>
  <c r="J222" i="55" s="1"/>
  <c r="J194" i="55" a="1"/>
  <c r="J194" i="55" s="1"/>
  <c r="J104" i="55" a="1"/>
  <c r="J104" i="55" s="1"/>
  <c r="J298" i="55" a="1"/>
  <c r="J298" i="55" s="1"/>
  <c r="J212" i="55" a="1"/>
  <c r="J212" i="55" s="1"/>
  <c r="J121" i="55" a="1"/>
  <c r="J121" i="55" s="1"/>
  <c r="L121" i="55" s="1"/>
  <c r="M121" i="55" s="1"/>
  <c r="H727" i="55" a="1"/>
  <c r="H727" i="55" s="1"/>
  <c r="H308" i="55" a="1"/>
  <c r="H308" i="55" s="1"/>
  <c r="L308" i="55" s="1"/>
  <c r="M308" i="55" s="1"/>
  <c r="J200" i="55" a="1"/>
  <c r="J200" i="55" s="1"/>
  <c r="J176" i="55" a="1"/>
  <c r="J176" i="55" s="1"/>
  <c r="J576" i="55" a="1"/>
  <c r="J576" i="55" s="1"/>
  <c r="H707" i="55" a="1"/>
  <c r="H707" i="55" s="1"/>
  <c r="H677" i="55" a="1"/>
  <c r="H677" i="55" s="1"/>
  <c r="J301" i="55" a="1"/>
  <c r="J301" i="55" s="1"/>
  <c r="H710" i="55" a="1"/>
  <c r="H710" i="55" s="1"/>
  <c r="H523" i="55" a="1"/>
  <c r="H523" i="55" s="1"/>
  <c r="J318" i="55" a="1"/>
  <c r="J318" i="55" s="1"/>
  <c r="J718" i="55" a="1"/>
  <c r="J718" i="55" s="1"/>
  <c r="H277" i="55" a="1"/>
  <c r="H277" i="55" s="1"/>
  <c r="H210" i="55" a="1"/>
  <c r="H210" i="55" s="1"/>
  <c r="H18" i="55" a="1"/>
  <c r="H18" i="55" s="1"/>
  <c r="H377" i="55" a="1"/>
  <c r="H377" i="55" s="1"/>
  <c r="H203" i="55" a="1"/>
  <c r="H203" i="55" s="1"/>
  <c r="J179" i="55" a="1"/>
  <c r="J179" i="55" s="1"/>
  <c r="H104" i="55" a="1"/>
  <c r="H104" i="55" s="1"/>
  <c r="H146" i="55" a="1"/>
  <c r="H146" i="55" s="1"/>
  <c r="H344" i="55" a="1"/>
  <c r="H344" i="55" s="1"/>
  <c r="H158" i="55" a="1"/>
  <c r="H158" i="55" s="1"/>
  <c r="J173" i="55" a="1"/>
  <c r="J173" i="55" s="1"/>
  <c r="L173" i="55" s="1"/>
  <c r="M173" i="55" s="1"/>
  <c r="H79" i="55" a="1"/>
  <c r="H79" i="55" s="1"/>
  <c r="J573" i="55" a="1"/>
  <c r="J573" i="55" s="1"/>
  <c r="J252" i="55" a="1"/>
  <c r="J252" i="55" s="1"/>
  <c r="J16" i="55" a="1"/>
  <c r="J16" i="55" s="1"/>
  <c r="F40" i="15" a="1"/>
  <c r="F40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H226" i="60"/>
  <c r="D24" i="56"/>
  <c r="H140" i="60"/>
  <c r="J205" i="60"/>
  <c r="J203" i="60"/>
  <c r="J204" i="60"/>
  <c r="J201" i="60"/>
  <c r="J151" i="60"/>
  <c r="J150" i="60"/>
  <c r="J152" i="60"/>
  <c r="J149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G32" i="43"/>
  <c r="G16" i="43"/>
  <c r="G31" i="43"/>
  <c r="G15" i="43"/>
  <c r="G14" i="43"/>
  <c r="G20" i="43"/>
  <c r="G13" i="43"/>
  <c r="G29" i="43"/>
  <c r="F12" i="43"/>
  <c r="F16" i="43"/>
  <c r="F17" i="43"/>
  <c r="H5" i="39"/>
  <c r="F13" i="43"/>
  <c r="G25" i="43"/>
  <c r="F36" i="43"/>
  <c r="F33" i="43"/>
  <c r="F29" i="43"/>
  <c r="G39" i="43"/>
  <c r="F34" i="43"/>
  <c r="G36" i="43"/>
  <c r="F30" i="43"/>
  <c r="G27" i="43"/>
  <c r="G37" i="43"/>
  <c r="G28" i="43"/>
  <c r="G33" i="43"/>
  <c r="G23" i="43"/>
  <c r="G35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6" i="43"/>
  <c r="F31" i="43"/>
  <c r="F40" i="43"/>
  <c r="F39" i="43"/>
  <c r="F35" i="43"/>
  <c r="G38" i="43"/>
  <c r="F32" i="43"/>
  <c r="J15" i="14"/>
  <c r="H61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286" i="55" l="1"/>
  <c r="M286" i="55" s="1"/>
  <c r="L479" i="55"/>
  <c r="M479" i="55" s="1"/>
  <c r="L493" i="55"/>
  <c r="M493" i="55" s="1"/>
  <c r="L720" i="55"/>
  <c r="M720" i="55" s="1"/>
  <c r="L496" i="55"/>
  <c r="M496" i="55" s="1"/>
  <c r="L579" i="55"/>
  <c r="M579" i="55" s="1"/>
  <c r="L312" i="55"/>
  <c r="M312" i="55" s="1"/>
  <c r="L461" i="55"/>
  <c r="M461" i="55" s="1"/>
  <c r="L524" i="55"/>
  <c r="M524" i="55" s="1"/>
  <c r="L662" i="55"/>
  <c r="M662" i="55" s="1"/>
  <c r="L494" i="55"/>
  <c r="M494" i="55" s="1"/>
  <c r="L599" i="55"/>
  <c r="M599" i="55" s="1"/>
  <c r="L746" i="55"/>
  <c r="M746" i="55" s="1"/>
  <c r="L376" i="55"/>
  <c r="M376" i="55" s="1"/>
  <c r="L417" i="55"/>
  <c r="M417" i="55" s="1"/>
  <c r="L592" i="55"/>
  <c r="M592" i="55" s="1"/>
  <c r="L737" i="55"/>
  <c r="M737" i="55" s="1"/>
  <c r="L323" i="55"/>
  <c r="M323" i="55" s="1"/>
  <c r="L695" i="55"/>
  <c r="M695" i="55" s="1"/>
  <c r="L665" i="55"/>
  <c r="M665" i="55" s="1"/>
  <c r="L618" i="55"/>
  <c r="M618" i="55" s="1"/>
  <c r="L338" i="55"/>
  <c r="M338" i="55" s="1"/>
  <c r="L423" i="55"/>
  <c r="M423" i="55" s="1"/>
  <c r="L347" i="55"/>
  <c r="M347" i="55" s="1"/>
  <c r="L628" i="55"/>
  <c r="M628" i="55" s="1"/>
  <c r="L743" i="55"/>
  <c r="M743" i="55" s="1"/>
  <c r="L617" i="55"/>
  <c r="M617" i="55" s="1"/>
  <c r="L520" i="55"/>
  <c r="M520" i="55" s="1"/>
  <c r="L508" i="55"/>
  <c r="M508" i="55" s="1"/>
  <c r="L352" i="55"/>
  <c r="M352" i="55" s="1"/>
  <c r="L708" i="55"/>
  <c r="M708" i="55" s="1"/>
  <c r="L427" i="55"/>
  <c r="M427" i="55" s="1"/>
  <c r="L588" i="55"/>
  <c r="M588" i="55" s="1"/>
  <c r="L361" i="55"/>
  <c r="M361" i="55" s="1"/>
  <c r="L305" i="55"/>
  <c r="M305" i="55" s="1"/>
  <c r="L331" i="55"/>
  <c r="M331" i="55" s="1"/>
  <c r="L380" i="55"/>
  <c r="M380" i="55" s="1"/>
  <c r="L365" i="55"/>
  <c r="M365" i="55" s="1"/>
  <c r="L532" i="55"/>
  <c r="M532" i="55" s="1"/>
  <c r="L716" i="55"/>
  <c r="M716" i="55" s="1"/>
  <c r="L666" i="55"/>
  <c r="M666" i="55" s="1"/>
  <c r="L364" i="55"/>
  <c r="M364" i="55" s="1"/>
  <c r="L269" i="55"/>
  <c r="M269" i="55" s="1"/>
  <c r="G46" i="70"/>
  <c r="L668" i="55"/>
  <c r="M668" i="55" s="1"/>
  <c r="M543" i="55"/>
  <c r="M748" i="55"/>
  <c r="M491" i="55"/>
  <c r="M322" i="55"/>
  <c r="M515" i="55"/>
  <c r="M693" i="55"/>
  <c r="M397" i="55"/>
  <c r="M369" i="55"/>
  <c r="M664" i="55"/>
  <c r="M481" i="55"/>
  <c r="M645" i="55"/>
  <c r="L704" i="55"/>
  <c r="L468" i="55"/>
  <c r="L465" i="55"/>
  <c r="L775" i="55"/>
  <c r="L747" i="55"/>
  <c r="M747" i="55" s="1"/>
  <c r="L492" i="55"/>
  <c r="M492" i="55" s="1"/>
  <c r="L20" i="55"/>
  <c r="M20" i="55" s="1"/>
  <c r="L59" i="55"/>
  <c r="M59" i="55" s="1"/>
  <c r="L478" i="55"/>
  <c r="M478" i="55" s="1"/>
  <c r="L593" i="55"/>
  <c r="L382" i="55"/>
  <c r="L24" i="55"/>
  <c r="M24" i="55" s="1"/>
  <c r="G43" i="70"/>
  <c r="L519" i="55"/>
  <c r="L619" i="55"/>
  <c r="L407" i="55"/>
  <c r="L761" i="55"/>
  <c r="L409" i="55"/>
  <c r="L767" i="55"/>
  <c r="L781" i="55"/>
  <c r="L418" i="55"/>
  <c r="L498" i="55"/>
  <c r="L512" i="55"/>
  <c r="M512" i="55" s="1"/>
  <c r="L324" i="55"/>
  <c r="M324" i="55" s="1"/>
  <c r="L333" i="55"/>
  <c r="L608" i="55"/>
  <c r="L731" i="55"/>
  <c r="M731" i="55" s="1"/>
  <c r="L696" i="55"/>
  <c r="L678" i="55"/>
  <c r="L302" i="55"/>
  <c r="M302" i="55" s="1"/>
  <c r="L295" i="55"/>
  <c r="L590" i="55"/>
  <c r="G45" i="70"/>
  <c r="L613" i="55"/>
  <c r="M613" i="55" s="1"/>
  <c r="L551" i="55"/>
  <c r="G47" i="70"/>
  <c r="G44" i="70"/>
  <c r="H45" i="70"/>
  <c r="H46" i="70"/>
  <c r="H47" i="70"/>
  <c r="H43" i="70"/>
  <c r="L778" i="55"/>
  <c r="G48" i="70"/>
  <c r="L774" i="55"/>
  <c r="L772" i="55"/>
  <c r="L773" i="55"/>
  <c r="L309" i="55"/>
  <c r="M309" i="55" s="1"/>
  <c r="L570" i="55"/>
  <c r="M570" i="55" s="1"/>
  <c r="L88" i="55"/>
  <c r="M88" i="55" s="1"/>
  <c r="L81" i="55"/>
  <c r="M81" i="55" s="1"/>
  <c r="L766" i="55"/>
  <c r="L777" i="55"/>
  <c r="L765" i="55"/>
  <c r="L762" i="55"/>
  <c r="L776" i="55"/>
  <c r="L779" i="55"/>
  <c r="L614" i="55"/>
  <c r="L780" i="55"/>
  <c r="L770" i="55"/>
  <c r="L254" i="55"/>
  <c r="G38" i="70"/>
  <c r="L760" i="55"/>
  <c r="L454" i="55"/>
  <c r="M454" i="55" s="1"/>
  <c r="L436" i="55"/>
  <c r="L769" i="55"/>
  <c r="L768" i="55"/>
  <c r="L771" i="55"/>
  <c r="L686" i="55"/>
  <c r="G40" i="70"/>
  <c r="L735" i="55"/>
  <c r="M735" i="55" s="1"/>
  <c r="L43" i="55"/>
  <c r="M43" i="55" s="1"/>
  <c r="L85" i="55"/>
  <c r="M85" i="55" s="1"/>
  <c r="L15" i="55"/>
  <c r="M15" i="55" s="1"/>
  <c r="L329" i="55"/>
  <c r="L257" i="55"/>
  <c r="L489" i="55"/>
  <c r="M489" i="55" s="1"/>
  <c r="L764" i="55"/>
  <c r="L782" i="55"/>
  <c r="L763" i="55"/>
  <c r="L275" i="55"/>
  <c r="L700" i="55"/>
  <c r="L650" i="55"/>
  <c r="L490" i="55"/>
  <c r="L260" i="55"/>
  <c r="L259" i="55"/>
  <c r="L248" i="55"/>
  <c r="L250" i="55"/>
  <c r="L387" i="55"/>
  <c r="M387" i="55" s="1"/>
  <c r="L224" i="55"/>
  <c r="M224" i="55" s="1"/>
  <c r="L612" i="55"/>
  <c r="L357" i="55"/>
  <c r="L415" i="55"/>
  <c r="M415" i="55" s="1"/>
  <c r="L41" i="55"/>
  <c r="M41" i="55" s="1"/>
  <c r="L279" i="55"/>
  <c r="L17" i="55"/>
  <c r="M17" i="55" s="1"/>
  <c r="L82" i="55"/>
  <c r="M82" i="55" s="1"/>
  <c r="L28" i="55"/>
  <c r="M28" i="55" s="1"/>
  <c r="L72" i="55"/>
  <c r="M72" i="55" s="1"/>
  <c r="L706" i="55"/>
  <c r="M706" i="55" s="1"/>
  <c r="L389" i="55"/>
  <c r="M389" i="55" s="1"/>
  <c r="L21" i="55"/>
  <c r="M21" i="55" s="1"/>
  <c r="L83" i="55"/>
  <c r="M83" i="55" s="1"/>
  <c r="L44" i="55"/>
  <c r="M44" i="55" s="1"/>
  <c r="L45" i="55"/>
  <c r="M45" i="55" s="1"/>
  <c r="L22" i="55"/>
  <c r="M22" i="55" s="1"/>
  <c r="L65" i="55"/>
  <c r="M65" i="55" s="1"/>
  <c r="L245" i="55"/>
  <c r="L52" i="55"/>
  <c r="M52" i="55" s="1"/>
  <c r="L87" i="55"/>
  <c r="M87" i="55" s="1"/>
  <c r="L42" i="55"/>
  <c r="M42" i="55" s="1"/>
  <c r="L29" i="55"/>
  <c r="M29" i="55" s="1"/>
  <c r="L73" i="55"/>
  <c r="M73" i="55" s="1"/>
  <c r="L68" i="55"/>
  <c r="M68" i="55" s="1"/>
  <c r="L30" i="55"/>
  <c r="M30" i="55" s="1"/>
  <c r="L261" i="55"/>
  <c r="L241" i="55"/>
  <c r="L249" i="55"/>
  <c r="L281" i="55"/>
  <c r="L244" i="55"/>
  <c r="L246" i="55"/>
  <c r="L258" i="55"/>
  <c r="L247" i="55"/>
  <c r="L256" i="55"/>
  <c r="L477" i="55"/>
  <c r="M477" i="55" s="1"/>
  <c r="L242" i="55"/>
  <c r="L429" i="55"/>
  <c r="M429" i="55" s="1"/>
  <c r="L443" i="55"/>
  <c r="M443" i="55" s="1"/>
  <c r="L113" i="55"/>
  <c r="M113" i="55" s="1"/>
  <c r="L53" i="55"/>
  <c r="M53" i="55" s="1"/>
  <c r="L169" i="55"/>
  <c r="M169" i="55" s="1"/>
  <c r="L141" i="55"/>
  <c r="M141" i="55" s="1"/>
  <c r="L537" i="55"/>
  <c r="M537" i="55" s="1"/>
  <c r="L647" i="55"/>
  <c r="M647" i="55" s="1"/>
  <c r="L412" i="55"/>
  <c r="M412" i="55" s="1"/>
  <c r="L351" i="55"/>
  <c r="M351" i="55" s="1"/>
  <c r="L133" i="55"/>
  <c r="M133" i="55" s="1"/>
  <c r="L405" i="55"/>
  <c r="M405" i="55" s="1"/>
  <c r="L316" i="55"/>
  <c r="M316" i="55" s="1"/>
  <c r="L577" i="55"/>
  <c r="L655" i="55"/>
  <c r="L132" i="55"/>
  <c r="M132" i="55" s="1"/>
  <c r="L92" i="55"/>
  <c r="M92" i="55" s="1"/>
  <c r="L161" i="55"/>
  <c r="M161" i="55" s="1"/>
  <c r="L571" i="55"/>
  <c r="M571" i="55" s="1"/>
  <c r="L637" i="55"/>
  <c r="M637" i="55" s="1"/>
  <c r="L123" i="55"/>
  <c r="M123" i="55" s="1"/>
  <c r="L67" i="55"/>
  <c r="M67" i="55" s="1"/>
  <c r="L23" i="55"/>
  <c r="M23" i="55" s="1"/>
  <c r="L114" i="55"/>
  <c r="M114" i="55" s="1"/>
  <c r="L105" i="55"/>
  <c r="M105" i="55" s="1"/>
  <c r="L109" i="55"/>
  <c r="M109" i="55" s="1"/>
  <c r="L143" i="55"/>
  <c r="M143" i="55" s="1"/>
  <c r="L112" i="55"/>
  <c r="M112" i="55" s="1"/>
  <c r="L128" i="55"/>
  <c r="M128" i="55" s="1"/>
  <c r="L115" i="55"/>
  <c r="M115" i="55" s="1"/>
  <c r="L99" i="55"/>
  <c r="M99" i="55" s="1"/>
  <c r="L348" i="55"/>
  <c r="L745" i="55"/>
  <c r="M745" i="55" s="1"/>
  <c r="H39" i="70"/>
  <c r="L544" i="55"/>
  <c r="L518" i="55"/>
  <c r="M518" i="55" s="1"/>
  <c r="L582" i="55"/>
  <c r="L292" i="55"/>
  <c r="L14" i="55"/>
  <c r="L701" i="55"/>
  <c r="H42" i="70"/>
  <c r="L482" i="55"/>
  <c r="L581" i="55"/>
  <c r="M581" i="55" s="1"/>
  <c r="L285" i="55"/>
  <c r="M285" i="55" s="1"/>
  <c r="G39" i="70"/>
  <c r="G42" i="70"/>
  <c r="H41" i="70"/>
  <c r="H40" i="70"/>
  <c r="H38" i="70"/>
  <c r="L514" i="55"/>
  <c r="L487" i="55"/>
  <c r="M487" i="55" s="1"/>
  <c r="L186" i="55"/>
  <c r="M186" i="55" s="1"/>
  <c r="L226" i="55"/>
  <c r="M226" i="55" s="1"/>
  <c r="L742" i="55"/>
  <c r="M742" i="55" s="1"/>
  <c r="L531" i="55"/>
  <c r="M531" i="55" s="1"/>
  <c r="L410" i="55"/>
  <c r="L547" i="55"/>
  <c r="M547" i="55" s="1"/>
  <c r="L396" i="55"/>
  <c r="L355" i="55"/>
  <c r="M355" i="55" s="1"/>
  <c r="L567" i="55"/>
  <c r="M567" i="55" s="1"/>
  <c r="L697" i="55"/>
  <c r="M697" i="55" s="1"/>
  <c r="L589" i="55"/>
  <c r="M589" i="55" s="1"/>
  <c r="L605" i="55"/>
  <c r="M605" i="55" s="1"/>
  <c r="L431" i="55"/>
  <c r="M431" i="55" s="1"/>
  <c r="L594" i="55"/>
  <c r="M594" i="55" s="1"/>
  <c r="L283" i="55"/>
  <c r="M283" i="55" s="1"/>
  <c r="L703" i="55"/>
  <c r="M703" i="55" s="1"/>
  <c r="L291" i="55"/>
  <c r="M291" i="55" s="1"/>
  <c r="L713" i="55"/>
  <c r="M713" i="55" s="1"/>
  <c r="L566" i="55"/>
  <c r="M566" i="55" s="1"/>
  <c r="L785" i="55"/>
  <c r="M785" i="55" s="1"/>
  <c r="L462" i="55"/>
  <c r="M462" i="55" s="1"/>
  <c r="L208" i="55"/>
  <c r="M208" i="55" s="1"/>
  <c r="L755" i="55"/>
  <c r="M755" i="55" s="1"/>
  <c r="L395" i="55"/>
  <c r="M395" i="55" s="1"/>
  <c r="L400" i="55"/>
  <c r="M400" i="55" s="1"/>
  <c r="L687" i="55"/>
  <c r="M687" i="55" s="1"/>
  <c r="L559" i="55"/>
  <c r="M559" i="55" s="1"/>
  <c r="L231" i="55"/>
  <c r="M231" i="55" s="1"/>
  <c r="L367" i="55"/>
  <c r="M367" i="55" s="1"/>
  <c r="L565" i="55"/>
  <c r="M565" i="55" s="1"/>
  <c r="L568" i="55"/>
  <c r="L124" i="55"/>
  <c r="M124" i="55" s="1"/>
  <c r="L749" i="55"/>
  <c r="M749" i="55" s="1"/>
  <c r="L690" i="55"/>
  <c r="M690" i="55" s="1"/>
  <c r="L262" i="55"/>
  <c r="M262" i="55" s="1"/>
  <c r="L562" i="55"/>
  <c r="M562" i="55" s="1"/>
  <c r="L358" i="55"/>
  <c r="M358" i="55" s="1"/>
  <c r="L569" i="55"/>
  <c r="M569" i="55" s="1"/>
  <c r="L449" i="55"/>
  <c r="L375" i="55"/>
  <c r="M375" i="55" s="1"/>
  <c r="L517" i="55"/>
  <c r="L679" i="55"/>
  <c r="L625" i="55"/>
  <c r="L753" i="55"/>
  <c r="M753" i="55" s="1"/>
  <c r="L724" i="55"/>
  <c r="M724" i="55" s="1"/>
  <c r="L327" i="55"/>
  <c r="M327" i="55" s="1"/>
  <c r="L560" i="55"/>
  <c r="M560" i="55" s="1"/>
  <c r="L558" i="55"/>
  <c r="M558" i="55" s="1"/>
  <c r="L116" i="55"/>
  <c r="M116" i="55" s="1"/>
  <c r="L50" i="55"/>
  <c r="M50" i="55" s="1"/>
  <c r="L459" i="55"/>
  <c r="M459" i="55" s="1"/>
  <c r="L422" i="55"/>
  <c r="M422" i="55" s="1"/>
  <c r="L591" i="55"/>
  <c r="M591" i="55" s="1"/>
  <c r="L739" i="55"/>
  <c r="M739" i="55" s="1"/>
  <c r="L561" i="55"/>
  <c r="M561" i="55" s="1"/>
  <c r="L388" i="55"/>
  <c r="M388" i="55" s="1"/>
  <c r="L319" i="55"/>
  <c r="M319" i="55" s="1"/>
  <c r="L19" i="55"/>
  <c r="M19" i="55" s="1"/>
  <c r="L638" i="55"/>
  <c r="L511" i="55"/>
  <c r="M511" i="55" s="1"/>
  <c r="L378" i="55"/>
  <c r="M378" i="55" s="1"/>
  <c r="L294" i="55"/>
  <c r="M294" i="55" s="1"/>
  <c r="L510" i="55"/>
  <c r="L526" i="55"/>
  <c r="M526" i="55" s="1"/>
  <c r="L698" i="55"/>
  <c r="M698" i="55" s="1"/>
  <c r="L440" i="55"/>
  <c r="L533" i="55"/>
  <c r="M533" i="55" s="1"/>
  <c r="L615" i="55"/>
  <c r="L392" i="55"/>
  <c r="M392" i="55" s="1"/>
  <c r="L546" i="55"/>
  <c r="L463" i="55"/>
  <c r="L525" i="55"/>
  <c r="M525" i="55" s="1"/>
  <c r="L363" i="55"/>
  <c r="M363" i="55" s="1"/>
  <c r="L391" i="55"/>
  <c r="M391" i="55" s="1"/>
  <c r="L663" i="55"/>
  <c r="M663" i="55" s="1"/>
  <c r="L632" i="55"/>
  <c r="L304" i="55"/>
  <c r="M304" i="55" s="1"/>
  <c r="L448" i="55"/>
  <c r="M448" i="55" s="1"/>
  <c r="L751" i="55"/>
  <c r="M751" i="55" s="1"/>
  <c r="L529" i="55"/>
  <c r="M529" i="55" s="1"/>
  <c r="L607" i="55"/>
  <c r="M607" i="55" s="1"/>
  <c r="L503" i="55"/>
  <c r="M503" i="55" s="1"/>
  <c r="L446" i="55"/>
  <c r="L240" i="55"/>
  <c r="M240" i="55" s="1"/>
  <c r="L419" i="55"/>
  <c r="M419" i="55" s="1"/>
  <c r="L611" i="55"/>
  <c r="M611" i="55" s="1"/>
  <c r="L381" i="55"/>
  <c r="M381" i="55" s="1"/>
  <c r="L332" i="55"/>
  <c r="M332" i="55" s="1"/>
  <c r="L640" i="55"/>
  <c r="M640" i="55" s="1"/>
  <c r="L287" i="55"/>
  <c r="M287" i="55" s="1"/>
  <c r="L521" i="55"/>
  <c r="M521" i="55" s="1"/>
  <c r="L744" i="55"/>
  <c r="L556" i="55"/>
  <c r="M556" i="55" s="1"/>
  <c r="L441" i="55"/>
  <c r="M441" i="55" s="1"/>
  <c r="L470" i="55"/>
  <c r="M470" i="55" s="1"/>
  <c r="L336" i="55"/>
  <c r="M336" i="55" s="1"/>
  <c r="L606" i="55"/>
  <c r="M606" i="55" s="1"/>
  <c r="L188" i="55"/>
  <c r="M188" i="55" s="1"/>
  <c r="L586" i="55"/>
  <c r="M586" i="55" s="1"/>
  <c r="L598" i="55"/>
  <c r="M598" i="55" s="1"/>
  <c r="L457" i="55"/>
  <c r="M457" i="55" s="1"/>
  <c r="L528" i="55"/>
  <c r="M528" i="55" s="1"/>
  <c r="L439" i="55"/>
  <c r="L425" i="55"/>
  <c r="M425" i="55" s="1"/>
  <c r="L552" i="55"/>
  <c r="L623" i="55"/>
  <c r="M623" i="55" s="1"/>
  <c r="L626" i="55"/>
  <c r="M626" i="55" s="1"/>
  <c r="L717" i="55"/>
  <c r="M717" i="55" s="1"/>
  <c r="L509" i="55"/>
  <c r="M509" i="55" s="1"/>
  <c r="L671" i="55"/>
  <c r="M671" i="55" s="1"/>
  <c r="L499" i="55"/>
  <c r="M499" i="55" s="1"/>
  <c r="L572" i="55"/>
  <c r="M572" i="55" s="1"/>
  <c r="L622" i="55"/>
  <c r="L330" i="55"/>
  <c r="M330" i="55" s="1"/>
  <c r="L420" i="55"/>
  <c r="L362" i="55"/>
  <c r="M362" i="55" s="1"/>
  <c r="L390" i="55"/>
  <c r="M390" i="55" s="1"/>
  <c r="L756" i="55"/>
  <c r="M756" i="55" s="1"/>
  <c r="L337" i="55"/>
  <c r="M337" i="55" s="1"/>
  <c r="L644" i="55"/>
  <c r="M644" i="55" s="1"/>
  <c r="L507" i="55"/>
  <c r="M507" i="55" s="1"/>
  <c r="L466" i="55"/>
  <c r="L675" i="55"/>
  <c r="M675" i="55" s="1"/>
  <c r="L437" i="55"/>
  <c r="M437" i="55" s="1"/>
  <c r="L339" i="55"/>
  <c r="L497" i="55"/>
  <c r="L646" i="55"/>
  <c r="M646" i="55" s="1"/>
  <c r="L289" i="55"/>
  <c r="M289" i="55" s="1"/>
  <c r="L372" i="55"/>
  <c r="M372" i="55" s="1"/>
  <c r="L597" i="55"/>
  <c r="M597" i="55" s="1"/>
  <c r="L320" i="55"/>
  <c r="M320" i="55" s="1"/>
  <c r="L284" i="55"/>
  <c r="M284" i="55" s="1"/>
  <c r="L421" i="55"/>
  <c r="M421" i="55" s="1"/>
  <c r="L368" i="55"/>
  <c r="M368" i="55" s="1"/>
  <c r="L447" i="55"/>
  <c r="M447" i="55" s="1"/>
  <c r="L373" i="55"/>
  <c r="M373" i="55" s="1"/>
  <c r="L669" i="55"/>
  <c r="M669" i="55" s="1"/>
  <c r="L501" i="55"/>
  <c r="M501" i="55" s="1"/>
  <c r="L413" i="55"/>
  <c r="M413" i="55" s="1"/>
  <c r="L343" i="55"/>
  <c r="M343" i="55" s="1"/>
  <c r="L386" i="55"/>
  <c r="M386" i="55" s="1"/>
  <c r="L527" i="55"/>
  <c r="M527" i="55" s="1"/>
  <c r="L714" i="55"/>
  <c r="M714" i="55" s="1"/>
  <c r="M784" i="55"/>
  <c r="L513" i="55"/>
  <c r="M513" i="55" s="1"/>
  <c r="L416" i="55"/>
  <c r="M416" i="55" s="1"/>
  <c r="L293" i="55"/>
  <c r="M293" i="55" s="1"/>
  <c r="L705" i="55"/>
  <c r="M705" i="55" s="1"/>
  <c r="L596" i="55"/>
  <c r="M596" i="55" s="1"/>
  <c r="L530" i="55"/>
  <c r="M530" i="55" s="1"/>
  <c r="L349" i="55"/>
  <c r="M349" i="55" s="1"/>
  <c r="L505" i="55"/>
  <c r="M505" i="55" s="1"/>
  <c r="L752" i="55"/>
  <c r="M752" i="55" s="1"/>
  <c r="L280" i="55"/>
  <c r="L442" i="55"/>
  <c r="M442" i="55" s="1"/>
  <c r="L359" i="55"/>
  <c r="M359" i="55" s="1"/>
  <c r="L486" i="55"/>
  <c r="M486" i="55" s="1"/>
  <c r="L157" i="55"/>
  <c r="M157" i="55" s="1"/>
  <c r="L383" i="55"/>
  <c r="L353" i="55"/>
  <c r="M353" i="55" s="1"/>
  <c r="L198" i="55"/>
  <c r="M198" i="55" s="1"/>
  <c r="L657" i="55"/>
  <c r="M657" i="55" s="1"/>
  <c r="L252" i="55"/>
  <c r="M252" i="55" s="1"/>
  <c r="L318" i="55"/>
  <c r="M318" i="55" s="1"/>
  <c r="L103" i="55"/>
  <c r="M103" i="55" s="1"/>
  <c r="L642" i="55"/>
  <c r="M642" i="55" s="1"/>
  <c r="G32" i="15"/>
  <c r="G31" i="15"/>
  <c r="G30" i="15"/>
  <c r="H30" i="15"/>
  <c r="H31" i="15"/>
  <c r="H32" i="15"/>
  <c r="L214" i="55"/>
  <c r="M214" i="55" s="1"/>
  <c r="L540" i="55"/>
  <c r="M540" i="55" s="1"/>
  <c r="L47" i="55"/>
  <c r="M47" i="55" s="1"/>
  <c r="L476" i="55"/>
  <c r="M476" i="55" s="1"/>
  <c r="L328" i="55"/>
  <c r="M328" i="55" s="1"/>
  <c r="L398" i="55"/>
  <c r="M398" i="55" s="1"/>
  <c r="L610" i="55"/>
  <c r="M610" i="55" s="1"/>
  <c r="L243" i="55"/>
  <c r="M243" i="55" s="1"/>
  <c r="L379" i="55"/>
  <c r="M379" i="55" s="1"/>
  <c r="L146" i="55"/>
  <c r="M146" i="55" s="1"/>
  <c r="L342" i="55"/>
  <c r="M342" i="55" s="1"/>
  <c r="L311" i="55"/>
  <c r="M311" i="55" s="1"/>
  <c r="L317" i="55"/>
  <c r="M317" i="55" s="1"/>
  <c r="L277" i="55"/>
  <c r="M277" i="55" s="1"/>
  <c r="L721" i="55"/>
  <c r="M721" i="55" s="1"/>
  <c r="L168" i="55"/>
  <c r="M168" i="55" s="1"/>
  <c r="L76" i="55"/>
  <c r="M76" i="55" s="1"/>
  <c r="L602" i="55"/>
  <c r="M602" i="55" s="1"/>
  <c r="L356" i="55"/>
  <c r="M356" i="55" s="1"/>
  <c r="L37" i="55"/>
  <c r="M37" i="55" s="1"/>
  <c r="L189" i="55"/>
  <c r="M189" i="55" s="1"/>
  <c r="L276" i="55"/>
  <c r="M276" i="55" s="1"/>
  <c r="L452" i="55"/>
  <c r="M452" i="55" s="1"/>
  <c r="L119" i="55"/>
  <c r="M119" i="55" s="1"/>
  <c r="L710" i="55"/>
  <c r="M710" i="55" s="1"/>
  <c r="L444" i="55"/>
  <c r="M444" i="55" s="1"/>
  <c r="L711" i="55"/>
  <c r="M711" i="55" s="1"/>
  <c r="L574" i="55"/>
  <c r="M574" i="55" s="1"/>
  <c r="L573" i="55"/>
  <c r="M573" i="55" s="1"/>
  <c r="L79" i="55"/>
  <c r="M79" i="55" s="1"/>
  <c r="L203" i="55"/>
  <c r="M203" i="55" s="1"/>
  <c r="L680" i="55"/>
  <c r="M680" i="55" s="1"/>
  <c r="L55" i="55"/>
  <c r="M55" i="55" s="1"/>
  <c r="L278" i="55"/>
  <c r="M278" i="55" s="1"/>
  <c r="L48" i="55"/>
  <c r="M48" i="55" s="1"/>
  <c r="L658" i="55"/>
  <c r="M658" i="55" s="1"/>
  <c r="L125" i="55"/>
  <c r="M125" i="55" s="1"/>
  <c r="L205" i="55"/>
  <c r="M205" i="55" s="1"/>
  <c r="L151" i="55"/>
  <c r="M151" i="55" s="1"/>
  <c r="L137" i="55"/>
  <c r="M137" i="55" s="1"/>
  <c r="L306" i="55"/>
  <c r="L299" i="55"/>
  <c r="M299" i="55" s="1"/>
  <c r="L584" i="55"/>
  <c r="M584" i="55" s="1"/>
  <c r="L38" i="55"/>
  <c r="M38" i="55" s="1"/>
  <c r="L651" i="55"/>
  <c r="M651" i="55" s="1"/>
  <c r="L460" i="55"/>
  <c r="M460" i="55" s="1"/>
  <c r="L600" i="55"/>
  <c r="M600" i="55" s="1"/>
  <c r="L274" i="55"/>
  <c r="M274" i="55" s="1"/>
  <c r="L160" i="55"/>
  <c r="M160" i="55" s="1"/>
  <c r="L60" i="55"/>
  <c r="M60" i="55" s="1"/>
  <c r="L219" i="55"/>
  <c r="M219" i="55" s="1"/>
  <c r="L539" i="55"/>
  <c r="M539" i="55" s="1"/>
  <c r="L86" i="55"/>
  <c r="M86" i="55" s="1"/>
  <c r="L156" i="55"/>
  <c r="M156" i="55" s="1"/>
  <c r="L80" i="55"/>
  <c r="M80" i="55" s="1"/>
  <c r="L180" i="55"/>
  <c r="M180" i="55" s="1"/>
  <c r="L61" i="55"/>
  <c r="M61" i="55" s="1"/>
  <c r="L445" i="55"/>
  <c r="M445" i="55" s="1"/>
  <c r="L310" i="55"/>
  <c r="M310" i="55" s="1"/>
  <c r="L165" i="55"/>
  <c r="M165" i="55" s="1"/>
  <c r="L129" i="55"/>
  <c r="M129" i="55" s="1"/>
  <c r="L712" i="55"/>
  <c r="M712" i="55" s="1"/>
  <c r="L326" i="55"/>
  <c r="M326" i="55" s="1"/>
  <c r="L538" i="55"/>
  <c r="M538" i="55" s="1"/>
  <c r="L126" i="55"/>
  <c r="M126" i="55" s="1"/>
  <c r="L93" i="55"/>
  <c r="M93" i="55" s="1"/>
  <c r="L370" i="55"/>
  <c r="M370" i="55" s="1"/>
  <c r="L182" i="55"/>
  <c r="M182" i="55" s="1"/>
  <c r="L264" i="55"/>
  <c r="M264" i="55" s="1"/>
  <c r="L266" i="55"/>
  <c r="M266" i="55" s="1"/>
  <c r="L191" i="55"/>
  <c r="M191" i="55" s="1"/>
  <c r="L227" i="55"/>
  <c r="M227" i="55" s="1"/>
  <c r="L604" i="55"/>
  <c r="M604" i="55" s="1"/>
  <c r="L154" i="55"/>
  <c r="M154" i="55" s="1"/>
  <c r="L91" i="55"/>
  <c r="M91" i="55" s="1"/>
  <c r="L35" i="55"/>
  <c r="M35" i="55" s="1"/>
  <c r="L90" i="55"/>
  <c r="M90" i="55" s="1"/>
  <c r="L488" i="55"/>
  <c r="M488" i="55" s="1"/>
  <c r="L433" i="55"/>
  <c r="M433" i="55" s="1"/>
  <c r="L506" i="55"/>
  <c r="M506" i="55" s="1"/>
  <c r="L181" i="55"/>
  <c r="M181" i="55" s="1"/>
  <c r="L677" i="55"/>
  <c r="M677" i="55" s="1"/>
  <c r="L13" i="55"/>
  <c r="M13" i="55" s="1"/>
  <c r="L134" i="55"/>
  <c r="M134" i="55" s="1"/>
  <c r="L341" i="55"/>
  <c r="L688" i="55"/>
  <c r="M688" i="55" s="1"/>
  <c r="L228" i="55"/>
  <c r="M228" i="55" s="1"/>
  <c r="L345" i="55"/>
  <c r="M345" i="55" s="1"/>
  <c r="L699" i="55"/>
  <c r="M699" i="55" s="1"/>
  <c r="L78" i="55"/>
  <c r="M78" i="55" s="1"/>
  <c r="L64" i="55"/>
  <c r="M64" i="55" s="1"/>
  <c r="L555" i="55"/>
  <c r="L58" i="55"/>
  <c r="M58" i="55" s="1"/>
  <c r="L153" i="55"/>
  <c r="M153" i="55" s="1"/>
  <c r="L158" i="55"/>
  <c r="M158" i="55" s="1"/>
  <c r="L377" i="55"/>
  <c r="M377" i="55" s="1"/>
  <c r="L26" i="55"/>
  <c r="M26" i="55" s="1"/>
  <c r="L147" i="55"/>
  <c r="M147" i="55" s="1"/>
  <c r="L634" i="55"/>
  <c r="M634" i="55" s="1"/>
  <c r="L148" i="55"/>
  <c r="M148" i="55" s="1"/>
  <c r="L485" i="55"/>
  <c r="M485" i="55" s="1"/>
  <c r="L167" i="55"/>
  <c r="M167" i="55" s="1"/>
  <c r="L265" i="55"/>
  <c r="M265" i="55" s="1"/>
  <c r="L118" i="55"/>
  <c r="M118" i="55" s="1"/>
  <c r="L162" i="55"/>
  <c r="M162" i="55" s="1"/>
  <c r="L236" i="55"/>
  <c r="M236" i="55" s="1"/>
  <c r="L553" i="55"/>
  <c r="M553" i="55" s="1"/>
  <c r="L104" i="55"/>
  <c r="M104" i="55" s="1"/>
  <c r="L202" i="55"/>
  <c r="M202" i="55" s="1"/>
  <c r="L649" i="55"/>
  <c r="M649" i="55" s="1"/>
  <c r="L580" i="55"/>
  <c r="M580" i="55" s="1"/>
  <c r="L235" i="55"/>
  <c r="M235" i="55" s="1"/>
  <c r="L297" i="55"/>
  <c r="M297" i="55" s="1"/>
  <c r="L95" i="55"/>
  <c r="M95" i="55" s="1"/>
  <c r="L682" i="55"/>
  <c r="M682" i="55" s="1"/>
  <c r="L456" i="55"/>
  <c r="M456" i="55" s="1"/>
  <c r="L633" i="55"/>
  <c r="M633" i="55" s="1"/>
  <c r="L177" i="55"/>
  <c r="M177" i="55" s="1"/>
  <c r="L170" i="55"/>
  <c r="M170" i="55" s="1"/>
  <c r="L70" i="55"/>
  <c r="M70" i="55" s="1"/>
  <c r="L63" i="55"/>
  <c r="M63" i="55" s="1"/>
  <c r="L354" i="55"/>
  <c r="M354" i="55" s="1"/>
  <c r="L406" i="55"/>
  <c r="M406" i="55" s="1"/>
  <c r="L220" i="55"/>
  <c r="M220" i="55" s="1"/>
  <c r="L100" i="55"/>
  <c r="M100" i="55" s="1"/>
  <c r="L428" i="55"/>
  <c r="M428" i="55" s="1"/>
  <c r="L314" i="55"/>
  <c r="M314" i="55" s="1"/>
  <c r="L692" i="55"/>
  <c r="M692" i="55" s="1"/>
  <c r="L667" i="55"/>
  <c r="M667" i="55" s="1"/>
  <c r="L673" i="55"/>
  <c r="L192" i="55"/>
  <c r="M192" i="55" s="1"/>
  <c r="L709" i="55"/>
  <c r="M709" i="55" s="1"/>
  <c r="L733" i="55"/>
  <c r="M733" i="55" s="1"/>
  <c r="L335" i="55"/>
  <c r="M335" i="55" s="1"/>
  <c r="L325" i="55"/>
  <c r="M325" i="55" s="1"/>
  <c r="L209" i="55"/>
  <c r="M209" i="55" s="1"/>
  <c r="L684" i="55"/>
  <c r="M684" i="55" s="1"/>
  <c r="L196" i="55"/>
  <c r="M196" i="55" s="1"/>
  <c r="L150" i="55"/>
  <c r="M150" i="55" s="1"/>
  <c r="L166" i="55"/>
  <c r="M166" i="55" s="1"/>
  <c r="L49" i="55"/>
  <c r="M49" i="55" s="1"/>
  <c r="L715" i="55"/>
  <c r="L627" i="55"/>
  <c r="M627" i="55" s="1"/>
  <c r="L183" i="55"/>
  <c r="M183" i="55" s="1"/>
  <c r="L691" i="55"/>
  <c r="M691" i="55" s="1"/>
  <c r="L171" i="55"/>
  <c r="M171" i="55" s="1"/>
  <c r="L723" i="55"/>
  <c r="M723" i="55" s="1"/>
  <c r="L193" i="55"/>
  <c r="M193" i="55" s="1"/>
  <c r="L635" i="55"/>
  <c r="M635" i="55" s="1"/>
  <c r="L117" i="55"/>
  <c r="M117" i="55" s="1"/>
  <c r="L758" i="55"/>
  <c r="M758" i="55" s="1"/>
  <c r="L130" i="55"/>
  <c r="M130" i="55" s="1"/>
  <c r="L232" i="55"/>
  <c r="M232" i="55" s="1"/>
  <c r="L135" i="55"/>
  <c r="M135" i="55" s="1"/>
  <c r="L534" i="55"/>
  <c r="M534" i="55" s="1"/>
  <c r="L204" i="55"/>
  <c r="M204" i="55" s="1"/>
  <c r="L187" i="55"/>
  <c r="M187" i="55" s="1"/>
  <c r="L674" i="55"/>
  <c r="M674" i="55" s="1"/>
  <c r="L360" i="55"/>
  <c r="M360" i="55" s="1"/>
  <c r="L652" i="55"/>
  <c r="M652" i="55" s="1"/>
  <c r="L296" i="55"/>
  <c r="M296" i="55" s="1"/>
  <c r="L583" i="55"/>
  <c r="M583" i="55" s="1"/>
  <c r="L467" i="55"/>
  <c r="M467" i="55" s="1"/>
  <c r="L648" i="55"/>
  <c r="M648" i="55" s="1"/>
  <c r="L451" i="55"/>
  <c r="M451" i="55" s="1"/>
  <c r="L54" i="55"/>
  <c r="M54" i="55" s="1"/>
  <c r="L110" i="55"/>
  <c r="M110" i="55" s="1"/>
  <c r="L46" i="55"/>
  <c r="M46" i="55" s="1"/>
  <c r="L631" i="55"/>
  <c r="L401" i="55"/>
  <c r="M401" i="55" s="1"/>
  <c r="L371" i="55"/>
  <c r="L217" i="55"/>
  <c r="M217" i="55" s="1"/>
  <c r="L120" i="55"/>
  <c r="M120" i="55" s="1"/>
  <c r="L653" i="55"/>
  <c r="M653" i="55" s="1"/>
  <c r="L234" i="55"/>
  <c r="M234" i="55" s="1"/>
  <c r="L233" i="55"/>
  <c r="M233" i="55" s="1"/>
  <c r="L313" i="55"/>
  <c r="M313" i="55" s="1"/>
  <c r="L229" i="55"/>
  <c r="M229" i="55" s="1"/>
  <c r="L142" i="55"/>
  <c r="M142" i="55" s="1"/>
  <c r="L557" i="55"/>
  <c r="M557" i="55" s="1"/>
  <c r="L197" i="55"/>
  <c r="M197" i="55" s="1"/>
  <c r="L483" i="55"/>
  <c r="M483" i="55" s="1"/>
  <c r="L656" i="55"/>
  <c r="M656" i="55" s="1"/>
  <c r="L57" i="55"/>
  <c r="M57" i="55" s="1"/>
  <c r="L654" i="55"/>
  <c r="M654" i="55" s="1"/>
  <c r="L385" i="55"/>
  <c r="M385" i="55" s="1"/>
  <c r="L223" i="55"/>
  <c r="M223" i="55" s="1"/>
  <c r="L39" i="55"/>
  <c r="M39" i="55" s="1"/>
  <c r="L230" i="55"/>
  <c r="M230" i="55" s="1"/>
  <c r="L455" i="55"/>
  <c r="M455" i="55" s="1"/>
  <c r="L636" i="55"/>
  <c r="M636" i="55" s="1"/>
  <c r="L542" i="55"/>
  <c r="L172" i="55"/>
  <c r="M172" i="55" s="1"/>
  <c r="L681" i="55"/>
  <c r="M681" i="55" s="1"/>
  <c r="L495" i="55"/>
  <c r="M495" i="55" s="1"/>
  <c r="L290" i="55"/>
  <c r="M290" i="55" s="1"/>
  <c r="L340" i="55"/>
  <c r="M340" i="55" s="1"/>
  <c r="L564" i="55"/>
  <c r="M564" i="55" s="1"/>
  <c r="L736" i="55"/>
  <c r="M736" i="55" s="1"/>
  <c r="L725" i="55"/>
  <c r="M725" i="55" s="1"/>
  <c r="L206" i="55"/>
  <c r="M206" i="55" s="1"/>
  <c r="L471" i="55"/>
  <c r="L522" i="55"/>
  <c r="L344" i="55"/>
  <c r="M344" i="55" s="1"/>
  <c r="L210" i="55"/>
  <c r="M210" i="55" s="1"/>
  <c r="L523" i="55"/>
  <c r="M523" i="55" s="1"/>
  <c r="L707" i="55"/>
  <c r="M707" i="55" s="1"/>
  <c r="L195" i="55"/>
  <c r="M195" i="55" s="1"/>
  <c r="L122" i="55"/>
  <c r="M122" i="55" s="1"/>
  <c r="L620" i="55"/>
  <c r="M620" i="55" s="1"/>
  <c r="L149" i="55"/>
  <c r="M149" i="55" s="1"/>
  <c r="L548" i="55"/>
  <c r="M548" i="55" s="1"/>
  <c r="L138" i="55"/>
  <c r="M138" i="55" s="1"/>
  <c r="L500" i="55"/>
  <c r="M500" i="55" s="1"/>
  <c r="L750" i="55"/>
  <c r="M750" i="55" s="1"/>
  <c r="L77" i="55"/>
  <c r="M77" i="55" s="1"/>
  <c r="L453" i="55"/>
  <c r="M453" i="55" s="1"/>
  <c r="L94" i="55"/>
  <c r="M94" i="55" s="1"/>
  <c r="L516" i="55"/>
  <c r="M516" i="55" s="1"/>
  <c r="L107" i="55"/>
  <c r="M107" i="55" s="1"/>
  <c r="L282" i="55"/>
  <c r="M282" i="55" s="1"/>
  <c r="L702" i="55"/>
  <c r="L136" i="55"/>
  <c r="M136" i="55" s="1"/>
  <c r="L96" i="55"/>
  <c r="M96" i="55" s="1"/>
  <c r="L738" i="55"/>
  <c r="M738" i="55" s="1"/>
  <c r="L255" i="55"/>
  <c r="M255" i="55" s="1"/>
  <c r="L759" i="55"/>
  <c r="M759" i="55" s="1"/>
  <c r="L211" i="55"/>
  <c r="M211" i="55" s="1"/>
  <c r="L62" i="55"/>
  <c r="M62" i="55" s="1"/>
  <c r="L131" i="55"/>
  <c r="M131" i="55" s="1"/>
  <c r="L366" i="55"/>
  <c r="M366" i="55" s="1"/>
  <c r="L399" i="55"/>
  <c r="M399" i="55" s="1"/>
  <c r="L374" i="55"/>
  <c r="M374" i="55" s="1"/>
  <c r="L33" i="55"/>
  <c r="M33" i="55" s="1"/>
  <c r="L185" i="55"/>
  <c r="M185" i="55" s="1"/>
  <c r="L659" i="55"/>
  <c r="M659" i="55" s="1"/>
  <c r="L127" i="55"/>
  <c r="M127" i="55" s="1"/>
  <c r="L216" i="55"/>
  <c r="M216" i="55" s="1"/>
  <c r="L51" i="55"/>
  <c r="M51" i="55" s="1"/>
  <c r="L719" i="55"/>
  <c r="M719" i="55" s="1"/>
  <c r="L184" i="55"/>
  <c r="M184" i="55" s="1"/>
  <c r="L271" i="55"/>
  <c r="M271" i="55" s="1"/>
  <c r="L676" i="55"/>
  <c r="L272" i="55"/>
  <c r="M272" i="55" s="1"/>
  <c r="L621" i="55"/>
  <c r="L152" i="55"/>
  <c r="M152" i="55" s="1"/>
  <c r="L554" i="55"/>
  <c r="L450" i="55"/>
  <c r="M450" i="55" s="1"/>
  <c r="L578" i="55"/>
  <c r="M578" i="55" s="1"/>
  <c r="L155" i="55"/>
  <c r="M155" i="55" s="1"/>
  <c r="L239" i="55"/>
  <c r="M239" i="55" s="1"/>
  <c r="L25" i="55"/>
  <c r="M25" i="55" s="1"/>
  <c r="L727" i="55"/>
  <c r="M727" i="55" s="1"/>
  <c r="L190" i="55"/>
  <c r="M190" i="55" s="1"/>
  <c r="L757" i="55"/>
  <c r="M757" i="55" s="1"/>
  <c r="L730" i="55"/>
  <c r="M730" i="55" s="1"/>
  <c r="L218" i="55"/>
  <c r="M218" i="55" s="1"/>
  <c r="L102" i="55"/>
  <c r="M102" i="55" s="1"/>
  <c r="L434" i="55"/>
  <c r="M434" i="55" s="1"/>
  <c r="L270" i="55"/>
  <c r="M270" i="55" s="1"/>
  <c r="L575" i="55"/>
  <c r="M575" i="55" s="1"/>
  <c r="L238" i="55"/>
  <c r="M238" i="55" s="1"/>
  <c r="L576" i="55"/>
  <c r="M576" i="55" s="1"/>
  <c r="L194" i="55"/>
  <c r="M194" i="55" s="1"/>
  <c r="L301" i="55"/>
  <c r="M301" i="55" s="1"/>
  <c r="L298" i="55"/>
  <c r="M298" i="55" s="1"/>
  <c r="L432" i="55"/>
  <c r="M432" i="55" s="1"/>
  <c r="L34" i="55"/>
  <c r="M34" i="55" s="1"/>
  <c r="L40" i="55"/>
  <c r="M40" i="55" s="1"/>
  <c r="L179" i="55"/>
  <c r="M179" i="55" s="1"/>
  <c r="L683" i="55"/>
  <c r="M683" i="55" s="1"/>
  <c r="L178" i="55"/>
  <c r="M178" i="55" s="1"/>
  <c r="L111" i="55"/>
  <c r="M111" i="55" s="1"/>
  <c r="L563" i="55"/>
  <c r="M563" i="55" s="1"/>
  <c r="L384" i="55"/>
  <c r="M384" i="55" s="1"/>
  <c r="L222" i="55"/>
  <c r="M222" i="55" s="1"/>
  <c r="L334" i="55"/>
  <c r="M334" i="55" s="1"/>
  <c r="L139" i="55"/>
  <c r="M139" i="55" s="1"/>
  <c r="L108" i="55"/>
  <c r="M108" i="55" s="1"/>
  <c r="L164" i="55"/>
  <c r="M164" i="55" s="1"/>
  <c r="L75" i="55"/>
  <c r="M75" i="55" s="1"/>
  <c r="L535" i="55"/>
  <c r="M535" i="55" s="1"/>
  <c r="L18" i="55"/>
  <c r="M18" i="55" s="1"/>
  <c r="L300" i="55"/>
  <c r="M300" i="55" s="1"/>
  <c r="L16" i="55"/>
  <c r="M16" i="55" s="1"/>
  <c r="L263" i="55"/>
  <c r="M263" i="55" s="1"/>
  <c r="L321" i="55"/>
  <c r="M321" i="55" s="1"/>
  <c r="L56" i="55"/>
  <c r="M56" i="55" s="1"/>
  <c r="L718" i="55"/>
  <c r="L200" i="55"/>
  <c r="M200" i="55" s="1"/>
  <c r="L84" i="55"/>
  <c r="M84" i="55" s="1"/>
  <c r="L163" i="55"/>
  <c r="M163" i="55" s="1"/>
  <c r="L213" i="55"/>
  <c r="M213" i="55" s="1"/>
  <c r="L176" i="55"/>
  <c r="M176" i="55" s="1"/>
  <c r="L221" i="55"/>
  <c r="M221" i="55" s="1"/>
  <c r="L159" i="55"/>
  <c r="M159" i="55" s="1"/>
  <c r="L225" i="55"/>
  <c r="M225" i="55" s="1"/>
  <c r="L303" i="55"/>
  <c r="M303" i="55" s="1"/>
  <c r="L685" i="55"/>
  <c r="M685" i="55" s="1"/>
  <c r="L215" i="55"/>
  <c r="M215" i="55" s="1"/>
  <c r="L144" i="55"/>
  <c r="M144" i="55" s="1"/>
  <c r="L145" i="55"/>
  <c r="M145" i="55" s="1"/>
  <c r="L212" i="55"/>
  <c r="M212" i="55" s="1"/>
  <c r="L550" i="55"/>
  <c r="M550" i="55" s="1"/>
  <c r="L458" i="55"/>
  <c r="M458" i="55" s="1"/>
  <c r="L536" i="55"/>
  <c r="M536" i="55" s="1"/>
  <c r="L12" i="55"/>
  <c r="M12" i="55" s="1"/>
  <c r="I40" i="15"/>
  <c r="A6" i="42"/>
  <c r="A55" i="42"/>
  <c r="I56" i="42"/>
  <c r="J200" i="60"/>
  <c r="H27" i="56"/>
  <c r="I16" i="71"/>
  <c r="J16" i="71"/>
  <c r="J16" i="14"/>
  <c r="G92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M554" i="55" l="1"/>
  <c r="M676" i="55"/>
  <c r="M522" i="55"/>
  <c r="M371" i="55"/>
  <c r="M383" i="55"/>
  <c r="M420" i="55"/>
  <c r="M439" i="55"/>
  <c r="M446" i="55"/>
  <c r="M463" i="55"/>
  <c r="M510" i="55"/>
  <c r="M638" i="55"/>
  <c r="M625" i="55"/>
  <c r="M449" i="55"/>
  <c r="M568" i="55"/>
  <c r="M396" i="55"/>
  <c r="M514" i="55"/>
  <c r="M482" i="55"/>
  <c r="M292" i="55"/>
  <c r="M577" i="55"/>
  <c r="M246" i="55"/>
  <c r="M241" i="55"/>
  <c r="M260" i="55"/>
  <c r="M275" i="55"/>
  <c r="M686" i="55"/>
  <c r="M436" i="55"/>
  <c r="M254" i="55"/>
  <c r="M779" i="55"/>
  <c r="M777" i="55"/>
  <c r="M774" i="55"/>
  <c r="M590" i="55"/>
  <c r="M696" i="55"/>
  <c r="M781" i="55"/>
  <c r="M407" i="55"/>
  <c r="M775" i="55"/>
  <c r="M702" i="55"/>
  <c r="M471" i="55"/>
  <c r="M715" i="55"/>
  <c r="M673" i="55"/>
  <c r="M280" i="55"/>
  <c r="M497" i="55"/>
  <c r="M466" i="55"/>
  <c r="M546" i="55"/>
  <c r="M440" i="55"/>
  <c r="M679" i="55"/>
  <c r="M582" i="55"/>
  <c r="M256" i="55"/>
  <c r="M244" i="55"/>
  <c r="M261" i="55"/>
  <c r="M245" i="55"/>
  <c r="M357" i="55"/>
  <c r="M250" i="55"/>
  <c r="M490" i="55"/>
  <c r="M763" i="55"/>
  <c r="M257" i="55"/>
  <c r="M771" i="55"/>
  <c r="M770" i="55"/>
  <c r="M776" i="55"/>
  <c r="M766" i="55"/>
  <c r="M551" i="55"/>
  <c r="M295" i="55"/>
  <c r="M767" i="55"/>
  <c r="M619" i="55"/>
  <c r="M382" i="55"/>
  <c r="M465" i="55"/>
  <c r="M718" i="55"/>
  <c r="M621" i="55"/>
  <c r="M631" i="55"/>
  <c r="M341" i="55"/>
  <c r="M306" i="55"/>
  <c r="M339" i="55"/>
  <c r="M622" i="55"/>
  <c r="M552" i="55"/>
  <c r="M517" i="55"/>
  <c r="M410" i="55"/>
  <c r="M701" i="55"/>
  <c r="M348" i="55"/>
  <c r="M247" i="55"/>
  <c r="M281" i="55"/>
  <c r="M279" i="55"/>
  <c r="M612" i="55"/>
  <c r="M248" i="55"/>
  <c r="M650" i="55"/>
  <c r="M782" i="55"/>
  <c r="M329" i="55"/>
  <c r="M768" i="55"/>
  <c r="M760" i="55"/>
  <c r="M780" i="55"/>
  <c r="M762" i="55"/>
  <c r="M773" i="55"/>
  <c r="M778" i="55"/>
  <c r="M608" i="55"/>
  <c r="M498" i="55"/>
  <c r="M409" i="55"/>
  <c r="M519" i="55"/>
  <c r="M593" i="55"/>
  <c r="M468" i="55"/>
  <c r="M542" i="55"/>
  <c r="M555" i="55"/>
  <c r="M744" i="55"/>
  <c r="M632" i="55"/>
  <c r="M615" i="55"/>
  <c r="M14" i="55"/>
  <c r="M544" i="55"/>
  <c r="M655" i="55"/>
  <c r="M242" i="55"/>
  <c r="M258" i="55"/>
  <c r="M249" i="55"/>
  <c r="M259" i="55"/>
  <c r="M700" i="55"/>
  <c r="M764" i="55"/>
  <c r="M769" i="55"/>
  <c r="M614" i="55"/>
  <c r="M765" i="55"/>
  <c r="M772" i="55"/>
  <c r="M678" i="55"/>
  <c r="M333" i="55"/>
  <c r="M418" i="55"/>
  <c r="M761" i="55"/>
  <c r="M704" i="55"/>
  <c r="J34" i="15"/>
  <c r="J17" i="7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9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2" i="43"/>
  <c r="H93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H193" i="60" l="1"/>
  <c r="F42" i="57" l="1"/>
  <c r="H42" i="57" l="1"/>
  <c r="J42" i="57"/>
  <c r="J74" i="57" s="1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C14" i="39"/>
  <c r="L50" i="57" l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/>
  <c r="H52" i="73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F48" i="15" l="1" a="1"/>
  <c r="F48" i="15" s="1"/>
  <c r="D13" i="39"/>
  <c r="F49" i="15" a="1"/>
  <c r="F49" i="15" s="1"/>
  <c r="F51" i="15" a="1"/>
  <c r="F51" i="15" s="1"/>
  <c r="F46" i="15" a="1"/>
  <c r="F46" i="15" s="1"/>
  <c r="F14" i="12" a="1"/>
  <c r="F14" i="12" s="1"/>
  <c r="E48" i="15" a="1"/>
  <c r="E48" i="15" s="1"/>
  <c r="F9" i="70" a="1"/>
  <c r="F9" i="70" s="1"/>
  <c r="E49" i="15" a="1"/>
  <c r="E49" i="15" s="1"/>
  <c r="F41" i="15" a="1"/>
  <c r="F41" i="15" s="1"/>
  <c r="F42" i="15" s="1"/>
  <c r="E45" i="15" a="1"/>
  <c r="E45" i="15" s="1"/>
  <c r="E47" i="15" a="1"/>
  <c r="E47" i="15" s="1"/>
  <c r="F15" i="70" a="1"/>
  <c r="F15" i="70" s="1"/>
  <c r="E46" i="15" a="1"/>
  <c r="E46" i="15" s="1"/>
  <c r="I46" i="15" s="1"/>
  <c r="E25" i="15" a="1"/>
  <c r="E25" i="15" s="1"/>
  <c r="E10" i="12" a="1"/>
  <c r="E10" i="12" s="1"/>
  <c r="E6" i="12" a="1"/>
  <c r="E6" i="12" s="1"/>
  <c r="E21" i="15" a="1"/>
  <c r="E21" i="15" s="1"/>
  <c r="F11" i="12" a="1"/>
  <c r="F11" i="12" s="1"/>
  <c r="E43" i="15" a="1"/>
  <c r="E43" i="15" s="1"/>
  <c r="F7" i="12" a="1"/>
  <c r="F7" i="12" s="1"/>
  <c r="F19" i="15" a="1"/>
  <c r="F19" i="15" s="1"/>
  <c r="E24" i="15" a="1"/>
  <c r="E24" i="15" s="1"/>
  <c r="F33" i="15" a="1"/>
  <c r="F33" i="15" s="1"/>
  <c r="F34" i="15" s="1"/>
  <c r="E9" i="12" a="1"/>
  <c r="E9" i="12" s="1"/>
  <c r="E17" i="70" a="1"/>
  <c r="E17" i="70" s="1"/>
  <c r="E18" i="70" a="1"/>
  <c r="E18" i="70" s="1"/>
  <c r="E44" i="15" a="1"/>
  <c r="E44" i="15" s="1"/>
  <c r="E50" i="15" a="1"/>
  <c r="E50" i="15" s="1"/>
  <c r="F21" i="15" a="1"/>
  <c r="F21" i="15" s="1"/>
  <c r="E11" i="12" a="1"/>
  <c r="E11" i="12" s="1"/>
  <c r="F10" i="12" a="1"/>
  <c r="F10" i="12" s="1"/>
  <c r="E19" i="15" a="1"/>
  <c r="E19" i="15" s="1"/>
  <c r="F14" i="70" a="1"/>
  <c r="F14" i="70" s="1"/>
  <c r="E8" i="12" a="1"/>
  <c r="E8" i="12" s="1"/>
  <c r="E28" i="15" a="1"/>
  <c r="E28" i="15" s="1"/>
  <c r="F8" i="70" a="1"/>
  <c r="F8" i="70" s="1"/>
  <c r="E14" i="12" a="1"/>
  <c r="E14" i="12" s="1"/>
  <c r="E12" i="15" a="1"/>
  <c r="E12" i="15" s="1"/>
  <c r="F14" i="15" a="1"/>
  <c r="F14" i="15" s="1"/>
  <c r="E7" i="70" a="1"/>
  <c r="E7" i="70" s="1"/>
  <c r="E21" i="70" a="1"/>
  <c r="E21" i="70" s="1"/>
  <c r="F22" i="15" a="1"/>
  <c r="F22" i="15" s="1"/>
  <c r="F12" i="70" a="1"/>
  <c r="F12" i="70" s="1"/>
  <c r="F8" i="12" a="1"/>
  <c r="F8" i="12" s="1"/>
  <c r="F24" i="70" a="1"/>
  <c r="F24" i="70" s="1"/>
  <c r="F23" i="15" a="1"/>
  <c r="F23" i="15" s="1"/>
  <c r="F38" i="15" a="1"/>
  <c r="F38" i="15" s="1"/>
  <c r="E41" i="15" a="1"/>
  <c r="E41" i="15" s="1"/>
  <c r="E42" i="15" s="1"/>
  <c r="F35" i="15" a="1"/>
  <c r="F35" i="15" s="1"/>
  <c r="F12" i="12" a="1"/>
  <c r="F12" i="12" s="1"/>
  <c r="F17" i="70" a="1"/>
  <c r="F17" i="70" s="1"/>
  <c r="E12" i="70" a="1"/>
  <c r="E12" i="70" s="1"/>
  <c r="F10" i="15" a="1"/>
  <c r="F10" i="15" s="1"/>
  <c r="E23" i="15" a="1"/>
  <c r="E23" i="15" s="1"/>
  <c r="E14" i="70" a="1"/>
  <c r="E14" i="70" s="1"/>
  <c r="F21" i="70" a="1"/>
  <c r="F21" i="70" s="1"/>
  <c r="E7" i="12" a="1"/>
  <c r="E7" i="12" s="1"/>
  <c r="E13" i="12" a="1"/>
  <c r="E13" i="12" s="1"/>
  <c r="E8" i="70" a="1"/>
  <c r="E8" i="70" s="1"/>
  <c r="E14" i="15" a="1"/>
  <c r="E14" i="15" s="1"/>
  <c r="F7" i="70" a="1"/>
  <c r="F7" i="70" s="1"/>
  <c r="E15" i="70" a="1"/>
  <c r="E15" i="70" s="1"/>
  <c r="F37" i="15" a="1"/>
  <c r="F37" i="15" s="1"/>
  <c r="E20" i="15" a="1"/>
  <c r="E20" i="15" s="1"/>
  <c r="F26" i="70" a="1"/>
  <c r="F26" i="70" s="1"/>
  <c r="E10" i="15" a="1"/>
  <c r="E10" i="15" s="1"/>
  <c r="F18" i="70" a="1"/>
  <c r="F18" i="70" s="1"/>
  <c r="E22" i="15" a="1"/>
  <c r="E22" i="15" s="1"/>
  <c r="F15" i="15" a="1"/>
  <c r="F15" i="15" s="1"/>
  <c r="E17" i="15" a="1"/>
  <c r="E17" i="15" s="1"/>
  <c r="E33" i="15" a="1"/>
  <c r="E33" i="15" s="1"/>
  <c r="E34" i="15" s="1"/>
  <c r="F9" i="12" a="1"/>
  <c r="F9" i="12" s="1"/>
  <c r="F12" i="15" a="1"/>
  <c r="F12" i="15" s="1"/>
  <c r="F6" i="12" a="1"/>
  <c r="F6" i="12" s="1"/>
  <c r="E22" i="70" a="1"/>
  <c r="E22" i="70" s="1"/>
  <c r="E35" i="15" a="1"/>
  <c r="E35" i="15" s="1"/>
  <c r="E24" i="70" a="1"/>
  <c r="E24" i="70" s="1"/>
  <c r="F17" i="15" a="1"/>
  <c r="F17" i="15" s="1"/>
  <c r="E9" i="70" a="1"/>
  <c r="E9" i="70" s="1"/>
  <c r="F24" i="15" a="1"/>
  <c r="F24" i="15" s="1"/>
  <c r="E15" i="15" a="1"/>
  <c r="E15" i="15" s="1"/>
  <c r="F25" i="15" a="1"/>
  <c r="F25" i="15" s="1"/>
  <c r="F20" i="15" a="1"/>
  <c r="F20" i="15" s="1"/>
  <c r="E12" i="12" a="1"/>
  <c r="E12" i="12" s="1"/>
  <c r="E38" i="15" a="1"/>
  <c r="E38" i="15" s="1"/>
  <c r="E51" i="15" a="1"/>
  <c r="E51" i="15" s="1"/>
  <c r="F28" i="15" a="1"/>
  <c r="F28" i="15" s="1"/>
  <c r="F16" i="70" a="1"/>
  <c r="F16" i="70" s="1"/>
  <c r="E37" i="15" a="1"/>
  <c r="E37" i="15" s="1"/>
  <c r="E16" i="70" a="1"/>
  <c r="E16" i="70" s="1"/>
  <c r="F13" i="12" a="1"/>
  <c r="F13" i="12" s="1"/>
  <c r="H6" i="12" l="1"/>
  <c r="F16" i="12"/>
  <c r="F18" i="12" s="1"/>
  <c r="I51" i="15"/>
  <c r="I49" i="15"/>
  <c r="I48" i="15"/>
  <c r="G22" i="15"/>
  <c r="H24" i="15"/>
  <c r="G9" i="70"/>
  <c r="G15" i="70"/>
  <c r="H10" i="12"/>
  <c r="H18" i="70"/>
  <c r="E35" i="70" a="1"/>
  <c r="E35" i="70" s="1"/>
  <c r="E29" i="70" a="1"/>
  <c r="E29" i="70" s="1"/>
  <c r="F23" i="70" a="1"/>
  <c r="F23" i="70" s="1"/>
  <c r="E27" i="70" a="1"/>
  <c r="E27" i="70" s="1"/>
  <c r="F13" i="70" a="1"/>
  <c r="F13" i="70" s="1"/>
  <c r="E37" i="70" a="1"/>
  <c r="E37" i="70" s="1"/>
  <c r="E28" i="70" a="1"/>
  <c r="E28" i="70" s="1"/>
  <c r="F20" i="70" a="1"/>
  <c r="F20" i="70" s="1"/>
  <c r="F6" i="70" a="1"/>
  <c r="F6" i="70" s="1"/>
  <c r="F10" i="70" a="1"/>
  <c r="F10" i="70" s="1"/>
  <c r="E36" i="70" a="1"/>
  <c r="E36" i="70" s="1"/>
  <c r="E6" i="70" a="1"/>
  <c r="E6" i="70" s="1"/>
  <c r="E11" i="70" a="1"/>
  <c r="E11" i="70" s="1"/>
  <c r="F36" i="70" a="1"/>
  <c r="F36" i="70" s="1"/>
  <c r="E33" i="70" a="1"/>
  <c r="E33" i="70" s="1"/>
  <c r="F33" i="70" a="1"/>
  <c r="F33" i="70" s="1"/>
  <c r="E19" i="70" a="1"/>
  <c r="E19" i="70" s="1"/>
  <c r="F30" i="70" a="1"/>
  <c r="F30" i="70" s="1"/>
  <c r="F32" i="70" a="1"/>
  <c r="F32" i="70" s="1"/>
  <c r="F25" i="70" a="1"/>
  <c r="F25" i="70" s="1"/>
  <c r="F27" i="70" a="1"/>
  <c r="F27" i="70" s="1"/>
  <c r="E31" i="70" a="1"/>
  <c r="E31" i="70" s="1"/>
  <c r="E25" i="70" a="1"/>
  <c r="E25" i="70" s="1"/>
  <c r="F28" i="70" a="1"/>
  <c r="F28" i="70" s="1"/>
  <c r="E13" i="70" a="1"/>
  <c r="E13" i="70" s="1"/>
  <c r="F31" i="70" a="1"/>
  <c r="F31" i="70" s="1"/>
  <c r="F29" i="70" a="1"/>
  <c r="F29" i="70" s="1"/>
  <c r="E23" i="70" a="1"/>
  <c r="E23" i="70" s="1"/>
  <c r="E20" i="70" a="1"/>
  <c r="E20" i="70" s="1"/>
  <c r="F35" i="70" a="1"/>
  <c r="F35" i="70" s="1"/>
  <c r="E10" i="70" a="1"/>
  <c r="E10" i="70" s="1"/>
  <c r="E34" i="70" a="1"/>
  <c r="E34" i="70" s="1"/>
  <c r="E30" i="70" a="1"/>
  <c r="E30" i="70" s="1"/>
  <c r="F37" i="70" a="1"/>
  <c r="F37" i="70" s="1"/>
  <c r="E32" i="70" a="1"/>
  <c r="E32" i="70" s="1"/>
  <c r="F11" i="70" a="1"/>
  <c r="F11" i="70" s="1"/>
  <c r="F19" i="70" a="1"/>
  <c r="F19" i="70" s="1"/>
  <c r="F34" i="70" a="1"/>
  <c r="F34" i="70" s="1"/>
  <c r="H17" i="70"/>
  <c r="H9" i="12"/>
  <c r="G24" i="70"/>
  <c r="G8" i="70"/>
  <c r="G14" i="70"/>
  <c r="H8" i="12"/>
  <c r="H13" i="12"/>
  <c r="G14" i="12"/>
  <c r="G7" i="12"/>
  <c r="G12" i="70"/>
  <c r="G11" i="12"/>
  <c r="G19" i="15"/>
  <c r="H37" i="15"/>
  <c r="G7" i="70"/>
  <c r="H16" i="70"/>
  <c r="H21" i="70"/>
  <c r="E39" i="15"/>
  <c r="G38" i="15"/>
  <c r="G15" i="15"/>
  <c r="E16" i="15"/>
  <c r="G35" i="15"/>
  <c r="E36" i="15"/>
  <c r="H15" i="15"/>
  <c r="H16" i="15" s="1"/>
  <c r="F16" i="15"/>
  <c r="G14" i="15"/>
  <c r="F11" i="15"/>
  <c r="H10" i="15"/>
  <c r="H11" i="15" s="1"/>
  <c r="H12" i="12"/>
  <c r="I41" i="15"/>
  <c r="I42" i="15"/>
  <c r="H22" i="15"/>
  <c r="E13" i="15"/>
  <c r="G12" i="15"/>
  <c r="G13" i="15" s="1"/>
  <c r="G28" i="15"/>
  <c r="E29" i="15"/>
  <c r="H33" i="15"/>
  <c r="H34" i="15" s="1"/>
  <c r="G24" i="15"/>
  <c r="G10" i="12"/>
  <c r="H9" i="70"/>
  <c r="F44" i="15" a="1"/>
  <c r="F44" i="15" s="1"/>
  <c r="I44" i="15" s="1"/>
  <c r="H28" i="15"/>
  <c r="F29" i="15"/>
  <c r="G12" i="12"/>
  <c r="E16" i="12"/>
  <c r="E18" i="12" s="1"/>
  <c r="F13" i="15"/>
  <c r="H12" i="15"/>
  <c r="H13" i="15" s="1"/>
  <c r="F39" i="15"/>
  <c r="H38" i="15"/>
  <c r="H24" i="70"/>
  <c r="G21" i="70"/>
  <c r="H19" i="15"/>
  <c r="H11" i="12"/>
  <c r="G25" i="15"/>
  <c r="G26" i="15" s="1"/>
  <c r="E26" i="15"/>
  <c r="E27" i="15" s="1"/>
  <c r="F45" i="15" a="1"/>
  <c r="F45" i="15" s="1"/>
  <c r="I45" i="15" s="1"/>
  <c r="F18" i="15"/>
  <c r="H17" i="15"/>
  <c r="G33" i="15"/>
  <c r="G34" i="15" s="1"/>
  <c r="E11" i="15"/>
  <c r="G10" i="15"/>
  <c r="G11" i="15" s="1"/>
  <c r="H23" i="15"/>
  <c r="G18" i="70"/>
  <c r="H7" i="12"/>
  <c r="G21" i="15"/>
  <c r="H15" i="70"/>
  <c r="H14" i="12"/>
  <c r="F47" i="15" a="1"/>
  <c r="F47" i="15" s="1"/>
  <c r="I47" i="15" s="1"/>
  <c r="F50" i="15" a="1"/>
  <c r="F50" i="15" s="1"/>
  <c r="I50" i="15" s="1"/>
  <c r="F43" i="15" a="1"/>
  <c r="F43" i="15" s="1"/>
  <c r="I43" i="15" s="1"/>
  <c r="H20" i="15"/>
  <c r="G16" i="70"/>
  <c r="G37" i="15"/>
  <c r="F26" i="15"/>
  <c r="F27" i="15" s="1"/>
  <c r="H25" i="15"/>
  <c r="H26" i="15" s="1"/>
  <c r="G17" i="15"/>
  <c r="E18" i="15"/>
  <c r="G20" i="15"/>
  <c r="H7" i="70"/>
  <c r="G13" i="12"/>
  <c r="G23" i="15"/>
  <c r="H35" i="15"/>
  <c r="F36" i="15"/>
  <c r="H12" i="70"/>
  <c r="H14" i="15"/>
  <c r="H8" i="70"/>
  <c r="G8" i="12"/>
  <c r="H14" i="70"/>
  <c r="H21" i="15"/>
  <c r="G17" i="70"/>
  <c r="G9" i="12"/>
  <c r="G6" i="12"/>
  <c r="F22" i="70" a="1"/>
  <c r="F22" i="70" s="1"/>
  <c r="G22" i="70" s="1"/>
  <c r="E26" i="70" a="1"/>
  <c r="E26" i="70" s="1"/>
  <c r="G26" i="70" s="1"/>
  <c r="F50" i="70" l="1"/>
  <c r="F51" i="70" s="1"/>
  <c r="E50" i="70"/>
  <c r="E51" i="70" s="1"/>
  <c r="E52" i="15"/>
  <c r="F52" i="15"/>
  <c r="H36" i="70"/>
  <c r="H29" i="70"/>
  <c r="G6" i="70"/>
  <c r="G20" i="70"/>
  <c r="G13" i="70"/>
  <c r="G10" i="70"/>
  <c r="H36" i="15"/>
  <c r="H11" i="70"/>
  <c r="H28" i="70"/>
  <c r="H27" i="70"/>
  <c r="H29" i="15"/>
  <c r="G23" i="70"/>
  <c r="H31" i="70"/>
  <c r="G32" i="70"/>
  <c r="G30" i="70"/>
  <c r="H19" i="70"/>
  <c r="H37" i="70"/>
  <c r="H35" i="70"/>
  <c r="G25" i="70"/>
  <c r="G34" i="70"/>
  <c r="H33" i="70"/>
  <c r="L787" i="55"/>
  <c r="L788" i="55" s="1"/>
  <c r="H30" i="70"/>
  <c r="H10" i="70"/>
  <c r="G11" i="70"/>
  <c r="H6" i="70"/>
  <c r="G37" i="70"/>
  <c r="H23" i="70"/>
  <c r="G31" i="70"/>
  <c r="H25" i="70"/>
  <c r="G19" i="70"/>
  <c r="G36" i="70"/>
  <c r="H20" i="70"/>
  <c r="H13" i="70"/>
  <c r="G29" i="70"/>
  <c r="H34" i="70"/>
  <c r="H32" i="70"/>
  <c r="G33" i="70"/>
  <c r="G28" i="70"/>
  <c r="G27" i="70"/>
  <c r="G35" i="70"/>
  <c r="G18" i="15"/>
  <c r="G27" i="15"/>
  <c r="J787" i="55"/>
  <c r="J788" i="55" s="1"/>
  <c r="H26" i="70"/>
  <c r="G16" i="12"/>
  <c r="H22" i="70"/>
  <c r="H18" i="15"/>
  <c r="H787" i="55"/>
  <c r="H788" i="55" s="1"/>
  <c r="H16" i="12"/>
  <c r="G16" i="15"/>
  <c r="H27" i="15"/>
  <c r="G36" i="15"/>
  <c r="G39" i="15"/>
  <c r="H39" i="15"/>
  <c r="G29" i="15"/>
  <c r="H52" i="15" l="1"/>
  <c r="G52" i="15"/>
  <c r="G50" i="70"/>
  <c r="H50" i="70"/>
  <c r="H54" i="15" l="1"/>
</calcChain>
</file>

<file path=xl/sharedStrings.xml><?xml version="1.0" encoding="utf-8"?>
<sst xmlns="http://schemas.openxmlformats.org/spreadsheetml/2006/main" count="28990" uniqueCount="1792">
  <si>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</si>
  <si>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</si>
  <si>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</si>
  <si>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</si>
  <si>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</si>
  <si>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</si>
  <si>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</si>
  <si>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</si>
  <si>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</si>
  <si>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</si>
  <si>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</si>
  <si>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</si>
  <si>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</si>
  <si>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</si>
  <si>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</si>
  <si>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</si>
  <si>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</si>
  <si>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</si>
  <si>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</si>
  <si>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</si>
  <si>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</si>
  <si>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</si>
  <si>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</si>
  <si>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</si>
  <si>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</si>
  <si>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</si>
  <si>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</si>
  <si>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</si>
  <si>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</si>
  <si>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</si>
  <si>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</si>
  <si>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</si>
  <si>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</si>
  <si>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</si>
  <si>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</si>
  <si>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</si>
  <si>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</si>
  <si>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</si>
  <si>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</si>
  <si>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</si>
  <si>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</si>
  <si>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</si>
  <si>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</si>
  <si>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</si>
  <si>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</si>
  <si>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</si>
  <si>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</si>
  <si>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</si>
  <si>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</si>
  <si>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</si>
  <si>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</si>
  <si>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</si>
  <si>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</si>
  <si>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</si>
  <si>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</si>
  <si>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</si>
  <si>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</si>
  <si>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</si>
  <si>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</si>
  <si>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</si>
  <si>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</si>
  <si>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</si>
  <si>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</si>
  <si>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</si>
  <si>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</si>
  <si>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</si>
  <si>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</si>
  <si>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</si>
  <si>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</si>
  <si>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</si>
  <si>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</si>
  <si>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</si>
  <si>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</si>
  <si>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</si>
  <si>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</si>
  <si>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</si>
  <si>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</si>
  <si>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</si>
  <si>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</si>
  <si>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</si>
  <si>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</si>
  <si>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</si>
  <si>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</si>
  <si>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</si>
  <si>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</si>
  <si>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</si>
  <si>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</si>
  <si>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</si>
  <si>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</si>
  <si>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</si>
  <si>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</si>
  <si>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</si>
  <si>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</si>
  <si>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</si>
  <si>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</si>
  <si>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</si>
  <si>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</si>
  <si>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</si>
  <si>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</si>
  <si>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</si>
  <si>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</si>
  <si>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</si>
  <si>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</si>
  <si>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</si>
  <si>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</si>
  <si>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</si>
  <si>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</si>
  <si>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</si>
  <si>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</si>
  <si>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</si>
  <si>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</si>
  <si>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</si>
  <si>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</si>
  <si>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</si>
  <si>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</si>
  <si>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</si>
  <si>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</si>
  <si>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</si>
  <si>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</si>
  <si>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</si>
  <si>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</si>
  <si>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</si>
  <si>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</si>
  <si>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</si>
  <si>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</si>
  <si>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</si>
  <si>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</si>
  <si>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</si>
  <si>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</si>
  <si>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</si>
  <si>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</si>
  <si>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</si>
  <si>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</si>
  <si>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</si>
  <si>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</si>
  <si>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</si>
  <si>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</si>
  <si>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</si>
  <si>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</si>
  <si>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</si>
  <si>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</si>
  <si>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</si>
  <si>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</si>
  <si>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</si>
  <si>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</si>
  <si>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</si>
  <si>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</si>
  <si>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</si>
  <si>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</si>
  <si>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</si>
  <si>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</si>
  <si>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</si>
  <si>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</si>
  <si>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</si>
  <si>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</si>
  <si>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</si>
  <si>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</si>
  <si>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</si>
  <si>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</si>
  <si>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</si>
  <si>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</si>
  <si>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</si>
  <si>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</si>
  <si>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</si>
  <si>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</si>
  <si>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</si>
  <si>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</si>
  <si>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</si>
  <si>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</si>
  <si>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</si>
  <si>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</si>
  <si>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</si>
  <si>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</si>
  <si>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</si>
  <si>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</si>
  <si>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</si>
  <si>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</si>
  <si>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</si>
  <si>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</si>
  <si>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</si>
  <si>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</si>
  <si>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</si>
  <si>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</si>
  <si>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</si>
  <si>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</si>
  <si>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</si>
  <si>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</si>
  <si>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</si>
  <si>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</si>
  <si>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</si>
  <si>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</si>
  <si>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</si>
  <si>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</si>
  <si>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</si>
  <si>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</si>
  <si>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</si>
  <si>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</si>
  <si>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</si>
  <si>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</si>
  <si>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</si>
  <si>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</si>
  <si>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</si>
  <si>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</si>
  <si>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</si>
  <si>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</si>
  <si>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</si>
  <si>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</si>
  <si>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</si>
  <si>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</si>
  <si>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</si>
  <si>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</si>
  <si>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</si>
  <si>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</si>
  <si>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</si>
  <si>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</si>
  <si>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</si>
  <si>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</si>
  <si>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</si>
  <si>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</si>
  <si>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</si>
  <si>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</si>
  <si>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</si>
  <si>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</si>
  <si>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</si>
  <si>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</si>
  <si>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</si>
  <si>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</si>
  <si>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</si>
  <si>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</si>
  <si>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</si>
  <si>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</si>
  <si>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</si>
  <si>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</si>
  <si>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</si>
  <si>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</si>
  <si>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</si>
  <si>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</si>
  <si>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</si>
  <si>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</si>
  <si>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</si>
  <si>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</si>
  <si>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</si>
  <si>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</si>
  <si>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</si>
  <si>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</si>
  <si>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</si>
  <si>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</si>
  <si>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</si>
  <si>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</si>
  <si>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</si>
  <si>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</si>
  <si>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</si>
  <si>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</si>
  <si>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</si>
  <si>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</si>
  <si>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</si>
  <si>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</si>
  <si>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</si>
  <si>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</si>
  <si>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</si>
  <si>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</si>
  <si>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</si>
  <si>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</si>
  <si>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</si>
  <si>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</si>
  <si>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</si>
  <si>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</si>
  <si>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</si>
  <si>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</si>
  <si>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</si>
  <si>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</si>
  <si>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</si>
  <si>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</si>
  <si>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</si>
  <si>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</si>
  <si>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</si>
  <si>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</si>
  <si>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</si>
  <si>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</si>
  <si>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</si>
  <si>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</si>
  <si>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</si>
  <si>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</si>
  <si>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</si>
  <si>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</si>
  <si>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</si>
  <si>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</si>
  <si>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</si>
  <si>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</si>
  <si>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</si>
  <si>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</si>
  <si>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</si>
  <si>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</si>
  <si>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</si>
  <si>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</si>
  <si>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</si>
  <si>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</si>
  <si>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</si>
  <si>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</si>
  <si>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</si>
  <si>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</si>
  <si>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</si>
  <si>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</si>
  <si>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</si>
  <si>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</si>
  <si>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</si>
  <si>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</si>
  <si>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</si>
  <si>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</si>
  <si>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</si>
  <si>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</si>
  <si>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</si>
  <si>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</si>
  <si>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</si>
  <si>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</si>
  <si>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</si>
  <si>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</si>
  <si>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</si>
  <si>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</si>
  <si>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</si>
  <si>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</si>
  <si>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</si>
  <si>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</si>
  <si>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</si>
  <si>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</si>
  <si>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</si>
  <si>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</si>
  <si>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</si>
  <si>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</si>
  <si>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</si>
  <si>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</si>
  <si>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</si>
  <si>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</si>
  <si>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</si>
  <si>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</si>
  <si>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</si>
  <si>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</si>
  <si>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</si>
  <si>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</si>
  <si>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</si>
  <si>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</si>
  <si>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</si>
  <si>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</si>
  <si>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</si>
  <si>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</si>
  <si>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</si>
  <si>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</si>
  <si>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</si>
  <si>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</si>
  <si>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</si>
  <si>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</si>
  <si>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</si>
  <si>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</si>
  <si>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</si>
  <si>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</si>
  <si>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</si>
  <si>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</si>
  <si>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</si>
  <si>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</si>
  <si>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</si>
  <si>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</si>
  <si>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</si>
  <si>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</si>
  <si>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</si>
  <si>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</si>
  <si>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</si>
  <si>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</si>
  <si>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</si>
  <si>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</si>
  <si>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</si>
  <si>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</si>
  <si>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</si>
  <si>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</si>
  <si>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</si>
  <si>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</si>
  <si>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</si>
  <si>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</si>
  <si>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</si>
  <si>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</si>
  <si>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</si>
  <si>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</si>
  <si>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</si>
  <si>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</si>
  <si>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</si>
  <si>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</si>
  <si>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</si>
  <si>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</si>
  <si>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</si>
  <si>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</si>
  <si>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</si>
  <si>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</si>
  <si>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</si>
  <si>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</si>
  <si>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</si>
  <si>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</si>
  <si>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</si>
  <si>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</si>
  <si>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</si>
  <si>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Quý IV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</si>
  <si>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</si>
  <si>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</si>
  <si>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</si>
  <si>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</si>
  <si>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</si>
  <si>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</si>
  <si>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</si>
  <si>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</si>
  <si>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</si>
  <si>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</si>
  <si>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</si>
  <si>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</si>
  <si>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</si>
  <si>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</si>
  <si>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</si>
  <si>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</si>
  <si>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</si>
  <si>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</si>
  <si>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</si>
  <si>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</si>
  <si>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</si>
  <si>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</si>
  <si>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</si>
  <si>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</si>
  <si>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</si>
  <si>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</si>
  <si>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</si>
  <si>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</si>
  <si>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</si>
  <si>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</si>
  <si>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</si>
  <si>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</si>
  <si>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</si>
  <si>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</si>
  <si>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</si>
  <si>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</si>
  <si>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</si>
  <si>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</si>
  <si>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</si>
  <si>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</si>
  <si>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</si>
  <si>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</si>
  <si>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</si>
  <si>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</si>
  <si>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</si>
  <si>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</si>
  <si>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</si>
  <si>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</si>
  <si>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</si>
  <si>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</si>
  <si>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</si>
  <si>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</si>
  <si>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</si>
  <si>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</si>
  <si>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</si>
  <si>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</si>
  <si>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</si>
  <si>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</si>
  <si>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</si>
  <si>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</si>
  <si>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</si>
  <si>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</si>
  <si>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</si>
  <si>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</si>
  <si>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</si>
  <si>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</si>
  <si>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</si>
  <si>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</si>
  <si>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</si>
  <si>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</si>
  <si>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</si>
  <si>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</si>
  <si>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</si>
  <si>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</si>
  <si>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</si>
  <si>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</si>
  <si>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</si>
  <si>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</si>
  <si>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</si>
  <si>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</si>
  <si>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</si>
  <si>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</si>
  <si>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</si>
  <si>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</si>
  <si>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</si>
  <si>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</si>
  <si>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</si>
  <si>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</si>
  <si>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</si>
  <si>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</si>
  <si>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</si>
  <si>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</si>
  <si>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</si>
  <si>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</si>
  <si>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</si>
  <si>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</si>
  <si>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</si>
  <si>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</si>
  <si>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</si>
  <si>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</si>
  <si>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</si>
  <si>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</si>
  <si>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</si>
  <si>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</si>
  <si>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</si>
  <si>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</si>
  <si>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</si>
  <si>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</si>
  <si>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</si>
  <si>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</si>
  <si>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</si>
  <si>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</si>
  <si>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</si>
  <si>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</si>
  <si>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</si>
  <si>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</si>
  <si>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</si>
  <si>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</si>
  <si>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</si>
  <si>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</si>
  <si>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</si>
  <si>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</si>
  <si>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</si>
  <si>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</si>
  <si>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</si>
  <si>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</si>
  <si>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</si>
  <si>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</si>
  <si>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</si>
  <si>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</si>
  <si>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</si>
  <si>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</si>
  <si>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</si>
  <si>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</si>
  <si>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</si>
  <si>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</si>
  <si>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</si>
  <si>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</si>
  <si>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</si>
  <si>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</si>
  <si>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</si>
  <si>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</si>
  <si>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</si>
  <si>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</si>
  <si>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</si>
  <si>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</si>
  <si>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</si>
  <si>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</si>
  <si>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</si>
  <si>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</si>
  <si>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</si>
  <si>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</si>
  <si>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</si>
  <si>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</si>
  <si>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</si>
  <si>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</si>
  <si>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</si>
  <si>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</si>
  <si>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</si>
  <si>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</si>
  <si>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</si>
  <si>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</si>
  <si>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</si>
  <si>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</si>
  <si>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</si>
  <si>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</si>
  <si>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</si>
  <si>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</si>
  <si>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</si>
  <si>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</si>
  <si>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</si>
  <si>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</si>
  <si>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</si>
  <si>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</si>
  <si>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</si>
  <si>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</si>
  <si>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</si>
  <si>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</si>
  <si>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</si>
  <si>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</si>
  <si>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</si>
  <si>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</si>
  <si>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</si>
  <si>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</si>
  <si>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</si>
  <si>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</si>
  <si>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</si>
  <si>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</si>
  <si>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</si>
  <si>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</si>
  <si>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</si>
  <si>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</si>
  <si>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</si>
  <si>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</si>
  <si>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</si>
  <si>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</si>
  <si>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</si>
  <si>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</si>
  <si>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</si>
  <si>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</si>
  <si>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</si>
  <si>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</si>
  <si>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</si>
  <si>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</si>
  <si>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</si>
  <si>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</si>
  <si>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</si>
  <si>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</si>
  <si>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</si>
  <si>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</si>
  <si>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</si>
  <si>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</si>
  <si>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</si>
  <si>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</si>
  <si>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</si>
  <si>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</si>
  <si>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</si>
  <si>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</si>
  <si>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</si>
  <si>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</si>
  <si>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</si>
  <si>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</si>
  <si>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</si>
  <si>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</si>
  <si>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</si>
  <si>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</si>
  <si>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</si>
  <si>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</si>
  <si>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</si>
  <si>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</si>
  <si>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</si>
  <si>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</si>
  <si>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</si>
  <si>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</si>
  <si>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</si>
  <si>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</si>
  <si>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</si>
  <si>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</si>
  <si>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</si>
  <si>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</si>
  <si>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</si>
  <si>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</si>
  <si>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</si>
  <si>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</si>
  <si>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</si>
  <si>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</si>
  <si>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</si>
  <si>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</si>
  <si>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</si>
  <si>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</si>
  <si>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</si>
  <si>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</si>
  <si>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</si>
  <si>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</si>
  <si>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</si>
  <si>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</si>
  <si>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</si>
  <si>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</si>
  <si>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</si>
  <si>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</si>
  <si>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</si>
  <si>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</si>
  <si>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</si>
  <si>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</si>
  <si>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</si>
  <si>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</si>
  <si>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</si>
  <si>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</si>
  <si>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</si>
  <si>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</si>
  <si>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</si>
  <si>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</si>
  <si>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</si>
  <si>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</si>
  <si>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</si>
  <si>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</si>
  <si>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</si>
  <si>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</si>
  <si>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</si>
  <si>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</si>
  <si>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</si>
  <si>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</si>
  <si>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</si>
  <si>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</si>
  <si>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</si>
  <si>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</si>
  <si>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</si>
  <si>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</si>
  <si>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</si>
  <si>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</si>
  <si>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</si>
  <si>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</si>
  <si>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</si>
  <si>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</si>
  <si>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</si>
  <si>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</si>
  <si>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</si>
  <si>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</si>
  <si>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</si>
  <si>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</si>
  <si>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</si>
  <si>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</si>
  <si>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</si>
  <si>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</si>
  <si>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</si>
  <si>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</si>
  <si>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</si>
  <si>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</si>
  <si>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</si>
  <si>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</si>
  <si>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</si>
  <si>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</si>
  <si>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</si>
  <si>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</si>
  <si>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</si>
  <si>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</si>
  <si>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</si>
  <si>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</si>
  <si>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</si>
  <si>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</si>
  <si>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</si>
  <si>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</si>
  <si>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</si>
  <si>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</si>
  <si>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</si>
  <si>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</si>
  <si>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</si>
  <si>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</si>
  <si>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</si>
  <si>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</si>
  <si>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</si>
  <si>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</si>
  <si>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</si>
  <si>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</si>
  <si>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</si>
  <si>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</si>
  <si>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</si>
  <si>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</si>
  <si>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</si>
  <si>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</si>
  <si>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</si>
  <si>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</si>
  <si>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</si>
  <si>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</si>
  <si>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</si>
  <si>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</si>
  <si>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</si>
  <si>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</si>
  <si>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</si>
  <si>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</si>
  <si>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</si>
  <si>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</si>
  <si>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</si>
  <si>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</si>
  <si>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</si>
  <si>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</si>
  <si>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</si>
  <si>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</si>
  <si>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</si>
  <si>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</si>
  <si>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</si>
  <si>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</si>
  <si>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</si>
  <si>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</si>
  <si>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</si>
  <si>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</si>
  <si>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</si>
  <si>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</si>
  <si>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</si>
  <si>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</si>
  <si>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</si>
  <si>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</si>
  <si>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</si>
  <si>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</si>
  <si>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</si>
  <si>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</si>
  <si>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</si>
  <si>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</si>
  <si>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</si>
  <si>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</si>
  <si>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</si>
  <si>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</si>
  <si>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</si>
  <si>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</si>
  <si>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</si>
  <si>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</si>
  <si>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</si>
  <si>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</si>
  <si>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</si>
  <si>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</si>
  <si>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</si>
  <si>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</si>
  <si>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</si>
  <si>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</si>
  <si>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</si>
  <si>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</si>
  <si>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</si>
  <si>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</si>
  <si>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</si>
  <si>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</si>
  <si>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</si>
  <si>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</si>
  <si>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</si>
  <si>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</si>
  <si>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</si>
  <si>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</si>
  <si>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</si>
  <si>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</si>
  <si>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</si>
  <si>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</si>
  <si>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</si>
  <si>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</si>
  <si>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</si>
  <si>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</si>
  <si>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</si>
  <si>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</si>
  <si>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</si>
  <si>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</si>
  <si>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</si>
  <si>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</si>
  <si>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</si>
  <si>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</si>
  <si>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</si>
  <si>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</si>
  <si>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</si>
  <si>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</si>
  <si>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</si>
  <si>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</si>
  <si>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</si>
  <si>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</si>
  <si>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</si>
  <si>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</si>
  <si>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</si>
  <si>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</si>
  <si>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</si>
  <si>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</si>
  <si>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</si>
  <si>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</si>
  <si>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</si>
  <si>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</si>
  <si>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</si>
  <si>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</si>
  <si>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</si>
  <si>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</si>
  <si>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</si>
  <si>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</si>
  <si>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</si>
  <si>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</si>
  <si>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</si>
  <si>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</si>
  <si>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</si>
  <si>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</si>
  <si>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</si>
  <si>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</si>
  <si>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</si>
  <si>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</si>
  <si>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</si>
  <si>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</si>
  <si>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</si>
  <si>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</si>
  <si>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</si>
  <si>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</si>
  <si>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</si>
  <si>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</si>
  <si>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</si>
  <si>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</si>
  <si>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</si>
  <si>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</si>
  <si>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</si>
  <si>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</si>
  <si>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</si>
  <si>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</si>
  <si>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</si>
  <si>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</si>
  <si>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</si>
  <si>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</si>
  <si>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</si>
  <si>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</si>
  <si>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</si>
  <si>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</si>
  <si>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</si>
  <si>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</si>
  <si>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</si>
  <si>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</si>
  <si>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</si>
  <si>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</si>
  <si>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</si>
  <si>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</si>
  <si>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</si>
  <si>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</si>
  <si>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</si>
  <si>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</si>
  <si>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</si>
  <si>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</si>
  <si>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</si>
  <si>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</si>
  <si>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</si>
  <si>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</si>
  <si>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</si>
  <si>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</si>
  <si>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</si>
  <si>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</si>
  <si>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</si>
  <si>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</si>
  <si>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</si>
  <si>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</si>
  <si>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</si>
  <si>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</si>
  <si>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</si>
  <si>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</si>
  <si>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</si>
  <si>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</si>
  <si>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</si>
  <si>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</si>
  <si>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</si>
  <si>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</si>
  <si>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</si>
  <si>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</si>
  <si>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</si>
  <si>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</si>
  <si>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</si>
  <si>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</si>
  <si>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</si>
  <si>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</si>
  <si>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</si>
  <si>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</si>
  <si>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</si>
  <si>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</si>
  <si>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</si>
  <si>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</si>
  <si>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</si>
  <si>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</si>
  <si>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</si>
  <si>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</si>
  <si>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</si>
  <si>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</si>
  <si>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</si>
  <si>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</si>
  <si>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</si>
  <si>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</si>
  <si>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</si>
  <si>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</si>
  <si>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</si>
  <si>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</si>
  <si>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</si>
  <si>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</si>
  <si>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</si>
  <si>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</si>
  <si>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</si>
  <si>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</si>
  <si>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</si>
  <si>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</si>
  <si>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</si>
  <si>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</si>
  <si>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</si>
  <si>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</si>
  <si>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</si>
  <si>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</si>
  <si>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</si>
  <si>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</si>
  <si>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</si>
  <si>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</si>
  <si>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</si>
  <si>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</si>
  <si>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</si>
  <si>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</si>
  <si>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</si>
  <si>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</si>
  <si>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</si>
  <si>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</si>
  <si>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</si>
  <si>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</si>
  <si>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</si>
  <si>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</si>
  <si>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</si>
  <si>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</si>
  <si>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</si>
  <si>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</si>
  <si>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</si>
  <si>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</si>
  <si>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</si>
  <si>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</si>
  <si>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</si>
  <si>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</si>
  <si>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</si>
  <si>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</si>
  <si>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</si>
  <si>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</si>
  <si>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</si>
  <si>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</si>
  <si>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</si>
  <si>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</si>
  <si>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</si>
  <si>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</si>
  <si>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</si>
  <si>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</si>
  <si>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</si>
  <si>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</si>
  <si>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</si>
  <si>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</si>
  <si>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</si>
  <si>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</si>
  <si>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</si>
  <si>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</si>
  <si>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</si>
  <si>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</si>
  <si>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</si>
  <si>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</si>
  <si>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</si>
  <si>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</si>
  <si>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</si>
  <si>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</si>
  <si>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</si>
  <si>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</si>
  <si>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</si>
  <si>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</si>
  <si>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</si>
  <si>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</si>
  <si>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</si>
  <si>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</si>
  <si>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</si>
  <si>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</si>
  <si>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</si>
  <si>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</si>
  <si>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</si>
  <si>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</si>
  <si>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</si>
  <si>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</si>
  <si>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</si>
  <si>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</si>
  <si>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</si>
  <si>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</si>
  <si>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</si>
  <si>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</si>
  <si>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</si>
  <si>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</si>
  <si>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</si>
  <si>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</si>
  <si>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</si>
  <si>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</si>
  <si>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</si>
  <si>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</si>
  <si>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</si>
  <si>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</si>
  <si>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</si>
  <si>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</si>
  <si>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</si>
  <si>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</si>
  <si>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</si>
  <si>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</si>
  <si>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</si>
  <si>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</si>
  <si>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</si>
  <si>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</si>
  <si>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</si>
  <si>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</si>
  <si>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</si>
  <si>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</si>
  <si>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</si>
  <si>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</si>
  <si>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</si>
  <si>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</si>
  <si>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</si>
  <si>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</si>
  <si>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</si>
  <si>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</si>
  <si>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</si>
  <si>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</si>
  <si>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</si>
  <si>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</si>
  <si>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</si>
  <si>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</si>
  <si>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</si>
  <si>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</si>
  <si>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</si>
  <si>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</si>
  <si>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</si>
  <si>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</si>
  <si>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</si>
  <si>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</si>
  <si>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</si>
  <si>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</si>
  <si>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</si>
  <si>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</si>
  <si>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</si>
  <si>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</si>
  <si>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</si>
  <si>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</si>
  <si>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</si>
  <si>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</si>
  <si>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</si>
  <si>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</si>
  <si>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</si>
  <si>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</si>
  <si>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</si>
  <si>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</si>
  <si>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</si>
  <si>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</si>
  <si>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</si>
  <si>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</si>
  <si>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</si>
  <si>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Cước viễn thông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</si>
  <si>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</si>
  <si>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</si>
  <si>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</si>
  <si>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</si>
  <si>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</si>
  <si>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</si>
  <si>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</si>
  <si>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</si>
  <si>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</si>
  <si>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</si>
  <si>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</si>
  <si>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</si>
  <si>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</si>
  <si>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</si>
  <si>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</si>
  <si>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</si>
  <si>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</si>
  <si>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</si>
  <si>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</si>
  <si>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</si>
  <si>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</si>
  <si>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</si>
  <si>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</si>
  <si>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</si>
  <si>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</si>
  <si>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</si>
  <si>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</si>
  <si>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</si>
  <si>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</si>
  <si>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</si>
  <si>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</si>
  <si>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</si>
  <si>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</si>
  <si>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</si>
  <si>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</si>
  <si>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</si>
  <si>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</si>
  <si>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</si>
  <si>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</si>
  <si>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</si>
  <si>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</si>
  <si>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</si>
  <si>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</si>
  <si>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</si>
  <si>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</si>
  <si>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</si>
  <si>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</si>
  <si>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</si>
  <si>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</si>
  <si>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</si>
  <si>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</si>
  <si>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</si>
  <si>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</si>
  <si>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</si>
  <si>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</si>
  <si>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</si>
  <si>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</si>
  <si>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</si>
  <si>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</si>
  <si>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</si>
  <si>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</si>
  <si>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</si>
  <si>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</si>
  <si>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</si>
  <si>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</si>
  <si>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</si>
  <si>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</si>
  <si>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</si>
  <si>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</si>
  <si>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</si>
  <si>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</si>
  <si>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</si>
  <si>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</si>
  <si>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</si>
  <si>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</si>
  <si>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</si>
  <si>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</si>
  <si>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</si>
  <si>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</si>
  <si>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</si>
  <si>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</si>
  <si>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</si>
  <si>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</si>
  <si>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</si>
  <si>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</si>
  <si>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</si>
  <si>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</si>
  <si>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</si>
  <si>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</si>
  <si>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</si>
  <si>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</si>
  <si>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</si>
  <si>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</si>
  <si>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</si>
  <si>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</si>
  <si>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</si>
  <si>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</si>
  <si>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</si>
  <si>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</si>
  <si>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</si>
  <si>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</si>
  <si>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</si>
  <si>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</si>
  <si>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</si>
  <si>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</si>
  <si>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</si>
  <si>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</si>
  <si>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</si>
  <si>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</si>
  <si>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</si>
  <si>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</si>
  <si>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</si>
  <si>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</si>
  <si>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</si>
  <si>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</si>
  <si>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</si>
  <si>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</si>
  <si>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</si>
  <si>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</si>
  <si>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</si>
  <si>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</si>
  <si>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</si>
  <si>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</si>
  <si>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</si>
  <si>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</si>
  <si>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</si>
  <si>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</si>
  <si>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</si>
  <si>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</si>
  <si>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</si>
  <si>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</si>
  <si>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</si>
  <si>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</si>
  <si>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</si>
  <si>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</si>
  <si>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</si>
  <si>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</si>
  <si>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</si>
  <si>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</si>
  <si>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</si>
  <si>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</si>
  <si>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</si>
  <si>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</si>
  <si>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</si>
  <si>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</si>
  <si>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</si>
  <si>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</si>
  <si>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</si>
  <si>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</si>
  <si>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</si>
  <si>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</si>
  <si>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</si>
  <si>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</si>
  <si>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</si>
  <si>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</si>
  <si>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</si>
  <si>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</si>
  <si>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</si>
  <si>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</si>
  <si>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</si>
  <si>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</si>
  <si>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</si>
  <si>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</si>
  <si>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</si>
  <si>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</si>
  <si>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</si>
  <si>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</si>
  <si>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</si>
  <si>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</si>
  <si>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</si>
  <si>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</si>
  <si>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</si>
  <si>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</si>
  <si>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</si>
  <si>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</si>
  <si>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</si>
  <si>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</si>
  <si>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</si>
  <si>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</si>
  <si>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</si>
  <si>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</si>
  <si>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</si>
  <si>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</si>
  <si>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</si>
  <si>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</si>
  <si>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</si>
  <si>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</si>
  <si>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</si>
  <si>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</si>
  <si>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</si>
  <si>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</si>
  <si>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</si>
  <si>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</si>
  <si>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</si>
  <si>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</si>
  <si>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</si>
  <si>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</si>
  <si>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</si>
  <si>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</si>
  <si>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</si>
  <si>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</si>
  <si>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</si>
  <si>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</si>
  <si>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</si>
  <si>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</si>
  <si>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</si>
  <si>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</si>
  <si>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</si>
  <si>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</si>
  <si>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</si>
  <si>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</si>
  <si>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</si>
  <si>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</si>
  <si>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</si>
  <si>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</si>
  <si>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</si>
  <si>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</si>
  <si>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</si>
  <si>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</si>
  <si>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</si>
  <si>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</si>
  <si>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</si>
  <si>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</si>
  <si>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</si>
  <si>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</si>
  <si>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</si>
  <si>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</si>
  <si>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</si>
  <si>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</si>
  <si>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</si>
  <si>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</si>
  <si>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</si>
  <si>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</si>
  <si>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</si>
  <si>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</si>
  <si>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</si>
  <si>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</si>
  <si>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</si>
  <si>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</si>
  <si>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</si>
  <si>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</si>
  <si>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</si>
  <si>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</si>
  <si>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</si>
  <si>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</si>
  <si>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</si>
  <si>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</si>
  <si>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</si>
  <si>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</si>
  <si>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</si>
  <si>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</si>
  <si>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>Đóng BHXH tháng 6/2016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</si>
  <si>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</si>
  <si>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</si>
  <si>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</si>
  <si>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</si>
  <si>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</si>
  <si>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</si>
  <si>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</si>
  <si>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</si>
  <si>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</si>
  <si>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</si>
  <si>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</si>
  <si>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</si>
  <si>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</si>
  <si>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</si>
  <si>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</si>
  <si>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</si>
  <si>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</si>
  <si>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</si>
  <si>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0027345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</si>
  <si>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</si>
  <si>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</si>
  <si>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</si>
  <si>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</si>
  <si>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</si>
  <si>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</si>
  <si>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</si>
  <si>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</si>
  <si>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</si>
  <si>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</si>
  <si>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</si>
  <si>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</si>
  <si>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</si>
  <si>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</si>
  <si>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</si>
  <si>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</si>
  <si>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</si>
  <si>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</si>
  <si>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</si>
  <si>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</si>
  <si>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</si>
  <si>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</si>
  <si>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</si>
  <si>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</si>
  <si>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</si>
  <si>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</si>
  <si>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</si>
  <si>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</si>
  <si>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</si>
  <si>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</si>
  <si>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</si>
  <si>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</si>
  <si>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</si>
  <si>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</si>
  <si>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</si>
  <si>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</si>
  <si>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</si>
  <si>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</si>
  <si>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</si>
  <si>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</si>
  <si>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</si>
  <si>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</si>
  <si>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</si>
  <si>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</si>
  <si>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</si>
  <si>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</si>
  <si>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</si>
  <si>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</si>
  <si>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</si>
  <si>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</si>
  <si>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</si>
  <si>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</si>
  <si>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</si>
  <si>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</si>
  <si>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</si>
  <si>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</si>
  <si>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</si>
  <si>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</si>
  <si>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</si>
  <si>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</si>
  <si>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</si>
  <si>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</si>
  <si>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</si>
  <si>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</si>
  <si>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</si>
  <si>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</si>
  <si>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</si>
  <si>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</si>
  <si>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</si>
  <si>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Tấm lót 80x70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</si>
  <si>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</si>
  <si>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</si>
  <si>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</si>
  <si>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</si>
  <si>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</si>
  <si>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</si>
  <si>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</si>
  <si>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</si>
  <si>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</si>
  <si>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</si>
  <si>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</si>
  <si>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</si>
  <si>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</si>
  <si>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</si>
  <si>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</si>
  <si>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</si>
  <si>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</si>
  <si>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</si>
  <si>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</si>
  <si>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</si>
  <si>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</si>
  <si>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</si>
  <si>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</si>
  <si>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</si>
  <si>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</si>
  <si>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</si>
  <si>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</si>
  <si>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</si>
  <si>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</si>
  <si>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</si>
  <si>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</si>
  <si>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</si>
  <si>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</si>
  <si>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</si>
  <si>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</si>
  <si>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</si>
  <si>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</si>
  <si>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</si>
  <si>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</si>
  <si>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</si>
  <si>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</si>
  <si>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</si>
  <si>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</si>
  <si>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</si>
  <si>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</si>
  <si>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</si>
  <si>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</si>
  <si>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</si>
  <si>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</si>
  <si>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</si>
  <si>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</si>
  <si>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</si>
  <si>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</si>
  <si>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</si>
  <si>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</si>
  <si>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</si>
  <si>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</si>
  <si>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</si>
  <si>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</si>
  <si>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</si>
  <si>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</si>
  <si>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</si>
  <si>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</si>
  <si>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</si>
  <si>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</si>
  <si>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</si>
  <si>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</si>
  <si>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</si>
  <si>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</si>
  <si>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</si>
  <si>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</si>
  <si>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</si>
  <si>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</si>
  <si>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</si>
  <si>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</si>
  <si>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</si>
  <si>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</si>
  <si>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</si>
  <si>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</si>
  <si>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</si>
  <si>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</si>
  <si>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</si>
  <si>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</si>
  <si>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</si>
  <si>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</si>
  <si>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</si>
  <si>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</si>
  <si>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</si>
  <si>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</si>
  <si>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</si>
  <si>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</si>
  <si>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</si>
  <si>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</si>
  <si>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</si>
  <si>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</si>
  <si>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</si>
  <si>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</si>
  <si>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</si>
  <si>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</si>
  <si>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</si>
  <si>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</si>
  <si>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</si>
  <si>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</si>
  <si>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</si>
  <si>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</si>
  <si>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</si>
  <si>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</si>
  <si>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</si>
  <si>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</si>
  <si>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</si>
  <si>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</si>
  <si>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</si>
  <si>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</si>
  <si>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</si>
  <si>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</si>
  <si>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</si>
  <si>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</si>
  <si>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</si>
  <si>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</si>
  <si>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</si>
  <si>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</si>
  <si>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</si>
  <si>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</si>
  <si>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</si>
  <si>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</si>
  <si>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</si>
  <si>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</si>
  <si>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</si>
  <si>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</si>
  <si>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</si>
  <si>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</si>
  <si>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</si>
  <si>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</si>
  <si>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</si>
  <si>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</si>
  <si>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</si>
  <si>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</si>
  <si>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</si>
  <si>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</si>
  <si>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</si>
  <si>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</si>
  <si>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</si>
  <si>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</si>
  <si>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</si>
  <si>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</si>
  <si>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</si>
  <si>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</si>
  <si>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</si>
  <si>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</si>
  <si>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</si>
  <si>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</si>
  <si>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</si>
  <si>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</si>
  <si>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</si>
  <si>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</si>
  <si>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</si>
  <si>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</si>
  <si>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</si>
  <si>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</si>
  <si>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</si>
  <si>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</si>
  <si>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</si>
  <si>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</si>
  <si>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</si>
  <si>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</si>
  <si>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</si>
  <si>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</si>
  <si>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</si>
  <si>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</si>
  <si>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</si>
  <si>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</si>
  <si>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</si>
  <si>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</si>
  <si>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</si>
  <si>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</si>
  <si>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</si>
  <si>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</si>
  <si>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</si>
  <si>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</si>
  <si>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</si>
  <si>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</si>
  <si>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</si>
  <si>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</si>
  <si>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</si>
  <si>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</si>
  <si>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</si>
  <si>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</si>
  <si>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</si>
  <si>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</si>
  <si>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</si>
  <si>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</si>
  <si>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</si>
  <si>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</si>
  <si>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</si>
  <si>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</si>
  <si>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</si>
  <si>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</si>
  <si>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</si>
  <si>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</si>
  <si>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</si>
  <si>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</si>
  <si>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</si>
  <si>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</si>
  <si>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</si>
  <si>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</si>
  <si>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</si>
  <si>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</si>
  <si>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</si>
  <si>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</si>
  <si>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</si>
  <si>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</si>
  <si>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</si>
  <si>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</si>
  <si>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</si>
  <si>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</si>
  <si>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</si>
  <si>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</si>
  <si>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</si>
  <si>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</si>
  <si>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</si>
  <si>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</si>
  <si>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</si>
  <si>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</si>
  <si>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</si>
  <si>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</si>
  <si>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</si>
  <si>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</si>
  <si>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</si>
  <si>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</si>
  <si>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</si>
  <si>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</si>
  <si>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Cty TNHH TM EA Việt Nam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</si>
  <si>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</si>
  <si>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</si>
  <si>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</si>
  <si>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</si>
  <si>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</si>
  <si>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</si>
  <si>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</si>
  <si>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</si>
  <si>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</si>
  <si>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</si>
  <si>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</si>
  <si>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</si>
  <si>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</si>
  <si>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</si>
  <si>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</si>
  <si>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</si>
  <si>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</si>
  <si>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</si>
  <si>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</si>
  <si>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</si>
  <si>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</si>
  <si>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</si>
  <si>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</si>
  <si>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</si>
  <si>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</si>
  <si>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</si>
  <si>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</si>
  <si>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Giấy đai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</si>
  <si>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</si>
  <si>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</si>
  <si>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</si>
  <si>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</si>
  <si>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</si>
  <si>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</si>
  <si>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</si>
  <si>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</si>
  <si>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</si>
  <si>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</si>
  <si>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</si>
  <si>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</si>
  <si>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</si>
  <si>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</si>
  <si>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</si>
  <si>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</si>
  <si>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</si>
  <si>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</si>
  <si>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</si>
  <si>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</si>
  <si>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</si>
  <si>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</si>
  <si>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</si>
  <si>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</si>
  <si>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</si>
  <si>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</si>
  <si>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</si>
  <si>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</si>
  <si>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</si>
  <si>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</si>
  <si>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</si>
  <si>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</si>
  <si>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</si>
  <si>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</si>
  <si>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</si>
  <si>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</si>
  <si>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</si>
  <si>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</si>
  <si>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</si>
  <si>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</si>
  <si>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</si>
  <si>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</si>
  <si>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</si>
  <si>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</si>
  <si>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</si>
  <si>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</si>
  <si>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</si>
  <si>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</si>
  <si>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</si>
  <si>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</si>
  <si>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</si>
  <si>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</si>
  <si>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</si>
  <si>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</si>
  <si>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</si>
  <si>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</si>
  <si>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</si>
  <si>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</si>
  <si>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</si>
  <si>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</si>
  <si>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</si>
  <si>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</si>
  <si>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</si>
  <si>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</si>
  <si>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</si>
  <si>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</si>
  <si>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</si>
  <si>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</si>
  <si>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</si>
  <si>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</si>
  <si>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</si>
  <si>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</si>
  <si>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Cty TNHH SXTM Kim Dung Phát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</si>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</sst>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4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4" fillId="0" borderId="0" xfId="29" applyNumberFormat="1" applyFont="1"/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64" fontId="94" fillId="0" borderId="16" xfId="90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21" xfId="0" applyFont="1" applyBorder="1" applyAlignment="1">
      <alignment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4" fontId="94" fillId="0" borderId="16" xfId="29" applyNumberFormat="1" applyFont="1" applyBorder="1" applyAlignment="1">
      <alignment horizontal="center" vertical="center"/>
    </xf>
    <xf numFmtId="0" fontId="34" fillId="0" borderId="0" xfId="77" applyFont="1" applyAlignment="1">
      <alignment horizont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0" xfId="29" applyNumberFormat="1" applyFont="1" applyAlignment="1">
      <alignment horizontal="center"/>
    </xf>
    <xf numFmtId="0" fontId="34" fillId="0" borderId="0" xfId="77" applyFont="1" applyAlignment="1">
      <alignment horizontal="center"/>
    </xf>
    <xf numFmtId="164" fontId="34" fillId="0" borderId="0" xfId="29" applyNumberFormat="1" applyFont="1" applyAlignment="1">
      <alignment horizontal="center"/>
    </xf>
    <xf numFmtId="0" fontId="94" fillId="0" borderId="16" xfId="0" applyFont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39" xfId="90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applyNumberFormat="1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vertical="center"/>
    </xf>
    <xf numFmtId="164" fontId="43" fillId="0" borderId="16" xfId="76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64" fontId="43" fillId="0" borderId="21" xfId="90" applyNumberFormat="1" applyFont="1" applyFill="1" applyBorder="1" applyAlignment="1">
      <alignment horizontal="left" vertical="center"/>
    </xf>
    <xf numFmtId="164" fontId="34" fillId="0" borderId="0" xfId="77" applyNumberFormat="1" applyFont="1"/>
    <xf numFmtId="0" fontId="34" fillId="0" borderId="12" xfId="0" applyFont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14" fontId="96" fillId="0" borderId="16" xfId="54" applyNumberFormat="1" applyFont="1" applyFill="1" applyBorder="1" applyAlignment="1">
      <alignment horizontal="center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90" quotePrefix="1" applyNumberFormat="1" applyFont="1" applyFill="1" applyBorder="1" applyAlignment="1">
      <alignment horizontal="center" vertical="center"/>
    </xf>
    <xf numFmtId="49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0" fontId="96" fillId="0" borderId="0" xfId="76" quotePrefix="1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73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76" applyNumberFormat="1" applyFont="1" applyFill="1" applyBorder="1" applyAlignment="1">
      <alignment horizontal="left" vertical="center"/>
    </xf>
    <xf numFmtId="0" fontId="94" fillId="0" borderId="21" xfId="97" applyFont="1" applyBorder="1" applyAlignment="1">
      <alignment vertical="center"/>
    </xf>
    <xf numFmtId="164" fontId="94" fillId="0" borderId="21" xfId="29" applyNumberFormat="1" applyFont="1" applyBorder="1" applyAlignment="1">
      <alignment vertical="center"/>
    </xf>
    <xf numFmtId="164" fontId="94" fillId="0" borderId="21" xfId="29" applyNumberFormat="1" applyFont="1" applyFill="1" applyBorder="1" applyAlignment="1">
      <alignment vertical="center"/>
    </xf>
    <xf numFmtId="164" fontId="94" fillId="0" borderId="16" xfId="29" applyNumberFormat="1" applyFont="1" applyFill="1" applyBorder="1" applyAlignment="1">
      <alignment vertical="center"/>
    </xf>
    <xf numFmtId="164" fontId="94" fillId="0" borderId="0" xfId="29" applyNumberFormat="1" applyFont="1" applyFill="1" applyBorder="1" applyAlignment="1">
      <alignment horizontal="left" vertical="center"/>
    </xf>
    <xf numFmtId="43" fontId="94" fillId="0" borderId="0" xfId="29" applyFont="1" applyFill="1" applyBorder="1" applyAlignment="1">
      <alignment horizontal="left" vertical="center"/>
    </xf>
    <xf numFmtId="0" fontId="94" fillId="0" borderId="39" xfId="93" applyFont="1" applyBorder="1" applyAlignment="1">
      <alignment vertical="center"/>
    </xf>
    <xf numFmtId="14" fontId="94" fillId="0" borderId="21" xfId="29" applyNumberFormat="1" applyFont="1" applyBorder="1" applyAlignment="1">
      <alignment horizontal="center" vertical="center"/>
    </xf>
    <xf numFmtId="173" fontId="94" fillId="0" borderId="39" xfId="29" applyNumberFormat="1" applyFont="1" applyBorder="1" applyAlignment="1">
      <alignment horizontal="center" vertical="center"/>
    </xf>
    <xf numFmtId="164" fontId="94" fillId="0" borderId="39" xfId="29" applyNumberFormat="1" applyFont="1" applyBorder="1" applyAlignment="1">
      <alignment horizontal="center" vertical="center"/>
    </xf>
    <xf numFmtId="164" fontId="94" fillId="0" borderId="16" xfId="29" applyNumberFormat="1" applyFont="1" applyBorder="1" applyAlignment="1">
      <alignment vertical="center"/>
    </xf>
    <xf numFmtId="0" fontId="94" fillId="0" borderId="0" xfId="98" applyFont="1" applyAlignment="1">
      <alignment vertical="center"/>
    </xf>
    <xf numFmtId="0" fontId="96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6" fillId="0" borderId="16" xfId="29" applyNumberFormat="1" applyFont="1" applyFill="1" applyBorder="1" applyAlignment="1">
      <alignment vertical="center"/>
    </xf>
    <xf numFmtId="0" fontId="43" fillId="0" borderId="16" xfId="93" applyFont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4" fontId="96" fillId="0" borderId="16" xfId="76" applyNumberFormat="1" applyFont="1" applyFill="1" applyBorder="1" applyAlignment="1">
      <alignment horizontal="center" vertical="center"/>
    </xf>
    <xf numFmtId="164" fontId="96" fillId="0" borderId="16" xfId="76" quotePrefix="1" applyNumberFormat="1" applyFont="1" applyFill="1" applyBorder="1" applyAlignment="1">
      <alignment horizontal="center" vertical="center"/>
    </xf>
    <xf numFmtId="14" fontId="96" fillId="0" borderId="16" xfId="29" applyNumberFormat="1" applyFont="1" applyBorder="1" applyAlignment="1">
      <alignment horizontal="center" vertical="center"/>
    </xf>
    <xf numFmtId="164" fontId="96" fillId="0" borderId="16" xfId="76" applyNumberFormat="1" applyFont="1" applyFill="1" applyBorder="1" applyAlignment="1">
      <alignment horizontal="center" vertical="center"/>
    </xf>
    <xf numFmtId="0" fontId="96" fillId="0" borderId="16" xfId="93" applyFont="1" applyBorder="1" applyAlignment="1">
      <alignment vertical="center"/>
    </xf>
    <xf numFmtId="0" fontId="93" fillId="0" borderId="0" xfId="0" applyFont="1" applyFill="1"/>
    <xf numFmtId="0" fontId="43" fillId="0" borderId="16" xfId="97" applyFont="1" applyBorder="1" applyAlignment="1">
      <alignment vertical="center"/>
    </xf>
    <xf numFmtId="164" fontId="43" fillId="0" borderId="16" xfId="29" applyNumberFormat="1" applyFont="1" applyFill="1" applyBorder="1" applyAlignment="1">
      <alignment horizontal="center" vertical="center"/>
    </xf>
    <xf numFmtId="164" fontId="43" fillId="0" borderId="0" xfId="29" applyNumberFormat="1" applyFont="1" applyFill="1" applyBorder="1" applyAlignment="1">
      <alignment horizontal="left" vertical="center"/>
    </xf>
    <xf numFmtId="173" fontId="43" fillId="0" borderId="16" xfId="29" applyNumberFormat="1" applyFont="1" applyFill="1" applyBorder="1" applyAlignment="1">
      <alignment horizontal="left" vertical="center"/>
    </xf>
    <xf numFmtId="0" fontId="43" fillId="0" borderId="0" xfId="98" applyFont="1" applyAlignment="1">
      <alignment vertical="center"/>
    </xf>
    <xf numFmtId="0" fontId="96" fillId="0" borderId="0" xfId="77" applyFont="1"/>
    <xf numFmtId="164" fontId="96" fillId="0" borderId="16" xfId="54" quotePrefix="1" applyNumberFormat="1" applyFont="1" applyFill="1" applyBorder="1" applyAlignment="1">
      <alignment horizontal="center"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6" fillId="0" borderId="16" xfId="54" quotePrefix="1" applyNumberFormat="1" applyFont="1" applyFill="1" applyBorder="1" applyAlignment="1">
      <alignment horizontal="center" vertical="center"/>
    </xf>
    <xf numFmtId="1" fontId="96" fillId="0" borderId="16" xfId="54" applyNumberFormat="1" applyFont="1" applyFill="1" applyBorder="1" applyAlignment="1">
      <alignment horizontal="center" vertical="center"/>
    </xf>
    <xf numFmtId="164" fontId="34" fillId="0" borderId="0" xfId="0" applyNumberFormat="1" applyFont="1" applyAlignment="1">
      <alignment vertical="center"/>
    </xf>
    <xf numFmtId="164" fontId="94" fillId="0" borderId="0" xfId="29" applyNumberFormat="1" applyFont="1" applyFill="1"/>
    <xf numFmtId="164" fontId="94" fillId="0" borderId="16" xfId="76" quotePrefix="1" applyNumberFormat="1" applyFont="1" applyFill="1" applyBorder="1" applyAlignment="1">
      <alignment horizontal="center"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0" fontId="94" fillId="0" borderId="16" xfId="76" quotePrefix="1" applyNumberFormat="1" applyFont="1" applyFill="1" applyBorder="1" applyAlignment="1">
      <alignment horizontal="center" vertical="center"/>
    </xf>
    <xf numFmtId="164" fontId="0" fillId="0" borderId="0" xfId="0" applyNumberFormat="1"/>
    <xf numFmtId="164" fontId="94" fillId="0" borderId="21" xfId="76" applyNumberFormat="1" applyFont="1" applyFill="1" applyBorder="1" applyAlignment="1">
      <alignment horizontal="left" vertical="center"/>
    </xf>
    <xf numFmtId="164" fontId="33" fillId="0" borderId="0" xfId="97" applyNumberFormat="1" applyFont="1"/>
    <xf numFmtId="164" fontId="94" fillId="0" borderId="16" xfId="54" applyNumberFormat="1" applyFont="1" applyFill="1" applyBorder="1" applyAlignment="1">
      <alignment horizontal="left" vertical="center"/>
    </xf>
    <xf numFmtId="164" fontId="94" fillId="0" borderId="16" xfId="76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90" applyNumberFormat="1" applyFont="1" applyFill="1" applyBorder="1" applyAlignment="1">
      <alignment horizontal="left" vertical="center"/>
    </xf>
    <xf numFmtId="173" fontId="94" fillId="0" borderId="21" xfId="29" applyNumberFormat="1" applyFont="1" applyBorder="1" applyAlignment="1">
      <alignment horizontal="center" vertical="center"/>
    </xf>
    <xf numFmtId="164" fontId="94" fillId="0" borderId="21" xfId="29" applyNumberFormat="1" applyFont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164" fontId="34" fillId="0" borderId="0" xfId="29" applyNumberFormat="1" applyFont="1" applyAlignment="1">
      <alignment horizontal="center"/>
    </xf>
    <xf numFmtId="164" fontId="72" fillId="0" borderId="0" xfId="29" applyNumberFormat="1" applyFont="1" applyAlignment="1">
      <alignment horizontal="center" vertical="center"/>
    </xf>
    <xf numFmtId="164" fontId="22" fillId="0" borderId="0" xfId="29" applyNumberFormat="1" applyFont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6"/>
  <sheetViews>
    <sheetView tabSelected="1" topLeftCell="A6" workbookViewId="0">
      <pane ySplit="4" topLeftCell="A10" activePane="bottomLeft" state="frozen"/>
      <selection activeCell="A6" sqref="A6"/>
      <selection pane="bottomLeft" activeCell="C15" sqref="C15"/>
    </sheetView>
  </sheetViews>
  <sheetFormatPr defaultColWidth="8" defaultRowHeight="12.75"/>
  <cols>
    <col min="1" max="1" width="5.7109375" style="619" customWidth="1"/>
    <col min="2" max="2" width="36.85546875" style="619" customWidth="1"/>
    <col min="3" max="4" width="14.7109375" style="161" customWidth="1"/>
    <col min="5" max="6" width="14.7109375" style="619" customWidth="1"/>
    <col min="7" max="8" width="13.85546875" style="619" customWidth="1"/>
    <col min="9" max="9" width="2.42578125" style="619" customWidth="1"/>
    <col min="10" max="10" width="11" style="619" customWidth="1"/>
    <col min="11" max="11" width="2.85546875" style="619" customWidth="1"/>
    <col min="12" max="12" width="11.85546875" style="619" customWidth="1"/>
    <col min="13" max="16384" width="8" style="619"/>
  </cols>
  <sheetData>
    <row r="1" spans="1:16">
      <c r="A1" s="618"/>
      <c r="B1" s="618"/>
    </row>
    <row r="2" spans="1:16">
      <c r="A2" s="618" t="str">
        <f>TH!A1</f>
        <v>Đơn vị: CÔNG TY TNHH MỘT THÀNH VIÊN KHỞI NGUYÊN AN</v>
      </c>
      <c r="B2" s="618"/>
    </row>
    <row r="3" spans="1:16">
      <c r="A3" s="619" t="str">
        <f>TH!A2</f>
        <v>Địa chỉ: Thửa đất số 144, tờ bản đồ số 12TĐH.1, tổ 1, khu phố Đông Tác, Phường Tân Đông Hiệp, Thị Xã Dĩ An, Tỉnh Bình Dương, Việt Nam</v>
      </c>
      <c r="B3" s="618"/>
    </row>
    <row r="5" spans="1:16" ht="36" customHeight="1">
      <c r="A5" s="620"/>
      <c r="B5" s="620"/>
      <c r="C5" s="621"/>
      <c r="D5" s="622" t="s">
        <v>337</v>
      </c>
      <c r="E5" s="620"/>
      <c r="F5" s="620"/>
      <c r="G5" s="620"/>
      <c r="H5" s="620"/>
    </row>
    <row r="6" spans="1:16" ht="15.75">
      <c r="A6" s="620"/>
      <c r="B6" s="620"/>
      <c r="C6" s="621"/>
      <c r="D6" s="640" t="s">
        <v>419</v>
      </c>
      <c r="E6" s="620"/>
      <c r="F6" s="620"/>
      <c r="G6" s="620"/>
      <c r="H6" s="620"/>
    </row>
    <row r="7" spans="1:16" ht="6.75" customHeight="1"/>
    <row r="8" spans="1:16" ht="21.75" customHeight="1">
      <c r="A8" s="945" t="s">
        <v>402</v>
      </c>
      <c r="B8" s="945" t="s">
        <v>335</v>
      </c>
      <c r="C8" s="941" t="s">
        <v>37</v>
      </c>
      <c r="D8" s="942"/>
      <c r="E8" s="941" t="s">
        <v>38</v>
      </c>
      <c r="F8" s="942"/>
      <c r="G8" s="941" t="s">
        <v>336</v>
      </c>
      <c r="H8" s="942"/>
    </row>
    <row r="9" spans="1:16" ht="21.75" customHeight="1">
      <c r="A9" s="946"/>
      <c r="B9" s="946"/>
      <c r="C9" s="617" t="s">
        <v>42</v>
      </c>
      <c r="D9" s="617" t="s">
        <v>43</v>
      </c>
      <c r="E9" s="617" t="s">
        <v>42</v>
      </c>
      <c r="F9" s="617" t="s">
        <v>43</v>
      </c>
      <c r="G9" s="617" t="s">
        <v>42</v>
      </c>
      <c r="H9" s="617" t="s">
        <v>43</v>
      </c>
    </row>
    <row r="10" spans="1:16" s="161" customFormat="1" ht="17.25" customHeight="1">
      <c r="A10" s="623" t="s">
        <v>47</v>
      </c>
      <c r="B10" s="624" t="s">
        <v>48</v>
      </c>
      <c r="C10" s="625">
        <v>2381323503</v>
      </c>
      <c r="D10" s="625"/>
      <c r="E10" s="625">
        <f t="array" ref="E10">SUM(IF(A10=KHN,TH))</f>
        <v>2957936900</v>
      </c>
      <c r="F10" s="625">
        <f t="array" ref="F10">SUM(IF(A10=KHC,TH))</f>
        <v>2136888079</v>
      </c>
      <c r="G10" s="626">
        <f>MAX(C10+E10-D10-F10,0)</f>
        <v>3202372324</v>
      </c>
      <c r="H10" s="626">
        <f>MAX(D10+F10-E10-C10,0)</f>
        <v>0</v>
      </c>
      <c r="J10" s="619"/>
      <c r="K10" s="619"/>
      <c r="L10" s="619"/>
      <c r="M10" s="619"/>
      <c r="N10" s="619"/>
      <c r="O10" s="619"/>
      <c r="P10" s="619"/>
    </row>
    <row r="11" spans="1:16" s="161" customFormat="1" ht="17.25" customHeight="1">
      <c r="A11" s="628" t="s">
        <v>16</v>
      </c>
      <c r="B11" s="628" t="s">
        <v>49</v>
      </c>
      <c r="C11" s="629">
        <f>C10</f>
        <v>2381323503</v>
      </c>
      <c r="D11" s="629">
        <v>0</v>
      </c>
      <c r="E11" s="629">
        <f t="shared" ref="E11:H11" si="0">E10</f>
        <v>2957936900</v>
      </c>
      <c r="F11" s="629">
        <f t="shared" si="0"/>
        <v>2136888079</v>
      </c>
      <c r="G11" s="629">
        <f t="shared" si="0"/>
        <v>3202372324</v>
      </c>
      <c r="H11" s="629">
        <f t="shared" si="0"/>
        <v>0</v>
      </c>
      <c r="J11" s="619"/>
      <c r="K11" s="619"/>
      <c r="L11" s="619"/>
      <c r="M11" s="619"/>
      <c r="N11" s="619"/>
      <c r="O11" s="619"/>
      <c r="P11" s="619"/>
    </row>
    <row r="12" spans="1:16" s="161" customFormat="1" ht="17.25" customHeight="1">
      <c r="A12" s="624" t="s">
        <v>24</v>
      </c>
      <c r="B12" s="624" t="s">
        <v>50</v>
      </c>
      <c r="C12" s="625">
        <v>1087724</v>
      </c>
      <c r="D12" s="625">
        <v>0</v>
      </c>
      <c r="E12" s="625">
        <f t="array" ref="E12">SUM(IF(A12=KHN,TH))</f>
        <v>5048168241</v>
      </c>
      <c r="F12" s="625">
        <f t="array" ref="F12">SUM(IF(A12=KHC,TH))</f>
        <v>5048224868</v>
      </c>
      <c r="G12" s="626">
        <f>MAX(C12+E12-D12-F12,0)</f>
        <v>1031097</v>
      </c>
      <c r="H12" s="626">
        <f>MAX(D12+F12-E12-C12,0)</f>
        <v>0</v>
      </c>
      <c r="K12" s="627"/>
      <c r="L12" s="627"/>
      <c r="M12" s="627"/>
    </row>
    <row r="13" spans="1:16" s="161" customFormat="1" ht="17.25" customHeight="1">
      <c r="A13" s="628" t="s">
        <v>51</v>
      </c>
      <c r="B13" s="628" t="s">
        <v>52</v>
      </c>
      <c r="C13" s="629">
        <f>C12</f>
        <v>1087724</v>
      </c>
      <c r="D13" s="629">
        <v>0</v>
      </c>
      <c r="E13" s="629">
        <f t="shared" ref="E13:H13" si="1">E12</f>
        <v>5048168241</v>
      </c>
      <c r="F13" s="629">
        <f t="shared" si="1"/>
        <v>5048224868</v>
      </c>
      <c r="G13" s="629">
        <f t="shared" si="1"/>
        <v>1031097</v>
      </c>
      <c r="H13" s="629">
        <f t="shared" si="1"/>
        <v>0</v>
      </c>
    </row>
    <row r="14" spans="1:16" s="161" customFormat="1" ht="17.25" customHeight="1">
      <c r="A14" s="628" t="s">
        <v>251</v>
      </c>
      <c r="B14" s="628" t="s">
        <v>259</v>
      </c>
      <c r="C14" s="629">
        <v>510977187</v>
      </c>
      <c r="D14" s="629"/>
      <c r="E14" s="630">
        <f t="array" ref="E14">SUM(IF(A14=KHN,TH))</f>
        <v>4745168745.5</v>
      </c>
      <c r="F14" s="630">
        <f t="array" ref="F14">SUM(IF(A14=KHC,TH))</f>
        <v>3096059972</v>
      </c>
      <c r="G14" s="629">
        <f>MAX(C14+E14-D14-F14,0)</f>
        <v>2160085960.5</v>
      </c>
      <c r="H14" s="629">
        <f>MAX(D14+F14-E14-C14,0)</f>
        <v>0</v>
      </c>
    </row>
    <row r="15" spans="1:16" s="161" customFormat="1" ht="17.25" customHeight="1">
      <c r="A15" s="624" t="s">
        <v>9</v>
      </c>
      <c r="B15" s="624" t="s">
        <v>53</v>
      </c>
      <c r="C15" s="625">
        <v>3168387</v>
      </c>
      <c r="D15" s="625"/>
      <c r="E15" s="625">
        <f t="array" ref="E15">SUM(IF(A15=KHN,TH))</f>
        <v>427713297</v>
      </c>
      <c r="F15" s="625">
        <f t="array" ref="F15">SUM(IF(A15=KHC,TH))</f>
        <v>438599519.49999994</v>
      </c>
      <c r="G15" s="626">
        <f>MAX(C15+E15-D15-F15,0)</f>
        <v>0</v>
      </c>
      <c r="H15" s="626">
        <f>MAX(D15+F15-E15-C15,0)</f>
        <v>7717835.4999999404</v>
      </c>
    </row>
    <row r="16" spans="1:16" s="161" customFormat="1" ht="17.25" customHeight="1">
      <c r="A16" s="628" t="s">
        <v>54</v>
      </c>
      <c r="B16" s="628" t="s">
        <v>55</v>
      </c>
      <c r="C16" s="629">
        <f>C15</f>
        <v>3168387</v>
      </c>
      <c r="D16" s="629">
        <v>0</v>
      </c>
      <c r="E16" s="629">
        <f t="shared" ref="E16:H16" si="2">E15</f>
        <v>427713297</v>
      </c>
      <c r="F16" s="629">
        <f t="shared" si="2"/>
        <v>438599519.49999994</v>
      </c>
      <c r="G16" s="629">
        <f t="shared" si="2"/>
        <v>0</v>
      </c>
      <c r="H16" s="629">
        <f t="shared" si="2"/>
        <v>7717835.4999999404</v>
      </c>
    </row>
    <row r="17" spans="1:8" s="161" customFormat="1" ht="17.25" customHeight="1">
      <c r="A17" s="624" t="s">
        <v>56</v>
      </c>
      <c r="B17" s="624" t="s">
        <v>57</v>
      </c>
      <c r="C17" s="625"/>
      <c r="D17" s="625"/>
      <c r="E17" s="625">
        <f t="array" ref="E17">SUM(IF(A17=KHN,TH))</f>
        <v>0</v>
      </c>
      <c r="F17" s="625">
        <f t="array" ref="F17">SUM(IF(A17=KHC,TH))</f>
        <v>0</v>
      </c>
      <c r="G17" s="626">
        <f t="shared" ref="G17:G25" si="3">MAX(C17+E17-D17-F17,0)</f>
        <v>0</v>
      </c>
      <c r="H17" s="626">
        <f t="shared" ref="H17:H25" si="4">MAX(D17+F17-E17-C17,0)</f>
        <v>0</v>
      </c>
    </row>
    <row r="18" spans="1:8" s="161" customFormat="1" ht="17.25" customHeight="1">
      <c r="A18" s="628" t="s">
        <v>58</v>
      </c>
      <c r="B18" s="628" t="s">
        <v>59</v>
      </c>
      <c r="C18" s="629">
        <v>0</v>
      </c>
      <c r="D18" s="629">
        <v>0</v>
      </c>
      <c r="E18" s="629">
        <f>E17</f>
        <v>0</v>
      </c>
      <c r="F18" s="629">
        <f>F17</f>
        <v>0</v>
      </c>
      <c r="G18" s="629">
        <f t="shared" si="3"/>
        <v>0</v>
      </c>
      <c r="H18" s="629">
        <f t="shared" si="4"/>
        <v>0</v>
      </c>
    </row>
    <row r="19" spans="1:8" s="161" customFormat="1" ht="17.25" customHeight="1">
      <c r="A19" s="628" t="s">
        <v>160</v>
      </c>
      <c r="B19" s="628" t="s">
        <v>161</v>
      </c>
      <c r="C19" s="629"/>
      <c r="D19" s="629">
        <v>0</v>
      </c>
      <c r="E19" s="630">
        <f t="array" ref="E19">SUM(IF(A19=KHN,TH))</f>
        <v>1786555429</v>
      </c>
      <c r="F19" s="630">
        <f t="array" ref="F19">SUM(IF(A19=KHC,TH))</f>
        <v>1786555429</v>
      </c>
      <c r="G19" s="629">
        <f t="shared" si="3"/>
        <v>0</v>
      </c>
      <c r="H19" s="629">
        <f t="shared" si="4"/>
        <v>0</v>
      </c>
    </row>
    <row r="20" spans="1:8" s="161" customFormat="1" ht="17.25" customHeight="1">
      <c r="A20" s="631" t="s">
        <v>857</v>
      </c>
      <c r="B20" s="628" t="s">
        <v>858</v>
      </c>
      <c r="C20" s="629">
        <v>406645868</v>
      </c>
      <c r="D20" s="629"/>
      <c r="E20" s="630">
        <f t="array" ref="E20">SUM(IF(A20=KHN,TH))</f>
        <v>6010442865</v>
      </c>
      <c r="F20" s="630">
        <f t="array" ref="F20">SUM(IF(A20=KHC,TH))</f>
        <v>5968329614</v>
      </c>
      <c r="G20" s="629">
        <f t="shared" si="3"/>
        <v>448759119</v>
      </c>
      <c r="H20" s="629">
        <f t="shared" si="4"/>
        <v>0</v>
      </c>
    </row>
    <row r="21" spans="1:8" s="161" customFormat="1" ht="17.25" customHeight="1">
      <c r="A21" s="628" t="s">
        <v>8</v>
      </c>
      <c r="B21" s="628" t="s">
        <v>60</v>
      </c>
      <c r="C21" s="629"/>
      <c r="D21" s="629">
        <v>791241947</v>
      </c>
      <c r="E21" s="630">
        <f t="array" ref="E21">SUM(IF(A21=KHN,TH))</f>
        <v>2158609467</v>
      </c>
      <c r="F21" s="630">
        <f t="array" ref="F21">SUM(IF(A21=KHC,TH))</f>
        <v>4646276184</v>
      </c>
      <c r="G21" s="629">
        <f t="shared" si="3"/>
        <v>0</v>
      </c>
      <c r="H21" s="629">
        <f t="shared" si="4"/>
        <v>3278908664</v>
      </c>
    </row>
    <row r="22" spans="1:8" s="161" customFormat="1" ht="17.25" customHeight="1">
      <c r="A22" s="632" t="s">
        <v>354</v>
      </c>
      <c r="B22" s="624" t="s">
        <v>353</v>
      </c>
      <c r="C22" s="625"/>
      <c r="D22" s="625"/>
      <c r="E22" s="625">
        <f t="array" ref="E22">SUM(IF(A22=KHN,TH))</f>
        <v>438599519.49999994</v>
      </c>
      <c r="F22" s="625">
        <f t="array" ref="F22">SUM(IF(A22=KHC,TH))</f>
        <v>438599519.49999994</v>
      </c>
      <c r="G22" s="625">
        <f t="shared" ref="G22" si="5">MAX(C22+E22-D22-F22,0)</f>
        <v>0</v>
      </c>
      <c r="H22" s="625">
        <f t="shared" ref="H22" si="6">MAX(D22+F22-E22-C22,0)</f>
        <v>0</v>
      </c>
    </row>
    <row r="23" spans="1:8" s="161" customFormat="1" ht="17.25" customHeight="1">
      <c r="A23" s="624" t="s">
        <v>61</v>
      </c>
      <c r="B23" s="624" t="s">
        <v>62</v>
      </c>
      <c r="C23" s="625"/>
      <c r="D23" s="625">
        <v>1409132</v>
      </c>
      <c r="E23" s="625">
        <f t="array" ref="E23">SUM(IF(A23=KHN,TH))</f>
        <v>1409132</v>
      </c>
      <c r="F23" s="625">
        <f t="array" ref="F23">SUM(IF(A23=KHC,TH))</f>
        <v>0</v>
      </c>
      <c r="G23" s="625">
        <f t="shared" si="3"/>
        <v>0</v>
      </c>
      <c r="H23" s="625">
        <f t="shared" si="4"/>
        <v>0</v>
      </c>
    </row>
    <row r="24" spans="1:8" s="161" customFormat="1" ht="17.25" customHeight="1">
      <c r="A24" s="624" t="s">
        <v>257</v>
      </c>
      <c r="B24" s="624" t="s">
        <v>258</v>
      </c>
      <c r="C24" s="625"/>
      <c r="D24" s="625"/>
      <c r="E24" s="625">
        <f t="array" ref="E24">SUM(IF(A24=KHN,TH))</f>
        <v>0</v>
      </c>
      <c r="F24" s="625">
        <f t="array" ref="F24">SUM(IF(A24=KHC,TH))</f>
        <v>0</v>
      </c>
      <c r="G24" s="625">
        <f t="shared" si="3"/>
        <v>0</v>
      </c>
      <c r="H24" s="625">
        <f t="shared" si="4"/>
        <v>0</v>
      </c>
    </row>
    <row r="25" spans="1:8" s="161" customFormat="1" ht="17.25" customHeight="1">
      <c r="A25" s="632" t="s">
        <v>63</v>
      </c>
      <c r="B25" s="633" t="s">
        <v>64</v>
      </c>
      <c r="C25" s="634"/>
      <c r="D25" s="634"/>
      <c r="E25" s="634">
        <f t="array" ref="E25">SUM(IF(A25=KHN,TH))</f>
        <v>1500000</v>
      </c>
      <c r="F25" s="634">
        <f t="array" ref="F25">SUM(IF(A25=KHC,TH))</f>
        <v>1500000</v>
      </c>
      <c r="G25" s="634">
        <f t="shared" si="3"/>
        <v>0</v>
      </c>
      <c r="H25" s="634">
        <f t="shared" si="4"/>
        <v>0</v>
      </c>
    </row>
    <row r="26" spans="1:8" s="161" customFormat="1" ht="17.25" customHeight="1">
      <c r="A26" s="624" t="s">
        <v>18</v>
      </c>
      <c r="B26" s="624" t="s">
        <v>65</v>
      </c>
      <c r="C26" s="625"/>
      <c r="D26" s="625">
        <v>0</v>
      </c>
      <c r="E26" s="625">
        <f t="shared" ref="E26:H26" si="7">E25</f>
        <v>1500000</v>
      </c>
      <c r="F26" s="625">
        <f t="shared" si="7"/>
        <v>1500000</v>
      </c>
      <c r="G26" s="625">
        <f t="shared" si="7"/>
        <v>0</v>
      </c>
      <c r="H26" s="625">
        <f t="shared" si="7"/>
        <v>0</v>
      </c>
    </row>
    <row r="27" spans="1:8" s="161" customFormat="1" ht="17.25" customHeight="1">
      <c r="A27" s="628" t="s">
        <v>66</v>
      </c>
      <c r="B27" s="628" t="s">
        <v>67</v>
      </c>
      <c r="C27" s="629">
        <f>C22+C23+C24+C26</f>
        <v>0</v>
      </c>
      <c r="D27" s="629">
        <f>D22+D23+D24+D26</f>
        <v>1409132</v>
      </c>
      <c r="E27" s="629">
        <f t="shared" ref="E27:H27" si="8">E23+E26+E24+E22</f>
        <v>441508651.49999994</v>
      </c>
      <c r="F27" s="629">
        <f t="shared" si="8"/>
        <v>440099519.49999994</v>
      </c>
      <c r="G27" s="629">
        <f t="shared" si="8"/>
        <v>0</v>
      </c>
      <c r="H27" s="629">
        <f t="shared" si="8"/>
        <v>0</v>
      </c>
    </row>
    <row r="28" spans="1:8" s="161" customFormat="1" ht="17.25" customHeight="1">
      <c r="A28" s="624" t="s">
        <v>253</v>
      </c>
      <c r="B28" s="624" t="s">
        <v>254</v>
      </c>
      <c r="C28" s="625">
        <v>0</v>
      </c>
      <c r="D28" s="625">
        <v>0</v>
      </c>
      <c r="E28" s="625">
        <f t="array" ref="E28">SUM(IF(A28=KHN,TH))</f>
        <v>130455250</v>
      </c>
      <c r="F28" s="625">
        <f t="array" ref="F28">SUM(IF(A28=KHC,TH))</f>
        <v>122842750</v>
      </c>
      <c r="G28" s="625">
        <f t="shared" ref="G28:G33" si="9">MAX(C28+E28-D28-F28,0)</f>
        <v>7612500</v>
      </c>
      <c r="H28" s="625">
        <f t="shared" ref="H28:H33" si="10">MAX(D28+F28-E28-C28,0)</f>
        <v>0</v>
      </c>
    </row>
    <row r="29" spans="1:8" s="161" customFormat="1" ht="17.25" customHeight="1">
      <c r="A29" s="628" t="s">
        <v>255</v>
      </c>
      <c r="B29" s="628" t="s">
        <v>256</v>
      </c>
      <c r="C29" s="629">
        <v>0</v>
      </c>
      <c r="D29" s="629">
        <v>0</v>
      </c>
      <c r="E29" s="629">
        <f>E28</f>
        <v>130455250</v>
      </c>
      <c r="F29" s="629">
        <f>F28</f>
        <v>122842750</v>
      </c>
      <c r="G29" s="629">
        <f t="shared" si="9"/>
        <v>7612500</v>
      </c>
      <c r="H29" s="629">
        <f t="shared" si="10"/>
        <v>0</v>
      </c>
    </row>
    <row r="30" spans="1:8" s="161" customFormat="1" ht="17.25" customHeight="1">
      <c r="A30" s="624" t="s">
        <v>1092</v>
      </c>
      <c r="B30" s="624" t="s">
        <v>1093</v>
      </c>
      <c r="C30" s="625"/>
      <c r="D30" s="625"/>
      <c r="E30" s="625">
        <f t="array" ref="E30">SUM(IF(A30=KHN,TH))</f>
        <v>7349500</v>
      </c>
      <c r="F30" s="625">
        <f t="array" ref="F30">SUM(IF(A30=KHC,TH))</f>
        <v>18862149</v>
      </c>
      <c r="G30" s="625">
        <f t="shared" si="9"/>
        <v>0</v>
      </c>
      <c r="H30" s="625">
        <f t="shared" si="10"/>
        <v>11512649</v>
      </c>
    </row>
    <row r="31" spans="1:8" s="161" customFormat="1" ht="17.25" customHeight="1">
      <c r="A31" s="624" t="s">
        <v>1091</v>
      </c>
      <c r="B31" s="624" t="s">
        <v>1094</v>
      </c>
      <c r="C31" s="625"/>
      <c r="D31" s="625"/>
      <c r="E31" s="625">
        <f t="array" ref="E31">SUM(IF(A31=KHN,TH))</f>
        <v>652500</v>
      </c>
      <c r="F31" s="625">
        <f t="array" ref="F31">SUM(IF(A31=KHC,TH))</f>
        <v>3262500</v>
      </c>
      <c r="G31" s="625">
        <f t="shared" si="9"/>
        <v>0</v>
      </c>
      <c r="H31" s="625">
        <f t="shared" si="10"/>
        <v>2610000</v>
      </c>
    </row>
    <row r="32" spans="1:8" s="161" customFormat="1" ht="17.25" customHeight="1">
      <c r="A32" s="624" t="s">
        <v>1095</v>
      </c>
      <c r="B32" s="624" t="s">
        <v>1096</v>
      </c>
      <c r="C32" s="625"/>
      <c r="D32" s="625"/>
      <c r="E32" s="625">
        <f t="array" ref="E32">SUM(IF(A32=KHN,TH))</f>
        <v>290000</v>
      </c>
      <c r="F32" s="625">
        <f t="array" ref="F32">SUM(IF(A32=KHC,TH))</f>
        <v>1450000</v>
      </c>
      <c r="G32" s="625">
        <f t="shared" si="9"/>
        <v>0</v>
      </c>
      <c r="H32" s="625">
        <f t="shared" si="10"/>
        <v>1160000</v>
      </c>
    </row>
    <row r="33" spans="1:10" s="161" customFormat="1" ht="17.25" customHeight="1">
      <c r="A33" s="624" t="s">
        <v>17</v>
      </c>
      <c r="B33" s="624" t="s">
        <v>68</v>
      </c>
      <c r="C33" s="625"/>
      <c r="D33" s="625"/>
      <c r="E33" s="625">
        <f t="array" ref="E33">SUM(IF(A33=KHN,TH))</f>
        <v>0</v>
      </c>
      <c r="F33" s="625">
        <f t="array" ref="F33">SUM(IF(A33=KHC,TH))</f>
        <v>0</v>
      </c>
      <c r="G33" s="625">
        <f t="shared" si="9"/>
        <v>0</v>
      </c>
      <c r="H33" s="625">
        <f t="shared" si="10"/>
        <v>0</v>
      </c>
    </row>
    <row r="34" spans="1:10" s="161" customFormat="1" ht="17.25" customHeight="1">
      <c r="A34" s="628" t="s">
        <v>69</v>
      </c>
      <c r="B34" s="628" t="s">
        <v>70</v>
      </c>
      <c r="C34" s="629">
        <v>0</v>
      </c>
      <c r="D34" s="629"/>
      <c r="E34" s="629">
        <f t="shared" ref="E34:H34" si="11">SUM(E30:E33)</f>
        <v>8292000</v>
      </c>
      <c r="F34" s="629">
        <f t="shared" si="11"/>
        <v>23574649</v>
      </c>
      <c r="G34" s="629">
        <f t="shared" si="11"/>
        <v>0</v>
      </c>
      <c r="H34" s="629">
        <f t="shared" si="11"/>
        <v>15282649</v>
      </c>
      <c r="J34" s="161">
        <f>SUM(H30:H32)</f>
        <v>15282649</v>
      </c>
    </row>
    <row r="35" spans="1:10" s="161" customFormat="1" ht="17.25" customHeight="1">
      <c r="A35" s="624" t="s">
        <v>25</v>
      </c>
      <c r="B35" s="624" t="s">
        <v>71</v>
      </c>
      <c r="C35" s="625"/>
      <c r="D35" s="625">
        <v>2500000000</v>
      </c>
      <c r="E35" s="625">
        <f t="array" ref="E35">SUM(IF(A35=KHN,TH))</f>
        <v>0</v>
      </c>
      <c r="F35" s="625">
        <f t="array" ref="F35">SUM(IF(A35=KHC,TH))</f>
        <v>0</v>
      </c>
      <c r="G35" s="626">
        <f>MAX(C35+E35-D35-F35,0)</f>
        <v>0</v>
      </c>
      <c r="H35" s="626">
        <f>MAX(D35+F35-E35-C35,0)</f>
        <v>2500000000</v>
      </c>
    </row>
    <row r="36" spans="1:10" s="161" customFormat="1" ht="17.25" customHeight="1">
      <c r="A36" s="628" t="s">
        <v>72</v>
      </c>
      <c r="B36" s="628" t="s">
        <v>73</v>
      </c>
      <c r="C36" s="629">
        <v>0</v>
      </c>
      <c r="D36" s="629">
        <v>2500000000</v>
      </c>
      <c r="E36" s="629">
        <f>E35</f>
        <v>0</v>
      </c>
      <c r="F36" s="629">
        <f>F35</f>
        <v>0</v>
      </c>
      <c r="G36" s="629">
        <f>MAX(C36+E36-D36-F36,0)</f>
        <v>0</v>
      </c>
      <c r="H36" s="629">
        <f>MAX(D36+F36-E36-C36,0)</f>
        <v>2500000000</v>
      </c>
    </row>
    <row r="37" spans="1:10" s="161" customFormat="1" ht="17.25" customHeight="1">
      <c r="A37" s="623" t="s">
        <v>74</v>
      </c>
      <c r="B37" s="624" t="s">
        <v>75</v>
      </c>
      <c r="C37" s="625"/>
      <c r="D37" s="625">
        <v>10551590</v>
      </c>
      <c r="E37" s="625">
        <f t="array" ref="E37">SUM(IF(A37=KHN,TH))</f>
        <v>0</v>
      </c>
      <c r="F37" s="625">
        <f t="array" ref="F37">SUM(IF(A37=KHC,TH))</f>
        <v>0</v>
      </c>
      <c r="G37" s="626">
        <f>MAX(C37+E37-D37-F37,0)</f>
        <v>0</v>
      </c>
      <c r="H37" s="626">
        <f>MAX(D37+F37-E37-C37,0)</f>
        <v>10551590</v>
      </c>
    </row>
    <row r="38" spans="1:10" s="161" customFormat="1" ht="17.25" customHeight="1">
      <c r="A38" s="624" t="s">
        <v>76</v>
      </c>
      <c r="B38" s="624" t="s">
        <v>77</v>
      </c>
      <c r="C38" s="625"/>
      <c r="D38" s="625"/>
      <c r="E38" s="625">
        <f t="array" ref="E38">SUM(IF(A38=TH!$L$10:$L$4489,TH!$K$10:$K$4489))</f>
        <v>0</v>
      </c>
      <c r="F38" s="625">
        <f t="array" ref="F38">SUM(IF(A38=TH!$M$10:$M$4489,TH!$K$10:$K$4489))</f>
        <v>0</v>
      </c>
      <c r="G38" s="625">
        <f>MAX(C38+E38-D38-F38,0)</f>
        <v>0</v>
      </c>
      <c r="H38" s="625">
        <f>MAX(D38+F38-E38-C38,0)</f>
        <v>0</v>
      </c>
      <c r="J38" s="289"/>
    </row>
    <row r="39" spans="1:10" s="161" customFormat="1" ht="17.25" customHeight="1">
      <c r="A39" s="628" t="s">
        <v>78</v>
      </c>
      <c r="B39" s="628" t="s">
        <v>79</v>
      </c>
      <c r="C39" s="629">
        <v>0</v>
      </c>
      <c r="D39" s="629">
        <f>D37+D38</f>
        <v>10551590</v>
      </c>
      <c r="E39" s="629">
        <f t="shared" ref="E39:H39" si="12">E38+E37</f>
        <v>0</v>
      </c>
      <c r="F39" s="629">
        <f t="shared" si="12"/>
        <v>0</v>
      </c>
      <c r="G39" s="629">
        <f t="shared" si="12"/>
        <v>0</v>
      </c>
      <c r="H39" s="629">
        <f t="shared" si="12"/>
        <v>10551590</v>
      </c>
    </row>
    <row r="40" spans="1:10" s="161" customFormat="1" ht="17.25" customHeight="1">
      <c r="A40" s="623" t="s">
        <v>623</v>
      </c>
      <c r="B40" s="624" t="s">
        <v>624</v>
      </c>
      <c r="C40" s="626"/>
      <c r="D40" s="626"/>
      <c r="E40" s="626">
        <f t="array" ref="E40">SUM(IF(A40=KHN,TH))</f>
        <v>71930000</v>
      </c>
      <c r="F40" s="626">
        <f t="array" ref="F40">SUM(IF(A40=KHC,TH))</f>
        <v>71930000</v>
      </c>
      <c r="G40" s="626"/>
      <c r="H40" s="626"/>
      <c r="I40" s="161">
        <f>E40-F40</f>
        <v>0</v>
      </c>
    </row>
    <row r="41" spans="1:10" s="161" customFormat="1" ht="17.25" customHeight="1">
      <c r="A41" s="623" t="s">
        <v>164</v>
      </c>
      <c r="B41" s="624" t="s">
        <v>625</v>
      </c>
      <c r="C41" s="625"/>
      <c r="D41" s="625"/>
      <c r="E41" s="625">
        <f t="array" ref="E41">SUM(IF(A41=KHN,TH))</f>
        <v>4313212226</v>
      </c>
      <c r="F41" s="625">
        <f t="array" ref="F41">SUM(IF(A41=KHC,TH))</f>
        <v>4313212226</v>
      </c>
      <c r="G41" s="625"/>
      <c r="H41" s="625"/>
      <c r="I41" s="161">
        <f>E41-F41</f>
        <v>0</v>
      </c>
    </row>
    <row r="42" spans="1:10" s="161" customFormat="1" ht="17.25" customHeight="1">
      <c r="A42" s="628" t="s">
        <v>165</v>
      </c>
      <c r="B42" s="628" t="s">
        <v>166</v>
      </c>
      <c r="C42" s="629">
        <v>0</v>
      </c>
      <c r="D42" s="629">
        <v>0</v>
      </c>
      <c r="E42" s="629">
        <f t="shared" ref="E42:H42" si="13">E40+E41</f>
        <v>4385142226</v>
      </c>
      <c r="F42" s="629">
        <f t="shared" si="13"/>
        <v>4385142226</v>
      </c>
      <c r="G42" s="629">
        <f t="shared" si="13"/>
        <v>0</v>
      </c>
      <c r="H42" s="629">
        <f t="shared" si="13"/>
        <v>0</v>
      </c>
      <c r="I42" s="161">
        <f>E42-F42</f>
        <v>0</v>
      </c>
    </row>
    <row r="43" spans="1:10" s="161" customFormat="1" ht="17.25" customHeight="1">
      <c r="A43" s="628" t="s">
        <v>40</v>
      </c>
      <c r="B43" s="628" t="s">
        <v>80</v>
      </c>
      <c r="C43" s="629"/>
      <c r="D43" s="629"/>
      <c r="E43" s="630">
        <f t="array" ref="E43">SUM(IF(A43=KHN,TH))</f>
        <v>10169</v>
      </c>
      <c r="F43" s="630">
        <f t="array" ref="F43">SUM(IF(A43=KHC,TH))</f>
        <v>10169</v>
      </c>
      <c r="G43" s="629"/>
      <c r="H43" s="629"/>
      <c r="I43" s="161">
        <f t="shared" ref="I43:I51" si="14">E43-F43</f>
        <v>0</v>
      </c>
    </row>
    <row r="44" spans="1:10" s="161" customFormat="1" ht="17.25" customHeight="1">
      <c r="A44" s="628" t="s">
        <v>162</v>
      </c>
      <c r="B44" s="628" t="s">
        <v>163</v>
      </c>
      <c r="C44" s="629"/>
      <c r="D44" s="629"/>
      <c r="E44" s="630">
        <f t="array" ref="E44">SUM(IF(A44=KHN,TH))</f>
        <v>4217421489</v>
      </c>
      <c r="F44" s="630">
        <f t="array" ref="F44">SUM(IF(A44=KHC,TH))</f>
        <v>4217421489</v>
      </c>
      <c r="G44" s="629"/>
      <c r="H44" s="629"/>
      <c r="I44" s="161">
        <f t="shared" si="14"/>
        <v>0</v>
      </c>
    </row>
    <row r="45" spans="1:10" s="161" customFormat="1" ht="17.25" customHeight="1">
      <c r="A45" s="628" t="s">
        <v>81</v>
      </c>
      <c r="B45" s="628" t="s">
        <v>82</v>
      </c>
      <c r="C45" s="629"/>
      <c r="D45" s="629"/>
      <c r="E45" s="630">
        <f t="array" ref="E45">SUM(IF(A45=KHN,TH))</f>
        <v>0</v>
      </c>
      <c r="F45" s="630">
        <f t="array" ref="F45">SUM(IF(A45=KHC,TH))</f>
        <v>0</v>
      </c>
      <c r="G45" s="629"/>
      <c r="H45" s="629"/>
      <c r="I45" s="161">
        <f t="shared" si="14"/>
        <v>0</v>
      </c>
    </row>
    <row r="46" spans="1:10" s="161" customFormat="1" ht="17.25" customHeight="1">
      <c r="A46" s="631" t="s">
        <v>252</v>
      </c>
      <c r="B46" s="628" t="s">
        <v>317</v>
      </c>
      <c r="C46" s="629"/>
      <c r="D46" s="629"/>
      <c r="E46" s="630">
        <f t="array" ref="E46">SUM(IF(A46=KHN,TH))</f>
        <v>18482125</v>
      </c>
      <c r="F46" s="630">
        <f t="array" ref="F46">SUM(IF(A46=KHC,TH))</f>
        <v>18482125</v>
      </c>
      <c r="G46" s="629"/>
      <c r="H46" s="629"/>
      <c r="I46" s="161">
        <f>E46-F46</f>
        <v>0</v>
      </c>
    </row>
    <row r="47" spans="1:10" s="161" customFormat="1" ht="17.25" customHeight="1">
      <c r="A47" s="628" t="s">
        <v>83</v>
      </c>
      <c r="B47" s="628" t="s">
        <v>84</v>
      </c>
      <c r="C47" s="629"/>
      <c r="D47" s="629"/>
      <c r="E47" s="630">
        <f t="array" ref="E47">SUM(IF(A47=KHN,TH))</f>
        <v>141836370</v>
      </c>
      <c r="F47" s="630">
        <f t="array" ref="F47">SUM(IF(A47=KHC,TH))</f>
        <v>141836370</v>
      </c>
      <c r="G47" s="629"/>
      <c r="H47" s="629"/>
      <c r="I47" s="161">
        <f t="shared" si="14"/>
        <v>0</v>
      </c>
    </row>
    <row r="48" spans="1:10" s="161" customFormat="1" ht="17.25" customHeight="1">
      <c r="A48" s="631" t="s">
        <v>85</v>
      </c>
      <c r="B48" s="628" t="s">
        <v>86</v>
      </c>
      <c r="C48" s="629"/>
      <c r="D48" s="629"/>
      <c r="E48" s="630">
        <f t="array" ref="E48">SUM(IF(A48=KHN,TH))</f>
        <v>0</v>
      </c>
      <c r="F48" s="630">
        <f t="array" ref="F48">SUM(IF(A48=KHC,TH))</f>
        <v>0</v>
      </c>
      <c r="G48" s="629"/>
      <c r="H48" s="629"/>
      <c r="I48" s="161">
        <f t="shared" si="14"/>
        <v>0</v>
      </c>
    </row>
    <row r="49" spans="1:9" s="161" customFormat="1" ht="17.25" customHeight="1">
      <c r="A49" s="628" t="s">
        <v>87</v>
      </c>
      <c r="B49" s="628" t="s">
        <v>88</v>
      </c>
      <c r="C49" s="629"/>
      <c r="D49" s="629"/>
      <c r="E49" s="630">
        <f t="array" ref="E49">SUM(IF(A49=KHN,TH))</f>
        <v>12149</v>
      </c>
      <c r="F49" s="630">
        <f t="array" ref="F49">SUM(IF(A49=KHC,TH))</f>
        <v>12149</v>
      </c>
      <c r="G49" s="629"/>
      <c r="H49" s="629"/>
      <c r="I49" s="161">
        <f t="shared" si="14"/>
        <v>0</v>
      </c>
    </row>
    <row r="50" spans="1:9" s="161" customFormat="1" ht="17.25" customHeight="1">
      <c r="A50" s="631" t="s">
        <v>89</v>
      </c>
      <c r="B50" s="628" t="s">
        <v>90</v>
      </c>
      <c r="C50" s="629"/>
      <c r="D50" s="629"/>
      <c r="E50" s="630">
        <f t="array" ref="E50">SUM(IF(A50=KHN,TH))</f>
        <v>0</v>
      </c>
      <c r="F50" s="630">
        <f t="array" ref="F50">SUM(IF(A50=KHC,TH))</f>
        <v>0</v>
      </c>
      <c r="G50" s="629"/>
      <c r="H50" s="629"/>
      <c r="I50" s="161">
        <f t="shared" si="14"/>
        <v>0</v>
      </c>
    </row>
    <row r="51" spans="1:9" s="161" customFormat="1" ht="17.25" customHeight="1">
      <c r="A51" s="628" t="s">
        <v>91</v>
      </c>
      <c r="B51" s="628" t="s">
        <v>92</v>
      </c>
      <c r="C51" s="629"/>
      <c r="D51" s="629"/>
      <c r="E51" s="635">
        <f t="array" ref="E51">SUM(IF(A51=KHN,TH))</f>
        <v>4377752133</v>
      </c>
      <c r="F51" s="635">
        <f t="array" ref="F51">SUM(IF(A51=TH!$M$10:$M$4489,TH!$K$10:$K$4489))</f>
        <v>4385152395</v>
      </c>
      <c r="G51" s="629"/>
      <c r="H51" s="629"/>
      <c r="I51" s="161">
        <f t="shared" si="14"/>
        <v>-7400262</v>
      </c>
    </row>
    <row r="52" spans="1:9" s="161" customFormat="1" ht="17.25" customHeight="1">
      <c r="A52" s="943" t="s">
        <v>39</v>
      </c>
      <c r="B52" s="944"/>
      <c r="C52" s="636">
        <f>C11+C13+C14+C16+C18+C19+C20+C21+C27+C29+C34+C36+C39+C42+C43+C44+C45+C46+C47+C48+C49+C50+C51</f>
        <v>3303202669</v>
      </c>
      <c r="D52" s="636">
        <f t="shared" ref="D52:H52" si="15">D11+D13+D14+D16+D18+D19+D20+D21+D27+D29+D34+D36+D39+D42+D43+D44+D45+D46+D47+D48+D49+D50+D51</f>
        <v>3303202669</v>
      </c>
      <c r="E52" s="636">
        <f t="shared" si="15"/>
        <v>36855507507</v>
      </c>
      <c r="F52" s="636">
        <f t="shared" si="15"/>
        <v>36855507507</v>
      </c>
      <c r="G52" s="636">
        <f t="shared" si="15"/>
        <v>5819861000.5</v>
      </c>
      <c r="H52" s="636">
        <f t="shared" si="15"/>
        <v>5812460738.5</v>
      </c>
    </row>
    <row r="53" spans="1:9">
      <c r="E53" s="637"/>
      <c r="F53" s="638"/>
    </row>
    <row r="54" spans="1:9">
      <c r="E54" s="638"/>
      <c r="H54" s="638">
        <f>G52-H52</f>
        <v>7400262</v>
      </c>
    </row>
    <row r="55" spans="1:9">
      <c r="E55" s="639"/>
      <c r="F55" s="639"/>
    </row>
    <row r="56" spans="1:9">
      <c r="E56" s="639"/>
      <c r="F56" s="639"/>
    </row>
  </sheetData>
  <mergeCells count="6">
    <mergeCell ref="G8:H8"/>
    <mergeCell ref="A52:B5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4499"/>
  <sheetViews>
    <sheetView topLeftCell="A7" zoomScaleNormal="100" workbookViewId="0">
      <pane ySplit="3" topLeftCell="A1396" activePane="bottomLeft" state="frozen"/>
      <selection activeCell="A7" sqref="A7"/>
      <selection pane="bottomLeft" activeCell="E2133" sqref="E2133:E2580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36" customWidth="1"/>
    <col min="8" max="8" width="34.85546875" style="781" customWidth="1"/>
    <col min="9" max="9" width="7.85546875" style="781" customWidth="1"/>
    <col min="10" max="10" width="8.85546875" style="781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29" width="10.42578125" style="205" customWidth="1"/>
    <col min="30" max="30" width="10.7109375" style="205" bestFit="1" customWidth="1"/>
    <col min="31" max="16384" width="9.140625" style="205"/>
  </cols>
  <sheetData>
    <row r="1" spans="1:27" ht="15">
      <c r="A1" s="1" t="s">
        <v>422</v>
      </c>
      <c r="B1" s="31"/>
      <c r="C1" s="31"/>
      <c r="D1" s="32"/>
      <c r="E1" s="32"/>
      <c r="F1" s="33"/>
      <c r="G1" s="83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421</v>
      </c>
      <c r="B2" s="31"/>
      <c r="C2" s="31"/>
      <c r="D2" s="32"/>
      <c r="E2" s="32"/>
      <c r="F2" s="32"/>
      <c r="G2" s="83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3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65" t="s">
        <v>93</v>
      </c>
      <c r="D4" s="965"/>
      <c r="E4" s="965"/>
      <c r="F4" s="965"/>
      <c r="G4" s="965"/>
      <c r="H4" s="965"/>
      <c r="I4" s="965"/>
      <c r="J4" s="965"/>
      <c r="K4" s="965"/>
      <c r="L4" s="965"/>
      <c r="M4" s="965"/>
    </row>
    <row r="5" spans="1:27" ht="14.25">
      <c r="B5" s="42"/>
      <c r="C5" s="966"/>
      <c r="D5" s="966"/>
      <c r="E5" s="966"/>
      <c r="F5" s="966"/>
      <c r="G5" s="966"/>
      <c r="H5" s="966"/>
      <c r="I5" s="966"/>
      <c r="J5" s="966"/>
      <c r="K5" s="966"/>
      <c r="L5" s="966"/>
      <c r="M5" s="966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47" t="s">
        <v>117</v>
      </c>
      <c r="B7" s="949" t="s">
        <v>101</v>
      </c>
      <c r="C7" s="967" t="s">
        <v>20</v>
      </c>
      <c r="D7" s="968" t="s">
        <v>1</v>
      </c>
      <c r="E7" s="969"/>
      <c r="F7" s="967" t="s">
        <v>0</v>
      </c>
      <c r="G7" s="949" t="s">
        <v>116</v>
      </c>
      <c r="H7" s="951" t="s">
        <v>44</v>
      </c>
      <c r="I7" s="962" t="s">
        <v>250</v>
      </c>
      <c r="J7" s="963"/>
      <c r="K7" s="967" t="s">
        <v>157</v>
      </c>
      <c r="L7" s="970" t="s">
        <v>94</v>
      </c>
      <c r="M7" s="970"/>
      <c r="N7" s="954" t="s">
        <v>389</v>
      </c>
      <c r="O7" s="956" t="s">
        <v>47</v>
      </c>
      <c r="P7" s="957"/>
      <c r="Q7" s="958"/>
      <c r="R7" s="956" t="s">
        <v>51</v>
      </c>
      <c r="S7" s="957"/>
      <c r="T7" s="958"/>
      <c r="U7" s="954" t="s">
        <v>388</v>
      </c>
      <c r="V7" s="952" t="str">
        <f>CTTK!$E$7</f>
        <v>642</v>
      </c>
      <c r="W7" s="964" t="s">
        <v>159</v>
      </c>
      <c r="X7" s="964"/>
      <c r="Y7" s="964"/>
      <c r="Z7" s="964" t="s">
        <v>334</v>
      </c>
      <c r="AA7" s="789"/>
    </row>
    <row r="8" spans="1:27" ht="24.75" customHeight="1">
      <c r="A8" s="948"/>
      <c r="B8" s="950"/>
      <c r="C8" s="967"/>
      <c r="D8" s="822" t="s">
        <v>15</v>
      </c>
      <c r="E8" s="821" t="s">
        <v>32</v>
      </c>
      <c r="F8" s="967"/>
      <c r="G8" s="950"/>
      <c r="H8" s="951"/>
      <c r="I8" s="824" t="s">
        <v>191</v>
      </c>
      <c r="J8" s="824" t="s">
        <v>192</v>
      </c>
      <c r="K8" s="967"/>
      <c r="L8" s="823" t="s">
        <v>22</v>
      </c>
      <c r="M8" s="823" t="s">
        <v>23</v>
      </c>
      <c r="N8" s="955"/>
      <c r="O8" s="959"/>
      <c r="P8" s="960"/>
      <c r="Q8" s="961"/>
      <c r="R8" s="959"/>
      <c r="S8" s="960"/>
      <c r="T8" s="961"/>
      <c r="U8" s="955"/>
      <c r="V8" s="953"/>
      <c r="W8" s="964"/>
      <c r="X8" s="964"/>
      <c r="Y8" s="964"/>
      <c r="Z8" s="964"/>
      <c r="AA8" s="789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790"/>
    </row>
    <row r="10" spans="1:27" s="675" customFormat="1" ht="15.75" customHeight="1">
      <c r="A10" s="827" t="str">
        <f>IF(B10&lt;&gt;"",IF(AND(B10&gt;=_TM1,B10&lt;=_TM2,OR(TH!L10="1111",TH!M10="1111")),TH!D10,""),"")</f>
        <v/>
      </c>
      <c r="B10" s="674">
        <f t="shared" ref="B10:B22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831"/>
      <c r="H10" s="50"/>
      <c r="I10" s="251"/>
      <c r="J10" s="251"/>
      <c r="K10" s="51">
        <f>CDPS!D38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91"/>
    </row>
    <row r="11" spans="1:27" s="675" customFormat="1" ht="15.75" customHeight="1">
      <c r="A11" s="827" t="str">
        <f>IF(B11&lt;&gt;"",IF(AND(B11&gt;=_TM1,B11&lt;=_TM2,OR(TH!L11="1111",TH!M11="1111")),TH!D11,""),"")</f>
        <v/>
      </c>
      <c r="B11" s="674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263</v>
      </c>
      <c r="G11" s="831"/>
      <c r="H11" s="50"/>
      <c r="I11" s="251"/>
      <c r="J11" s="251"/>
      <c r="K11" s="51">
        <f>SUMIF(KHC,L11,TH)</f>
        <v>438599519.49999994</v>
      </c>
      <c r="L11" s="53" t="s">
        <v>354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91"/>
    </row>
    <row r="12" spans="1:27" s="675" customFormat="1" ht="15.75" customHeight="1">
      <c r="A12" s="827" t="str">
        <f>IF(B12&lt;&gt;"",IF(AND(B12&gt;=_TM1,B12&lt;=_TM2,OR(TH!L12="1111",TH!M12="1111")),TH!D12,""),"")</f>
        <v/>
      </c>
      <c r="B12" s="674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264</v>
      </c>
      <c r="G12" s="831"/>
      <c r="H12" s="50"/>
      <c r="I12" s="251"/>
      <c r="J12" s="251"/>
      <c r="K12" s="51">
        <f>SUMIF(KHN,M12,TH)</f>
        <v>4217421489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91"/>
    </row>
    <row r="13" spans="1:27" s="675" customFormat="1" ht="15.75" customHeight="1">
      <c r="A13" s="827" t="str">
        <f>IF(B13&lt;&gt;"",IF(AND(B13&gt;=_TM1,B13&lt;=_TM2,OR(TH!L13="1111",TH!M13="1111")),TH!D13,""),"")</f>
        <v/>
      </c>
      <c r="B13" s="674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831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91"/>
    </row>
    <row r="14" spans="1:27" s="675" customFormat="1" ht="15.75" customHeight="1">
      <c r="A14" s="827" t="str">
        <f>IF(B14&lt;&gt;"",IF(AND(B14&gt;=_TM1,B14&lt;=_TM2,OR(TH!L14="1111",TH!M14="1111")),TH!D14,""),"")</f>
        <v/>
      </c>
      <c r="B14" s="674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401</v>
      </c>
      <c r="G14" s="831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91"/>
    </row>
    <row r="15" spans="1:27" s="675" customFormat="1" ht="15.75" customHeight="1">
      <c r="A15" s="827" t="str">
        <f>IF(B15&lt;&gt;"",IF(AND(B15&gt;=_TM1,B15&lt;=_TM2,OR(TH!L15="1111",TH!M15="1111")),TH!D15,""),"")</f>
        <v/>
      </c>
      <c r="B15" s="674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265</v>
      </c>
      <c r="G15" s="831"/>
      <c r="H15" s="50"/>
      <c r="I15" s="251"/>
      <c r="J15" s="251"/>
      <c r="K15" s="51">
        <f>SUMIF(KHN,M15,TH)</f>
        <v>18482125</v>
      </c>
      <c r="L15" s="52" t="s">
        <v>91</v>
      </c>
      <c r="M15" s="52" t="s">
        <v>252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91"/>
    </row>
    <row r="16" spans="1:27" s="675" customFormat="1" ht="15.75" customHeight="1">
      <c r="A16" s="827" t="str">
        <f>IF(B16&lt;&gt;"",IF(AND(B16&gt;=_TM1,B16&lt;=_TM2,OR(TH!L16="1111",TH!M16="1111")),TH!D16,""),"")</f>
        <v/>
      </c>
      <c r="B16" s="674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831"/>
      <c r="H16" s="50"/>
      <c r="I16" s="251"/>
      <c r="J16" s="251"/>
      <c r="K16" s="51">
        <f>SUMIF(KHN,M16,TH)</f>
        <v>141836370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91"/>
    </row>
    <row r="17" spans="1:27" s="675" customFormat="1" ht="15.75" customHeight="1">
      <c r="A17" s="827" t="str">
        <f>IF(B17&lt;&gt;"",IF(AND(B17&gt;=_TM1,B17&lt;=_TM2,OR(TH!L17="1111",TH!M17="1111")),TH!D17,""),"")</f>
        <v/>
      </c>
      <c r="B17" s="674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831"/>
      <c r="H17" s="50"/>
      <c r="I17" s="251"/>
      <c r="J17" s="251"/>
      <c r="K17" s="51">
        <f>SUMIF(KHC,L17,TH)</f>
        <v>10169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91"/>
    </row>
    <row r="18" spans="1:27" s="675" customFormat="1" ht="15.75" customHeight="1">
      <c r="A18" s="827" t="str">
        <f>IF(B18&lt;&gt;"",IF(AND(B18&gt;=_TM1,B18&lt;=_TM2,OR(TH!L18="1111",TH!M18="1111")),TH!D18,""),"")</f>
        <v/>
      </c>
      <c r="B18" s="674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652</v>
      </c>
      <c r="G18" s="831"/>
      <c r="H18" s="50"/>
      <c r="I18" s="251"/>
      <c r="J18" s="251"/>
      <c r="K18" s="51">
        <f>SUMIF(KHC,L18,TH)</f>
        <v>71930000</v>
      </c>
      <c r="L18" s="52" t="s">
        <v>623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91"/>
    </row>
    <row r="19" spans="1:27" s="675" customFormat="1" ht="15.75" customHeight="1">
      <c r="A19" s="827" t="str">
        <f>IF(B19&lt;&gt;"",IF(AND(B19&gt;=_TM1,B19&lt;=_TM2,OR(TH!L19="1111",TH!M19="1111")),TH!D19,""),"")</f>
        <v/>
      </c>
      <c r="B19" s="674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653</v>
      </c>
      <c r="G19" s="831"/>
      <c r="H19" s="50"/>
      <c r="I19" s="251"/>
      <c r="J19" s="251"/>
      <c r="K19" s="51">
        <f>SUMIF(KHC,L19,TH)</f>
        <v>4313212226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91"/>
    </row>
    <row r="20" spans="1:27" s="675" customFormat="1" ht="15.75" customHeight="1">
      <c r="A20" s="827" t="str">
        <f>IF(B20&lt;&gt;"",IF(AND(B20&gt;=_TM1,B20&lt;=_TM2,OR(TH!L20="1111",TH!M20="1111")),TH!D20,""),"")</f>
        <v/>
      </c>
      <c r="B20" s="674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831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91"/>
    </row>
    <row r="21" spans="1:27" s="675" customFormat="1" ht="15.75" customHeight="1">
      <c r="A21" s="827" t="str">
        <f>IF(B21&lt;&gt;"",IF(AND(B21&gt;=_TM1,B21&lt;=_TM2,OR(TH!L21="1111",TH!M21="1111")),TH!D21,""),"")</f>
        <v/>
      </c>
      <c r="B21" s="674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831"/>
      <c r="H21" s="50"/>
      <c r="I21" s="251"/>
      <c r="J21" s="251"/>
      <c r="K21" s="51">
        <f>SUMIF(KHN,M21,TH)</f>
        <v>12149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91"/>
    </row>
    <row r="22" spans="1:27" s="675" customFormat="1" ht="15.75" customHeight="1">
      <c r="A22" s="827" t="str">
        <f>IF(B22&lt;&gt;"",IF(AND(B22&gt;=_TM1,B22&lt;=_TM2,OR(TH!L22="1111",TH!M22="1111")),TH!D22,""),"")</f>
        <v/>
      </c>
      <c r="B22" s="674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400</v>
      </c>
      <c r="G22" s="831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791"/>
    </row>
    <row r="23" spans="1:27" ht="15.75" customHeight="1">
      <c r="A23" s="827" t="str">
        <f>IF(B23&lt;&gt;"",IF(AND(B23&gt;=_TM1,B23&lt;=_TM2,OR(TH!L23="1111",TH!M23="1111")),TH!D23,""),"")</f>
        <v>GBC</v>
      </c>
      <c r="B23" s="36">
        <f t="shared" ref="B23:B62" si="5">IF(C23&lt;&gt;"",MONTH(C23),"")</f>
        <v>1</v>
      </c>
      <c r="C23" s="37">
        <f>E23</f>
        <v>42380</v>
      </c>
      <c r="D23" s="37" t="s">
        <v>835</v>
      </c>
      <c r="E23" s="37">
        <v>42380</v>
      </c>
      <c r="F23" s="40" t="s">
        <v>838</v>
      </c>
      <c r="G23" s="832" t="s">
        <v>836</v>
      </c>
      <c r="H23" s="7" t="s">
        <v>837</v>
      </c>
      <c r="I23" s="253"/>
      <c r="J23" s="253"/>
      <c r="K23" s="584">
        <v>10050000</v>
      </c>
      <c r="L23" s="39" t="s">
        <v>24</v>
      </c>
      <c r="M23" s="39" t="s">
        <v>47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>x</v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>x</v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26"/>
    </row>
    <row r="24" spans="1:27" ht="15.75" customHeight="1">
      <c r="A24" s="827" t="str">
        <f>IF(B24&lt;&gt;"",IF(AND(B24&gt;=_TM1,B24&lt;=_TM2,OR(TH!L24="1111",TH!M24="1111")),TH!D24,""),"")</f>
        <v/>
      </c>
      <c r="B24" s="36">
        <f t="shared" si="5"/>
        <v>1</v>
      </c>
      <c r="C24" s="37">
        <f t="shared" ref="C24:C101" si="6">E24</f>
        <v>42380</v>
      </c>
      <c r="D24" s="37" t="s">
        <v>835</v>
      </c>
      <c r="E24" s="37">
        <v>42380</v>
      </c>
      <c r="F24" s="40" t="s">
        <v>839</v>
      </c>
      <c r="G24" s="832" t="s">
        <v>836</v>
      </c>
      <c r="H24" s="7" t="s">
        <v>889</v>
      </c>
      <c r="I24" s="253"/>
      <c r="J24" s="253"/>
      <c r="K24" s="584">
        <v>15000000</v>
      </c>
      <c r="L24" s="39" t="s">
        <v>24</v>
      </c>
      <c r="M24" s="39" t="s">
        <v>251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>x</v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26"/>
    </row>
    <row r="25" spans="1:27" ht="15.75" customHeight="1">
      <c r="A25" s="827" t="str">
        <f>IF(B25&lt;&gt;"",IF(AND(B25&gt;=_TM1,B25&lt;=_TM2,OR(TH!L25="1111",TH!M25="1111")),TH!D25,""),"")</f>
        <v/>
      </c>
      <c r="B25" s="36">
        <f t="shared" si="5"/>
        <v>1</v>
      </c>
      <c r="C25" s="37">
        <f t="shared" si="6"/>
        <v>42380</v>
      </c>
      <c r="D25" s="37" t="s">
        <v>835</v>
      </c>
      <c r="E25" s="37">
        <v>42380</v>
      </c>
      <c r="F25" s="40" t="s">
        <v>839</v>
      </c>
      <c r="G25" s="832" t="s">
        <v>836</v>
      </c>
      <c r="H25" s="7" t="s">
        <v>890</v>
      </c>
      <c r="I25" s="253"/>
      <c r="J25" s="253"/>
      <c r="K25" s="584">
        <v>18000000</v>
      </c>
      <c r="L25" s="39" t="s">
        <v>24</v>
      </c>
      <c r="M25" s="39" t="s">
        <v>251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>x</v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26"/>
    </row>
    <row r="26" spans="1:27" ht="15.75" customHeight="1">
      <c r="A26" s="827" t="str">
        <f>IF(B26&lt;&gt;"",IF(AND(B26&gt;=_TM1,B26&lt;=_TM2,OR(TH!L26="1111",TH!M26="1111")),TH!D26,""),"")</f>
        <v>GBC</v>
      </c>
      <c r="B26" s="36">
        <f t="shared" si="5"/>
        <v>1</v>
      </c>
      <c r="C26" s="37">
        <f t="shared" si="6"/>
        <v>42381</v>
      </c>
      <c r="D26" s="37" t="s">
        <v>835</v>
      </c>
      <c r="E26" s="37">
        <v>42381</v>
      </c>
      <c r="F26" s="40" t="s">
        <v>838</v>
      </c>
      <c r="G26" s="832" t="s">
        <v>836</v>
      </c>
      <c r="H26" s="7" t="s">
        <v>837</v>
      </c>
      <c r="I26" s="253"/>
      <c r="J26" s="253"/>
      <c r="K26" s="584">
        <v>71000000</v>
      </c>
      <c r="L26" s="39" t="s">
        <v>24</v>
      </c>
      <c r="M26" s="39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26"/>
    </row>
    <row r="27" spans="1:27" ht="15.75" customHeight="1">
      <c r="A27" s="827" t="str">
        <f>IF(B27&lt;&gt;"",IF(AND(B27&gt;=_TM1,B27&lt;=_TM2,OR(TH!L27="1111",TH!M27="1111")),TH!D27,""),"")</f>
        <v/>
      </c>
      <c r="B27" s="36">
        <f t="shared" si="5"/>
        <v>1</v>
      </c>
      <c r="C27" s="37">
        <f t="shared" si="6"/>
        <v>42381</v>
      </c>
      <c r="D27" s="37" t="s">
        <v>835</v>
      </c>
      <c r="E27" s="37">
        <v>42381</v>
      </c>
      <c r="F27" s="40" t="s">
        <v>839</v>
      </c>
      <c r="G27" s="832" t="s">
        <v>836</v>
      </c>
      <c r="H27" s="192" t="s">
        <v>636</v>
      </c>
      <c r="I27" s="253"/>
      <c r="J27" s="253"/>
      <c r="K27" s="584">
        <v>3587760</v>
      </c>
      <c r="L27" s="39" t="s">
        <v>24</v>
      </c>
      <c r="M27" s="39" t="s">
        <v>251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26"/>
    </row>
    <row r="28" spans="1:27" ht="15.75" customHeight="1">
      <c r="A28" s="827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42382</v>
      </c>
      <c r="D28" s="37" t="s">
        <v>835</v>
      </c>
      <c r="E28" s="37">
        <v>42382</v>
      </c>
      <c r="F28" s="40" t="s">
        <v>839</v>
      </c>
      <c r="G28" s="832" t="s">
        <v>836</v>
      </c>
      <c r="H28" s="192" t="s">
        <v>662</v>
      </c>
      <c r="I28" s="253"/>
      <c r="J28" s="253"/>
      <c r="K28" s="584">
        <v>155727000</v>
      </c>
      <c r="L28" s="39" t="s">
        <v>24</v>
      </c>
      <c r="M28" s="39" t="s">
        <v>251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26"/>
    </row>
    <row r="29" spans="1:27" ht="15.75" customHeight="1">
      <c r="A29" s="827" t="str">
        <f>IF(B29&lt;&gt;"",IF(AND(B29&gt;=_TM1,B29&lt;=_TM2,OR(TH!L29="1111",TH!M29="1111")),TH!D29,""),"")</f>
        <v/>
      </c>
      <c r="B29" s="36">
        <f t="shared" si="5"/>
        <v>1</v>
      </c>
      <c r="C29" s="37">
        <f t="shared" si="6"/>
        <v>42387</v>
      </c>
      <c r="D29" s="37" t="s">
        <v>835</v>
      </c>
      <c r="E29" s="37">
        <v>42387</v>
      </c>
      <c r="F29" s="40" t="s">
        <v>839</v>
      </c>
      <c r="G29" s="832" t="s">
        <v>836</v>
      </c>
      <c r="H29" s="7" t="s">
        <v>753</v>
      </c>
      <c r="I29" s="253"/>
      <c r="J29" s="253"/>
      <c r="K29" s="584">
        <v>82622870</v>
      </c>
      <c r="L29" s="39" t="s">
        <v>24</v>
      </c>
      <c r="M29" s="39" t="s">
        <v>251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26"/>
    </row>
    <row r="30" spans="1:27" ht="15.75" customHeight="1">
      <c r="A30" s="827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42388</v>
      </c>
      <c r="D30" s="37" t="s">
        <v>835</v>
      </c>
      <c r="E30" s="37">
        <v>42388</v>
      </c>
      <c r="F30" s="40" t="s">
        <v>839</v>
      </c>
      <c r="G30" s="832" t="s">
        <v>836</v>
      </c>
      <c r="H30" s="192" t="s">
        <v>678</v>
      </c>
      <c r="I30" s="253"/>
      <c r="J30" s="253"/>
      <c r="K30" s="584">
        <v>90264697</v>
      </c>
      <c r="L30" s="39" t="s">
        <v>24</v>
      </c>
      <c r="M30" s="39" t="s">
        <v>251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26"/>
    </row>
    <row r="31" spans="1:27" ht="15.75" customHeight="1">
      <c r="A31" s="827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42378</v>
      </c>
      <c r="D31" s="37" t="s">
        <v>842</v>
      </c>
      <c r="E31" s="37">
        <v>42378</v>
      </c>
      <c r="F31" s="40" t="s">
        <v>891</v>
      </c>
      <c r="G31" s="832" t="s">
        <v>836</v>
      </c>
      <c r="H31" s="7"/>
      <c r="I31" s="253"/>
      <c r="J31" s="253"/>
      <c r="K31" s="584">
        <v>50000</v>
      </c>
      <c r="L31" s="39" t="s">
        <v>83</v>
      </c>
      <c r="M31" s="39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26">
        <v>2</v>
      </c>
    </row>
    <row r="32" spans="1:27" ht="15.75" customHeight="1">
      <c r="A32" s="827" t="str">
        <f>IF(B32&lt;&gt;"",IF(AND(B32&gt;=_TM1,B32&lt;=_TM2,OR(TH!L32="1111",TH!M32="1111")),TH!D32,""),"")</f>
        <v/>
      </c>
      <c r="B32" s="36">
        <f t="shared" ref="B32" si="7">IF(C32&lt;&gt;"",MONTH(C32),"")</f>
        <v>1</v>
      </c>
      <c r="C32" s="37">
        <f t="shared" ref="C32" si="8">E32</f>
        <v>42378</v>
      </c>
      <c r="D32" s="37" t="s">
        <v>842</v>
      </c>
      <c r="E32" s="37">
        <v>42378</v>
      </c>
      <c r="F32" s="40" t="s">
        <v>1097</v>
      </c>
      <c r="G32" s="832" t="s">
        <v>836</v>
      </c>
      <c r="H32" s="7"/>
      <c r="I32" s="253"/>
      <c r="J32" s="253"/>
      <c r="K32" s="584">
        <v>5000</v>
      </c>
      <c r="L32" s="39" t="s">
        <v>9</v>
      </c>
      <c r="M32" s="39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26">
        <v>2</v>
      </c>
    </row>
    <row r="33" spans="1:27" ht="15.75" customHeight="1">
      <c r="A33" s="827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42380</v>
      </c>
      <c r="D33" s="37" t="s">
        <v>842</v>
      </c>
      <c r="E33" s="37">
        <v>42380</v>
      </c>
      <c r="F33" s="40" t="s">
        <v>844</v>
      </c>
      <c r="G33" s="832" t="s">
        <v>836</v>
      </c>
      <c r="H33" s="192" t="s">
        <v>428</v>
      </c>
      <c r="I33" s="253"/>
      <c r="J33" s="253"/>
      <c r="K33" s="584">
        <v>25022000</v>
      </c>
      <c r="L33" s="39" t="s">
        <v>8</v>
      </c>
      <c r="M33" s="39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26"/>
    </row>
    <row r="34" spans="1:27" ht="15.75" customHeight="1">
      <c r="A34" s="827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42380</v>
      </c>
      <c r="D34" s="37" t="s">
        <v>842</v>
      </c>
      <c r="E34" s="37">
        <v>42380</v>
      </c>
      <c r="F34" s="40" t="s">
        <v>892</v>
      </c>
      <c r="G34" s="832" t="s">
        <v>836</v>
      </c>
      <c r="H34" s="7"/>
      <c r="I34" s="253"/>
      <c r="J34" s="253"/>
      <c r="K34" s="584">
        <v>20000</v>
      </c>
      <c r="L34" s="39" t="s">
        <v>83</v>
      </c>
      <c r="M34" s="39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26">
        <v>2</v>
      </c>
    </row>
    <row r="35" spans="1:27" ht="15.75" customHeight="1">
      <c r="A35" s="827" t="str">
        <f>IF(B35&lt;&gt;"",IF(AND(B35&gt;=_TM1,B35&lt;=_TM2,OR(TH!L35="1111",TH!M35="1111")),TH!D35,""),"")</f>
        <v/>
      </c>
      <c r="B35" s="36">
        <f t="shared" ref="B35" si="9">IF(C35&lt;&gt;"",MONTH(C35),"")</f>
        <v>1</v>
      </c>
      <c r="C35" s="37">
        <f t="shared" ref="C35" si="10">E35</f>
        <v>42380</v>
      </c>
      <c r="D35" s="37" t="s">
        <v>842</v>
      </c>
      <c r="E35" s="37">
        <v>42380</v>
      </c>
      <c r="F35" s="40" t="s">
        <v>1098</v>
      </c>
      <c r="G35" s="832" t="s">
        <v>836</v>
      </c>
      <c r="H35" s="7"/>
      <c r="I35" s="253"/>
      <c r="J35" s="253"/>
      <c r="K35" s="584">
        <v>2000</v>
      </c>
      <c r="L35" s="39" t="s">
        <v>9</v>
      </c>
      <c r="M35" s="39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26">
        <v>2</v>
      </c>
    </row>
    <row r="36" spans="1:27" ht="15.75" customHeight="1">
      <c r="A36" s="827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42381</v>
      </c>
      <c r="D36" s="37" t="s">
        <v>842</v>
      </c>
      <c r="E36" s="37">
        <v>42381</v>
      </c>
      <c r="F36" s="40" t="s">
        <v>844</v>
      </c>
      <c r="G36" s="832" t="s">
        <v>836</v>
      </c>
      <c r="H36" s="7" t="s">
        <v>1109</v>
      </c>
      <c r="I36" s="253"/>
      <c r="J36" s="253"/>
      <c r="K36" s="584">
        <f>71017528-11000</f>
        <v>71006528</v>
      </c>
      <c r="L36" s="39" t="s">
        <v>8</v>
      </c>
      <c r="M36" s="39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26"/>
    </row>
    <row r="37" spans="1:27" ht="15.75" customHeight="1">
      <c r="A37" s="827" t="str">
        <f>IF(B37&lt;&gt;"",IF(AND(B37&gt;=_TM1,B37&lt;=_TM2,OR(TH!L37="1111",TH!M37="1111")),TH!D37,""),"")</f>
        <v/>
      </c>
      <c r="B37" s="36">
        <f t="shared" ref="B37" si="11">IF(C37&lt;&gt;"",MONTH(C37),"")</f>
        <v>1</v>
      </c>
      <c r="C37" s="37">
        <f t="shared" ref="C37" si="12">E37</f>
        <v>42381</v>
      </c>
      <c r="D37" s="37" t="s">
        <v>842</v>
      </c>
      <c r="E37" s="37">
        <v>42381</v>
      </c>
      <c r="F37" s="40" t="s">
        <v>892</v>
      </c>
      <c r="G37" s="832" t="s">
        <v>836</v>
      </c>
      <c r="H37" s="7"/>
      <c r="I37" s="253"/>
      <c r="J37" s="253"/>
      <c r="K37" s="584">
        <v>11000</v>
      </c>
      <c r="L37" s="39" t="s">
        <v>83</v>
      </c>
      <c r="M37" s="39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26"/>
    </row>
    <row r="38" spans="1:27" ht="15.75" customHeight="1">
      <c r="A38" s="827" t="str">
        <f>IF(B38&lt;&gt;"",IF(AND(B38&gt;=_TM1,B38&lt;=_TM2,OR(TH!L38="1111",TH!M38="1111")),TH!D38,""),"")</f>
        <v/>
      </c>
      <c r="B38" s="36">
        <f t="shared" si="5"/>
        <v>1</v>
      </c>
      <c r="C38" s="37">
        <f t="shared" si="6"/>
        <v>42381</v>
      </c>
      <c r="D38" s="37" t="s">
        <v>842</v>
      </c>
      <c r="E38" s="37">
        <v>42381</v>
      </c>
      <c r="F38" s="40" t="s">
        <v>892</v>
      </c>
      <c r="G38" s="832" t="s">
        <v>836</v>
      </c>
      <c r="H38" s="7"/>
      <c r="I38" s="253"/>
      <c r="J38" s="253"/>
      <c r="K38" s="584">
        <v>20000</v>
      </c>
      <c r="L38" s="39" t="s">
        <v>83</v>
      </c>
      <c r="M38" s="39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26">
        <v>2</v>
      </c>
    </row>
    <row r="39" spans="1:27" ht="15.75" customHeight="1">
      <c r="A39" s="827" t="str">
        <f>IF(B39&lt;&gt;"",IF(AND(B39&gt;=_TM1,B39&lt;=_TM2,OR(TH!L39="1111",TH!M39="1111")),TH!D39,""),"")</f>
        <v/>
      </c>
      <c r="B39" s="36">
        <f t="shared" ref="B39" si="13">IF(C39&lt;&gt;"",MONTH(C39),"")</f>
        <v>1</v>
      </c>
      <c r="C39" s="37">
        <f t="shared" ref="C39" si="14">E39</f>
        <v>42381</v>
      </c>
      <c r="D39" s="37" t="s">
        <v>842</v>
      </c>
      <c r="E39" s="37">
        <v>42381</v>
      </c>
      <c r="F39" s="40" t="s">
        <v>1098</v>
      </c>
      <c r="G39" s="832" t="s">
        <v>836</v>
      </c>
      <c r="H39" s="7"/>
      <c r="I39" s="253"/>
      <c r="J39" s="253"/>
      <c r="K39" s="584">
        <v>2000</v>
      </c>
      <c r="L39" s="39" t="s">
        <v>9</v>
      </c>
      <c r="M39" s="39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26">
        <v>2</v>
      </c>
    </row>
    <row r="40" spans="1:27" ht="15.75" customHeight="1">
      <c r="A40" s="827" t="str">
        <f>IF(B40&lt;&gt;"",IF(AND(B40&gt;=_TM1,B40&lt;=_TM2,OR(TH!L40="1111",TH!M40="1111")),TH!D40,""),"")</f>
        <v>GBN</v>
      </c>
      <c r="B40" s="36">
        <f t="shared" si="5"/>
        <v>1</v>
      </c>
      <c r="C40" s="37">
        <f t="shared" si="6"/>
        <v>42381</v>
      </c>
      <c r="D40" s="37" t="s">
        <v>842</v>
      </c>
      <c r="E40" s="37">
        <v>42381</v>
      </c>
      <c r="F40" s="191" t="s">
        <v>843</v>
      </c>
      <c r="G40" s="832" t="s">
        <v>836</v>
      </c>
      <c r="H40" s="7" t="s">
        <v>837</v>
      </c>
      <c r="I40" s="253"/>
      <c r="J40" s="253"/>
      <c r="K40" s="584">
        <v>21500000</v>
      </c>
      <c r="L40" s="39" t="s">
        <v>47</v>
      </c>
      <c r="M40" s="39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26"/>
    </row>
    <row r="41" spans="1:27" ht="15.75" customHeight="1">
      <c r="A41" s="827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42383</v>
      </c>
      <c r="D41" s="37" t="s">
        <v>842</v>
      </c>
      <c r="E41" s="190">
        <v>42383</v>
      </c>
      <c r="F41" s="191" t="s">
        <v>843</v>
      </c>
      <c r="G41" s="832" t="s">
        <v>836</v>
      </c>
      <c r="H41" s="7" t="s">
        <v>837</v>
      </c>
      <c r="I41" s="253"/>
      <c r="J41" s="253"/>
      <c r="K41" s="584">
        <v>155700000</v>
      </c>
      <c r="L41" s="39" t="s">
        <v>47</v>
      </c>
      <c r="M41" s="39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26"/>
    </row>
    <row r="42" spans="1:27" ht="15.75" customHeight="1">
      <c r="A42" s="827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42387</v>
      </c>
      <c r="D42" s="37" t="s">
        <v>842</v>
      </c>
      <c r="E42" s="190">
        <v>42387</v>
      </c>
      <c r="F42" s="191" t="s">
        <v>843</v>
      </c>
      <c r="G42" s="832" t="s">
        <v>836</v>
      </c>
      <c r="H42" s="7" t="s">
        <v>837</v>
      </c>
      <c r="I42" s="253"/>
      <c r="J42" s="253"/>
      <c r="K42" s="584">
        <v>82600000</v>
      </c>
      <c r="L42" s="39" t="s">
        <v>47</v>
      </c>
      <c r="M42" s="39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26"/>
    </row>
    <row r="43" spans="1:27" ht="15.75" customHeight="1">
      <c r="A43" s="827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42388</v>
      </c>
      <c r="D43" s="37" t="s">
        <v>842</v>
      </c>
      <c r="E43" s="190">
        <v>42388</v>
      </c>
      <c r="F43" s="191" t="s">
        <v>843</v>
      </c>
      <c r="G43" s="832" t="s">
        <v>836</v>
      </c>
      <c r="H43" s="7" t="s">
        <v>837</v>
      </c>
      <c r="I43" s="254"/>
      <c r="J43" s="254"/>
      <c r="K43" s="584">
        <v>40300000</v>
      </c>
      <c r="L43" s="39" t="s">
        <v>47</v>
      </c>
      <c r="M43" s="39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26"/>
    </row>
    <row r="44" spans="1:27" ht="15.75" customHeight="1">
      <c r="A44" s="827" t="str">
        <f>IF(B44&lt;&gt;"",IF(AND(B44&gt;=_TM1,B44&lt;=_TM2,OR(TH!L44="1111",TH!M44="1111")),TH!D44,""),"")</f>
        <v/>
      </c>
      <c r="B44" s="36">
        <f t="shared" si="5"/>
        <v>1</v>
      </c>
      <c r="C44" s="37">
        <f t="shared" si="6"/>
        <v>42388</v>
      </c>
      <c r="D44" s="37" t="s">
        <v>842</v>
      </c>
      <c r="E44" s="190">
        <v>42388</v>
      </c>
      <c r="F44" s="40" t="s">
        <v>844</v>
      </c>
      <c r="G44" s="832" t="s">
        <v>836</v>
      </c>
      <c r="H44" s="192" t="s">
        <v>428</v>
      </c>
      <c r="I44" s="254"/>
      <c r="J44" s="254"/>
      <c r="K44" s="584">
        <v>50022000</v>
      </c>
      <c r="L44" s="39" t="s">
        <v>8</v>
      </c>
      <c r="M44" s="39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26"/>
    </row>
    <row r="45" spans="1:27" ht="15.75" customHeight="1">
      <c r="A45" s="827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42388</v>
      </c>
      <c r="D45" s="37" t="s">
        <v>842</v>
      </c>
      <c r="E45" s="190">
        <v>42388</v>
      </c>
      <c r="F45" s="40" t="s">
        <v>892</v>
      </c>
      <c r="G45" s="832" t="s">
        <v>836</v>
      </c>
      <c r="H45" s="7"/>
      <c r="I45" s="253"/>
      <c r="J45" s="253"/>
      <c r="K45" s="584">
        <v>20000</v>
      </c>
      <c r="L45" s="39" t="s">
        <v>83</v>
      </c>
      <c r="M45" s="39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>x</v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26">
        <v>2</v>
      </c>
    </row>
    <row r="46" spans="1:27" ht="15.75" customHeight="1">
      <c r="A46" s="827" t="str">
        <f>IF(B46&lt;&gt;"",IF(AND(B46&gt;=_TM1,B46&lt;=_TM2,OR(TH!L46="1111",TH!M46="1111")),TH!D46,""),"")</f>
        <v/>
      </c>
      <c r="B46" s="36">
        <f t="shared" ref="B46" si="15">IF(C46&lt;&gt;"",MONTH(C46),"")</f>
        <v>1</v>
      </c>
      <c r="C46" s="37">
        <f t="shared" ref="C46" si="16">E46</f>
        <v>42388</v>
      </c>
      <c r="D46" s="37" t="s">
        <v>842</v>
      </c>
      <c r="E46" s="190">
        <v>42388</v>
      </c>
      <c r="F46" s="40" t="s">
        <v>1098</v>
      </c>
      <c r="G46" s="832" t="s">
        <v>836</v>
      </c>
      <c r="H46" s="7"/>
      <c r="I46" s="253"/>
      <c r="J46" s="253"/>
      <c r="K46" s="584">
        <v>2000</v>
      </c>
      <c r="L46" s="39" t="s">
        <v>9</v>
      </c>
      <c r="M46" s="39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26">
        <v>2</v>
      </c>
    </row>
    <row r="47" spans="1:27" ht="15.75" customHeight="1">
      <c r="A47" s="827" t="str">
        <f>IF(B47&lt;&gt;"",IF(AND(B47&gt;=_TM1,B47&lt;=_TM2,OR(TH!L47="1111",TH!M47="1111")),TH!D47,""),"")</f>
        <v/>
      </c>
      <c r="B47" s="36">
        <f t="shared" si="5"/>
        <v>1</v>
      </c>
      <c r="C47" s="37">
        <f t="shared" si="6"/>
        <v>42391</v>
      </c>
      <c r="D47" s="37" t="s">
        <v>835</v>
      </c>
      <c r="E47" s="190">
        <v>42391</v>
      </c>
      <c r="F47" s="40" t="s">
        <v>839</v>
      </c>
      <c r="G47" s="832" t="s">
        <v>836</v>
      </c>
      <c r="H47" s="7" t="s">
        <v>890</v>
      </c>
      <c r="I47" s="253"/>
      <c r="J47" s="253"/>
      <c r="K47" s="38">
        <v>16588800</v>
      </c>
      <c r="L47" s="39" t="s">
        <v>24</v>
      </c>
      <c r="M47" s="39" t="s">
        <v>251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26"/>
    </row>
    <row r="48" spans="1:27" ht="15.75" customHeight="1">
      <c r="A48" s="827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42394</v>
      </c>
      <c r="D48" s="37" t="s">
        <v>835</v>
      </c>
      <c r="E48" s="37">
        <v>42394</v>
      </c>
      <c r="F48" s="40" t="s">
        <v>840</v>
      </c>
      <c r="G48" s="832" t="s">
        <v>836</v>
      </c>
      <c r="H48" s="7"/>
      <c r="I48" s="253"/>
      <c r="J48" s="253"/>
      <c r="K48" s="584">
        <v>3193</v>
      </c>
      <c r="L48" s="39" t="s">
        <v>24</v>
      </c>
      <c r="M48" s="39" t="s">
        <v>40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26"/>
    </row>
    <row r="49" spans="1:27" ht="15.75" customHeight="1">
      <c r="A49" s="827" t="str">
        <f>IF(B49&lt;&gt;"",IF(AND(B49&gt;=_TM1,B49&lt;=_TM2,OR(TH!L49="1111",TH!M49="1111")),TH!D49,""),"")</f>
        <v>GBC</v>
      </c>
      <c r="B49" s="36">
        <f t="shared" si="5"/>
        <v>1</v>
      </c>
      <c r="C49" s="37">
        <f t="shared" si="6"/>
        <v>42394</v>
      </c>
      <c r="D49" s="37" t="s">
        <v>835</v>
      </c>
      <c r="E49" s="37">
        <v>42394</v>
      </c>
      <c r="F49" s="40" t="s">
        <v>838</v>
      </c>
      <c r="G49" s="832" t="s">
        <v>836</v>
      </c>
      <c r="H49" s="7" t="s">
        <v>837</v>
      </c>
      <c r="I49" s="253"/>
      <c r="J49" s="253"/>
      <c r="K49" s="584">
        <v>20000000</v>
      </c>
      <c r="L49" s="39" t="s">
        <v>24</v>
      </c>
      <c r="M49" s="39" t="s">
        <v>47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26"/>
    </row>
    <row r="50" spans="1:27" ht="15.75" customHeight="1">
      <c r="A50" s="827" t="str">
        <f>IF(B50&lt;&gt;"",IF(AND(B50&gt;=_TM1,B50&lt;=_TM2,OR(TH!L50="1111",TH!M50="1111")),TH!D50,""),"")</f>
        <v/>
      </c>
      <c r="B50" s="36">
        <f t="shared" si="5"/>
        <v>1</v>
      </c>
      <c r="C50" s="37">
        <f t="shared" si="6"/>
        <v>42394</v>
      </c>
      <c r="D50" s="37" t="s">
        <v>835</v>
      </c>
      <c r="E50" s="37">
        <v>42394</v>
      </c>
      <c r="F50" s="40" t="s">
        <v>839</v>
      </c>
      <c r="G50" s="832" t="s">
        <v>836</v>
      </c>
      <c r="H50" s="192" t="s">
        <v>662</v>
      </c>
      <c r="I50" s="253"/>
      <c r="J50" s="253"/>
      <c r="K50" s="584">
        <v>182127000</v>
      </c>
      <c r="L50" s="39" t="s">
        <v>24</v>
      </c>
      <c r="M50" s="39" t="s">
        <v>251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26"/>
    </row>
    <row r="51" spans="1:27" ht="15.75" customHeight="1">
      <c r="A51" s="827" t="str">
        <f>IF(B51&lt;&gt;"",IF(AND(B51&gt;=_TM1,B51&lt;=_TM2,OR(TH!L51="1111",TH!M51="1111")),TH!D51,""),"")</f>
        <v>GBC</v>
      </c>
      <c r="B51" s="36">
        <f t="shared" si="5"/>
        <v>1</v>
      </c>
      <c r="C51" s="37">
        <f t="shared" si="6"/>
        <v>42395</v>
      </c>
      <c r="D51" s="37" t="s">
        <v>835</v>
      </c>
      <c r="E51" s="37">
        <v>42395</v>
      </c>
      <c r="F51" s="40" t="s">
        <v>838</v>
      </c>
      <c r="G51" s="832" t="s">
        <v>836</v>
      </c>
      <c r="H51" s="7" t="s">
        <v>837</v>
      </c>
      <c r="I51" s="253"/>
      <c r="J51" s="253"/>
      <c r="K51" s="584">
        <v>300000</v>
      </c>
      <c r="L51" s="39" t="s">
        <v>24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26"/>
    </row>
    <row r="52" spans="1:27" ht="15.75" customHeight="1">
      <c r="A52" s="827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42395</v>
      </c>
      <c r="D52" s="37" t="s">
        <v>835</v>
      </c>
      <c r="E52" s="37">
        <v>42395</v>
      </c>
      <c r="F52" s="40" t="s">
        <v>838</v>
      </c>
      <c r="G52" s="832" t="s">
        <v>836</v>
      </c>
      <c r="H52" s="7" t="s">
        <v>837</v>
      </c>
      <c r="I52" s="253"/>
      <c r="J52" s="253"/>
      <c r="K52" s="584">
        <v>500800000</v>
      </c>
      <c r="L52" s="39" t="s">
        <v>24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26"/>
    </row>
    <row r="53" spans="1:27" ht="15.75" customHeight="1">
      <c r="A53" s="827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42395</v>
      </c>
      <c r="D53" s="37" t="s">
        <v>835</v>
      </c>
      <c r="E53" s="37">
        <v>42395</v>
      </c>
      <c r="F53" s="40" t="s">
        <v>839</v>
      </c>
      <c r="G53" s="832" t="s">
        <v>836</v>
      </c>
      <c r="H53" s="204" t="s">
        <v>893</v>
      </c>
      <c r="I53" s="253"/>
      <c r="J53" s="253"/>
      <c r="K53" s="584">
        <v>6830004</v>
      </c>
      <c r="L53" s="39" t="s">
        <v>24</v>
      </c>
      <c r="M53" s="39" t="s">
        <v>251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26"/>
    </row>
    <row r="54" spans="1:27" ht="15.75" customHeight="1">
      <c r="A54" s="827" t="str">
        <f>IF(B54&lt;&gt;"",IF(AND(B54&gt;=_TM1,B54&lt;=_TM2,OR(TH!L54="1111",TH!M54="1111")),TH!D54,""),"")</f>
        <v>GBC</v>
      </c>
      <c r="B54" s="36">
        <f t="shared" si="5"/>
        <v>1</v>
      </c>
      <c r="C54" s="37">
        <f t="shared" si="6"/>
        <v>42397</v>
      </c>
      <c r="D54" s="37" t="s">
        <v>835</v>
      </c>
      <c r="E54" s="37">
        <v>42397</v>
      </c>
      <c r="F54" s="40" t="s">
        <v>838</v>
      </c>
      <c r="G54" s="832" t="s">
        <v>836</v>
      </c>
      <c r="H54" s="7" t="s">
        <v>837</v>
      </c>
      <c r="I54" s="253"/>
      <c r="J54" s="253"/>
      <c r="K54" s="584">
        <v>35000000</v>
      </c>
      <c r="L54" s="39" t="s">
        <v>24</v>
      </c>
      <c r="M54" s="39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26"/>
    </row>
    <row r="55" spans="1:27" ht="15.75" customHeight="1">
      <c r="A55" s="827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42397</v>
      </c>
      <c r="D55" s="37" t="s">
        <v>835</v>
      </c>
      <c r="E55" s="37">
        <v>42397</v>
      </c>
      <c r="F55" s="40" t="s">
        <v>839</v>
      </c>
      <c r="G55" s="832" t="s">
        <v>836</v>
      </c>
      <c r="H55" s="7" t="s">
        <v>841</v>
      </c>
      <c r="I55" s="253"/>
      <c r="J55" s="253"/>
      <c r="K55" s="584">
        <v>9570000</v>
      </c>
      <c r="L55" s="39" t="s">
        <v>24</v>
      </c>
      <c r="M55" s="39" t="s">
        <v>251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26"/>
    </row>
    <row r="56" spans="1:27" ht="15.75" customHeight="1">
      <c r="A56" s="827" t="str">
        <f>IF(B56&lt;&gt;"",IF(AND(B56&gt;=_TM1,B56&lt;=_TM2,OR(TH!L56="1111",TH!M56="1111")),TH!D56,""),"")</f>
        <v>GBN</v>
      </c>
      <c r="B56" s="36">
        <f t="shared" si="5"/>
        <v>1</v>
      </c>
      <c r="C56" s="37">
        <f t="shared" si="6"/>
        <v>42391</v>
      </c>
      <c r="D56" s="37" t="s">
        <v>842</v>
      </c>
      <c r="E56" s="37">
        <v>42391</v>
      </c>
      <c r="F56" s="191" t="s">
        <v>843</v>
      </c>
      <c r="G56" s="832" t="s">
        <v>836</v>
      </c>
      <c r="H56" s="7" t="s">
        <v>837</v>
      </c>
      <c r="I56" s="253"/>
      <c r="J56" s="253"/>
      <c r="K56" s="584">
        <v>16500000</v>
      </c>
      <c r="L56" s="39" t="s">
        <v>47</v>
      </c>
      <c r="M56" s="39" t="s">
        <v>24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>x</v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26"/>
    </row>
    <row r="57" spans="1:27" ht="15.75" customHeight="1">
      <c r="A57" s="827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42394</v>
      </c>
      <c r="D57" s="37" t="s">
        <v>842</v>
      </c>
      <c r="E57" s="37">
        <v>42394</v>
      </c>
      <c r="F57" s="40" t="s">
        <v>847</v>
      </c>
      <c r="G57" s="832" t="s">
        <v>836</v>
      </c>
      <c r="H57" s="7"/>
      <c r="I57" s="253"/>
      <c r="J57" s="253"/>
      <c r="K57" s="584">
        <v>10000</v>
      </c>
      <c r="L57" s="39" t="s">
        <v>83</v>
      </c>
      <c r="M57" s="39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>x</v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26">
        <v>2</v>
      </c>
    </row>
    <row r="58" spans="1:27" ht="15.75" customHeight="1">
      <c r="A58" s="827" t="str">
        <f>IF(B58&lt;&gt;"",IF(AND(B58&gt;=_TM1,B58&lt;=_TM2,OR(TH!L58="1111",TH!M58="1111")),TH!D58,""),"")</f>
        <v/>
      </c>
      <c r="B58" s="36">
        <f t="shared" ref="B58" si="17">IF(C58&lt;&gt;"",MONTH(C58),"")</f>
        <v>1</v>
      </c>
      <c r="C58" s="37">
        <f t="shared" ref="C58" si="18">E58</f>
        <v>42394</v>
      </c>
      <c r="D58" s="37" t="s">
        <v>842</v>
      </c>
      <c r="E58" s="37">
        <v>42394</v>
      </c>
      <c r="F58" s="40" t="s">
        <v>848</v>
      </c>
      <c r="G58" s="832" t="s">
        <v>836</v>
      </c>
      <c r="H58" s="7"/>
      <c r="I58" s="253"/>
      <c r="J58" s="253"/>
      <c r="K58" s="584">
        <v>1000</v>
      </c>
      <c r="L58" s="39" t="s">
        <v>9</v>
      </c>
      <c r="M58" s="39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26">
        <v>2</v>
      </c>
    </row>
    <row r="59" spans="1:27" ht="15.75" customHeight="1">
      <c r="A59" s="827" t="str">
        <f>IF(B59&lt;&gt;"",IF(AND(B59&gt;=_TM1,B59&lt;=_TM2,OR(TH!L59="1111",TH!M59="1111")),TH!D59,""),"")</f>
        <v/>
      </c>
      <c r="B59" s="36">
        <f t="shared" si="5"/>
        <v>1</v>
      </c>
      <c r="C59" s="37">
        <f t="shared" si="6"/>
        <v>42394</v>
      </c>
      <c r="D59" s="37" t="s">
        <v>842</v>
      </c>
      <c r="E59" s="37">
        <v>42394</v>
      </c>
      <c r="F59" s="40" t="s">
        <v>892</v>
      </c>
      <c r="G59" s="832" t="s">
        <v>836</v>
      </c>
      <c r="H59" s="7"/>
      <c r="I59" s="253"/>
      <c r="J59" s="253"/>
      <c r="K59" s="584">
        <v>20000</v>
      </c>
      <c r="L59" s="39" t="s">
        <v>83</v>
      </c>
      <c r="M59" s="39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26">
        <v>2</v>
      </c>
    </row>
    <row r="60" spans="1:27" ht="15.75" customHeight="1">
      <c r="A60" s="827" t="str">
        <f>IF(B60&lt;&gt;"",IF(AND(B60&gt;=_TM1,B60&lt;=_TM2,OR(TH!L60="1111",TH!M60="1111")),TH!D60,""),"")</f>
        <v/>
      </c>
      <c r="B60" s="36">
        <f t="shared" ref="B60" si="19">IF(C60&lt;&gt;"",MONTH(C60),"")</f>
        <v>1</v>
      </c>
      <c r="C60" s="37">
        <f t="shared" ref="C60" si="20">E60</f>
        <v>42394</v>
      </c>
      <c r="D60" s="37" t="s">
        <v>842</v>
      </c>
      <c r="E60" s="37">
        <v>42394</v>
      </c>
      <c r="F60" s="40" t="s">
        <v>1098</v>
      </c>
      <c r="G60" s="832" t="s">
        <v>836</v>
      </c>
      <c r="H60" s="7"/>
      <c r="I60" s="253"/>
      <c r="J60" s="253"/>
      <c r="K60" s="584">
        <v>2000</v>
      </c>
      <c r="L60" s="39" t="s">
        <v>9</v>
      </c>
      <c r="M60" s="39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26">
        <v>2</v>
      </c>
    </row>
    <row r="61" spans="1:27" ht="15.75" customHeight="1">
      <c r="A61" s="827" t="str">
        <f>IF(B61&lt;&gt;"",IF(AND(B61&gt;=_TM1,B61&lt;=_TM2,OR(TH!L61="1111",TH!M61="1111")),TH!D61,""),"")</f>
        <v/>
      </c>
      <c r="B61" s="36">
        <f t="shared" si="5"/>
        <v>1</v>
      </c>
      <c r="C61" s="37">
        <f t="shared" si="6"/>
        <v>42394</v>
      </c>
      <c r="D61" s="37" t="s">
        <v>842</v>
      </c>
      <c r="E61" s="37">
        <v>42394</v>
      </c>
      <c r="F61" s="40" t="s">
        <v>844</v>
      </c>
      <c r="G61" s="832" t="s">
        <v>836</v>
      </c>
      <c r="H61" s="192" t="s">
        <v>428</v>
      </c>
      <c r="I61" s="253"/>
      <c r="J61" s="253"/>
      <c r="K61" s="584">
        <v>20022000</v>
      </c>
      <c r="L61" s="39" t="s">
        <v>8</v>
      </c>
      <c r="M61" s="39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26"/>
    </row>
    <row r="62" spans="1:27" ht="15.75" customHeight="1">
      <c r="A62" s="827" t="str">
        <f>IF(B62&lt;&gt;"",IF(AND(B62&gt;=_TM1,B62&lt;=_TM2,OR(TH!L62="1111",TH!M62="1111")),TH!D62,""),"")</f>
        <v>GBN</v>
      </c>
      <c r="B62" s="36">
        <f t="shared" si="5"/>
        <v>1</v>
      </c>
      <c r="C62" s="37">
        <f t="shared" si="6"/>
        <v>42395</v>
      </c>
      <c r="D62" s="37" t="s">
        <v>842</v>
      </c>
      <c r="E62" s="37">
        <v>42395</v>
      </c>
      <c r="F62" s="191" t="s">
        <v>843</v>
      </c>
      <c r="G62" s="832" t="s">
        <v>836</v>
      </c>
      <c r="H62" s="7" t="s">
        <v>837</v>
      </c>
      <c r="I62" s="253"/>
      <c r="J62" s="253"/>
      <c r="K62" s="584">
        <v>182127000</v>
      </c>
      <c r="L62" s="39" t="s">
        <v>47</v>
      </c>
      <c r="M62" s="39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>x</v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26"/>
    </row>
    <row r="63" spans="1:27" ht="15.75" customHeight="1">
      <c r="A63" s="827" t="str">
        <f>IF(B63&lt;&gt;"",IF(AND(B63&gt;=_TM1,B63&lt;=_TM2,OR(TH!L63="1111",TH!M63="1111")),TH!D63,""),"")</f>
        <v/>
      </c>
      <c r="B63" s="36">
        <f t="shared" ref="B63:B120" si="21">IF(C63&lt;&gt;"",MONTH(C63),"")</f>
        <v>1</v>
      </c>
      <c r="C63" s="37">
        <f t="shared" si="6"/>
        <v>42395</v>
      </c>
      <c r="D63" s="37" t="s">
        <v>842</v>
      </c>
      <c r="E63" s="37">
        <v>42395</v>
      </c>
      <c r="F63" s="40" t="s">
        <v>844</v>
      </c>
      <c r="G63" s="832" t="s">
        <v>836</v>
      </c>
      <c r="H63" s="192" t="s">
        <v>445</v>
      </c>
      <c r="I63" s="253"/>
      <c r="J63" s="253"/>
      <c r="K63" s="584">
        <v>240581220</v>
      </c>
      <c r="L63" s="39" t="s">
        <v>8</v>
      </c>
      <c r="M63" s="39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26"/>
    </row>
    <row r="64" spans="1:27" ht="15.75" customHeight="1">
      <c r="A64" s="827" t="str">
        <f>IF(B64&lt;&gt;"",IF(AND(B64&gt;=_TM1,B64&lt;=_TM2,OR(TH!L64="1111",TH!M64="1111")),TH!D64,""),"")</f>
        <v/>
      </c>
      <c r="B64" s="36">
        <f t="shared" si="21"/>
        <v>1</v>
      </c>
      <c r="C64" s="37">
        <f t="shared" si="6"/>
        <v>42395</v>
      </c>
      <c r="D64" s="37" t="s">
        <v>842</v>
      </c>
      <c r="E64" s="37">
        <v>42395</v>
      </c>
      <c r="F64" s="40" t="s">
        <v>844</v>
      </c>
      <c r="G64" s="832" t="s">
        <v>836</v>
      </c>
      <c r="H64" s="7" t="s">
        <v>1111</v>
      </c>
      <c r="I64" s="253"/>
      <c r="J64" s="253"/>
      <c r="K64" s="584">
        <f>162659223-22000</f>
        <v>162637223</v>
      </c>
      <c r="L64" s="39" t="s">
        <v>8</v>
      </c>
      <c r="M64" s="39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26"/>
    </row>
    <row r="65" spans="1:27" ht="15.75" customHeight="1">
      <c r="A65" s="827" t="str">
        <f>IF(B65&lt;&gt;"",IF(AND(B65&gt;=_TM1,B65&lt;=_TM2,OR(TH!L65="1111",TH!M65="1111")),TH!D65,""),"")</f>
        <v/>
      </c>
      <c r="B65" s="36">
        <f t="shared" ref="B65" si="22">IF(C65&lt;&gt;"",MONTH(C65),"")</f>
        <v>1</v>
      </c>
      <c r="C65" s="37">
        <f t="shared" ref="C65" si="23">E65</f>
        <v>42395</v>
      </c>
      <c r="D65" s="37" t="s">
        <v>842</v>
      </c>
      <c r="E65" s="37">
        <v>42395</v>
      </c>
      <c r="F65" s="40" t="s">
        <v>850</v>
      </c>
      <c r="G65" s="832" t="s">
        <v>836</v>
      </c>
      <c r="H65" s="7" t="s">
        <v>1111</v>
      </c>
      <c r="I65" s="253"/>
      <c r="J65" s="253"/>
      <c r="K65" s="584">
        <v>22000</v>
      </c>
      <c r="L65" s="39" t="s">
        <v>83</v>
      </c>
      <c r="M65" s="3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>x</v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26"/>
    </row>
    <row r="66" spans="1:27" ht="15.75" customHeight="1">
      <c r="A66" s="827" t="str">
        <f>IF(B66&lt;&gt;"",IF(AND(B66&gt;=_TM1,B66&lt;=_TM2,OR(TH!L66="1111",TH!M66="1111")),TH!D66,""),"")</f>
        <v/>
      </c>
      <c r="B66" s="36">
        <f t="shared" si="21"/>
        <v>1</v>
      </c>
      <c r="C66" s="37">
        <f t="shared" si="6"/>
        <v>42395</v>
      </c>
      <c r="D66" s="37" t="s">
        <v>842</v>
      </c>
      <c r="E66" s="37">
        <v>42395</v>
      </c>
      <c r="F66" s="40" t="s">
        <v>844</v>
      </c>
      <c r="G66" s="832" t="s">
        <v>836</v>
      </c>
      <c r="H66" s="7" t="s">
        <v>1110</v>
      </c>
      <c r="I66" s="253"/>
      <c r="J66" s="253"/>
      <c r="K66" s="584">
        <f>97662136-22000</f>
        <v>97640136</v>
      </c>
      <c r="L66" s="39" t="s">
        <v>8</v>
      </c>
      <c r="M66" s="39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26"/>
    </row>
    <row r="67" spans="1:27" ht="15.75" customHeight="1">
      <c r="A67" s="827" t="str">
        <f>IF(B67&lt;&gt;"",IF(AND(B67&gt;=_TM1,B67&lt;=_TM2,OR(TH!L67="1111",TH!M67="1111")),TH!D67,""),"")</f>
        <v/>
      </c>
      <c r="B67" s="36">
        <f t="shared" ref="B67" si="24">IF(C67&lt;&gt;"",MONTH(C67),"")</f>
        <v>1</v>
      </c>
      <c r="C67" s="37">
        <f t="shared" ref="C67" si="25">E67</f>
        <v>42395</v>
      </c>
      <c r="D67" s="37" t="s">
        <v>842</v>
      </c>
      <c r="E67" s="37">
        <v>42395</v>
      </c>
      <c r="F67" s="40" t="s">
        <v>850</v>
      </c>
      <c r="G67" s="832" t="s">
        <v>836</v>
      </c>
      <c r="H67" s="7" t="s">
        <v>1110</v>
      </c>
      <c r="I67" s="253"/>
      <c r="J67" s="253"/>
      <c r="K67" s="584">
        <v>22000</v>
      </c>
      <c r="L67" s="39" t="s">
        <v>83</v>
      </c>
      <c r="M67" s="39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>x</v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26"/>
    </row>
    <row r="68" spans="1:27" ht="15.75" customHeight="1">
      <c r="A68" s="827" t="str">
        <f>IF(B68&lt;&gt;"",IF(AND(B68&gt;=_TM1,B68&lt;=_TM2,OR(TH!L68="1111",TH!M68="1111")),TH!D68,""),"")</f>
        <v/>
      </c>
      <c r="B68" s="36">
        <f t="shared" si="21"/>
        <v>1</v>
      </c>
      <c r="C68" s="37">
        <f t="shared" si="6"/>
        <v>42395</v>
      </c>
      <c r="D68" s="37" t="s">
        <v>842</v>
      </c>
      <c r="E68" s="37">
        <v>42395</v>
      </c>
      <c r="F68" s="40" t="s">
        <v>892</v>
      </c>
      <c r="G68" s="832" t="s">
        <v>836</v>
      </c>
      <c r="H68" s="7"/>
      <c r="I68" s="253"/>
      <c r="J68" s="253"/>
      <c r="K68" s="584">
        <v>150251</v>
      </c>
      <c r="L68" s="585" t="s">
        <v>83</v>
      </c>
      <c r="M68" s="39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26">
        <v>2</v>
      </c>
    </row>
    <row r="69" spans="1:27" ht="15.75" customHeight="1">
      <c r="A69" s="827" t="str">
        <f>IF(B69&lt;&gt;"",IF(AND(B69&gt;=_TM1,B69&lt;=_TM2,OR(TH!L69="1111",TH!M69="1111")),TH!D69,""),"")</f>
        <v/>
      </c>
      <c r="B69" s="36">
        <f t="shared" ref="B69" si="26">IF(C69&lt;&gt;"",MONTH(C69),"")</f>
        <v>1</v>
      </c>
      <c r="C69" s="37">
        <f t="shared" ref="C69" si="27">E69</f>
        <v>42395</v>
      </c>
      <c r="D69" s="37" t="s">
        <v>842</v>
      </c>
      <c r="E69" s="37">
        <v>42395</v>
      </c>
      <c r="F69" s="40" t="s">
        <v>1098</v>
      </c>
      <c r="G69" s="832" t="s">
        <v>836</v>
      </c>
      <c r="H69" s="7"/>
      <c r="I69" s="253"/>
      <c r="J69" s="253"/>
      <c r="K69" s="584">
        <v>15025</v>
      </c>
      <c r="L69" s="39" t="s">
        <v>9</v>
      </c>
      <c r="M69" s="39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26">
        <v>2</v>
      </c>
    </row>
    <row r="70" spans="1:27" ht="15.75" customHeight="1">
      <c r="A70" s="827" t="str">
        <f>IF(B70&lt;&gt;"",IF(AND(B70&gt;=_TM1,B70&lt;=_TM2,OR(TH!L70="1111",TH!M70="1111")),TH!D70,""),"")</f>
        <v>GBN</v>
      </c>
      <c r="B70" s="36">
        <f t="shared" si="21"/>
        <v>1</v>
      </c>
      <c r="C70" s="37">
        <f t="shared" si="6"/>
        <v>42395</v>
      </c>
      <c r="D70" s="37" t="s">
        <v>842</v>
      </c>
      <c r="E70" s="37">
        <v>42395</v>
      </c>
      <c r="F70" s="191" t="s">
        <v>843</v>
      </c>
      <c r="G70" s="832" t="s">
        <v>836</v>
      </c>
      <c r="H70" s="7" t="s">
        <v>837</v>
      </c>
      <c r="I70" s="253"/>
      <c r="J70" s="253"/>
      <c r="K70" s="584">
        <v>6900000</v>
      </c>
      <c r="L70" s="39" t="s">
        <v>47</v>
      </c>
      <c r="M70" s="39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>x</v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26"/>
    </row>
    <row r="71" spans="1:27" ht="15.75" customHeight="1">
      <c r="A71" s="827" t="str">
        <f>IF(B71&lt;&gt;"",IF(AND(B71&gt;=_TM1,B71&lt;=_TM2,OR(TH!L71="1111",TH!M71="1111")),TH!D71,""),"")</f>
        <v/>
      </c>
      <c r="B71" s="36">
        <f t="shared" si="21"/>
        <v>1</v>
      </c>
      <c r="C71" s="37">
        <f t="shared" si="6"/>
        <v>42397</v>
      </c>
      <c r="D71" s="37" t="s">
        <v>842</v>
      </c>
      <c r="E71" s="741">
        <v>42397</v>
      </c>
      <c r="F71" s="40" t="s">
        <v>844</v>
      </c>
      <c r="G71" s="832" t="s">
        <v>836</v>
      </c>
      <c r="H71" s="192" t="s">
        <v>428</v>
      </c>
      <c r="I71" s="767"/>
      <c r="J71" s="253"/>
      <c r="K71" s="584">
        <v>35022000</v>
      </c>
      <c r="L71" s="39" t="s">
        <v>8</v>
      </c>
      <c r="M71" s="39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26"/>
    </row>
    <row r="72" spans="1:27" ht="15.75" customHeight="1">
      <c r="A72" s="827" t="str">
        <f>IF(B72&lt;&gt;"",IF(AND(B72&gt;=_TM1,B72&lt;=_TM2,OR(TH!L72="1111",TH!M72="1111")),TH!D72,""),"")</f>
        <v/>
      </c>
      <c r="B72" s="36">
        <f t="shared" si="21"/>
        <v>1</v>
      </c>
      <c r="C72" s="37">
        <f t="shared" si="6"/>
        <v>42397</v>
      </c>
      <c r="D72" s="37" t="s">
        <v>842</v>
      </c>
      <c r="E72" s="741">
        <v>42397</v>
      </c>
      <c r="F72" s="40" t="s">
        <v>892</v>
      </c>
      <c r="G72" s="832" t="s">
        <v>836</v>
      </c>
      <c r="H72" s="7"/>
      <c r="I72" s="253"/>
      <c r="J72" s="253"/>
      <c r="K72" s="584">
        <v>20000</v>
      </c>
      <c r="L72" s="39" t="s">
        <v>83</v>
      </c>
      <c r="M72" s="39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26">
        <v>2</v>
      </c>
    </row>
    <row r="73" spans="1:27" ht="15.75" customHeight="1">
      <c r="A73" s="827" t="str">
        <f>IF(B73&lt;&gt;"",IF(AND(B73&gt;=_TM1,B73&lt;=_TM2,OR(TH!L73="1111",TH!M73="1111")),TH!D73,""),"")</f>
        <v/>
      </c>
      <c r="B73" s="36">
        <f t="shared" ref="B73" si="28">IF(C73&lt;&gt;"",MONTH(C73),"")</f>
        <v>1</v>
      </c>
      <c r="C73" s="37">
        <f t="shared" ref="C73" si="29">E73</f>
        <v>42397</v>
      </c>
      <c r="D73" s="37" t="s">
        <v>842</v>
      </c>
      <c r="E73" s="741">
        <v>42397</v>
      </c>
      <c r="F73" s="40" t="s">
        <v>1098</v>
      </c>
      <c r="G73" s="832" t="s">
        <v>836</v>
      </c>
      <c r="H73" s="7"/>
      <c r="I73" s="253"/>
      <c r="J73" s="253"/>
      <c r="K73" s="584">
        <v>2000</v>
      </c>
      <c r="L73" s="39" t="s">
        <v>9</v>
      </c>
      <c r="M73" s="39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26">
        <v>2</v>
      </c>
    </row>
    <row r="74" spans="1:27" ht="15.75" customHeight="1">
      <c r="A74" s="827" t="str">
        <f>IF(B74&lt;&gt;"",IF(AND(B74&gt;=_TM1,B74&lt;=_TM2,OR(TH!L74="1111",TH!M74="1111")),TH!D74,""),"")</f>
        <v>GBN</v>
      </c>
      <c r="B74" s="36">
        <f t="shared" si="21"/>
        <v>1</v>
      </c>
      <c r="C74" s="37">
        <f t="shared" si="6"/>
        <v>42398</v>
      </c>
      <c r="D74" s="37" t="s">
        <v>842</v>
      </c>
      <c r="E74" s="741">
        <v>42398</v>
      </c>
      <c r="F74" s="191" t="s">
        <v>843</v>
      </c>
      <c r="G74" s="832" t="s">
        <v>836</v>
      </c>
      <c r="H74" s="7" t="s">
        <v>837</v>
      </c>
      <c r="I74" s="253"/>
      <c r="J74" s="253"/>
      <c r="K74" s="584">
        <v>9500000</v>
      </c>
      <c r="L74" s="39" t="s">
        <v>47</v>
      </c>
      <c r="M74" s="39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>x</v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26"/>
    </row>
    <row r="75" spans="1:27" ht="15.75" customHeight="1">
      <c r="A75" s="827" t="str">
        <f>IF(B75&lt;&gt;"",IF(AND(B75&gt;=_TM1,B75&lt;=_TM2,OR(TH!L75="1111",TH!M75="1111")),TH!D75,""),"")</f>
        <v/>
      </c>
      <c r="B75" s="36">
        <f t="shared" si="21"/>
        <v>2</v>
      </c>
      <c r="C75" s="37">
        <f t="shared" si="6"/>
        <v>42403</v>
      </c>
      <c r="D75" s="37" t="s">
        <v>835</v>
      </c>
      <c r="E75" s="741">
        <v>42403</v>
      </c>
      <c r="F75" s="40" t="s">
        <v>839</v>
      </c>
      <c r="G75" s="832" t="s">
        <v>836</v>
      </c>
      <c r="H75" s="192" t="s">
        <v>894</v>
      </c>
      <c r="I75" s="253"/>
      <c r="J75" s="253"/>
      <c r="K75" s="584">
        <v>7315000</v>
      </c>
      <c r="L75" s="39" t="s">
        <v>24</v>
      </c>
      <c r="M75" s="39" t="s">
        <v>251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26"/>
    </row>
    <row r="76" spans="1:27" ht="15.75" customHeight="1">
      <c r="A76" s="827" t="str">
        <f>IF(B76&lt;&gt;"",IF(AND(B76&gt;=_TM1,B76&lt;=_TM2,OR(TH!L76="1111",TH!M76="1111")),TH!D76,""),"")</f>
        <v>GBC</v>
      </c>
      <c r="B76" s="36">
        <f t="shared" si="21"/>
        <v>2</v>
      </c>
      <c r="C76" s="37">
        <f t="shared" si="6"/>
        <v>42424</v>
      </c>
      <c r="D76" s="37" t="s">
        <v>835</v>
      </c>
      <c r="E76" s="741">
        <v>42424</v>
      </c>
      <c r="F76" s="40" t="s">
        <v>838</v>
      </c>
      <c r="G76" s="832" t="s">
        <v>836</v>
      </c>
      <c r="H76" s="7" t="s">
        <v>837</v>
      </c>
      <c r="I76" s="767"/>
      <c r="J76" s="253"/>
      <c r="K76" s="584">
        <v>25000000</v>
      </c>
      <c r="L76" s="39" t="s">
        <v>24</v>
      </c>
      <c r="M76" s="39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>x</v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26"/>
    </row>
    <row r="77" spans="1:27" ht="15.75" customHeight="1">
      <c r="A77" s="827" t="str">
        <f>IF(B77&lt;&gt;"",IF(AND(B77&gt;=_TM1,B77&lt;=_TM2,OR(TH!L77="1111",TH!M77="1111")),TH!D77,""),"")</f>
        <v>GBC</v>
      </c>
      <c r="B77" s="36">
        <f t="shared" si="21"/>
        <v>2</v>
      </c>
      <c r="C77" s="37">
        <f t="shared" si="6"/>
        <v>42424</v>
      </c>
      <c r="D77" s="37" t="s">
        <v>835</v>
      </c>
      <c r="E77" s="741">
        <v>42424</v>
      </c>
      <c r="F77" s="40" t="s">
        <v>838</v>
      </c>
      <c r="G77" s="832" t="s">
        <v>836</v>
      </c>
      <c r="H77" s="7" t="s">
        <v>837</v>
      </c>
      <c r="I77" s="767"/>
      <c r="J77" s="253"/>
      <c r="K77" s="584">
        <v>50000</v>
      </c>
      <c r="L77" s="39" t="s">
        <v>24</v>
      </c>
      <c r="M77" s="39" t="s">
        <v>47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>x</v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26"/>
    </row>
    <row r="78" spans="1:27" ht="15.75" customHeight="1">
      <c r="A78" s="827" t="str">
        <f>IF(B78&lt;&gt;"",IF(AND(B78&gt;=_TM1,B78&lt;=_TM2,OR(TH!L78="1111",TH!M78="1111")),TH!D78,""),"")</f>
        <v/>
      </c>
      <c r="B78" s="36">
        <f t="shared" si="21"/>
        <v>2</v>
      </c>
      <c r="C78" s="37">
        <f t="shared" si="6"/>
        <v>42424</v>
      </c>
      <c r="D78" s="37" t="s">
        <v>835</v>
      </c>
      <c r="E78" s="741">
        <v>42424</v>
      </c>
      <c r="F78" s="40" t="s">
        <v>839</v>
      </c>
      <c r="G78" s="832" t="s">
        <v>836</v>
      </c>
      <c r="H78" s="192" t="s">
        <v>678</v>
      </c>
      <c r="I78" s="253"/>
      <c r="J78" s="253"/>
      <c r="K78" s="584">
        <v>21965374</v>
      </c>
      <c r="L78" s="39" t="s">
        <v>24</v>
      </c>
      <c r="M78" s="39" t="s">
        <v>251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26"/>
    </row>
    <row r="79" spans="1:27" ht="15.75" customHeight="1">
      <c r="A79" s="827" t="str">
        <f>IF(B79&lt;&gt;"",IF(AND(B79&gt;=_TM1,B79&lt;=_TM2,OR(TH!L79="1111",TH!M79="1111")),TH!D79,""),"")</f>
        <v>GBC</v>
      </c>
      <c r="B79" s="36">
        <f t="shared" si="21"/>
        <v>2</v>
      </c>
      <c r="C79" s="37">
        <f t="shared" si="6"/>
        <v>42425</v>
      </c>
      <c r="D79" s="37" t="s">
        <v>835</v>
      </c>
      <c r="E79" s="741">
        <v>42425</v>
      </c>
      <c r="F79" s="40" t="s">
        <v>838</v>
      </c>
      <c r="G79" s="832" t="s">
        <v>836</v>
      </c>
      <c r="H79" s="7" t="s">
        <v>837</v>
      </c>
      <c r="I79" s="253"/>
      <c r="J79" s="253"/>
      <c r="K79" s="584">
        <v>5100000</v>
      </c>
      <c r="L79" s="39" t="s">
        <v>24</v>
      </c>
      <c r="M79" s="39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>x</v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>x</v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26"/>
    </row>
    <row r="80" spans="1:27" ht="15.75" customHeight="1">
      <c r="A80" s="827" t="str">
        <f>IF(B80&lt;&gt;"",IF(AND(B80&gt;=_TM1,B80&lt;=_TM2,OR(TH!L80="1111",TH!M80="1111")),TH!D80,""),"")</f>
        <v/>
      </c>
      <c r="B80" s="36">
        <f t="shared" si="21"/>
        <v>2</v>
      </c>
      <c r="C80" s="37">
        <f t="shared" si="6"/>
        <v>42429</v>
      </c>
      <c r="D80" s="37" t="s">
        <v>835</v>
      </c>
      <c r="E80" s="183">
        <v>42429</v>
      </c>
      <c r="F80" s="40" t="s">
        <v>839</v>
      </c>
      <c r="G80" s="832" t="s">
        <v>836</v>
      </c>
      <c r="H80" s="7" t="s">
        <v>890</v>
      </c>
      <c r="I80" s="253"/>
      <c r="J80" s="253"/>
      <c r="K80" s="584">
        <v>8724628</v>
      </c>
      <c r="L80" s="39" t="s">
        <v>24</v>
      </c>
      <c r="M80" s="39" t="s">
        <v>251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26"/>
    </row>
    <row r="81" spans="1:27" ht="15.75" customHeight="1">
      <c r="A81" s="827" t="str">
        <f>IF(B81&lt;&gt;"",IF(AND(B81&gt;=_TM1,B81&lt;=_TM2,OR(TH!L81="1111",TH!M81="1111")),TH!D81,""),"")</f>
        <v>GBN</v>
      </c>
      <c r="B81" s="36">
        <f t="shared" si="21"/>
        <v>2</v>
      </c>
      <c r="C81" s="37">
        <f t="shared" si="6"/>
        <v>42406</v>
      </c>
      <c r="D81" s="37" t="s">
        <v>842</v>
      </c>
      <c r="E81" s="741">
        <v>42406</v>
      </c>
      <c r="F81" s="191" t="s">
        <v>843</v>
      </c>
      <c r="G81" s="832" t="s">
        <v>836</v>
      </c>
      <c r="H81" s="7" t="s">
        <v>837</v>
      </c>
      <c r="I81" s="253"/>
      <c r="J81" s="253"/>
      <c r="K81" s="584">
        <v>7300000</v>
      </c>
      <c r="L81" s="39" t="s">
        <v>47</v>
      </c>
      <c r="M81" s="39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>x</v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26"/>
    </row>
    <row r="82" spans="1:27" ht="15.75" customHeight="1">
      <c r="A82" s="827" t="str">
        <f>IF(B82&lt;&gt;"",IF(AND(B82&gt;=_TM1,B82&lt;=_TM2,OR(TH!L82="1111",TH!M82="1111")),TH!D82,""),"")</f>
        <v/>
      </c>
      <c r="B82" s="36">
        <f t="shared" si="21"/>
        <v>2</v>
      </c>
      <c r="C82" s="37">
        <f t="shared" si="6"/>
        <v>42406</v>
      </c>
      <c r="D82" s="37" t="s">
        <v>842</v>
      </c>
      <c r="E82" s="741">
        <v>42406</v>
      </c>
      <c r="F82" s="40" t="s">
        <v>891</v>
      </c>
      <c r="G82" s="832" t="s">
        <v>836</v>
      </c>
      <c r="H82" s="7"/>
      <c r="I82" s="253"/>
      <c r="J82" s="253"/>
      <c r="K82" s="584">
        <v>50000</v>
      </c>
      <c r="L82" s="39" t="s">
        <v>83</v>
      </c>
      <c r="M82" s="39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>x</v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>x</v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26">
        <v>2</v>
      </c>
    </row>
    <row r="83" spans="1:27" ht="15.75" customHeight="1">
      <c r="A83" s="827" t="str">
        <f>IF(B83&lt;&gt;"",IF(AND(B83&gt;=_TM1,B83&lt;=_TM2,OR(TH!L83="1111",TH!M83="1111")),TH!D83,""),"")</f>
        <v/>
      </c>
      <c r="B83" s="36">
        <f t="shared" ref="B83" si="30">IF(C83&lt;&gt;"",MONTH(C83),"")</f>
        <v>2</v>
      </c>
      <c r="C83" s="37">
        <f t="shared" ref="C83" si="31">E83</f>
        <v>42406</v>
      </c>
      <c r="D83" s="37" t="s">
        <v>842</v>
      </c>
      <c r="E83" s="741">
        <v>42406</v>
      </c>
      <c r="F83" s="40" t="s">
        <v>1097</v>
      </c>
      <c r="G83" s="832" t="s">
        <v>836</v>
      </c>
      <c r="H83" s="7"/>
      <c r="I83" s="253"/>
      <c r="J83" s="253"/>
      <c r="K83" s="584">
        <v>5000</v>
      </c>
      <c r="L83" s="39" t="s">
        <v>9</v>
      </c>
      <c r="M83" s="39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>x</v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26">
        <v>2</v>
      </c>
    </row>
    <row r="84" spans="1:27" ht="15.75" customHeight="1">
      <c r="A84" s="827" t="str">
        <f>IF(B84&lt;&gt;"",IF(AND(B84&gt;=_TM1,B84&lt;=_TM2,OR(TH!L84="1111",TH!M84="1111")),TH!D84,""),"")</f>
        <v/>
      </c>
      <c r="B84" s="36">
        <f t="shared" si="21"/>
        <v>2</v>
      </c>
      <c r="C84" s="37">
        <f t="shared" si="6"/>
        <v>42424</v>
      </c>
      <c r="D84" s="37" t="s">
        <v>842</v>
      </c>
      <c r="E84" s="741">
        <v>42424</v>
      </c>
      <c r="F84" s="191" t="s">
        <v>843</v>
      </c>
      <c r="G84" s="832" t="s">
        <v>836</v>
      </c>
      <c r="H84" s="192" t="s">
        <v>428</v>
      </c>
      <c r="I84" s="253"/>
      <c r="J84" s="253"/>
      <c r="K84" s="584">
        <v>25022000</v>
      </c>
      <c r="L84" s="39" t="s">
        <v>8</v>
      </c>
      <c r="M84" s="39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>x</v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26"/>
    </row>
    <row r="85" spans="1:27" ht="15.75" customHeight="1">
      <c r="A85" s="827" t="str">
        <f>IF(B85&lt;&gt;"",IF(AND(B85&gt;=_TM1,B85&lt;=_TM2,OR(TH!L85="1111",TH!M85="1111")),TH!D85,""),"")</f>
        <v/>
      </c>
      <c r="B85" s="36">
        <f t="shared" si="21"/>
        <v>2</v>
      </c>
      <c r="C85" s="37">
        <f t="shared" si="6"/>
        <v>42424</v>
      </c>
      <c r="D85" s="37" t="s">
        <v>842</v>
      </c>
      <c r="E85" s="741">
        <v>42424</v>
      </c>
      <c r="F85" s="40" t="s">
        <v>892</v>
      </c>
      <c r="G85" s="832" t="s">
        <v>836</v>
      </c>
      <c r="H85" s="7"/>
      <c r="I85" s="253"/>
      <c r="J85" s="253"/>
      <c r="K85" s="584">
        <v>20000</v>
      </c>
      <c r="L85" s="39" t="s">
        <v>83</v>
      </c>
      <c r="M85" s="39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>x</v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>x</v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26">
        <v>2</v>
      </c>
    </row>
    <row r="86" spans="1:27" ht="15.75" customHeight="1">
      <c r="A86" s="827" t="str">
        <f>IF(B86&lt;&gt;"",IF(AND(B86&gt;=_TM1,B86&lt;=_TM2,OR(TH!L86="1111",TH!M86="1111")),TH!D86,""),"")</f>
        <v/>
      </c>
      <c r="B86" s="36">
        <f t="shared" ref="B86" si="32">IF(C86&lt;&gt;"",MONTH(C86),"")</f>
        <v>2</v>
      </c>
      <c r="C86" s="37">
        <f t="shared" ref="C86" si="33">E86</f>
        <v>42424</v>
      </c>
      <c r="D86" s="37" t="s">
        <v>842</v>
      </c>
      <c r="E86" s="741">
        <v>42424</v>
      </c>
      <c r="F86" s="40" t="s">
        <v>1098</v>
      </c>
      <c r="G86" s="832" t="s">
        <v>836</v>
      </c>
      <c r="H86" s="7"/>
      <c r="I86" s="253"/>
      <c r="J86" s="253"/>
      <c r="K86" s="584">
        <v>2000</v>
      </c>
      <c r="L86" s="39" t="s">
        <v>9</v>
      </c>
      <c r="M86" s="39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>x</v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26">
        <v>2</v>
      </c>
    </row>
    <row r="87" spans="1:27" ht="15.75" customHeight="1">
      <c r="A87" s="827" t="str">
        <f>IF(B87&lt;&gt;"",IF(AND(B87&gt;=_TM1,B87&lt;=_TM2,OR(TH!L87="1111",TH!M87="1111")),TH!D87,""),"")</f>
        <v/>
      </c>
      <c r="B87" s="36">
        <f t="shared" si="21"/>
        <v>2</v>
      </c>
      <c r="C87" s="37">
        <f t="shared" si="6"/>
        <v>42425</v>
      </c>
      <c r="D87" s="37" t="s">
        <v>842</v>
      </c>
      <c r="E87" s="741">
        <v>42425</v>
      </c>
      <c r="F87" s="40" t="s">
        <v>847</v>
      </c>
      <c r="G87" s="832" t="s">
        <v>836</v>
      </c>
      <c r="H87" s="7"/>
      <c r="I87" s="253"/>
      <c r="J87" s="253"/>
      <c r="K87" s="584">
        <v>10000</v>
      </c>
      <c r="L87" s="39" t="s">
        <v>83</v>
      </c>
      <c r="M87" s="39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>x</v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26">
        <v>2</v>
      </c>
    </row>
    <row r="88" spans="1:27" ht="15.75" customHeight="1">
      <c r="A88" s="827" t="str">
        <f>IF(B88&lt;&gt;"",IF(AND(B88&gt;=_TM1,B88&lt;=_TM2,OR(TH!L88="1111",TH!M88="1111")),TH!D88,""),"")</f>
        <v/>
      </c>
      <c r="B88" s="36">
        <f t="shared" ref="B88" si="34">IF(C88&lt;&gt;"",MONTH(C88),"")</f>
        <v>2</v>
      </c>
      <c r="C88" s="37">
        <f t="shared" ref="C88" si="35">E88</f>
        <v>42425</v>
      </c>
      <c r="D88" s="37" t="s">
        <v>842</v>
      </c>
      <c r="E88" s="741">
        <v>42425</v>
      </c>
      <c r="F88" s="40" t="s">
        <v>848</v>
      </c>
      <c r="G88" s="832" t="s">
        <v>836</v>
      </c>
      <c r="H88" s="7"/>
      <c r="I88" s="253"/>
      <c r="J88" s="253"/>
      <c r="K88" s="584">
        <v>1000</v>
      </c>
      <c r="L88" s="39" t="s">
        <v>9</v>
      </c>
      <c r="M88" s="39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>x</v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26">
        <v>2</v>
      </c>
    </row>
    <row r="89" spans="1:27" ht="15.75" customHeight="1">
      <c r="A89" s="827" t="str">
        <f>IF(B89&lt;&gt;"",IF(AND(B89&gt;=_TM1,B89&lt;=_TM2,OR(TH!L89="1111",TH!M89="1111")),TH!D89,""),"")</f>
        <v>GBN</v>
      </c>
      <c r="B89" s="36">
        <f t="shared" si="21"/>
        <v>2</v>
      </c>
      <c r="C89" s="37">
        <f t="shared" si="6"/>
        <v>42425</v>
      </c>
      <c r="D89" s="37" t="s">
        <v>842</v>
      </c>
      <c r="E89" s="741">
        <v>42425</v>
      </c>
      <c r="F89" s="191" t="s">
        <v>843</v>
      </c>
      <c r="G89" s="832" t="s">
        <v>836</v>
      </c>
      <c r="H89" s="7" t="s">
        <v>837</v>
      </c>
      <c r="I89" s="253"/>
      <c r="J89" s="253"/>
      <c r="K89" s="584">
        <v>6900000</v>
      </c>
      <c r="L89" s="39" t="s">
        <v>47</v>
      </c>
      <c r="M89" s="39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>x</v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>x</v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26"/>
    </row>
    <row r="90" spans="1:27" ht="15.75" customHeight="1">
      <c r="A90" s="827" t="str">
        <f>IF(B90&lt;&gt;"",IF(AND(B90&gt;=_TM1,B90&lt;=_TM2,OR(TH!L90="1111",TH!M90="1111")),TH!D90,""),"")</f>
        <v/>
      </c>
      <c r="B90" s="36">
        <f t="shared" si="21"/>
        <v>2</v>
      </c>
      <c r="C90" s="37">
        <f t="shared" si="6"/>
        <v>42425</v>
      </c>
      <c r="D90" s="37" t="s">
        <v>842</v>
      </c>
      <c r="E90" s="741">
        <v>42425</v>
      </c>
      <c r="F90" s="191" t="s">
        <v>843</v>
      </c>
      <c r="G90" s="832" t="s">
        <v>836</v>
      </c>
      <c r="H90" s="192" t="s">
        <v>428</v>
      </c>
      <c r="I90" s="253"/>
      <c r="J90" s="253"/>
      <c r="K90" s="584">
        <v>20022000</v>
      </c>
      <c r="L90" s="39" t="s">
        <v>8</v>
      </c>
      <c r="M90" s="39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>x</v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26"/>
    </row>
    <row r="91" spans="1:27" ht="15.75" customHeight="1">
      <c r="A91" s="827" t="str">
        <f>IF(B91&lt;&gt;"",IF(AND(B91&gt;=_TM1,B91&lt;=_TM2,OR(TH!L91="1111",TH!M91="1111")),TH!D91,""),"")</f>
        <v>GBN</v>
      </c>
      <c r="B91" s="36">
        <f t="shared" si="21"/>
        <v>2</v>
      </c>
      <c r="C91" s="37">
        <f t="shared" si="6"/>
        <v>42429</v>
      </c>
      <c r="D91" s="37" t="s">
        <v>842</v>
      </c>
      <c r="E91" s="741">
        <v>42429</v>
      </c>
      <c r="F91" s="191" t="s">
        <v>843</v>
      </c>
      <c r="G91" s="832" t="s">
        <v>836</v>
      </c>
      <c r="H91" s="7" t="s">
        <v>837</v>
      </c>
      <c r="I91" s="253"/>
      <c r="J91" s="253"/>
      <c r="K91" s="584">
        <v>8800000</v>
      </c>
      <c r="L91" s="39" t="s">
        <v>47</v>
      </c>
      <c r="M91" s="39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>x</v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>x</v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26"/>
    </row>
    <row r="92" spans="1:27" ht="15.75" customHeight="1">
      <c r="A92" s="827" t="str">
        <f>IF(B92&lt;&gt;"",IF(AND(B92&gt;=_TM1,B92&lt;=_TM2,OR(TH!L92="1111",TH!M92="1111")),TH!D92,""),"")</f>
        <v/>
      </c>
      <c r="B92" s="36">
        <f t="shared" si="21"/>
        <v>3</v>
      </c>
      <c r="C92" s="37">
        <f t="shared" si="6"/>
        <v>42430</v>
      </c>
      <c r="D92" s="37" t="s">
        <v>835</v>
      </c>
      <c r="E92" s="741">
        <v>42430</v>
      </c>
      <c r="F92" s="40" t="s">
        <v>839</v>
      </c>
      <c r="G92" s="832" t="s">
        <v>836</v>
      </c>
      <c r="H92" s="7" t="s">
        <v>841</v>
      </c>
      <c r="I92" s="253"/>
      <c r="J92" s="253"/>
      <c r="K92" s="584">
        <v>9570000</v>
      </c>
      <c r="L92" s="39" t="s">
        <v>24</v>
      </c>
      <c r="M92" s="39" t="s">
        <v>251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26"/>
    </row>
    <row r="93" spans="1:27" ht="15.75" customHeight="1">
      <c r="A93" s="827" t="str">
        <f>IF(B93&lt;&gt;"",IF(AND(B93&gt;=_TM1,B93&lt;=_TM2,OR(TH!L93="1111",TH!M93="1111")),TH!D93,""),"")</f>
        <v>GBC</v>
      </c>
      <c r="B93" s="36">
        <f t="shared" si="21"/>
        <v>3</v>
      </c>
      <c r="C93" s="37">
        <f t="shared" si="6"/>
        <v>42433</v>
      </c>
      <c r="D93" s="37" t="s">
        <v>835</v>
      </c>
      <c r="E93" s="741">
        <v>42433</v>
      </c>
      <c r="F93" s="40" t="s">
        <v>838</v>
      </c>
      <c r="G93" s="832" t="s">
        <v>836</v>
      </c>
      <c r="H93" s="7" t="s">
        <v>837</v>
      </c>
      <c r="I93" s="253"/>
      <c r="J93" s="253"/>
      <c r="K93" s="584">
        <v>23500000</v>
      </c>
      <c r="L93" s="39" t="s">
        <v>24</v>
      </c>
      <c r="M93" s="39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>x</v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26"/>
    </row>
    <row r="94" spans="1:27" ht="15.75" customHeight="1">
      <c r="A94" s="827" t="str">
        <f>IF(B94&lt;&gt;"",IF(AND(B94&gt;=_TM1,B94&lt;=_TM2,OR(TH!L94="1111",TH!M94="1111")),TH!D94,""),"")</f>
        <v>GBC</v>
      </c>
      <c r="B94" s="36">
        <f t="shared" si="21"/>
        <v>3</v>
      </c>
      <c r="C94" s="37">
        <f t="shared" si="6"/>
        <v>42439</v>
      </c>
      <c r="D94" s="37" t="s">
        <v>835</v>
      </c>
      <c r="E94" s="741">
        <v>42439</v>
      </c>
      <c r="F94" s="40" t="s">
        <v>838</v>
      </c>
      <c r="G94" s="832" t="s">
        <v>836</v>
      </c>
      <c r="H94" s="7" t="s">
        <v>837</v>
      </c>
      <c r="I94" s="253"/>
      <c r="J94" s="253"/>
      <c r="K94" s="584">
        <v>40000000</v>
      </c>
      <c r="L94" s="39" t="s">
        <v>24</v>
      </c>
      <c r="M94" s="39" t="s">
        <v>47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>x</v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26"/>
    </row>
    <row r="95" spans="1:27" ht="15.75" customHeight="1">
      <c r="A95" s="827" t="str">
        <f>IF(B95&lt;&gt;"",IF(AND(B95&gt;=_TM1,B95&lt;=_TM2,OR(TH!L95="1111",TH!M95="1111")),TH!D95,""),"")</f>
        <v/>
      </c>
      <c r="B95" s="36">
        <f t="shared" si="21"/>
        <v>3</v>
      </c>
      <c r="C95" s="37">
        <f t="shared" si="6"/>
        <v>42450</v>
      </c>
      <c r="D95" s="37" t="s">
        <v>835</v>
      </c>
      <c r="E95" s="741">
        <v>42450</v>
      </c>
      <c r="F95" s="40" t="s">
        <v>839</v>
      </c>
      <c r="G95" s="832" t="s">
        <v>836</v>
      </c>
      <c r="H95" s="192" t="s">
        <v>678</v>
      </c>
      <c r="I95" s="253"/>
      <c r="J95" s="253"/>
      <c r="K95" s="584">
        <v>38801382</v>
      </c>
      <c r="L95" s="39" t="s">
        <v>24</v>
      </c>
      <c r="M95" s="39" t="s">
        <v>251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26"/>
    </row>
    <row r="96" spans="1:27" ht="15.75" customHeight="1">
      <c r="A96" s="827" t="str">
        <f>IF(B96&lt;&gt;"",IF(AND(B96&gt;=_TM1,B96&lt;=_TM2,OR(TH!L96="1111",TH!M96="1111")),TH!D96,""),"")</f>
        <v/>
      </c>
      <c r="B96" s="36">
        <f t="shared" si="21"/>
        <v>3</v>
      </c>
      <c r="C96" s="37">
        <f t="shared" si="6"/>
        <v>42451</v>
      </c>
      <c r="D96" s="37" t="s">
        <v>835</v>
      </c>
      <c r="E96" s="183">
        <v>42451</v>
      </c>
      <c r="F96" s="40" t="s">
        <v>839</v>
      </c>
      <c r="G96" s="832" t="s">
        <v>836</v>
      </c>
      <c r="H96" s="192" t="s">
        <v>662</v>
      </c>
      <c r="I96" s="253"/>
      <c r="J96" s="253"/>
      <c r="K96" s="38">
        <v>163977000</v>
      </c>
      <c r="L96" s="39" t="s">
        <v>24</v>
      </c>
      <c r="M96" s="39" t="s">
        <v>251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>x</v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26"/>
    </row>
    <row r="97" spans="1:27" ht="15.75" customHeight="1">
      <c r="A97" s="827" t="str">
        <f>IF(B97&lt;&gt;"",IF(AND(B97&gt;=_TM1,B97&lt;=_TM2,OR(TH!L97="1111",TH!M97="1111")),TH!D97,""),"")</f>
        <v/>
      </c>
      <c r="B97" s="36">
        <f t="shared" si="21"/>
        <v>3</v>
      </c>
      <c r="C97" s="37">
        <f t="shared" si="6"/>
        <v>42453</v>
      </c>
      <c r="D97" s="37" t="s">
        <v>835</v>
      </c>
      <c r="E97" s="190">
        <v>42453</v>
      </c>
      <c r="F97" s="40" t="s">
        <v>839</v>
      </c>
      <c r="G97" s="832" t="s">
        <v>836</v>
      </c>
      <c r="H97" s="7" t="s">
        <v>890</v>
      </c>
      <c r="I97" s="253"/>
      <c r="J97" s="253"/>
      <c r="K97" s="38">
        <v>20000000</v>
      </c>
      <c r="L97" s="39" t="s">
        <v>24</v>
      </c>
      <c r="M97" s="39" t="s">
        <v>251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>x</v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26"/>
    </row>
    <row r="98" spans="1:27" ht="15.75" customHeight="1">
      <c r="A98" s="827" t="str">
        <f>IF(B98&lt;&gt;"",IF(AND(B98&gt;=_TM1,B98&lt;=_TM2,OR(TH!L98="1111",TH!M98="1111")),TH!D98,""),"")</f>
        <v>GBC</v>
      </c>
      <c r="B98" s="36">
        <f t="shared" si="21"/>
        <v>3</v>
      </c>
      <c r="C98" s="37">
        <f t="shared" si="6"/>
        <v>42458</v>
      </c>
      <c r="D98" s="37" t="s">
        <v>835</v>
      </c>
      <c r="E98" s="190">
        <v>42458</v>
      </c>
      <c r="F98" s="40" t="s">
        <v>838</v>
      </c>
      <c r="G98" s="832" t="s">
        <v>836</v>
      </c>
      <c r="H98" s="7" t="s">
        <v>837</v>
      </c>
      <c r="I98" s="253"/>
      <c r="J98" s="253"/>
      <c r="K98" s="38">
        <v>20000000</v>
      </c>
      <c r="L98" s="39" t="s">
        <v>24</v>
      </c>
      <c r="M98" s="39" t="s">
        <v>47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>x</v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>x</v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26"/>
    </row>
    <row r="99" spans="1:27" ht="15.75" customHeight="1">
      <c r="A99" s="827" t="str">
        <f>IF(B99&lt;&gt;"",IF(AND(B99&gt;=_TM1,B99&lt;=_TM2,OR(TH!L99="1111",TH!M99="1111")),TH!D99,""),"")</f>
        <v>GBN</v>
      </c>
      <c r="B99" s="36">
        <f t="shared" si="21"/>
        <v>3</v>
      </c>
      <c r="C99" s="37">
        <f t="shared" si="6"/>
        <v>42430</v>
      </c>
      <c r="D99" s="37" t="s">
        <v>842</v>
      </c>
      <c r="E99" s="190">
        <v>42430</v>
      </c>
      <c r="F99" s="191" t="s">
        <v>843</v>
      </c>
      <c r="G99" s="832" t="s">
        <v>836</v>
      </c>
      <c r="H99" s="7" t="s">
        <v>837</v>
      </c>
      <c r="I99" s="253"/>
      <c r="J99" s="253"/>
      <c r="K99" s="584">
        <v>9600000</v>
      </c>
      <c r="L99" s="193" t="s">
        <v>47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>x</v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26"/>
    </row>
    <row r="100" spans="1:27" ht="15.75" customHeight="1">
      <c r="A100" s="827" t="str">
        <f>IF(B100&lt;&gt;"",IF(AND(B100&gt;=_TM1,B100&lt;=_TM2,OR(TH!L100="1111",TH!M100="1111")),TH!D100,""),"")</f>
        <v/>
      </c>
      <c r="B100" s="36">
        <f t="shared" si="21"/>
        <v>3</v>
      </c>
      <c r="C100" s="37">
        <f t="shared" si="6"/>
        <v>42433</v>
      </c>
      <c r="D100" s="37" t="s">
        <v>842</v>
      </c>
      <c r="E100" s="190">
        <v>42433</v>
      </c>
      <c r="F100" s="40" t="s">
        <v>844</v>
      </c>
      <c r="G100" s="832" t="s">
        <v>836</v>
      </c>
      <c r="H100" s="192" t="s">
        <v>428</v>
      </c>
      <c r="I100" s="253"/>
      <c r="J100" s="253"/>
      <c r="K100" s="584">
        <v>23522000</v>
      </c>
      <c r="L100" s="193" t="s">
        <v>8</v>
      </c>
      <c r="M100" s="19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26"/>
    </row>
    <row r="101" spans="1:27" ht="15.75" customHeight="1">
      <c r="A101" s="827" t="str">
        <f>IF(B101&lt;&gt;"",IF(AND(B101&gt;=_TM1,B101&lt;=_TM2,OR(TH!L101="1111",TH!M101="1111")),TH!D101,""),"")</f>
        <v/>
      </c>
      <c r="B101" s="36">
        <f t="shared" si="21"/>
        <v>3</v>
      </c>
      <c r="C101" s="37">
        <f t="shared" si="6"/>
        <v>42433</v>
      </c>
      <c r="D101" s="37" t="s">
        <v>842</v>
      </c>
      <c r="E101" s="190">
        <v>42433</v>
      </c>
      <c r="F101" s="40" t="s">
        <v>892</v>
      </c>
      <c r="G101" s="832" t="s">
        <v>836</v>
      </c>
      <c r="H101" s="7"/>
      <c r="I101" s="253"/>
      <c r="J101" s="253"/>
      <c r="K101" s="584">
        <v>20000</v>
      </c>
      <c r="L101" s="39" t="s">
        <v>83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>x</v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26">
        <v>2</v>
      </c>
    </row>
    <row r="102" spans="1:27" ht="15.75" customHeight="1">
      <c r="A102" s="827" t="str">
        <f>IF(B102&lt;&gt;"",IF(AND(B102&gt;=_TM1,B102&lt;=_TM2,OR(TH!L102="1111",TH!M102="1111")),TH!D102,""),"")</f>
        <v/>
      </c>
      <c r="B102" s="36">
        <f t="shared" ref="B102" si="36">IF(C102&lt;&gt;"",MONTH(C102),"")</f>
        <v>3</v>
      </c>
      <c r="C102" s="37">
        <f t="shared" ref="C102" si="37">E102</f>
        <v>42433</v>
      </c>
      <c r="D102" s="37" t="s">
        <v>842</v>
      </c>
      <c r="E102" s="190">
        <v>42433</v>
      </c>
      <c r="F102" s="40" t="s">
        <v>1098</v>
      </c>
      <c r="G102" s="832" t="s">
        <v>836</v>
      </c>
      <c r="H102" s="7"/>
      <c r="I102" s="253"/>
      <c r="J102" s="253"/>
      <c r="K102" s="584">
        <v>2000</v>
      </c>
      <c r="L102" s="39" t="s">
        <v>9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>x</v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26">
        <v>2</v>
      </c>
    </row>
    <row r="103" spans="1:27" ht="15.75" customHeight="1">
      <c r="A103" s="827" t="str">
        <f>IF(B103&lt;&gt;"",IF(AND(B103&gt;=_TM1,B103&lt;=_TM2,OR(TH!L103="1111",TH!M103="1111")),TH!D103,""),"")</f>
        <v/>
      </c>
      <c r="B103" s="36">
        <f t="shared" si="21"/>
        <v>3</v>
      </c>
      <c r="C103" s="37">
        <f t="shared" ref="C103:C120" si="38">E103</f>
        <v>42439</v>
      </c>
      <c r="D103" s="37" t="s">
        <v>842</v>
      </c>
      <c r="E103" s="37">
        <v>42439</v>
      </c>
      <c r="F103" s="40" t="s">
        <v>844</v>
      </c>
      <c r="G103" s="832" t="s">
        <v>836</v>
      </c>
      <c r="H103" s="192" t="s">
        <v>428</v>
      </c>
      <c r="I103" s="253"/>
      <c r="J103" s="253"/>
      <c r="K103" s="584">
        <v>40022000</v>
      </c>
      <c r="L103" s="39" t="s">
        <v>8</v>
      </c>
      <c r="M103" s="193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>x</v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26"/>
    </row>
    <row r="104" spans="1:27" ht="15.75" customHeight="1">
      <c r="A104" s="827" t="str">
        <f>IF(B104&lt;&gt;"",IF(AND(B104&gt;=_TM1,B104&lt;=_TM2,OR(TH!L104="1111",TH!M104="1111")),TH!D104,""),"")</f>
        <v/>
      </c>
      <c r="B104" s="36">
        <f t="shared" si="21"/>
        <v>3</v>
      </c>
      <c r="C104" s="37">
        <f t="shared" si="38"/>
        <v>42441</v>
      </c>
      <c r="D104" s="37" t="s">
        <v>842</v>
      </c>
      <c r="E104" s="183">
        <v>42441</v>
      </c>
      <c r="F104" s="40" t="s">
        <v>891</v>
      </c>
      <c r="G104" s="832" t="s">
        <v>836</v>
      </c>
      <c r="H104" s="7"/>
      <c r="I104" s="253"/>
      <c r="J104" s="253"/>
      <c r="K104" s="584">
        <v>50000</v>
      </c>
      <c r="L104" s="39" t="s">
        <v>83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>x</v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26">
        <v>2</v>
      </c>
    </row>
    <row r="105" spans="1:27" ht="15.75" customHeight="1">
      <c r="A105" s="827" t="str">
        <f>IF(B105&lt;&gt;"",IF(AND(B105&gt;=_TM1,B105&lt;=_TM2,OR(TH!L105="1111",TH!M105="1111")),TH!D105,""),"")</f>
        <v/>
      </c>
      <c r="B105" s="36">
        <f t="shared" ref="B105" si="39">IF(C105&lt;&gt;"",MONTH(C105),"")</f>
        <v>3</v>
      </c>
      <c r="C105" s="37">
        <f t="shared" ref="C105" si="40">E105</f>
        <v>42441</v>
      </c>
      <c r="D105" s="37" t="s">
        <v>842</v>
      </c>
      <c r="E105" s="183">
        <v>42441</v>
      </c>
      <c r="F105" s="40" t="s">
        <v>1097</v>
      </c>
      <c r="G105" s="832" t="s">
        <v>836</v>
      </c>
      <c r="H105" s="7"/>
      <c r="I105" s="253"/>
      <c r="J105" s="253"/>
      <c r="K105" s="584">
        <v>5000</v>
      </c>
      <c r="L105" s="39" t="s">
        <v>9</v>
      </c>
      <c r="M105" s="193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>x</v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26">
        <v>2</v>
      </c>
    </row>
    <row r="106" spans="1:27" ht="15.75" customHeight="1">
      <c r="A106" s="827" t="str">
        <f>IF(B106&lt;&gt;"",IF(AND(B106&gt;=_TM1,B106&lt;=_TM2,OR(TH!L106="1111",TH!M106="1111")),TH!D106,""),"")</f>
        <v>GBN</v>
      </c>
      <c r="B106" s="36">
        <f t="shared" si="21"/>
        <v>3</v>
      </c>
      <c r="C106" s="37">
        <f t="shared" si="38"/>
        <v>42450</v>
      </c>
      <c r="D106" s="37" t="s">
        <v>842</v>
      </c>
      <c r="E106" s="183">
        <v>42450</v>
      </c>
      <c r="F106" s="191" t="s">
        <v>843</v>
      </c>
      <c r="G106" s="832" t="s">
        <v>836</v>
      </c>
      <c r="H106" s="7" t="s">
        <v>837</v>
      </c>
      <c r="I106" s="253"/>
      <c r="J106" s="253"/>
      <c r="K106" s="584">
        <v>27000000</v>
      </c>
      <c r="L106" s="585" t="s">
        <v>47</v>
      </c>
      <c r="M106" s="193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>x</v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>x</v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26"/>
    </row>
    <row r="107" spans="1:27" ht="15.75" customHeight="1">
      <c r="A107" s="827" t="str">
        <f>IF(B107&lt;&gt;"",IF(AND(B107&gt;=_TM1,B107&lt;=_TM2,OR(TH!L107="1111",TH!M107="1111")),TH!D107,""),"")</f>
        <v/>
      </c>
      <c r="B107" s="36">
        <f t="shared" si="21"/>
        <v>3</v>
      </c>
      <c r="C107" s="37">
        <f t="shared" si="38"/>
        <v>42450</v>
      </c>
      <c r="D107" s="37" t="s">
        <v>842</v>
      </c>
      <c r="E107" s="183">
        <v>42450</v>
      </c>
      <c r="F107" s="40" t="s">
        <v>892</v>
      </c>
      <c r="G107" s="832" t="s">
        <v>836</v>
      </c>
      <c r="H107" s="7"/>
      <c r="I107" s="253"/>
      <c r="J107" s="253"/>
      <c r="K107" s="584">
        <v>20000</v>
      </c>
      <c r="L107" s="39" t="s">
        <v>83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>x</v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26">
        <v>2</v>
      </c>
    </row>
    <row r="108" spans="1:27" ht="15.75" customHeight="1">
      <c r="A108" s="827" t="str">
        <f>IF(B108&lt;&gt;"",IF(AND(B108&gt;=_TM1,B108&lt;=_TM2,OR(TH!L108="1111",TH!M108="1111")),TH!D108,""),"")</f>
        <v/>
      </c>
      <c r="B108" s="36">
        <f t="shared" ref="B108" si="41">IF(C108&lt;&gt;"",MONTH(C108),"")</f>
        <v>3</v>
      </c>
      <c r="C108" s="37">
        <f t="shared" ref="C108" si="42">E108</f>
        <v>42450</v>
      </c>
      <c r="D108" s="37" t="s">
        <v>842</v>
      </c>
      <c r="E108" s="183">
        <v>42450</v>
      </c>
      <c r="F108" s="40" t="s">
        <v>1098</v>
      </c>
      <c r="G108" s="832" t="s">
        <v>836</v>
      </c>
      <c r="H108" s="7"/>
      <c r="I108" s="253"/>
      <c r="J108" s="253"/>
      <c r="K108" s="584">
        <v>2000</v>
      </c>
      <c r="L108" s="39" t="s">
        <v>9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>x</v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26">
        <v>2</v>
      </c>
    </row>
    <row r="109" spans="1:27" ht="15.75" customHeight="1">
      <c r="A109" s="827" t="str">
        <f>IF(B109&lt;&gt;"",IF(AND(B109&gt;=_TM1,B109&lt;=_TM2,OR(TH!L109="1111",TH!M109="1111")),TH!D109,""),"")</f>
        <v>GBN</v>
      </c>
      <c r="B109" s="36">
        <f t="shared" si="21"/>
        <v>3</v>
      </c>
      <c r="C109" s="37">
        <f t="shared" si="38"/>
        <v>42451</v>
      </c>
      <c r="D109" s="37" t="s">
        <v>842</v>
      </c>
      <c r="E109" s="183">
        <v>42451</v>
      </c>
      <c r="F109" s="191" t="s">
        <v>843</v>
      </c>
      <c r="G109" s="832" t="s">
        <v>836</v>
      </c>
      <c r="H109" s="7" t="s">
        <v>837</v>
      </c>
      <c r="I109" s="253"/>
      <c r="J109" s="253"/>
      <c r="K109" s="584">
        <v>3000000</v>
      </c>
      <c r="L109" s="585" t="s">
        <v>47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>x</v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>x</v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26"/>
    </row>
    <row r="110" spans="1:27" ht="15.75" customHeight="1">
      <c r="A110" s="827" t="str">
        <f>IF(B110&lt;&gt;"",IF(AND(B110&gt;=_TM1,B110&lt;=_TM2,OR(TH!L110="1111",TH!M110="1111")),TH!D110,""),"")</f>
        <v>GBN</v>
      </c>
      <c r="B110" s="36">
        <f t="shared" si="21"/>
        <v>3</v>
      </c>
      <c r="C110" s="37">
        <f t="shared" si="38"/>
        <v>42451</v>
      </c>
      <c r="D110" s="37" t="s">
        <v>842</v>
      </c>
      <c r="E110" s="183">
        <v>42451</v>
      </c>
      <c r="F110" s="191" t="s">
        <v>843</v>
      </c>
      <c r="G110" s="832" t="s">
        <v>836</v>
      </c>
      <c r="H110" s="7" t="s">
        <v>837</v>
      </c>
      <c r="I110" s="253"/>
      <c r="J110" s="253"/>
      <c r="K110" s="584">
        <v>163900000</v>
      </c>
      <c r="L110" s="585" t="s">
        <v>47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>x</v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>x</v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26"/>
    </row>
    <row r="111" spans="1:27" ht="15.75" customHeight="1">
      <c r="A111" s="827" t="str">
        <f>IF(B111&lt;&gt;"",IF(AND(B111&gt;=_TM1,B111&lt;=_TM2,OR(TH!L111="1111",TH!M111="1111")),TH!D111,""),"")</f>
        <v>GBN</v>
      </c>
      <c r="B111" s="36">
        <f t="shared" si="21"/>
        <v>3</v>
      </c>
      <c r="C111" s="37">
        <f t="shared" si="38"/>
        <v>42453</v>
      </c>
      <c r="D111" s="37" t="s">
        <v>842</v>
      </c>
      <c r="E111" s="183">
        <v>42453</v>
      </c>
      <c r="F111" s="191" t="s">
        <v>843</v>
      </c>
      <c r="G111" s="832" t="s">
        <v>836</v>
      </c>
      <c r="H111" s="7" t="s">
        <v>837</v>
      </c>
      <c r="I111" s="253"/>
      <c r="J111" s="253"/>
      <c r="K111" s="584">
        <v>1000000</v>
      </c>
      <c r="L111" s="585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>x</v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26"/>
    </row>
    <row r="112" spans="1:27" ht="15.75" customHeight="1">
      <c r="A112" s="827" t="str">
        <f>IF(B112&lt;&gt;"",IF(AND(B112&gt;=_TM1,B112&lt;=_TM2,OR(TH!L112="1111",TH!M112="1111")),TH!D112,""),"")</f>
        <v/>
      </c>
      <c r="B112" s="36">
        <f t="shared" si="21"/>
        <v>3</v>
      </c>
      <c r="C112" s="37">
        <f t="shared" si="38"/>
        <v>42453</v>
      </c>
      <c r="D112" s="37" t="s">
        <v>842</v>
      </c>
      <c r="E112" s="183">
        <v>42453</v>
      </c>
      <c r="F112" s="40" t="s">
        <v>844</v>
      </c>
      <c r="G112" s="832" t="s">
        <v>836</v>
      </c>
      <c r="H112" s="192" t="s">
        <v>428</v>
      </c>
      <c r="I112" s="253"/>
      <c r="J112" s="253"/>
      <c r="K112" s="584">
        <v>27522000</v>
      </c>
      <c r="L112" s="585" t="s">
        <v>8</v>
      </c>
      <c r="M112" s="19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>x</v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26"/>
    </row>
    <row r="113" spans="1:28" ht="15.75" customHeight="1">
      <c r="A113" s="827" t="str">
        <f>IF(B113&lt;&gt;"",IF(AND(B113&gt;=_TM1,B113&lt;=_TM2,OR(TH!L113="1111",TH!M113="1111")),TH!D113,""),"")</f>
        <v/>
      </c>
      <c r="B113" s="36">
        <f t="shared" si="21"/>
        <v>3</v>
      </c>
      <c r="C113" s="37">
        <f t="shared" si="38"/>
        <v>42454</v>
      </c>
      <c r="D113" s="37" t="s">
        <v>842</v>
      </c>
      <c r="E113" s="190">
        <v>42454</v>
      </c>
      <c r="F113" s="40" t="s">
        <v>847</v>
      </c>
      <c r="G113" s="832" t="s">
        <v>836</v>
      </c>
      <c r="H113" s="7"/>
      <c r="I113" s="253"/>
      <c r="J113" s="253"/>
      <c r="K113" s="584">
        <v>10000</v>
      </c>
      <c r="L113" s="39" t="s">
        <v>83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>x</v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26">
        <v>2</v>
      </c>
    </row>
    <row r="114" spans="1:28" ht="15.75" customHeight="1">
      <c r="A114" s="827" t="str">
        <f>IF(B114&lt;&gt;"",IF(AND(B114&gt;=_TM1,B114&lt;=_TM2,OR(TH!L114="1111",TH!M114="1111")),TH!D114,""),"")</f>
        <v/>
      </c>
      <c r="B114" s="36">
        <f t="shared" ref="B114" si="43">IF(C114&lt;&gt;"",MONTH(C114),"")</f>
        <v>3</v>
      </c>
      <c r="C114" s="37">
        <f t="shared" ref="C114" si="44">E114</f>
        <v>42454</v>
      </c>
      <c r="D114" s="37" t="s">
        <v>842</v>
      </c>
      <c r="E114" s="190">
        <v>42454</v>
      </c>
      <c r="F114" s="40" t="s">
        <v>848</v>
      </c>
      <c r="G114" s="832" t="s">
        <v>836</v>
      </c>
      <c r="H114" s="7"/>
      <c r="I114" s="253"/>
      <c r="J114" s="253"/>
      <c r="K114" s="584">
        <v>1000</v>
      </c>
      <c r="L114" s="39" t="s">
        <v>9</v>
      </c>
      <c r="M114" s="193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>x</v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26">
        <v>2</v>
      </c>
    </row>
    <row r="115" spans="1:28" ht="15.75" customHeight="1">
      <c r="A115" s="827" t="str">
        <f>IF(B115&lt;&gt;"",IF(AND(B115&gt;=_TM1,B115&lt;=_TM2,OR(TH!L115="1111",TH!M115="1111")),TH!D115,""),"")</f>
        <v>GBC</v>
      </c>
      <c r="B115" s="36">
        <f t="shared" si="21"/>
        <v>3</v>
      </c>
      <c r="C115" s="37">
        <f t="shared" si="38"/>
        <v>42458</v>
      </c>
      <c r="D115" s="37" t="s">
        <v>835</v>
      </c>
      <c r="E115" s="190">
        <v>42458</v>
      </c>
      <c r="F115" s="40" t="s">
        <v>838</v>
      </c>
      <c r="G115" s="832" t="s">
        <v>836</v>
      </c>
      <c r="H115" s="7" t="s">
        <v>837</v>
      </c>
      <c r="I115" s="253"/>
      <c r="J115" s="253"/>
      <c r="K115" s="38">
        <v>265028000</v>
      </c>
      <c r="L115" s="39" t="s">
        <v>24</v>
      </c>
      <c r="M115" s="39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26"/>
    </row>
    <row r="116" spans="1:28" ht="15.75" customHeight="1">
      <c r="A116" s="827" t="str">
        <f>IF(B116&lt;&gt;"",IF(AND(B116&gt;=_TM1,B116&lt;=_TM2,OR(TH!L116="1111",TH!M116="1111")),TH!D116,""),"")</f>
        <v/>
      </c>
      <c r="B116" s="36">
        <f t="shared" si="21"/>
        <v>3</v>
      </c>
      <c r="C116" s="37">
        <f t="shared" si="38"/>
        <v>42458</v>
      </c>
      <c r="D116" s="37" t="s">
        <v>842</v>
      </c>
      <c r="E116" s="190">
        <v>42458</v>
      </c>
      <c r="F116" s="40" t="s">
        <v>844</v>
      </c>
      <c r="G116" s="832" t="s">
        <v>836</v>
      </c>
      <c r="H116" s="192" t="s">
        <v>445</v>
      </c>
      <c r="I116" s="253"/>
      <c r="J116" s="253"/>
      <c r="K116" s="584">
        <v>265028010</v>
      </c>
      <c r="L116" s="39" t="s">
        <v>8</v>
      </c>
      <c r="M116" s="39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26"/>
    </row>
    <row r="117" spans="1:28" ht="15.75" customHeight="1">
      <c r="A117" s="827" t="str">
        <f>IF(B117&lt;&gt;"",IF(AND(B117&gt;=_TM1,B117&lt;=_TM2,OR(TH!L117="1111",TH!M117="1111")),TH!D117,""),"")</f>
        <v/>
      </c>
      <c r="B117" s="36">
        <f t="shared" si="21"/>
        <v>3</v>
      </c>
      <c r="C117" s="37">
        <f t="shared" si="38"/>
        <v>42458</v>
      </c>
      <c r="D117" s="37" t="s">
        <v>842</v>
      </c>
      <c r="E117" s="190">
        <v>42458</v>
      </c>
      <c r="F117" s="40" t="s">
        <v>892</v>
      </c>
      <c r="G117" s="832" t="s">
        <v>836</v>
      </c>
      <c r="H117" s="7"/>
      <c r="I117" s="253"/>
      <c r="J117" s="253"/>
      <c r="K117" s="584">
        <v>99425</v>
      </c>
      <c r="L117" s="39" t="s">
        <v>83</v>
      </c>
      <c r="M117" s="39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>x</v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>x</v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26">
        <v>2</v>
      </c>
    </row>
    <row r="118" spans="1:28" ht="15.75" customHeight="1">
      <c r="A118" s="827" t="str">
        <f>IF(B118&lt;&gt;"",IF(AND(B118&gt;=_TM1,B118&lt;=_TM2,OR(TH!L118="1111",TH!M118="1111")),TH!D118,""),"")</f>
        <v/>
      </c>
      <c r="B118" s="36">
        <f t="shared" ref="B118" si="45">IF(C118&lt;&gt;"",MONTH(C118),"")</f>
        <v>3</v>
      </c>
      <c r="C118" s="37">
        <f t="shared" ref="C118" si="46">E118</f>
        <v>42458</v>
      </c>
      <c r="D118" s="37" t="s">
        <v>842</v>
      </c>
      <c r="E118" s="190">
        <v>42458</v>
      </c>
      <c r="F118" s="40" t="s">
        <v>1098</v>
      </c>
      <c r="G118" s="832" t="s">
        <v>836</v>
      </c>
      <c r="H118" s="7"/>
      <c r="I118" s="253"/>
      <c r="J118" s="253"/>
      <c r="K118" s="584">
        <v>9942</v>
      </c>
      <c r="L118" s="39" t="s">
        <v>9</v>
      </c>
      <c r="M118" s="39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>x</v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26">
        <v>2</v>
      </c>
    </row>
    <row r="119" spans="1:28" ht="15.75" customHeight="1">
      <c r="A119" s="827" t="str">
        <f>IF(B119&lt;&gt;"",IF(AND(B119&gt;=_TM1,B119&lt;=_TM2,OR(TH!L119="1111",TH!M119="1111")),TH!D119,""),"")</f>
        <v/>
      </c>
      <c r="B119" s="36">
        <f t="shared" si="21"/>
        <v>3</v>
      </c>
      <c r="C119" s="37">
        <f t="shared" si="38"/>
        <v>42458</v>
      </c>
      <c r="D119" s="37" t="s">
        <v>842</v>
      </c>
      <c r="E119" s="190">
        <v>42458</v>
      </c>
      <c r="F119" s="40" t="s">
        <v>844</v>
      </c>
      <c r="G119" s="832" t="s">
        <v>836</v>
      </c>
      <c r="H119" s="192" t="s">
        <v>428</v>
      </c>
      <c r="I119" s="767"/>
      <c r="J119" s="253"/>
      <c r="K119" s="584">
        <v>20022000</v>
      </c>
      <c r="L119" s="39" t="s">
        <v>8</v>
      </c>
      <c r="M119" s="39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>x</v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26"/>
    </row>
    <row r="120" spans="1:28" ht="15.75" customHeight="1">
      <c r="A120" s="827" t="str">
        <f>IF(B120&lt;&gt;"",IF(AND(B120&gt;=_TM1,B120&lt;=_TM2,OR(TH!L120="1111",TH!M120="1111")),TH!D120,""),"")</f>
        <v/>
      </c>
      <c r="B120" s="36">
        <f t="shared" si="21"/>
        <v>3</v>
      </c>
      <c r="C120" s="37">
        <f t="shared" si="38"/>
        <v>42458</v>
      </c>
      <c r="D120" s="37" t="s">
        <v>842</v>
      </c>
      <c r="E120" s="190">
        <v>42458</v>
      </c>
      <c r="F120" s="40" t="s">
        <v>892</v>
      </c>
      <c r="G120" s="832" t="s">
        <v>836</v>
      </c>
      <c r="H120" s="7"/>
      <c r="I120" s="253"/>
      <c r="J120" s="253"/>
      <c r="K120" s="584">
        <v>20000</v>
      </c>
      <c r="L120" s="39" t="s">
        <v>83</v>
      </c>
      <c r="M120" s="39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>x</v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26">
        <v>2</v>
      </c>
    </row>
    <row r="121" spans="1:28" ht="15.75" customHeight="1">
      <c r="A121" s="827" t="str">
        <f>IF(B121&lt;&gt;"",IF(AND(B121&gt;=_TM1,B121&lt;=_TM2,OR(TH!L121="1111",TH!M121="1111")),TH!D121,""),"")</f>
        <v/>
      </c>
      <c r="B121" s="36">
        <f t="shared" ref="B121" si="47">IF(C121&lt;&gt;"",MONTH(C121),"")</f>
        <v>3</v>
      </c>
      <c r="C121" s="37">
        <f t="shared" ref="C121" si="48">E121</f>
        <v>42458</v>
      </c>
      <c r="D121" s="37" t="s">
        <v>842</v>
      </c>
      <c r="E121" s="190">
        <v>42458</v>
      </c>
      <c r="F121" s="40" t="s">
        <v>1098</v>
      </c>
      <c r="G121" s="832" t="s">
        <v>836</v>
      </c>
      <c r="H121" s="7"/>
      <c r="I121" s="253"/>
      <c r="J121" s="253"/>
      <c r="K121" s="584">
        <v>2000</v>
      </c>
      <c r="L121" s="39" t="s">
        <v>9</v>
      </c>
      <c r="M121" s="39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>x</v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26">
        <v>2</v>
      </c>
    </row>
    <row r="122" spans="1:28" ht="15.75" customHeight="1">
      <c r="A122" s="827" t="str">
        <f>IF(B122&lt;&gt;"",IF(AND(B122&gt;=_TM1,B122&lt;=_TM2,OR(TH!L122="1111",TH!M122="1111")),TH!D122,""),"")</f>
        <v/>
      </c>
      <c r="B122" s="36">
        <f t="shared" ref="B122:B139" si="49">IF(C122&lt;&gt;"",MONTH(C122),"")</f>
        <v>4</v>
      </c>
      <c r="C122" s="190">
        <f t="shared" ref="C122:C134" si="50">E122</f>
        <v>42465</v>
      </c>
      <c r="D122" s="190" t="s">
        <v>835</v>
      </c>
      <c r="E122" s="183">
        <v>42465</v>
      </c>
      <c r="F122" s="191" t="s">
        <v>839</v>
      </c>
      <c r="G122" s="833" t="s">
        <v>836</v>
      </c>
      <c r="H122" s="192" t="s">
        <v>1046</v>
      </c>
      <c r="I122" s="253"/>
      <c r="J122" s="253"/>
      <c r="K122" s="38">
        <v>8800000</v>
      </c>
      <c r="L122" s="193" t="s">
        <v>24</v>
      </c>
      <c r="M122" s="193" t="s">
        <v>251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26"/>
      <c r="AB122" s="576"/>
    </row>
    <row r="123" spans="1:28" ht="15.75" customHeight="1">
      <c r="A123" s="827" t="str">
        <f>IF(B123&lt;&gt;"",IF(AND(B123&gt;=_TM1,B123&lt;=_TM2,OR(TH!L123="1111",TH!M123="1111")),TH!D123,""),"")</f>
        <v/>
      </c>
      <c r="B123" s="36">
        <f t="shared" si="49"/>
        <v>4</v>
      </c>
      <c r="C123" s="190">
        <f t="shared" si="50"/>
        <v>42468</v>
      </c>
      <c r="D123" s="190" t="s">
        <v>835</v>
      </c>
      <c r="E123" s="183">
        <v>42468</v>
      </c>
      <c r="F123" s="191" t="s">
        <v>839</v>
      </c>
      <c r="G123" s="833" t="s">
        <v>836</v>
      </c>
      <c r="H123" s="192" t="s">
        <v>662</v>
      </c>
      <c r="I123" s="253"/>
      <c r="J123" s="253"/>
      <c r="K123" s="38">
        <v>80000000</v>
      </c>
      <c r="L123" s="193" t="s">
        <v>24</v>
      </c>
      <c r="M123" s="193" t="s">
        <v>251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26"/>
      <c r="AB123" s="576"/>
    </row>
    <row r="124" spans="1:28" ht="15.75" customHeight="1">
      <c r="A124" s="827" t="str">
        <f>IF(B124&lt;&gt;"",IF(AND(B124&gt;=_TM1,B124&lt;=_TM2,OR(TH!L124="1111",TH!M124="1111")),TH!D124,""),"")</f>
        <v/>
      </c>
      <c r="B124" s="36">
        <f t="shared" si="49"/>
        <v>4</v>
      </c>
      <c r="C124" s="190">
        <f t="shared" si="50"/>
        <v>42468</v>
      </c>
      <c r="D124" s="190" t="s">
        <v>835</v>
      </c>
      <c r="E124" s="183">
        <v>42468</v>
      </c>
      <c r="F124" s="191" t="s">
        <v>839</v>
      </c>
      <c r="G124" s="833" t="s">
        <v>836</v>
      </c>
      <c r="H124" s="192" t="s">
        <v>662</v>
      </c>
      <c r="I124" s="253"/>
      <c r="J124" s="253"/>
      <c r="K124" s="38">
        <v>83977000</v>
      </c>
      <c r="L124" s="193" t="s">
        <v>24</v>
      </c>
      <c r="M124" s="193" t="s">
        <v>251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26"/>
      <c r="AB124" s="576"/>
    </row>
    <row r="125" spans="1:28" ht="15.75" customHeight="1">
      <c r="A125" s="827" t="str">
        <f>IF(B125&lt;&gt;"",IF(AND(B125&gt;=_TM1,B125&lt;=_TM2,OR(TH!L125="1111",TH!M125="1111")),TH!D125,""),"")</f>
        <v/>
      </c>
      <c r="B125" s="36">
        <f t="shared" si="49"/>
        <v>4</v>
      </c>
      <c r="C125" s="190">
        <f t="shared" si="50"/>
        <v>42479</v>
      </c>
      <c r="D125" s="190" t="s">
        <v>835</v>
      </c>
      <c r="E125" s="183">
        <v>42479</v>
      </c>
      <c r="F125" s="188" t="s">
        <v>838</v>
      </c>
      <c r="G125" s="833" t="s">
        <v>836</v>
      </c>
      <c r="H125" s="7" t="s">
        <v>837</v>
      </c>
      <c r="I125" s="253"/>
      <c r="J125" s="253"/>
      <c r="K125" s="38">
        <v>25000000</v>
      </c>
      <c r="L125" s="193" t="s">
        <v>24</v>
      </c>
      <c r="M125" s="193" t="s">
        <v>47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26"/>
      <c r="AB125" s="576"/>
    </row>
    <row r="126" spans="1:28" ht="15.75" customHeight="1">
      <c r="A126" s="827" t="str">
        <f>IF(B126&lt;&gt;"",IF(AND(B126&gt;=_TM1,B126&lt;=_TM2,OR(TH!L126="1111",TH!M126="1111")),TH!D126,""),"")</f>
        <v/>
      </c>
      <c r="B126" s="36">
        <f t="shared" si="49"/>
        <v>4</v>
      </c>
      <c r="C126" s="190">
        <f t="shared" si="50"/>
        <v>42482</v>
      </c>
      <c r="D126" s="190" t="s">
        <v>835</v>
      </c>
      <c r="E126" s="183">
        <v>42482</v>
      </c>
      <c r="F126" s="191" t="s">
        <v>839</v>
      </c>
      <c r="G126" s="833" t="s">
        <v>836</v>
      </c>
      <c r="H126" s="192" t="s">
        <v>678</v>
      </c>
      <c r="I126" s="253"/>
      <c r="J126" s="253"/>
      <c r="K126" s="584">
        <v>59245042</v>
      </c>
      <c r="L126" s="193" t="s">
        <v>24</v>
      </c>
      <c r="M126" s="193" t="s">
        <v>251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26"/>
      <c r="AB126" s="576"/>
    </row>
    <row r="127" spans="1:28" ht="15.75" customHeight="1">
      <c r="A127" s="827" t="str">
        <f>IF(B127&lt;&gt;"",IF(AND(B127&gt;=_TM1,B127&lt;=_TM2,OR(TH!L127="1111",TH!M127="1111")),TH!D127,""),"")</f>
        <v/>
      </c>
      <c r="B127" s="36">
        <f t="shared" si="49"/>
        <v>4</v>
      </c>
      <c r="C127" s="190">
        <f t="shared" si="50"/>
        <v>42485</v>
      </c>
      <c r="D127" s="190" t="s">
        <v>835</v>
      </c>
      <c r="E127" s="183">
        <v>42485</v>
      </c>
      <c r="F127" s="191" t="s">
        <v>840</v>
      </c>
      <c r="G127" s="833" t="s">
        <v>836</v>
      </c>
      <c r="H127" s="7"/>
      <c r="I127" s="253"/>
      <c r="J127" s="253"/>
      <c r="K127" s="38">
        <v>1838</v>
      </c>
      <c r="L127" s="193" t="s">
        <v>24</v>
      </c>
      <c r="M127" s="193" t="s">
        <v>40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26"/>
      <c r="AB127" s="576"/>
    </row>
    <row r="128" spans="1:28" ht="15.75" customHeight="1">
      <c r="A128" s="827" t="str">
        <f>IF(B128&lt;&gt;"",IF(AND(B128&gt;=_TM1,B128&lt;=_TM2,OR(TH!L128="1111",TH!M128="1111")),TH!D128,""),"")</f>
        <v/>
      </c>
      <c r="B128" s="36">
        <f t="shared" si="49"/>
        <v>4</v>
      </c>
      <c r="C128" s="190">
        <f t="shared" si="50"/>
        <v>42485</v>
      </c>
      <c r="D128" s="190" t="s">
        <v>835</v>
      </c>
      <c r="E128" s="183">
        <v>42485</v>
      </c>
      <c r="F128" s="188" t="s">
        <v>838</v>
      </c>
      <c r="G128" s="833" t="s">
        <v>836</v>
      </c>
      <c r="H128" s="7" t="s">
        <v>837</v>
      </c>
      <c r="I128" s="253"/>
      <c r="J128" s="253"/>
      <c r="K128" s="38">
        <v>25000000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26"/>
      <c r="AB128" s="576"/>
    </row>
    <row r="129" spans="1:28" ht="15.75" customHeight="1">
      <c r="A129" s="827" t="str">
        <f>IF(B129&lt;&gt;"",IF(AND(B129&gt;=_TM1,B129&lt;=_TM2,OR(TH!L129="1111",TH!M129="1111")),TH!D129,""),"")</f>
        <v/>
      </c>
      <c r="B129" s="36">
        <f t="shared" si="49"/>
        <v>4</v>
      </c>
      <c r="C129" s="190">
        <f t="shared" si="50"/>
        <v>42487</v>
      </c>
      <c r="D129" s="190" t="s">
        <v>835</v>
      </c>
      <c r="E129" s="183">
        <v>42487</v>
      </c>
      <c r="F129" s="191" t="s">
        <v>839</v>
      </c>
      <c r="G129" s="833" t="s">
        <v>836</v>
      </c>
      <c r="H129" s="7" t="s">
        <v>841</v>
      </c>
      <c r="I129" s="253"/>
      <c r="J129" s="253"/>
      <c r="K129" s="38">
        <v>9570000</v>
      </c>
      <c r="L129" s="193" t="s">
        <v>24</v>
      </c>
      <c r="M129" s="193" t="s">
        <v>251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26"/>
      <c r="AB129" s="576"/>
    </row>
    <row r="130" spans="1:28" ht="15.75" customHeight="1">
      <c r="A130" s="827" t="str">
        <f>IF(B130&lt;&gt;"",IF(AND(B130&gt;=_TM1,B130&lt;=_TM2,OR(TH!L130="1111",TH!M130="1111")),TH!D130,""),"")</f>
        <v/>
      </c>
      <c r="B130" s="36">
        <f t="shared" si="49"/>
        <v>5</v>
      </c>
      <c r="C130" s="190">
        <f t="shared" si="50"/>
        <v>42499</v>
      </c>
      <c r="D130" s="190" t="s">
        <v>835</v>
      </c>
      <c r="E130" s="183">
        <v>42499</v>
      </c>
      <c r="F130" s="191" t="s">
        <v>839</v>
      </c>
      <c r="G130" s="833" t="s">
        <v>836</v>
      </c>
      <c r="H130" s="192" t="s">
        <v>662</v>
      </c>
      <c r="I130" s="253"/>
      <c r="J130" s="253"/>
      <c r="K130" s="38">
        <v>90000000</v>
      </c>
      <c r="L130" s="193" t="s">
        <v>24</v>
      </c>
      <c r="M130" s="193" t="s">
        <v>251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26"/>
      <c r="AB130" s="576"/>
    </row>
    <row r="131" spans="1:28" ht="15.75" customHeight="1">
      <c r="A131" s="827" t="str">
        <f>IF(B131&lt;&gt;"",IF(AND(B131&gt;=_TM1,B131&lt;=_TM2,OR(TH!L131="1111",TH!M131="1111")),TH!D131,""),"")</f>
        <v/>
      </c>
      <c r="B131" s="36">
        <f t="shared" si="49"/>
        <v>5</v>
      </c>
      <c r="C131" s="190">
        <f t="shared" si="50"/>
        <v>42499</v>
      </c>
      <c r="D131" s="190" t="s">
        <v>835</v>
      </c>
      <c r="E131" s="183">
        <v>42499</v>
      </c>
      <c r="F131" s="191" t="s">
        <v>839</v>
      </c>
      <c r="G131" s="833" t="s">
        <v>836</v>
      </c>
      <c r="H131" s="192" t="s">
        <v>662</v>
      </c>
      <c r="I131" s="253"/>
      <c r="J131" s="253"/>
      <c r="K131" s="38">
        <v>86154000</v>
      </c>
      <c r="L131" s="193" t="s">
        <v>24</v>
      </c>
      <c r="M131" s="193" t="s">
        <v>251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26"/>
      <c r="AB131" s="576"/>
    </row>
    <row r="132" spans="1:28" ht="15.75" customHeight="1">
      <c r="A132" s="827" t="str">
        <f>IF(B132&lt;&gt;"",IF(AND(B132&gt;=_TM1,B132&lt;=_TM2,OR(TH!L132="1111",TH!M132="1111")),TH!D132,""),"")</f>
        <v/>
      </c>
      <c r="B132" s="36">
        <f t="shared" si="49"/>
        <v>5</v>
      </c>
      <c r="C132" s="190">
        <f t="shared" si="50"/>
        <v>42501</v>
      </c>
      <c r="D132" s="190" t="s">
        <v>835</v>
      </c>
      <c r="E132" s="183">
        <v>42501</v>
      </c>
      <c r="F132" s="188" t="s">
        <v>838</v>
      </c>
      <c r="G132" s="833" t="s">
        <v>836</v>
      </c>
      <c r="H132" s="7" t="s">
        <v>837</v>
      </c>
      <c r="I132" s="253"/>
      <c r="J132" s="253"/>
      <c r="K132" s="38">
        <v>3400000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26"/>
      <c r="AB132" s="576"/>
    </row>
    <row r="133" spans="1:28" ht="15.75" customHeight="1">
      <c r="A133" s="827" t="str">
        <f>IF(B133&lt;&gt;"",IF(AND(B133&gt;=_TM1,B133&lt;=_TM2,OR(TH!L133="1111",TH!M133="1111")),TH!D133,""),"")</f>
        <v/>
      </c>
      <c r="B133" s="36">
        <f t="shared" si="49"/>
        <v>5</v>
      </c>
      <c r="C133" s="190">
        <f t="shared" si="50"/>
        <v>42501</v>
      </c>
      <c r="D133" s="190" t="s">
        <v>835</v>
      </c>
      <c r="E133" s="183">
        <v>42501</v>
      </c>
      <c r="F133" s="188" t="s">
        <v>838</v>
      </c>
      <c r="G133" s="833" t="s">
        <v>836</v>
      </c>
      <c r="H133" s="7" t="s">
        <v>837</v>
      </c>
      <c r="I133" s="253"/>
      <c r="J133" s="253"/>
      <c r="K133" s="38">
        <v>3600000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26"/>
      <c r="AB133" s="576"/>
    </row>
    <row r="134" spans="1:28" ht="15.75" customHeight="1">
      <c r="A134" s="827" t="str">
        <f>IF(B134&lt;&gt;"",IF(AND(B134&gt;=_TM1,B134&lt;=_TM2,OR(TH!L134="1111",TH!M134="1111")),TH!D134,""),"")</f>
        <v/>
      </c>
      <c r="B134" s="36">
        <f t="shared" si="49"/>
        <v>5</v>
      </c>
      <c r="C134" s="190">
        <f t="shared" si="50"/>
        <v>42508</v>
      </c>
      <c r="D134" s="190" t="s">
        <v>835</v>
      </c>
      <c r="E134" s="183">
        <v>42508</v>
      </c>
      <c r="F134" s="191" t="s">
        <v>839</v>
      </c>
      <c r="G134" s="833" t="s">
        <v>836</v>
      </c>
      <c r="H134" s="192" t="s">
        <v>678</v>
      </c>
      <c r="I134" s="253"/>
      <c r="J134" s="253"/>
      <c r="K134" s="38">
        <v>141918924</v>
      </c>
      <c r="L134" s="193" t="s">
        <v>24</v>
      </c>
      <c r="M134" s="193" t="s">
        <v>251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26"/>
      <c r="AB134" s="576"/>
    </row>
    <row r="135" spans="1:28" ht="15.75" customHeight="1">
      <c r="A135" s="827" t="str">
        <f>IF(B135&lt;&gt;"",IF(AND(B135&gt;=_TM1,B135&lt;=_TM2,OR(TH!L135="1111",TH!M135="1111")),TH!D135,""),"")</f>
        <v/>
      </c>
      <c r="B135" s="36">
        <f t="shared" si="49"/>
        <v>5</v>
      </c>
      <c r="C135" s="190">
        <f t="shared" ref="C135:C181" si="51">E135</f>
        <v>42515</v>
      </c>
      <c r="D135" s="190" t="s">
        <v>835</v>
      </c>
      <c r="E135" s="183">
        <v>42515</v>
      </c>
      <c r="F135" s="191" t="s">
        <v>840</v>
      </c>
      <c r="G135" s="833" t="s">
        <v>836</v>
      </c>
      <c r="H135" s="7"/>
      <c r="I135" s="253"/>
      <c r="J135" s="253"/>
      <c r="K135" s="38">
        <v>1950</v>
      </c>
      <c r="L135" s="193" t="s">
        <v>24</v>
      </c>
      <c r="M135" s="193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26"/>
      <c r="AB135" s="576"/>
    </row>
    <row r="136" spans="1:28" ht="15.75" customHeight="1">
      <c r="A136" s="827" t="str">
        <f>IF(B136&lt;&gt;"",IF(AND(B136&gt;=_TM1,B136&lt;=_TM2,OR(TH!L136="1111",TH!M136="1111")),TH!D136,""),"")</f>
        <v/>
      </c>
      <c r="B136" s="36">
        <f t="shared" si="49"/>
        <v>5</v>
      </c>
      <c r="C136" s="190">
        <f t="shared" si="51"/>
        <v>42521</v>
      </c>
      <c r="D136" s="190" t="s">
        <v>835</v>
      </c>
      <c r="E136" s="183">
        <v>42521</v>
      </c>
      <c r="F136" s="188" t="s">
        <v>838</v>
      </c>
      <c r="G136" s="833" t="s">
        <v>836</v>
      </c>
      <c r="H136" s="7" t="s">
        <v>837</v>
      </c>
      <c r="I136" s="253"/>
      <c r="J136" s="253"/>
      <c r="K136" s="584">
        <v>3000000</v>
      </c>
      <c r="L136" s="193" t="s">
        <v>24</v>
      </c>
      <c r="M136" s="193" t="s">
        <v>47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26"/>
      <c r="AB136" s="576"/>
    </row>
    <row r="137" spans="1:28" ht="15.75" customHeight="1">
      <c r="A137" s="827" t="str">
        <f>IF(B137&lt;&gt;"",IF(AND(B137&gt;=_TM1,B137&lt;=_TM2,OR(TH!L137="1111",TH!M137="1111")),TH!D137,""),"")</f>
        <v/>
      </c>
      <c r="B137" s="36">
        <f t="shared" si="49"/>
        <v>4</v>
      </c>
      <c r="C137" s="190">
        <f t="shared" si="51"/>
        <v>42466</v>
      </c>
      <c r="D137" s="190" t="s">
        <v>842</v>
      </c>
      <c r="E137" s="183">
        <v>42466</v>
      </c>
      <c r="F137" s="191" t="s">
        <v>843</v>
      </c>
      <c r="G137" s="833" t="s">
        <v>836</v>
      </c>
      <c r="H137" s="7" t="s">
        <v>837</v>
      </c>
      <c r="I137" s="253"/>
      <c r="J137" s="253"/>
      <c r="K137" s="38">
        <v>8800000</v>
      </c>
      <c r="L137" s="193" t="s">
        <v>47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26"/>
      <c r="AB137" s="576"/>
    </row>
    <row r="138" spans="1:28" ht="15.75" customHeight="1">
      <c r="A138" s="827" t="str">
        <f>IF(B138&lt;&gt;"",IF(AND(B138&gt;=_TM1,B138&lt;=_TM2,OR(TH!L138="1111",TH!M138="1111")),TH!D138,""),"")</f>
        <v/>
      </c>
      <c r="B138" s="36">
        <f t="shared" si="49"/>
        <v>4</v>
      </c>
      <c r="C138" s="190">
        <f t="shared" si="51"/>
        <v>42468</v>
      </c>
      <c r="D138" s="190" t="s">
        <v>842</v>
      </c>
      <c r="E138" s="183">
        <v>42468</v>
      </c>
      <c r="F138" s="191" t="s">
        <v>843</v>
      </c>
      <c r="G138" s="833" t="s">
        <v>836</v>
      </c>
      <c r="H138" s="7" t="s">
        <v>837</v>
      </c>
      <c r="I138" s="253"/>
      <c r="J138" s="253"/>
      <c r="K138" s="38">
        <v>163977000</v>
      </c>
      <c r="L138" s="193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26"/>
      <c r="AB138" s="576"/>
    </row>
    <row r="139" spans="1:28" ht="15.75" customHeight="1">
      <c r="A139" s="827" t="str">
        <f>IF(B139&lt;&gt;"",IF(AND(B139&gt;=_TM1,B139&lt;=_TM2,OR(TH!L139="1111",TH!M139="1111")),TH!D139,""),"")</f>
        <v/>
      </c>
      <c r="B139" s="36">
        <f t="shared" si="49"/>
        <v>4</v>
      </c>
      <c r="C139" s="190">
        <f t="shared" si="51"/>
        <v>42469</v>
      </c>
      <c r="D139" s="190" t="s">
        <v>842</v>
      </c>
      <c r="E139" s="183">
        <v>42469</v>
      </c>
      <c r="F139" s="191" t="s">
        <v>845</v>
      </c>
      <c r="G139" s="833" t="s">
        <v>836</v>
      </c>
      <c r="H139" s="7"/>
      <c r="I139" s="253"/>
      <c r="J139" s="253"/>
      <c r="K139" s="584">
        <v>50000</v>
      </c>
      <c r="L139" s="193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>642</v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26">
        <v>2</v>
      </c>
      <c r="AB139" s="576"/>
    </row>
    <row r="140" spans="1:28" ht="15.75" customHeight="1">
      <c r="A140" s="827" t="str">
        <f>IF(B140&lt;&gt;"",IF(AND(B140&gt;=_TM1,B140&lt;=_TM2,OR(TH!L140="1111",TH!M140="1111")),TH!D140,""),"")</f>
        <v/>
      </c>
      <c r="B140" s="36">
        <f t="shared" ref="B140" si="52">IF(C140&lt;&gt;"",MONTH(C140),"")</f>
        <v>4</v>
      </c>
      <c r="C140" s="190">
        <f t="shared" ref="C140" si="53">E140</f>
        <v>42469</v>
      </c>
      <c r="D140" s="190" t="s">
        <v>842</v>
      </c>
      <c r="E140" s="183">
        <v>42469</v>
      </c>
      <c r="F140" s="191" t="s">
        <v>846</v>
      </c>
      <c r="G140" s="833" t="s">
        <v>836</v>
      </c>
      <c r="H140" s="7"/>
      <c r="I140" s="253"/>
      <c r="J140" s="253"/>
      <c r="K140" s="584">
        <v>5000</v>
      </c>
      <c r="L140" s="39" t="s">
        <v>9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26">
        <v>2</v>
      </c>
      <c r="AB140" s="576"/>
    </row>
    <row r="141" spans="1:28" ht="15.75" customHeight="1">
      <c r="A141" s="827" t="str">
        <f>IF(B141&lt;&gt;"",IF(AND(B141&gt;=_TM1,B141&lt;=_TM2,OR(TH!L141="1111",TH!M141="1111")),TH!D141,""),"")</f>
        <v/>
      </c>
      <c r="B141" s="36">
        <f>IF(C141&lt;&gt;"",MONTH(C141),"")</f>
        <v>4</v>
      </c>
      <c r="C141" s="190">
        <f t="shared" si="51"/>
        <v>42479</v>
      </c>
      <c r="D141" s="190" t="s">
        <v>842</v>
      </c>
      <c r="E141" s="183">
        <v>42479</v>
      </c>
      <c r="F141" s="191" t="s">
        <v>844</v>
      </c>
      <c r="G141" s="833" t="s">
        <v>836</v>
      </c>
      <c r="H141" s="192" t="s">
        <v>428</v>
      </c>
      <c r="I141" s="253"/>
      <c r="J141" s="253"/>
      <c r="K141" s="38">
        <v>25022000</v>
      </c>
      <c r="L141" s="193" t="s">
        <v>8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26"/>
      <c r="AB141" s="576"/>
    </row>
    <row r="142" spans="1:28" ht="15.75" customHeight="1">
      <c r="A142" s="827" t="str">
        <f>IF(B142&lt;&gt;"",IF(AND(B142&gt;=_TM1,B142&lt;=_TM2,OR(TH!L142="1111",TH!M142="1111")),TH!D142,""),"")</f>
        <v/>
      </c>
      <c r="B142" s="36">
        <f>IF(C142&lt;&gt;"",MONTH(C142),"")</f>
        <v>4</v>
      </c>
      <c r="C142" s="190">
        <f t="shared" si="51"/>
        <v>42479</v>
      </c>
      <c r="D142" s="190" t="s">
        <v>842</v>
      </c>
      <c r="E142" s="183">
        <v>42479</v>
      </c>
      <c r="F142" s="188" t="s">
        <v>850</v>
      </c>
      <c r="G142" s="833" t="s">
        <v>836</v>
      </c>
      <c r="H142" s="7"/>
      <c r="I142" s="253"/>
      <c r="J142" s="253"/>
      <c r="K142" s="38">
        <v>20000</v>
      </c>
      <c r="L142" s="193" t="s">
        <v>83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>642</v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26">
        <v>2</v>
      </c>
      <c r="AB142" s="576"/>
    </row>
    <row r="143" spans="1:28" ht="15.75" customHeight="1">
      <c r="A143" s="827" t="str">
        <f>IF(B143&lt;&gt;"",IF(AND(B143&gt;=_TM1,B143&lt;=_TM2,OR(TH!L143="1111",TH!M143="1111")),TH!D143,""),"")</f>
        <v/>
      </c>
      <c r="B143" s="36">
        <f t="shared" ref="B143" si="54">IF(C143&lt;&gt;"",MONTH(C143),"")</f>
        <v>4</v>
      </c>
      <c r="C143" s="190">
        <f t="shared" ref="C143" si="55">E143</f>
        <v>42479</v>
      </c>
      <c r="D143" s="190" t="s">
        <v>842</v>
      </c>
      <c r="E143" s="183">
        <v>42479</v>
      </c>
      <c r="F143" s="188" t="s">
        <v>851</v>
      </c>
      <c r="G143" s="833" t="s">
        <v>836</v>
      </c>
      <c r="H143" s="7"/>
      <c r="I143" s="253"/>
      <c r="J143" s="253"/>
      <c r="K143" s="38">
        <v>2000</v>
      </c>
      <c r="L143" s="39" t="s">
        <v>9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26">
        <v>2</v>
      </c>
      <c r="AB143" s="576"/>
    </row>
    <row r="144" spans="1:28" ht="15.75" customHeight="1">
      <c r="A144" s="827" t="str">
        <f>IF(B144&lt;&gt;"",IF(AND(B144&gt;=_TM1,B144&lt;=_TM2,OR(TH!L144="1111",TH!M144="1111")),TH!D144,""),"")</f>
        <v/>
      </c>
      <c r="B144" s="36">
        <f>IF(C144&lt;&gt;"",MONTH(C144),"")</f>
        <v>4</v>
      </c>
      <c r="C144" s="190">
        <f t="shared" si="51"/>
        <v>42485</v>
      </c>
      <c r="D144" s="190" t="s">
        <v>842</v>
      </c>
      <c r="E144" s="183">
        <v>42485</v>
      </c>
      <c r="F144" s="188" t="s">
        <v>847</v>
      </c>
      <c r="G144" s="833" t="s">
        <v>836</v>
      </c>
      <c r="H144" s="7"/>
      <c r="I144" s="253"/>
      <c r="J144" s="253"/>
      <c r="K144" s="38">
        <v>10000</v>
      </c>
      <c r="L144" s="193" t="s">
        <v>83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26">
        <v>2</v>
      </c>
      <c r="AB144" s="576"/>
    </row>
    <row r="145" spans="1:28" ht="15.75" customHeight="1">
      <c r="A145" s="827" t="str">
        <f>IF(B145&lt;&gt;"",IF(AND(B145&gt;=_TM1,B145&lt;=_TM2,OR(TH!L145="1111",TH!M145="1111")),TH!D145,""),"")</f>
        <v/>
      </c>
      <c r="B145" s="36">
        <f t="shared" ref="B145" si="56">IF(C145&lt;&gt;"",MONTH(C145),"")</f>
        <v>4</v>
      </c>
      <c r="C145" s="190">
        <f t="shared" ref="C145" si="57">E145</f>
        <v>42485</v>
      </c>
      <c r="D145" s="190" t="s">
        <v>842</v>
      </c>
      <c r="E145" s="183">
        <v>42485</v>
      </c>
      <c r="F145" s="188" t="s">
        <v>848</v>
      </c>
      <c r="G145" s="833" t="s">
        <v>836</v>
      </c>
      <c r="H145" s="7"/>
      <c r="I145" s="253"/>
      <c r="J145" s="253"/>
      <c r="K145" s="38">
        <v>1000</v>
      </c>
      <c r="L145" s="39" t="s">
        <v>9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26">
        <v>2</v>
      </c>
      <c r="AB145" s="576"/>
    </row>
    <row r="146" spans="1:28" ht="15.75" customHeight="1">
      <c r="A146" s="827" t="str">
        <f>IF(B146&lt;&gt;"",IF(AND(B146&gt;=_TM1,B146&lt;=_TM2,OR(TH!L146="1111",TH!M146="1111")),TH!D146,""),"")</f>
        <v/>
      </c>
      <c r="B146" s="36">
        <f>IF(C146&lt;&gt;"",MONTH(C146),"")</f>
        <v>4</v>
      </c>
      <c r="C146" s="190">
        <f t="shared" si="51"/>
        <v>42485</v>
      </c>
      <c r="D146" s="190" t="s">
        <v>842</v>
      </c>
      <c r="E146" s="183">
        <v>42485</v>
      </c>
      <c r="F146" s="191" t="s">
        <v>843</v>
      </c>
      <c r="G146" s="833" t="s">
        <v>836</v>
      </c>
      <c r="H146" s="7" t="s">
        <v>837</v>
      </c>
      <c r="I146" s="253"/>
      <c r="J146" s="253"/>
      <c r="K146" s="38">
        <v>59200000</v>
      </c>
      <c r="L146" s="193" t="s">
        <v>47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26"/>
      <c r="AB146" s="576"/>
    </row>
    <row r="147" spans="1:28" ht="15.75" customHeight="1">
      <c r="A147" s="827" t="str">
        <f>IF(B147&lt;&gt;"",IF(AND(B147&gt;=_TM1,B147&lt;=_TM2,OR(TH!L147="1111",TH!M147="1111")),TH!D147,""),"")</f>
        <v/>
      </c>
      <c r="B147" s="36">
        <f>IF(C147&lt;&gt;"",MONTH(C147),"")</f>
        <v>4</v>
      </c>
      <c r="C147" s="190">
        <f t="shared" si="51"/>
        <v>42485</v>
      </c>
      <c r="D147" s="190" t="s">
        <v>842</v>
      </c>
      <c r="E147" s="183">
        <v>42485</v>
      </c>
      <c r="F147" s="191" t="s">
        <v>844</v>
      </c>
      <c r="G147" s="833" t="s">
        <v>836</v>
      </c>
      <c r="H147" s="192" t="s">
        <v>428</v>
      </c>
      <c r="I147" s="253"/>
      <c r="J147" s="253"/>
      <c r="K147" s="38">
        <v>25022000</v>
      </c>
      <c r="L147" s="193" t="s">
        <v>8</v>
      </c>
      <c r="M147" s="19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26"/>
      <c r="AB147" s="576"/>
    </row>
    <row r="148" spans="1:28" ht="15.75" customHeight="1">
      <c r="A148" s="827" t="str">
        <f>IF(B148&lt;&gt;"",IF(AND(B148&gt;=_TM1,B148&lt;=_TM2,OR(TH!L148="1111",TH!M148="1111")),TH!D148,""),"")</f>
        <v/>
      </c>
      <c r="B148" s="36">
        <f>IF(C148&lt;&gt;"",MONTH(C148),"")</f>
        <v>4</v>
      </c>
      <c r="C148" s="190">
        <f t="shared" si="51"/>
        <v>42485</v>
      </c>
      <c r="D148" s="190" t="s">
        <v>842</v>
      </c>
      <c r="E148" s="183">
        <v>42485</v>
      </c>
      <c r="F148" s="188" t="s">
        <v>850</v>
      </c>
      <c r="G148" s="833" t="s">
        <v>836</v>
      </c>
      <c r="H148" s="7"/>
      <c r="I148" s="253"/>
      <c r="J148" s="253"/>
      <c r="K148" s="38">
        <v>20000</v>
      </c>
      <c r="L148" s="193" t="s">
        <v>83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642</v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26">
        <v>2</v>
      </c>
      <c r="AB148" s="576"/>
    </row>
    <row r="149" spans="1:28" ht="15.75" customHeight="1">
      <c r="A149" s="827" t="str">
        <f>IF(B149&lt;&gt;"",IF(AND(B149&gt;=_TM1,B149&lt;=_TM2,OR(TH!L149="1111",TH!M149="1111")),TH!D149,""),"")</f>
        <v/>
      </c>
      <c r="B149" s="36">
        <f t="shared" ref="B149" si="58">IF(C149&lt;&gt;"",MONTH(C149),"")</f>
        <v>4</v>
      </c>
      <c r="C149" s="190">
        <f t="shared" ref="C149" si="59">E149</f>
        <v>42485</v>
      </c>
      <c r="D149" s="190" t="s">
        <v>842</v>
      </c>
      <c r="E149" s="183">
        <v>42485</v>
      </c>
      <c r="F149" s="188" t="s">
        <v>851</v>
      </c>
      <c r="G149" s="833" t="s">
        <v>836</v>
      </c>
      <c r="H149" s="7"/>
      <c r="I149" s="253"/>
      <c r="J149" s="253"/>
      <c r="K149" s="38">
        <v>2000</v>
      </c>
      <c r="L149" s="39" t="s">
        <v>9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26">
        <v>2</v>
      </c>
      <c r="AB149" s="576"/>
    </row>
    <row r="150" spans="1:28" ht="15.75" customHeight="1">
      <c r="A150" s="827" t="str">
        <f>IF(B150&lt;&gt;"",IF(AND(B150&gt;=_TM1,B150&lt;=_TM2,OR(TH!L150="1111",TH!M150="1111")),TH!D150,""),"")</f>
        <v/>
      </c>
      <c r="B150" s="36">
        <f t="shared" ref="B150:B199" si="60">IF(C150&lt;&gt;"",MONTH(C150),"")</f>
        <v>4</v>
      </c>
      <c r="C150" s="190">
        <f t="shared" si="51"/>
        <v>42487</v>
      </c>
      <c r="D150" s="190" t="s">
        <v>842</v>
      </c>
      <c r="E150" s="183">
        <v>42487</v>
      </c>
      <c r="F150" s="191" t="s">
        <v>843</v>
      </c>
      <c r="G150" s="833" t="s">
        <v>836</v>
      </c>
      <c r="H150" s="7" t="s">
        <v>837</v>
      </c>
      <c r="I150" s="253"/>
      <c r="J150" s="253"/>
      <c r="K150" s="38">
        <v>9500000</v>
      </c>
      <c r="L150" s="193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26"/>
      <c r="AB150" s="576"/>
    </row>
    <row r="151" spans="1:28" ht="15.75" customHeight="1">
      <c r="A151" s="827" t="str">
        <f>IF(B151&lt;&gt;"",IF(AND(B151&gt;=_TM1,B151&lt;=_TM2,OR(TH!L151="1111",TH!M151="1111")),TH!D151,""),"")</f>
        <v/>
      </c>
      <c r="B151" s="36">
        <f t="shared" si="60"/>
        <v>4</v>
      </c>
      <c r="C151" s="190">
        <f t="shared" si="51"/>
        <v>42487</v>
      </c>
      <c r="D151" s="190" t="s">
        <v>842</v>
      </c>
      <c r="E151" s="183">
        <v>42487</v>
      </c>
      <c r="F151" s="188" t="s">
        <v>850</v>
      </c>
      <c r="G151" s="833" t="s">
        <v>836</v>
      </c>
      <c r="H151" s="7"/>
      <c r="I151" s="253"/>
      <c r="J151" s="253"/>
      <c r="K151" s="38">
        <v>20000</v>
      </c>
      <c r="L151" s="193" t="s">
        <v>83</v>
      </c>
      <c r="M151" s="193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26">
        <v>2</v>
      </c>
      <c r="AB151" s="576"/>
    </row>
    <row r="152" spans="1:28" ht="15.75" customHeight="1">
      <c r="A152" s="827" t="str">
        <f>IF(B152&lt;&gt;"",IF(AND(B152&gt;=_TM1,B152&lt;=_TM2,OR(TH!L152="1111",TH!M152="1111")),TH!D152,""),"")</f>
        <v/>
      </c>
      <c r="B152" s="36">
        <f t="shared" si="60"/>
        <v>4</v>
      </c>
      <c r="C152" s="190">
        <f t="shared" si="51"/>
        <v>42487</v>
      </c>
      <c r="D152" s="190" t="s">
        <v>842</v>
      </c>
      <c r="E152" s="183">
        <v>42487</v>
      </c>
      <c r="F152" s="188" t="s">
        <v>851</v>
      </c>
      <c r="G152" s="833" t="s">
        <v>836</v>
      </c>
      <c r="H152" s="7"/>
      <c r="I152" s="253"/>
      <c r="J152" s="253"/>
      <c r="K152" s="38">
        <v>2000</v>
      </c>
      <c r="L152" s="39" t="s">
        <v>9</v>
      </c>
      <c r="M152" s="19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26">
        <v>2</v>
      </c>
      <c r="AB152" s="576"/>
    </row>
    <row r="153" spans="1:28" ht="15.75" customHeight="1">
      <c r="A153" s="827" t="str">
        <f>IF(B153&lt;&gt;"",IF(AND(B153&gt;=_TM1,B153&lt;=_TM2,OR(TH!L153="1111",TH!M153="1111")),TH!D153,""),"")</f>
        <v/>
      </c>
      <c r="B153" s="36">
        <f t="shared" si="60"/>
        <v>5</v>
      </c>
      <c r="C153" s="190">
        <f t="shared" si="51"/>
        <v>42498</v>
      </c>
      <c r="D153" s="190" t="s">
        <v>842</v>
      </c>
      <c r="E153" s="183">
        <v>42498</v>
      </c>
      <c r="F153" s="191" t="s">
        <v>845</v>
      </c>
      <c r="G153" s="833" t="s">
        <v>836</v>
      </c>
      <c r="H153" s="7"/>
      <c r="I153" s="253"/>
      <c r="J153" s="253"/>
      <c r="K153" s="584">
        <v>50000</v>
      </c>
      <c r="L153" s="193" t="s">
        <v>83</v>
      </c>
      <c r="M153" s="193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26">
        <v>2</v>
      </c>
      <c r="AB153" s="576"/>
    </row>
    <row r="154" spans="1:28" ht="15.75" customHeight="1">
      <c r="A154" s="827" t="str">
        <f>IF(B154&lt;&gt;"",IF(AND(B154&gt;=_TM1,B154&lt;=_TM2,OR(TH!L154="1111",TH!M154="1111")),TH!D154,""),"")</f>
        <v/>
      </c>
      <c r="B154" s="36">
        <f t="shared" si="60"/>
        <v>5</v>
      </c>
      <c r="C154" s="190">
        <f t="shared" si="51"/>
        <v>42499</v>
      </c>
      <c r="D154" s="190" t="s">
        <v>842</v>
      </c>
      <c r="E154" s="183">
        <v>42499</v>
      </c>
      <c r="F154" s="191" t="s">
        <v>846</v>
      </c>
      <c r="G154" s="833" t="s">
        <v>836</v>
      </c>
      <c r="H154" s="7"/>
      <c r="I154" s="253"/>
      <c r="J154" s="253"/>
      <c r="K154" s="38">
        <v>5000</v>
      </c>
      <c r="L154" s="39" t="s">
        <v>9</v>
      </c>
      <c r="M154" s="193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26">
        <v>2</v>
      </c>
      <c r="AB154" s="576"/>
    </row>
    <row r="155" spans="1:28" ht="15.75" customHeight="1">
      <c r="A155" s="827" t="str">
        <f>IF(B155&lt;&gt;"",IF(AND(B155&gt;=_TM1,B155&lt;=_TM2,OR(TH!L155="1111",TH!M155="1111")),TH!D155,""),"")</f>
        <v/>
      </c>
      <c r="B155" s="36">
        <f t="shared" si="60"/>
        <v>5</v>
      </c>
      <c r="C155" s="190">
        <f t="shared" si="51"/>
        <v>42501</v>
      </c>
      <c r="D155" s="190" t="s">
        <v>842</v>
      </c>
      <c r="E155" s="183">
        <v>42501</v>
      </c>
      <c r="F155" s="191" t="s">
        <v>843</v>
      </c>
      <c r="G155" s="833" t="s">
        <v>836</v>
      </c>
      <c r="H155" s="7" t="s">
        <v>837</v>
      </c>
      <c r="I155" s="253"/>
      <c r="J155" s="253"/>
      <c r="K155" s="38">
        <v>176000000</v>
      </c>
      <c r="L155" s="193" t="s">
        <v>47</v>
      </c>
      <c r="M155" s="193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26"/>
      <c r="AB155" s="576"/>
    </row>
    <row r="156" spans="1:28" ht="15.75" customHeight="1">
      <c r="A156" s="827" t="str">
        <f>IF(B156&lt;&gt;"",IF(AND(B156&gt;=_TM1,B156&lt;=_TM2,OR(TH!L156="1111",TH!M156="1111")),TH!D156,""),"")</f>
        <v/>
      </c>
      <c r="B156" s="36">
        <f t="shared" ref="B156" si="61">IF(C156&lt;&gt;"",MONTH(C156),"")</f>
        <v>5</v>
      </c>
      <c r="C156" s="190">
        <f t="shared" ref="C156" si="62">E156</f>
        <v>42501</v>
      </c>
      <c r="D156" s="190" t="s">
        <v>842</v>
      </c>
      <c r="E156" s="183">
        <v>42501</v>
      </c>
      <c r="F156" s="188" t="s">
        <v>1344</v>
      </c>
      <c r="G156" s="833" t="s">
        <v>836</v>
      </c>
      <c r="H156" s="7"/>
      <c r="I156" s="253"/>
      <c r="J156" s="253"/>
      <c r="K156" s="38">
        <v>2629250</v>
      </c>
      <c r="L156" s="193" t="s">
        <v>1092</v>
      </c>
      <c r="M156" s="193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26"/>
      <c r="AB156" s="576"/>
    </row>
    <row r="157" spans="1:28" ht="15.75" customHeight="1">
      <c r="A157" s="827" t="str">
        <f>IF(B157&lt;&gt;"",IF(AND(B157&gt;=_TM1,B157&lt;=_TM2,OR(TH!L157="1111",TH!M157="1111")),TH!D157,""),"")</f>
        <v/>
      </c>
      <c r="B157" s="36">
        <f t="shared" ref="B157" si="63">IF(C157&lt;&gt;"",MONTH(C157),"")</f>
        <v>5</v>
      </c>
      <c r="C157" s="190">
        <f t="shared" ref="C157" si="64">E157</f>
        <v>42501</v>
      </c>
      <c r="D157" s="190" t="s">
        <v>842</v>
      </c>
      <c r="E157" s="183">
        <v>42501</v>
      </c>
      <c r="F157" s="188" t="s">
        <v>1345</v>
      </c>
      <c r="G157" s="833" t="s">
        <v>836</v>
      </c>
      <c r="H157" s="7"/>
      <c r="I157" s="253"/>
      <c r="J157" s="253"/>
      <c r="K157" s="38">
        <v>652500</v>
      </c>
      <c r="L157" s="193" t="s">
        <v>1091</v>
      </c>
      <c r="M157" s="193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26"/>
      <c r="AB157" s="576"/>
    </row>
    <row r="158" spans="1:28" ht="15.75" customHeight="1">
      <c r="A158" s="827" t="str">
        <f>IF(B158&lt;&gt;"",IF(AND(B158&gt;=_TM1,B158&lt;=_TM2,OR(TH!L158="1111",TH!M158="1111")),TH!D158,""),"")</f>
        <v/>
      </c>
      <c r="B158" s="36">
        <f t="shared" ref="B158" si="65">IF(C158&lt;&gt;"",MONTH(C158),"")</f>
        <v>5</v>
      </c>
      <c r="C158" s="190">
        <f t="shared" ref="C158" si="66">E158</f>
        <v>42501</v>
      </c>
      <c r="D158" s="190" t="s">
        <v>842</v>
      </c>
      <c r="E158" s="183">
        <v>42501</v>
      </c>
      <c r="F158" s="188" t="s">
        <v>1346</v>
      </c>
      <c r="G158" s="833" t="s">
        <v>836</v>
      </c>
      <c r="H158" s="7"/>
      <c r="I158" s="253"/>
      <c r="J158" s="253"/>
      <c r="K158" s="38">
        <v>290000</v>
      </c>
      <c r="L158" s="193" t="s">
        <v>1095</v>
      </c>
      <c r="M158" s="193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26"/>
      <c r="AB158" s="576"/>
    </row>
    <row r="159" spans="1:28" ht="15.75" customHeight="1">
      <c r="A159" s="827" t="str">
        <f>IF(B159&lt;&gt;"",IF(AND(B159&gt;=_TM1,B159&lt;=_TM2,OR(TH!L159="1111",TH!M159="1111")),TH!D159,""),"")</f>
        <v/>
      </c>
      <c r="B159" s="36">
        <f t="shared" si="60"/>
        <v>5</v>
      </c>
      <c r="C159" s="190">
        <f t="shared" si="51"/>
        <v>42501</v>
      </c>
      <c r="D159" s="190" t="s">
        <v>842</v>
      </c>
      <c r="E159" s="183">
        <v>42501</v>
      </c>
      <c r="F159" s="188" t="s">
        <v>850</v>
      </c>
      <c r="G159" s="833" t="s">
        <v>836</v>
      </c>
      <c r="H159" s="7"/>
      <c r="I159" s="253"/>
      <c r="J159" s="253"/>
      <c r="K159" s="38">
        <v>11000</v>
      </c>
      <c r="L159" s="193" t="s">
        <v>83</v>
      </c>
      <c r="M159" s="193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26"/>
      <c r="AB159" s="576"/>
    </row>
    <row r="160" spans="1:28" ht="15.75" customHeight="1">
      <c r="A160" s="827" t="str">
        <f>IF(B160&lt;&gt;"",IF(AND(B160&gt;=_TM1,B160&lt;=_TM2,OR(TH!L160="1111",TH!M160="1111")),TH!D160,""),"")</f>
        <v/>
      </c>
      <c r="B160" s="36">
        <f t="shared" si="60"/>
        <v>5</v>
      </c>
      <c r="C160" s="190">
        <f t="shared" si="51"/>
        <v>42501</v>
      </c>
      <c r="D160" s="190" t="s">
        <v>842</v>
      </c>
      <c r="E160" s="183">
        <v>42501</v>
      </c>
      <c r="F160" s="188" t="s">
        <v>850</v>
      </c>
      <c r="G160" s="833" t="s">
        <v>836</v>
      </c>
      <c r="H160" s="7"/>
      <c r="I160" s="253"/>
      <c r="J160" s="253"/>
      <c r="K160" s="38">
        <v>20000</v>
      </c>
      <c r="L160" s="193" t="s">
        <v>83</v>
      </c>
      <c r="M160" s="193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642</v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26">
        <v>2</v>
      </c>
      <c r="AB160" s="576"/>
    </row>
    <row r="161" spans="1:28" ht="15.75" customHeight="1">
      <c r="A161" s="827" t="str">
        <f>IF(B161&lt;&gt;"",IF(AND(B161&gt;=_TM1,B161&lt;=_TM2,OR(TH!L161="1111",TH!M161="1111")),TH!D161,""),"")</f>
        <v/>
      </c>
      <c r="B161" s="36">
        <f t="shared" si="60"/>
        <v>5</v>
      </c>
      <c r="C161" s="190">
        <f t="shared" si="51"/>
        <v>42501</v>
      </c>
      <c r="D161" s="190" t="s">
        <v>842</v>
      </c>
      <c r="E161" s="183">
        <v>42501</v>
      </c>
      <c r="F161" s="188" t="s">
        <v>851</v>
      </c>
      <c r="G161" s="833" t="s">
        <v>836</v>
      </c>
      <c r="H161" s="7"/>
      <c r="I161" s="253"/>
      <c r="J161" s="253"/>
      <c r="K161" s="38">
        <v>2000</v>
      </c>
      <c r="L161" s="39" t="s">
        <v>9</v>
      </c>
      <c r="M161" s="193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26">
        <v>2</v>
      </c>
      <c r="AB161" s="576"/>
    </row>
    <row r="162" spans="1:28" ht="15.75" customHeight="1">
      <c r="A162" s="827" t="str">
        <f>IF(B162&lt;&gt;"",IF(AND(B162&gt;=_TM1,B162&lt;=_TM2,OR(TH!L162="1111",TH!M162="1111")),TH!D162,""),"")</f>
        <v/>
      </c>
      <c r="B162" s="36">
        <f t="shared" si="60"/>
        <v>5</v>
      </c>
      <c r="C162" s="190">
        <f t="shared" si="51"/>
        <v>42502</v>
      </c>
      <c r="D162" s="190" t="s">
        <v>842</v>
      </c>
      <c r="E162" s="183">
        <v>42502</v>
      </c>
      <c r="F162" s="188" t="s">
        <v>1665</v>
      </c>
      <c r="G162" s="833" t="s">
        <v>836</v>
      </c>
      <c r="H162" s="7" t="s">
        <v>849</v>
      </c>
      <c r="I162" s="253"/>
      <c r="J162" s="253"/>
      <c r="K162" s="38">
        <v>1409132</v>
      </c>
      <c r="L162" s="193" t="s">
        <v>61</v>
      </c>
      <c r="M162" s="193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26"/>
      <c r="AB162" s="576"/>
    </row>
    <row r="163" spans="1:28" ht="15.75" customHeight="1">
      <c r="A163" s="827" t="str">
        <f>IF(B163&lt;&gt;"",IF(AND(B163&gt;=_TM1,B163&lt;=_TM2,OR(TH!L163="1111",TH!M163="1111")),TH!D163,""),"")</f>
        <v/>
      </c>
      <c r="B163" s="36">
        <f t="shared" si="60"/>
        <v>5</v>
      </c>
      <c r="C163" s="190">
        <f t="shared" si="51"/>
        <v>42502</v>
      </c>
      <c r="D163" s="190" t="s">
        <v>842</v>
      </c>
      <c r="E163" s="183">
        <v>42502</v>
      </c>
      <c r="F163" s="188" t="s">
        <v>1666</v>
      </c>
      <c r="G163" s="833" t="s">
        <v>836</v>
      </c>
      <c r="H163" s="7" t="s">
        <v>849</v>
      </c>
      <c r="I163" s="253"/>
      <c r="J163" s="253"/>
      <c r="K163" s="38">
        <v>1500000</v>
      </c>
      <c r="L163" s="193" t="s">
        <v>63</v>
      </c>
      <c r="M163" s="19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26"/>
      <c r="AB163" s="576"/>
    </row>
    <row r="164" spans="1:28" ht="15.75" customHeight="1">
      <c r="A164" s="827" t="str">
        <f>IF(B164&lt;&gt;"",IF(AND(B164&gt;=_TM1,B164&lt;=_TM2,OR(TH!L164="1111",TH!M164="1111")),TH!D164,""),"")</f>
        <v/>
      </c>
      <c r="B164" s="36">
        <f t="shared" ref="B164" si="67">IF(C164&lt;&gt;"",MONTH(C164),"")</f>
        <v>5</v>
      </c>
      <c r="C164" s="190">
        <f t="shared" ref="C164" si="68">E164</f>
        <v>42502</v>
      </c>
      <c r="D164" s="190" t="s">
        <v>842</v>
      </c>
      <c r="E164" s="183">
        <v>42502</v>
      </c>
      <c r="F164" s="188" t="s">
        <v>1667</v>
      </c>
      <c r="G164" s="833" t="s">
        <v>836</v>
      </c>
      <c r="H164" s="7" t="s">
        <v>849</v>
      </c>
      <c r="I164" s="253"/>
      <c r="J164" s="253"/>
      <c r="K164" s="38">
        <v>1500000</v>
      </c>
      <c r="L164" s="193" t="s">
        <v>83</v>
      </c>
      <c r="M164" s="193" t="s">
        <v>63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26"/>
      <c r="AB164" s="576"/>
    </row>
    <row r="165" spans="1:28" ht="15.75" customHeight="1">
      <c r="A165" s="827" t="str">
        <f>IF(B165&lt;&gt;"",IF(AND(B165&gt;=_TM1,B165&lt;=_TM2,OR(TH!L165="1111",TH!M165="1111")),TH!D165,""),"")</f>
        <v/>
      </c>
      <c r="B165" s="36">
        <f t="shared" si="60"/>
        <v>5</v>
      </c>
      <c r="C165" s="190">
        <f t="shared" si="51"/>
        <v>42509</v>
      </c>
      <c r="D165" s="190" t="s">
        <v>842</v>
      </c>
      <c r="E165" s="183">
        <v>42509</v>
      </c>
      <c r="F165" s="191" t="s">
        <v>843</v>
      </c>
      <c r="G165" s="833" t="s">
        <v>836</v>
      </c>
      <c r="H165" s="7" t="s">
        <v>837</v>
      </c>
      <c r="I165" s="253"/>
      <c r="J165" s="253"/>
      <c r="K165" s="38">
        <v>105000000</v>
      </c>
      <c r="L165" s="193" t="s">
        <v>47</v>
      </c>
      <c r="M165" s="19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26"/>
      <c r="AB165" s="576"/>
    </row>
    <row r="166" spans="1:28" ht="15.75" customHeight="1">
      <c r="A166" s="827" t="str">
        <f>IF(B166&lt;&gt;"",IF(AND(B166&gt;=_TM1,B166&lt;=_TM2,OR(TH!L166="1111",TH!M166="1111")),TH!D166,""),"")</f>
        <v/>
      </c>
      <c r="B166" s="36">
        <f t="shared" si="60"/>
        <v>5</v>
      </c>
      <c r="C166" s="190">
        <f t="shared" si="51"/>
        <v>42509</v>
      </c>
      <c r="D166" s="190" t="s">
        <v>842</v>
      </c>
      <c r="E166" s="183">
        <v>42509</v>
      </c>
      <c r="F166" s="191" t="s">
        <v>844</v>
      </c>
      <c r="G166" s="833" t="s">
        <v>836</v>
      </c>
      <c r="H166" s="192" t="s">
        <v>428</v>
      </c>
      <c r="I166" s="253"/>
      <c r="J166" s="253"/>
      <c r="K166" s="38">
        <v>30022000</v>
      </c>
      <c r="L166" s="193" t="s">
        <v>8</v>
      </c>
      <c r="M166" s="193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26"/>
      <c r="AB166" s="576"/>
    </row>
    <row r="167" spans="1:28" ht="15.75" customHeight="1">
      <c r="A167" s="827" t="str">
        <f>IF(B167&lt;&gt;"",IF(AND(B167&gt;=_TM1,B167&lt;=_TM2,OR(TH!L167="1111",TH!M167="1111")),TH!D167,""),"")</f>
        <v/>
      </c>
      <c r="B167" s="36">
        <f t="shared" si="60"/>
        <v>5</v>
      </c>
      <c r="C167" s="190">
        <f t="shared" si="51"/>
        <v>42515</v>
      </c>
      <c r="D167" s="190" t="s">
        <v>842</v>
      </c>
      <c r="E167" s="183">
        <v>42515</v>
      </c>
      <c r="F167" s="188" t="s">
        <v>847</v>
      </c>
      <c r="G167" s="833" t="s">
        <v>836</v>
      </c>
      <c r="H167" s="7"/>
      <c r="I167" s="253"/>
      <c r="J167" s="253"/>
      <c r="K167" s="38">
        <v>10000</v>
      </c>
      <c r="L167" s="193" t="s">
        <v>83</v>
      </c>
      <c r="M167" s="193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>642</v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26">
        <v>2</v>
      </c>
      <c r="AB167" s="576"/>
    </row>
    <row r="168" spans="1:28" ht="15.75" customHeight="1">
      <c r="A168" s="827" t="str">
        <f>IF(B168&lt;&gt;"",IF(AND(B168&gt;=_TM1,B168&lt;=_TM2,OR(TH!L168="1111",TH!M168="1111")),TH!D168,""),"")</f>
        <v/>
      </c>
      <c r="B168" s="36">
        <f t="shared" si="60"/>
        <v>5</v>
      </c>
      <c r="C168" s="190">
        <f t="shared" si="51"/>
        <v>42515</v>
      </c>
      <c r="D168" s="190" t="s">
        <v>842</v>
      </c>
      <c r="E168" s="183">
        <v>42515</v>
      </c>
      <c r="F168" s="188" t="s">
        <v>848</v>
      </c>
      <c r="G168" s="833" t="s">
        <v>836</v>
      </c>
      <c r="H168" s="7"/>
      <c r="I168" s="253"/>
      <c r="J168" s="253"/>
      <c r="K168" s="38">
        <v>1000</v>
      </c>
      <c r="L168" s="39" t="s">
        <v>9</v>
      </c>
      <c r="M168" s="193" t="s">
        <v>24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26">
        <v>2</v>
      </c>
      <c r="AB168" s="576"/>
    </row>
    <row r="169" spans="1:28" ht="15.75" customHeight="1">
      <c r="A169" s="827" t="str">
        <f>IF(B169&lt;&gt;"",IF(AND(B169&gt;=_TM1,B169&lt;=_TM2,OR(TH!L169="1111",TH!M169="1111")),TH!D169,""),"")</f>
        <v/>
      </c>
      <c r="B169" s="36">
        <f t="shared" si="60"/>
        <v>5</v>
      </c>
      <c r="C169" s="190">
        <f t="shared" si="51"/>
        <v>42521</v>
      </c>
      <c r="D169" s="190" t="s">
        <v>842</v>
      </c>
      <c r="E169" s="183">
        <v>42521</v>
      </c>
      <c r="F169" s="191" t="s">
        <v>844</v>
      </c>
      <c r="G169" s="833" t="s">
        <v>836</v>
      </c>
      <c r="H169" s="192" t="s">
        <v>435</v>
      </c>
      <c r="I169" s="253"/>
      <c r="J169" s="253"/>
      <c r="K169" s="38">
        <f>10146098-11000</f>
        <v>10135098</v>
      </c>
      <c r="L169" s="828" t="s">
        <v>8</v>
      </c>
      <c r="M169" s="193" t="s">
        <v>24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26"/>
      <c r="AB169" s="576"/>
    </row>
    <row r="170" spans="1:28" ht="15.75" customHeight="1">
      <c r="A170" s="827" t="str">
        <f>IF(B170&lt;&gt;"",IF(AND(B170&gt;=_TM1,B170&lt;=_TM2,OR(TH!L170="1111",TH!M170="1111")),TH!D170,""),"")</f>
        <v/>
      </c>
      <c r="B170" s="36">
        <f t="shared" ref="B170" si="69">IF(C170&lt;&gt;"",MONTH(C170),"")</f>
        <v>5</v>
      </c>
      <c r="C170" s="190">
        <f t="shared" ref="C170" si="70">E170</f>
        <v>42521</v>
      </c>
      <c r="D170" s="190" t="s">
        <v>842</v>
      </c>
      <c r="E170" s="183">
        <v>42521</v>
      </c>
      <c r="F170" s="191" t="s">
        <v>892</v>
      </c>
      <c r="G170" s="833" t="s">
        <v>836</v>
      </c>
      <c r="H170" s="192"/>
      <c r="I170" s="253"/>
      <c r="J170" s="253"/>
      <c r="K170" s="38">
        <v>11000</v>
      </c>
      <c r="L170" s="828" t="s">
        <v>83</v>
      </c>
      <c r="M170" s="193" t="s">
        <v>24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642</v>
      </c>
      <c r="V170" s="52" t="str">
        <f>IF(OR(TH!L170=TH!$V$7,M170=TH!$V$7),"x","")</f>
        <v>x</v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26"/>
      <c r="AB170" s="576"/>
    </row>
    <row r="171" spans="1:28" ht="15.75" customHeight="1">
      <c r="A171" s="827" t="str">
        <f>IF(B171&lt;&gt;"",IF(AND(B171&gt;=_TM1,B171&lt;=_TM2,OR(TH!L171="1111",TH!M171="1111")),TH!D171,""),"")</f>
        <v/>
      </c>
      <c r="B171" s="36">
        <f t="shared" si="60"/>
        <v>6</v>
      </c>
      <c r="C171" s="190">
        <f t="shared" si="51"/>
        <v>42523</v>
      </c>
      <c r="D171" s="190" t="s">
        <v>835</v>
      </c>
      <c r="E171" s="183">
        <v>42523</v>
      </c>
      <c r="F171" s="188" t="s">
        <v>839</v>
      </c>
      <c r="G171" s="833" t="s">
        <v>836</v>
      </c>
      <c r="H171" s="7" t="s">
        <v>785</v>
      </c>
      <c r="I171" s="253"/>
      <c r="J171" s="253"/>
      <c r="K171" s="38">
        <v>48174005</v>
      </c>
      <c r="L171" s="193" t="s">
        <v>24</v>
      </c>
      <c r="M171" s="193" t="s">
        <v>251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26"/>
      <c r="AB171" s="576"/>
    </row>
    <row r="172" spans="1:28" ht="15.75" customHeight="1">
      <c r="A172" s="827" t="str">
        <f>IF(B172&lt;&gt;"",IF(AND(B172&gt;=_TM1,B172&lt;=_TM2,OR(TH!L172="1111",TH!M172="1111")),TH!D172,""),"")</f>
        <v/>
      </c>
      <c r="B172" s="36">
        <f t="shared" si="60"/>
        <v>6</v>
      </c>
      <c r="C172" s="190">
        <f t="shared" si="51"/>
        <v>42524</v>
      </c>
      <c r="D172" s="190" t="s">
        <v>835</v>
      </c>
      <c r="E172" s="183">
        <v>42524</v>
      </c>
      <c r="F172" s="188" t="s">
        <v>838</v>
      </c>
      <c r="G172" s="833" t="s">
        <v>836</v>
      </c>
      <c r="H172" s="7" t="s">
        <v>837</v>
      </c>
      <c r="I172" s="253"/>
      <c r="J172" s="253"/>
      <c r="K172" s="38">
        <v>700000</v>
      </c>
      <c r="L172" s="193" t="s">
        <v>24</v>
      </c>
      <c r="M172" s="193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26"/>
      <c r="AB172" s="576"/>
    </row>
    <row r="173" spans="1:28" ht="15.75" customHeight="1">
      <c r="A173" s="827" t="str">
        <f>IF(B173&lt;&gt;"",IF(AND(B173&gt;=_TM1,B173&lt;=_TM2,OR(TH!L173="1111",TH!M173="1111")),TH!D173,""),"")</f>
        <v/>
      </c>
      <c r="B173" s="36">
        <f t="shared" si="60"/>
        <v>6</v>
      </c>
      <c r="C173" s="190">
        <f t="shared" si="51"/>
        <v>42529</v>
      </c>
      <c r="D173" s="190" t="s">
        <v>835</v>
      </c>
      <c r="E173" s="183">
        <v>42529</v>
      </c>
      <c r="F173" s="188" t="s">
        <v>839</v>
      </c>
      <c r="G173" s="833" t="s">
        <v>836</v>
      </c>
      <c r="H173" s="192" t="s">
        <v>662</v>
      </c>
      <c r="I173" s="253"/>
      <c r="J173" s="253"/>
      <c r="K173" s="38">
        <v>95000000</v>
      </c>
      <c r="L173" s="193" t="s">
        <v>24</v>
      </c>
      <c r="M173" s="193" t="s">
        <v>251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26"/>
      <c r="AB173" s="576"/>
    </row>
    <row r="174" spans="1:28" ht="15.75" customHeight="1">
      <c r="A174" s="827" t="str">
        <f>IF(B174&lt;&gt;"",IF(AND(B174&gt;=_TM1,B174&lt;=_TM2,OR(TH!L174="1111",TH!M174="1111")),TH!D174,""),"")</f>
        <v/>
      </c>
      <c r="B174" s="36">
        <f t="shared" si="60"/>
        <v>6</v>
      </c>
      <c r="C174" s="190">
        <f t="shared" si="51"/>
        <v>42529</v>
      </c>
      <c r="D174" s="190" t="s">
        <v>835</v>
      </c>
      <c r="E174" s="183">
        <v>42529</v>
      </c>
      <c r="F174" s="188" t="s">
        <v>839</v>
      </c>
      <c r="G174" s="833" t="s">
        <v>836</v>
      </c>
      <c r="H174" s="192" t="s">
        <v>662</v>
      </c>
      <c r="I174" s="253"/>
      <c r="J174" s="253"/>
      <c r="K174" s="38">
        <v>94937000</v>
      </c>
      <c r="L174" s="193" t="s">
        <v>24</v>
      </c>
      <c r="M174" s="193" t="s">
        <v>251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26"/>
      <c r="AB174" s="576"/>
    </row>
    <row r="175" spans="1:28" ht="15.75" customHeight="1">
      <c r="A175" s="827" t="str">
        <f>IF(B175&lt;&gt;"",IF(AND(B175&gt;=_TM1,B175&lt;=_TM2,OR(TH!L175="1111",TH!M175="1111")),TH!D175,""),"")</f>
        <v/>
      </c>
      <c r="B175" s="36">
        <f t="shared" si="60"/>
        <v>6</v>
      </c>
      <c r="C175" s="190">
        <f t="shared" si="51"/>
        <v>42536</v>
      </c>
      <c r="D175" s="190" t="s">
        <v>835</v>
      </c>
      <c r="E175" s="183">
        <v>42536</v>
      </c>
      <c r="F175" s="188" t="s">
        <v>838</v>
      </c>
      <c r="G175" s="833" t="s">
        <v>836</v>
      </c>
      <c r="H175" s="7" t="s">
        <v>837</v>
      </c>
      <c r="I175" s="253"/>
      <c r="J175" s="253"/>
      <c r="K175" s="38">
        <v>1200000</v>
      </c>
      <c r="L175" s="193" t="s">
        <v>24</v>
      </c>
      <c r="M175" s="193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26"/>
      <c r="AB175" s="576"/>
    </row>
    <row r="176" spans="1:28" ht="15.75" customHeight="1">
      <c r="A176" s="827" t="str">
        <f>IF(B176&lt;&gt;"",IF(AND(B176&gt;=_TM1,B176&lt;=_TM2,OR(TH!L176="1111",TH!M176="1111")),TH!D176,""),"")</f>
        <v/>
      </c>
      <c r="B176" s="36">
        <f t="shared" si="60"/>
        <v>6</v>
      </c>
      <c r="C176" s="190">
        <f t="shared" si="51"/>
        <v>42543</v>
      </c>
      <c r="D176" s="190" t="s">
        <v>835</v>
      </c>
      <c r="E176" s="183">
        <v>42543</v>
      </c>
      <c r="F176" s="188" t="s">
        <v>838</v>
      </c>
      <c r="G176" s="833" t="s">
        <v>836</v>
      </c>
      <c r="H176" s="7" t="s">
        <v>837</v>
      </c>
      <c r="I176" s="253"/>
      <c r="J176" s="253"/>
      <c r="K176" s="38">
        <v>4500000</v>
      </c>
      <c r="L176" s="193" t="s">
        <v>24</v>
      </c>
      <c r="M176" s="193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26"/>
      <c r="AB176" s="576"/>
    </row>
    <row r="177" spans="1:28" ht="15.75" customHeight="1">
      <c r="A177" s="827" t="str">
        <f>IF(B177&lt;&gt;"",IF(AND(B177&gt;=_TM1,B177&lt;=_TM2,OR(TH!L177="1111",TH!M177="1111")),TH!D177,""),"")</f>
        <v/>
      </c>
      <c r="B177" s="36">
        <f t="shared" si="60"/>
        <v>6</v>
      </c>
      <c r="C177" s="190">
        <f t="shared" si="51"/>
        <v>42543</v>
      </c>
      <c r="D177" s="190" t="s">
        <v>835</v>
      </c>
      <c r="E177" s="183">
        <v>42543</v>
      </c>
      <c r="F177" s="188" t="s">
        <v>839</v>
      </c>
      <c r="G177" s="833" t="s">
        <v>836</v>
      </c>
      <c r="H177" s="192" t="s">
        <v>678</v>
      </c>
      <c r="I177" s="253"/>
      <c r="J177" s="253"/>
      <c r="K177" s="38">
        <v>155597591</v>
      </c>
      <c r="L177" s="193" t="s">
        <v>24</v>
      </c>
      <c r="M177" s="193" t="s">
        <v>251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26"/>
      <c r="AB177" s="576"/>
    </row>
    <row r="178" spans="1:28" ht="15.75" customHeight="1">
      <c r="A178" s="827" t="str">
        <f>IF(B178&lt;&gt;"",IF(AND(B178&gt;=_TM1,B178&lt;=_TM2,OR(TH!L178="1111",TH!M178="1111")),TH!D178,""),"")</f>
        <v/>
      </c>
      <c r="B178" s="36">
        <f t="shared" si="60"/>
        <v>6</v>
      </c>
      <c r="C178" s="190">
        <f t="shared" si="51"/>
        <v>42545</v>
      </c>
      <c r="D178" s="190" t="s">
        <v>835</v>
      </c>
      <c r="E178" s="183">
        <v>42545</v>
      </c>
      <c r="F178" s="188" t="s">
        <v>839</v>
      </c>
      <c r="G178" s="833" t="s">
        <v>836</v>
      </c>
      <c r="H178" s="192" t="s">
        <v>662</v>
      </c>
      <c r="I178" s="253"/>
      <c r="J178" s="253"/>
      <c r="K178" s="38">
        <v>100000000</v>
      </c>
      <c r="L178" s="193" t="s">
        <v>24</v>
      </c>
      <c r="M178" s="193" t="s">
        <v>251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26"/>
      <c r="AB178" s="576"/>
    </row>
    <row r="179" spans="1:28" ht="15.75" customHeight="1">
      <c r="A179" s="827" t="str">
        <f>IF(B179&lt;&gt;"",IF(AND(B179&gt;=_TM1,B179&lt;=_TM2,OR(TH!L179="1111",TH!M179="1111")),TH!D179,""),"")</f>
        <v/>
      </c>
      <c r="B179" s="36">
        <f t="shared" si="60"/>
        <v>6</v>
      </c>
      <c r="C179" s="190">
        <f t="shared" si="51"/>
        <v>42545</v>
      </c>
      <c r="D179" s="190" t="s">
        <v>835</v>
      </c>
      <c r="E179" s="183">
        <v>42545</v>
      </c>
      <c r="F179" s="188" t="s">
        <v>839</v>
      </c>
      <c r="G179" s="833" t="s">
        <v>836</v>
      </c>
      <c r="H179" s="192" t="s">
        <v>662</v>
      </c>
      <c r="I179" s="253"/>
      <c r="J179" s="253"/>
      <c r="K179" s="38">
        <v>117893500</v>
      </c>
      <c r="L179" s="193" t="s">
        <v>24</v>
      </c>
      <c r="M179" s="193" t="s">
        <v>251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26"/>
      <c r="AB179" s="576"/>
    </row>
    <row r="180" spans="1:28" ht="15.75" customHeight="1">
      <c r="A180" s="827" t="str">
        <f>IF(B180&lt;&gt;"",IF(AND(B180&gt;=_TM1,B180&lt;=_TM2,OR(TH!L180="1111",TH!M180="1111")),TH!D180,""),"")</f>
        <v/>
      </c>
      <c r="B180" s="36">
        <f t="shared" si="60"/>
        <v>6</v>
      </c>
      <c r="C180" s="190">
        <f t="shared" si="51"/>
        <v>42523</v>
      </c>
      <c r="D180" s="190" t="s">
        <v>842</v>
      </c>
      <c r="E180" s="183">
        <v>42523</v>
      </c>
      <c r="F180" s="191" t="s">
        <v>843</v>
      </c>
      <c r="G180" s="833" t="s">
        <v>836</v>
      </c>
      <c r="H180" s="7" t="s">
        <v>837</v>
      </c>
      <c r="I180" s="253"/>
      <c r="J180" s="253"/>
      <c r="K180" s="38">
        <v>48100000</v>
      </c>
      <c r="L180" s="193" t="s">
        <v>47</v>
      </c>
      <c r="M180" s="193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26"/>
      <c r="AB180" s="576"/>
    </row>
    <row r="181" spans="1:28" ht="15.75" customHeight="1">
      <c r="A181" s="827" t="str">
        <f>IF(B181&lt;&gt;"",IF(AND(B181&gt;=_TM1,B181&lt;=_TM2,OR(TH!L181="1111",TH!M181="1111")),TH!D181,""),"")</f>
        <v/>
      </c>
      <c r="B181" s="36">
        <f t="shared" si="60"/>
        <v>6</v>
      </c>
      <c r="C181" s="190">
        <f t="shared" si="51"/>
        <v>42524</v>
      </c>
      <c r="D181" s="190" t="s">
        <v>842</v>
      </c>
      <c r="E181" s="183">
        <v>42524</v>
      </c>
      <c r="F181" s="191" t="s">
        <v>844</v>
      </c>
      <c r="G181" s="833" t="s">
        <v>836</v>
      </c>
      <c r="H181" s="192" t="s">
        <v>435</v>
      </c>
      <c r="I181" s="253"/>
      <c r="J181" s="253"/>
      <c r="K181" s="38">
        <f>1101584-11000</f>
        <v>1090584</v>
      </c>
      <c r="L181" s="193" t="s">
        <v>8</v>
      </c>
      <c r="M181" s="193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26"/>
      <c r="AB181" s="576"/>
    </row>
    <row r="182" spans="1:28" ht="15.75" customHeight="1">
      <c r="A182" s="827" t="str">
        <f>IF(B182&lt;&gt;"",IF(AND(B182&gt;=_TM1,B182&lt;=_TM2,OR(TH!L182="1111",TH!M182="1111")),TH!D182,""),"")</f>
        <v/>
      </c>
      <c r="B182" s="36">
        <f t="shared" ref="B182" si="71">IF(C182&lt;&gt;"",MONTH(C182),"")</f>
        <v>6</v>
      </c>
      <c r="C182" s="190">
        <f t="shared" ref="C182" si="72">E182</f>
        <v>42524</v>
      </c>
      <c r="D182" s="190" t="s">
        <v>842</v>
      </c>
      <c r="E182" s="183">
        <v>42524</v>
      </c>
      <c r="F182" s="191" t="s">
        <v>892</v>
      </c>
      <c r="G182" s="833" t="s">
        <v>836</v>
      </c>
      <c r="H182" s="192"/>
      <c r="I182" s="253"/>
      <c r="J182" s="253"/>
      <c r="K182" s="38">
        <v>11000</v>
      </c>
      <c r="L182" s="193" t="s">
        <v>83</v>
      </c>
      <c r="M182" s="193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>642</v>
      </c>
      <c r="V182" s="52" t="str">
        <f>IF(OR(TH!L182=TH!$V$7,M182=TH!$V$7),"x","")</f>
        <v>x</v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26"/>
      <c r="AB182" s="576"/>
    </row>
    <row r="183" spans="1:28" ht="15.75" customHeight="1">
      <c r="A183" s="827" t="str">
        <f>IF(B183&lt;&gt;"",IF(AND(B183&gt;=_TM1,B183&lt;=_TM2,OR(TH!L183="1111",TH!M183="1111")),TH!D183,""),"")</f>
        <v/>
      </c>
      <c r="B183" s="36">
        <f t="shared" si="60"/>
        <v>6</v>
      </c>
      <c r="C183" s="190">
        <f t="shared" ref="C183:C196" si="73">E183</f>
        <v>42529</v>
      </c>
      <c r="D183" s="190" t="s">
        <v>842</v>
      </c>
      <c r="E183" s="183">
        <v>42529</v>
      </c>
      <c r="F183" s="191" t="s">
        <v>843</v>
      </c>
      <c r="G183" s="833" t="s">
        <v>836</v>
      </c>
      <c r="H183" s="7" t="s">
        <v>837</v>
      </c>
      <c r="I183" s="253"/>
      <c r="J183" s="253"/>
      <c r="K183" s="38">
        <v>189900000</v>
      </c>
      <c r="L183" s="193" t="s">
        <v>47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26"/>
    </row>
    <row r="184" spans="1:28" ht="15.75" customHeight="1">
      <c r="A184" s="827" t="str">
        <f>IF(B184&lt;&gt;"",IF(AND(B184&gt;=_TM1,B184&lt;=_TM2,OR(TH!L184="1111",TH!M184="1111")),TH!D184,""),"")</f>
        <v/>
      </c>
      <c r="B184" s="36">
        <f t="shared" si="60"/>
        <v>6</v>
      </c>
      <c r="C184" s="190">
        <f t="shared" si="73"/>
        <v>42532</v>
      </c>
      <c r="D184" s="190" t="s">
        <v>842</v>
      </c>
      <c r="E184" s="183">
        <v>42532</v>
      </c>
      <c r="F184" s="191" t="s">
        <v>845</v>
      </c>
      <c r="G184" s="833" t="s">
        <v>836</v>
      </c>
      <c r="H184" s="7"/>
      <c r="I184" s="253"/>
      <c r="J184" s="253"/>
      <c r="K184" s="38">
        <v>50000</v>
      </c>
      <c r="L184" s="193" t="s">
        <v>83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642</v>
      </c>
      <c r="V184" s="52" t="str">
        <f>IF(OR(TH!L184=TH!$V$7,M184=TH!$V$7),"x","")</f>
        <v>x</v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26">
        <v>2</v>
      </c>
    </row>
    <row r="185" spans="1:28" ht="15.75" customHeight="1">
      <c r="A185" s="827" t="str">
        <f>IF(B185&lt;&gt;"",IF(AND(B185&gt;=_TM1,B185&lt;=_TM2,OR(TH!L185="1111",TH!M185="1111")),TH!D185,""),"")</f>
        <v/>
      </c>
      <c r="B185" s="36">
        <f t="shared" si="60"/>
        <v>6</v>
      </c>
      <c r="C185" s="190">
        <f t="shared" si="73"/>
        <v>42536</v>
      </c>
      <c r="D185" s="190" t="s">
        <v>842</v>
      </c>
      <c r="E185" s="183">
        <v>42536</v>
      </c>
      <c r="F185" s="191" t="s">
        <v>846</v>
      </c>
      <c r="G185" s="833" t="s">
        <v>836</v>
      </c>
      <c r="H185" s="7"/>
      <c r="I185" s="253"/>
      <c r="J185" s="253"/>
      <c r="K185" s="38">
        <v>5000</v>
      </c>
      <c r="L185" s="39" t="s">
        <v>9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26">
        <v>2</v>
      </c>
    </row>
    <row r="186" spans="1:28" ht="15.75" customHeight="1">
      <c r="A186" s="827" t="str">
        <f>IF(B186&lt;&gt;"",IF(AND(B186&gt;=_TM1,B186&lt;=_TM2,OR(TH!L186="1111",TH!M186="1111")),TH!D186,""),"")</f>
        <v/>
      </c>
      <c r="B186" s="36">
        <f t="shared" si="60"/>
        <v>6</v>
      </c>
      <c r="C186" s="190">
        <f t="shared" si="73"/>
        <v>42536</v>
      </c>
      <c r="D186" s="190" t="s">
        <v>842</v>
      </c>
      <c r="E186" s="183">
        <v>42536</v>
      </c>
      <c r="F186" s="191" t="s">
        <v>844</v>
      </c>
      <c r="G186" s="833" t="s">
        <v>836</v>
      </c>
      <c r="H186" s="192" t="s">
        <v>435</v>
      </c>
      <c r="I186" s="253"/>
      <c r="J186" s="253"/>
      <c r="K186" s="38">
        <f>1163172-11999</f>
        <v>1151173</v>
      </c>
      <c r="L186" s="193" t="s">
        <v>8</v>
      </c>
      <c r="M186" s="193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26"/>
    </row>
    <row r="187" spans="1:28" ht="15.75" customHeight="1">
      <c r="A187" s="827" t="str">
        <f>IF(B187&lt;&gt;"",IF(AND(B187&gt;=_TM1,B187&lt;=_TM2,OR(TH!L187="1111",TH!M187="1111")),TH!D187,""),"")</f>
        <v/>
      </c>
      <c r="B187" s="36">
        <f t="shared" ref="B187" si="74">IF(C187&lt;&gt;"",MONTH(C187),"")</f>
        <v>6</v>
      </c>
      <c r="C187" s="190">
        <f t="shared" ref="C187" si="75">E187</f>
        <v>42536</v>
      </c>
      <c r="D187" s="190" t="s">
        <v>842</v>
      </c>
      <c r="E187" s="183">
        <v>42536</v>
      </c>
      <c r="F187" s="191" t="s">
        <v>892</v>
      </c>
      <c r="G187" s="833" t="s">
        <v>836</v>
      </c>
      <c r="H187" s="192"/>
      <c r="I187" s="253"/>
      <c r="J187" s="253"/>
      <c r="K187" s="38">
        <v>11999</v>
      </c>
      <c r="L187" s="193" t="s">
        <v>83</v>
      </c>
      <c r="M187" s="19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V187" s="52" t="str">
        <f>IF(OR(TH!L187=TH!$V$7,M187=TH!$V$7),"x","")</f>
        <v>x</v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26"/>
    </row>
    <row r="188" spans="1:28" ht="15.75" customHeight="1">
      <c r="A188" s="827" t="str">
        <f>IF(B188&lt;&gt;"",IF(AND(B188&gt;=_TM1,B188&lt;=_TM2,OR(TH!L188="1111",TH!M188="1111")),TH!D188,""),"")</f>
        <v/>
      </c>
      <c r="B188" s="36">
        <f t="shared" si="60"/>
        <v>6</v>
      </c>
      <c r="C188" s="190">
        <f t="shared" si="73"/>
        <v>42536</v>
      </c>
      <c r="D188" s="190" t="s">
        <v>842</v>
      </c>
      <c r="E188" s="183">
        <v>42536</v>
      </c>
      <c r="F188" s="188" t="s">
        <v>850</v>
      </c>
      <c r="G188" s="833" t="s">
        <v>836</v>
      </c>
      <c r="H188" s="7"/>
      <c r="I188" s="253"/>
      <c r="J188" s="253"/>
      <c r="K188" s="38">
        <v>20000</v>
      </c>
      <c r="L188" s="193" t="s">
        <v>83</v>
      </c>
      <c r="M188" s="193" t="s">
        <v>24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642</v>
      </c>
      <c r="V188" s="52" t="str">
        <f>IF(OR(TH!L188=TH!$V$7,M188=TH!$V$7),"x","")</f>
        <v>x</v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26">
        <v>2</v>
      </c>
    </row>
    <row r="189" spans="1:28" ht="15.75" customHeight="1">
      <c r="A189" s="827" t="str">
        <f>IF(B189&lt;&gt;"",IF(AND(B189&gt;=_TM1,B189&lt;=_TM2,OR(TH!L189="1111",TH!M189="1111")),TH!D189,""),"")</f>
        <v/>
      </c>
      <c r="B189" s="36">
        <f t="shared" si="60"/>
        <v>6</v>
      </c>
      <c r="C189" s="190">
        <f t="shared" si="73"/>
        <v>42536</v>
      </c>
      <c r="D189" s="190" t="s">
        <v>842</v>
      </c>
      <c r="E189" s="183">
        <v>42536</v>
      </c>
      <c r="F189" s="188" t="s">
        <v>851</v>
      </c>
      <c r="G189" s="833" t="s">
        <v>836</v>
      </c>
      <c r="H189" s="7"/>
      <c r="I189" s="253"/>
      <c r="J189" s="253"/>
      <c r="K189" s="38">
        <v>2000</v>
      </c>
      <c r="L189" s="39" t="s">
        <v>9</v>
      </c>
      <c r="M189" s="19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26">
        <v>2</v>
      </c>
    </row>
    <row r="190" spans="1:28" ht="15.75" customHeight="1">
      <c r="A190" s="827" t="str">
        <f>IF(B190&lt;&gt;"",IF(AND(B190&gt;=_TM1,B190&lt;=_TM2,OR(TH!L190="1111",TH!M190="1111")),TH!D190,""),"")</f>
        <v/>
      </c>
      <c r="B190" s="36">
        <f t="shared" si="60"/>
        <v>6</v>
      </c>
      <c r="C190" s="190">
        <f t="shared" si="73"/>
        <v>42543</v>
      </c>
      <c r="D190" s="190" t="s">
        <v>842</v>
      </c>
      <c r="E190" s="183">
        <v>42543</v>
      </c>
      <c r="F190" s="191" t="s">
        <v>843</v>
      </c>
      <c r="G190" s="833" t="s">
        <v>836</v>
      </c>
      <c r="H190" s="7" t="s">
        <v>837</v>
      </c>
      <c r="I190" s="253"/>
      <c r="J190" s="253"/>
      <c r="K190" s="38">
        <v>130500000</v>
      </c>
      <c r="L190" s="193" t="s">
        <v>47</v>
      </c>
      <c r="M190" s="193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26"/>
    </row>
    <row r="191" spans="1:28" ht="15.75" customHeight="1">
      <c r="A191" s="827" t="str">
        <f>IF(B191&lt;&gt;"",IF(AND(B191&gt;=_TM1,B191&lt;=_TM2,OR(TH!L191="1111",TH!M191="1111")),TH!D191,""),"")</f>
        <v/>
      </c>
      <c r="B191" s="36">
        <f t="shared" si="60"/>
        <v>6</v>
      </c>
      <c r="C191" s="190">
        <f t="shared" si="73"/>
        <v>42543</v>
      </c>
      <c r="D191" s="190" t="s">
        <v>842</v>
      </c>
      <c r="E191" s="183">
        <v>42543</v>
      </c>
      <c r="F191" s="191" t="s">
        <v>844</v>
      </c>
      <c r="G191" s="833" t="s">
        <v>836</v>
      </c>
      <c r="H191" s="192" t="s">
        <v>428</v>
      </c>
      <c r="I191" s="253"/>
      <c r="J191" s="253"/>
      <c r="K191" s="38">
        <v>25022000</v>
      </c>
      <c r="L191" s="193" t="s">
        <v>8</v>
      </c>
      <c r="M191" s="19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26"/>
    </row>
    <row r="192" spans="1:28" ht="15.75" customHeight="1">
      <c r="A192" s="827" t="str">
        <f>IF(B192&lt;&gt;"",IF(AND(B192&gt;=_TM1,B192&lt;=_TM2,OR(TH!L192="1111",TH!M192="1111")),TH!D192,""),"")</f>
        <v/>
      </c>
      <c r="B192" s="36">
        <f t="shared" si="60"/>
        <v>6</v>
      </c>
      <c r="C192" s="190">
        <f t="shared" si="73"/>
        <v>42543</v>
      </c>
      <c r="D192" s="190" t="s">
        <v>842</v>
      </c>
      <c r="E192" s="183">
        <v>42543</v>
      </c>
      <c r="F192" s="191" t="s">
        <v>844</v>
      </c>
      <c r="G192" s="833" t="s">
        <v>836</v>
      </c>
      <c r="H192" s="192" t="s">
        <v>435</v>
      </c>
      <c r="I192" s="253"/>
      <c r="J192" s="253"/>
      <c r="K192" s="38">
        <f>4586225-11000</f>
        <v>4575225</v>
      </c>
      <c r="L192" s="193" t="s">
        <v>8</v>
      </c>
      <c r="M192" s="19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26"/>
    </row>
    <row r="193" spans="1:27" ht="15.75" customHeight="1">
      <c r="A193" s="827" t="str">
        <f>IF(B193&lt;&gt;"",IF(AND(B193&gt;=_TM1,B193&lt;=_TM2,OR(TH!L193="1111",TH!M193="1111")),TH!D193,""),"")</f>
        <v/>
      </c>
      <c r="B193" s="36">
        <f t="shared" ref="B193" si="76">IF(C193&lt;&gt;"",MONTH(C193),"")</f>
        <v>6</v>
      </c>
      <c r="C193" s="190">
        <f t="shared" ref="C193" si="77">E193</f>
        <v>42543</v>
      </c>
      <c r="D193" s="190" t="s">
        <v>842</v>
      </c>
      <c r="E193" s="183">
        <v>42543</v>
      </c>
      <c r="F193" s="191" t="s">
        <v>892</v>
      </c>
      <c r="G193" s="833" t="s">
        <v>836</v>
      </c>
      <c r="H193" s="192"/>
      <c r="I193" s="253"/>
      <c r="J193" s="253"/>
      <c r="K193" s="38">
        <v>11000</v>
      </c>
      <c r="L193" s="193" t="s">
        <v>83</v>
      </c>
      <c r="M193" s="19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26"/>
    </row>
    <row r="194" spans="1:27" ht="15.75" customHeight="1">
      <c r="A194" s="827" t="str">
        <f>IF(B194&lt;&gt;"",IF(AND(B194&gt;=_TM1,B194&lt;=_TM2,OR(TH!L194="1111",TH!M194="1111")),TH!D194,""),"")</f>
        <v/>
      </c>
      <c r="B194" s="36">
        <f t="shared" si="60"/>
        <v>6</v>
      </c>
      <c r="C194" s="190">
        <f t="shared" si="73"/>
        <v>42545</v>
      </c>
      <c r="D194" s="190" t="s">
        <v>842</v>
      </c>
      <c r="E194" s="183">
        <v>42545</v>
      </c>
      <c r="F194" s="191" t="s">
        <v>843</v>
      </c>
      <c r="G194" s="833" t="s">
        <v>836</v>
      </c>
      <c r="H194" s="7" t="s">
        <v>837</v>
      </c>
      <c r="I194" s="253"/>
      <c r="J194" s="253"/>
      <c r="K194" s="38">
        <v>217890000</v>
      </c>
      <c r="L194" s="193" t="s">
        <v>47</v>
      </c>
      <c r="M194" s="193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26"/>
    </row>
    <row r="195" spans="1:27" ht="15.75" customHeight="1">
      <c r="A195" s="827" t="str">
        <f>IF(B195&lt;&gt;"",IF(AND(B195&gt;=_TM1,B195&lt;=_TM2,OR(TH!L195="1111",TH!M195="1111")),TH!D195,""),"")</f>
        <v/>
      </c>
      <c r="B195" s="36">
        <f t="shared" si="60"/>
        <v>6</v>
      </c>
      <c r="C195" s="190">
        <f t="shared" si="73"/>
        <v>42546</v>
      </c>
      <c r="D195" s="190" t="s">
        <v>842</v>
      </c>
      <c r="E195" s="183">
        <v>42546</v>
      </c>
      <c r="F195" s="188" t="s">
        <v>847</v>
      </c>
      <c r="G195" s="833" t="s">
        <v>836</v>
      </c>
      <c r="H195" s="7"/>
      <c r="I195" s="253"/>
      <c r="J195" s="253"/>
      <c r="K195" s="38">
        <v>10000</v>
      </c>
      <c r="L195" s="193" t="s">
        <v>83</v>
      </c>
      <c r="M195" s="193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V195" s="52" t="str">
        <f>IF(OR(TH!L195=TH!$V$7,M195=TH!$V$7),"x","")</f>
        <v>x</v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26">
        <v>2</v>
      </c>
    </row>
    <row r="196" spans="1:27" ht="15.75" customHeight="1">
      <c r="A196" s="827" t="str">
        <f>IF(B196&lt;&gt;"",IF(AND(B196&gt;=_TM1,B196&lt;=_TM2,OR(TH!L196="1111",TH!M196="1111")),TH!D196,""),"")</f>
        <v/>
      </c>
      <c r="B196" s="36">
        <f t="shared" si="60"/>
        <v>6</v>
      </c>
      <c r="C196" s="190">
        <f t="shared" si="73"/>
        <v>42546</v>
      </c>
      <c r="D196" s="190" t="s">
        <v>842</v>
      </c>
      <c r="E196" s="183">
        <v>42546</v>
      </c>
      <c r="F196" s="188" t="s">
        <v>848</v>
      </c>
      <c r="G196" s="833" t="s">
        <v>836</v>
      </c>
      <c r="H196" s="7"/>
      <c r="I196" s="253"/>
      <c r="J196" s="253"/>
      <c r="K196" s="38">
        <v>1000</v>
      </c>
      <c r="L196" s="39" t="s">
        <v>9</v>
      </c>
      <c r="M196" s="193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26">
        <v>2</v>
      </c>
    </row>
    <row r="197" spans="1:27" ht="15.75" customHeight="1">
      <c r="A197" s="827" t="str">
        <f>IF(B197&lt;&gt;"",IF(AND(B197&gt;=_TM1,B197&lt;=_TM2,OR(TH!L197="1111",TH!M197="1111")),TH!D197,""),"")</f>
        <v/>
      </c>
      <c r="B197" s="36">
        <f t="shared" si="60"/>
        <v>6</v>
      </c>
      <c r="C197" s="190">
        <f t="shared" ref="C197:C198" si="78">E197</f>
        <v>42548</v>
      </c>
      <c r="D197" s="190" t="s">
        <v>835</v>
      </c>
      <c r="E197" s="183">
        <v>42548</v>
      </c>
      <c r="F197" s="188" t="s">
        <v>839</v>
      </c>
      <c r="G197" s="833" t="s">
        <v>836</v>
      </c>
      <c r="H197" s="192" t="s">
        <v>636</v>
      </c>
      <c r="I197" s="253"/>
      <c r="J197" s="253"/>
      <c r="K197" s="38">
        <v>1927209</v>
      </c>
      <c r="L197" s="193" t="s">
        <v>24</v>
      </c>
      <c r="M197" s="193" t="s">
        <v>251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26"/>
    </row>
    <row r="198" spans="1:27" ht="15.75" customHeight="1">
      <c r="A198" s="827" t="str">
        <f>IF(B198&lt;&gt;"",IF(AND(B198&gt;=_TM1,B198&lt;=_TM2,OR(TH!L198="1111",TH!M198="1111")),TH!D198,""),"")</f>
        <v/>
      </c>
      <c r="B198" s="36">
        <f t="shared" si="60"/>
        <v>6</v>
      </c>
      <c r="C198" s="190">
        <f t="shared" si="78"/>
        <v>42550</v>
      </c>
      <c r="D198" s="190" t="s">
        <v>835</v>
      </c>
      <c r="E198" s="183">
        <v>42550</v>
      </c>
      <c r="F198" s="188" t="s">
        <v>838</v>
      </c>
      <c r="G198" s="833" t="s">
        <v>836</v>
      </c>
      <c r="H198" s="7" t="s">
        <v>837</v>
      </c>
      <c r="I198" s="253"/>
      <c r="J198" s="253"/>
      <c r="K198" s="38">
        <v>6800000</v>
      </c>
      <c r="L198" s="193" t="s">
        <v>24</v>
      </c>
      <c r="M198" s="193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26"/>
    </row>
    <row r="199" spans="1:27" ht="15.75" customHeight="1">
      <c r="A199" s="827" t="str">
        <f>IF(B199&lt;&gt;"",IF(AND(B199&gt;=_TM1,B199&lt;=_TM2,OR(TH!L199="1111",TH!M199="1111")),TH!D199,""),"")</f>
        <v/>
      </c>
      <c r="B199" s="36">
        <f t="shared" si="60"/>
        <v>6</v>
      </c>
      <c r="C199" s="190">
        <f t="shared" ref="C199" si="79">E199</f>
        <v>42550</v>
      </c>
      <c r="D199" s="190" t="s">
        <v>835</v>
      </c>
      <c r="E199" s="183">
        <v>42550</v>
      </c>
      <c r="F199" s="191" t="s">
        <v>844</v>
      </c>
      <c r="G199" s="833" t="s">
        <v>836</v>
      </c>
      <c r="H199" s="192" t="s">
        <v>435</v>
      </c>
      <c r="I199" s="253"/>
      <c r="J199" s="253"/>
      <c r="K199" s="38">
        <f>8718998-11000</f>
        <v>8707998</v>
      </c>
      <c r="L199" s="193" t="s">
        <v>8</v>
      </c>
      <c r="M199" s="193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26"/>
    </row>
    <row r="200" spans="1:27" ht="15.75" customHeight="1">
      <c r="A200" s="827" t="str">
        <f>IF(B200&lt;&gt;"",IF(AND(B200&gt;=_TM1,B200&lt;=_TM2,OR(TH!L200="1111",TH!M200="1111")),TH!D200,""),"")</f>
        <v/>
      </c>
      <c r="B200" s="36">
        <f t="shared" ref="B200:B314" si="80">IF(C200&lt;&gt;"",MONTH(C200),"")</f>
        <v>6</v>
      </c>
      <c r="C200" s="190">
        <f t="shared" ref="C200:C326" si="81">E200</f>
        <v>42550</v>
      </c>
      <c r="D200" s="190" t="s">
        <v>835</v>
      </c>
      <c r="E200" s="183">
        <v>42550</v>
      </c>
      <c r="F200" s="191" t="s">
        <v>892</v>
      </c>
      <c r="G200" s="833" t="s">
        <v>836</v>
      </c>
      <c r="H200" s="192"/>
      <c r="I200" s="253"/>
      <c r="J200" s="253"/>
      <c r="K200" s="38">
        <v>11000</v>
      </c>
      <c r="L200" s="193" t="s">
        <v>83</v>
      </c>
      <c r="M200" s="193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642</v>
      </c>
      <c r="V200" s="52" t="str">
        <f>IF(OR(TH!L200=TH!$V$7,M200=TH!$V$7),"x","")</f>
        <v>x</v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26"/>
    </row>
    <row r="201" spans="1:27" ht="15.75" customHeight="1">
      <c r="A201" s="827" t="str">
        <f>IF(B201&lt;&gt;"",IF(AND(B201&gt;=_TM1,B201&lt;=_TM2,OR(TH!L201="1111",TH!M201="1111")),TH!D201,""),"")</f>
        <v/>
      </c>
      <c r="B201" s="36">
        <f t="shared" ref="B201:B210" si="82">IF(C201&lt;&gt;"",MONTH(C201),"")</f>
        <v>7</v>
      </c>
      <c r="C201" s="190">
        <f t="shared" ref="C201:C210" si="83">E201</f>
        <v>42552</v>
      </c>
      <c r="D201" s="37" t="s">
        <v>835</v>
      </c>
      <c r="E201" s="741">
        <v>42552</v>
      </c>
      <c r="F201" s="191" t="s">
        <v>838</v>
      </c>
      <c r="G201" s="833" t="s">
        <v>836</v>
      </c>
      <c r="H201" s="192" t="s">
        <v>837</v>
      </c>
      <c r="I201" s="253"/>
      <c r="J201" s="253"/>
      <c r="K201" s="584">
        <v>4470000</v>
      </c>
      <c r="L201" s="39" t="s">
        <v>24</v>
      </c>
      <c r="M201" s="39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826"/>
    </row>
    <row r="202" spans="1:27" ht="15.75" customHeight="1">
      <c r="A202" s="827" t="str">
        <f>IF(B202&lt;&gt;"",IF(AND(B202&gt;=_TM1,B202&lt;=_TM2,OR(TH!L202="1111",TH!M202="1111")),TH!D202,""),"")</f>
        <v/>
      </c>
      <c r="B202" s="36">
        <f t="shared" si="82"/>
        <v>7</v>
      </c>
      <c r="C202" s="190">
        <f t="shared" si="83"/>
        <v>42557</v>
      </c>
      <c r="D202" s="37" t="s">
        <v>835</v>
      </c>
      <c r="E202" s="741">
        <v>42557</v>
      </c>
      <c r="F202" s="191" t="s">
        <v>838</v>
      </c>
      <c r="G202" s="833" t="s">
        <v>836</v>
      </c>
      <c r="H202" s="192" t="s">
        <v>837</v>
      </c>
      <c r="I202" s="253"/>
      <c r="J202" s="253"/>
      <c r="K202" s="584">
        <v>454380000</v>
      </c>
      <c r="L202" s="39" t="s">
        <v>24</v>
      </c>
      <c r="M202" s="39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826"/>
    </row>
    <row r="203" spans="1:27" ht="15.75" customHeight="1">
      <c r="A203" s="827" t="str">
        <f>IF(B203&lt;&gt;"",IF(AND(B203&gt;=_TM1,B203&lt;=_TM2,OR(TH!L203="1111",TH!M203="1111")),TH!D203,""),"")</f>
        <v/>
      </c>
      <c r="B203" s="36">
        <f t="shared" si="82"/>
        <v>7</v>
      </c>
      <c r="C203" s="190">
        <f t="shared" si="83"/>
        <v>42557</v>
      </c>
      <c r="D203" s="37" t="s">
        <v>835</v>
      </c>
      <c r="E203" s="741">
        <v>42557</v>
      </c>
      <c r="F203" s="191" t="s">
        <v>838</v>
      </c>
      <c r="G203" s="833" t="s">
        <v>836</v>
      </c>
      <c r="H203" s="192" t="s">
        <v>837</v>
      </c>
      <c r="I203" s="253"/>
      <c r="J203" s="253"/>
      <c r="K203" s="584">
        <v>170000</v>
      </c>
      <c r="L203" s="39" t="s">
        <v>24</v>
      </c>
      <c r="M203" s="39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826"/>
    </row>
    <row r="204" spans="1:27" ht="15.75" customHeight="1">
      <c r="A204" s="827" t="str">
        <f>IF(B204&lt;&gt;"",IF(AND(B204&gt;=_TM1,B204&lt;=_TM2,OR(TH!L204="1111",TH!M204="1111")),TH!D204,""),"")</f>
        <v/>
      </c>
      <c r="B204" s="36">
        <f t="shared" si="82"/>
        <v>7</v>
      </c>
      <c r="C204" s="190">
        <f t="shared" si="83"/>
        <v>42559</v>
      </c>
      <c r="D204" s="37" t="s">
        <v>835</v>
      </c>
      <c r="E204" s="741">
        <v>42559</v>
      </c>
      <c r="F204" s="191" t="s">
        <v>839</v>
      </c>
      <c r="G204" s="833" t="s">
        <v>836</v>
      </c>
      <c r="H204" s="7" t="s">
        <v>785</v>
      </c>
      <c r="I204" s="253"/>
      <c r="J204" s="253"/>
      <c r="K204" s="584">
        <v>37182884</v>
      </c>
      <c r="L204" s="39" t="s">
        <v>24</v>
      </c>
      <c r="M204" s="39" t="s">
        <v>251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826"/>
    </row>
    <row r="205" spans="1:27" ht="15.75" customHeight="1">
      <c r="A205" s="827" t="str">
        <f>IF(B205&lt;&gt;"",IF(AND(B205&gt;=_TM1,B205&lt;=_TM2,OR(TH!L205="1111",TH!M205="1111")),TH!D205,""),"")</f>
        <v/>
      </c>
      <c r="B205" s="36">
        <f t="shared" si="82"/>
        <v>7</v>
      </c>
      <c r="C205" s="190">
        <f t="shared" si="83"/>
        <v>42563</v>
      </c>
      <c r="D205" s="37" t="s">
        <v>835</v>
      </c>
      <c r="E205" s="741">
        <v>42563</v>
      </c>
      <c r="F205" s="191" t="s">
        <v>839</v>
      </c>
      <c r="G205" s="833" t="s">
        <v>836</v>
      </c>
      <c r="H205" s="7"/>
      <c r="I205" s="767"/>
      <c r="J205" s="253"/>
      <c r="K205" s="584">
        <v>10043000</v>
      </c>
      <c r="L205" s="39" t="s">
        <v>24</v>
      </c>
      <c r="M205" s="39" t="s">
        <v>251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826"/>
    </row>
    <row r="206" spans="1:27" ht="15.75" customHeight="1">
      <c r="A206" s="827" t="str">
        <f>IF(B206&lt;&gt;"",IF(AND(B206&gt;=_TM1,B206&lt;=_TM2,OR(TH!L206="1111",TH!M206="1111")),TH!D206,""),"")</f>
        <v/>
      </c>
      <c r="B206" s="36">
        <f t="shared" si="82"/>
        <v>7</v>
      </c>
      <c r="C206" s="190">
        <f t="shared" si="83"/>
        <v>42563</v>
      </c>
      <c r="D206" s="37" t="s">
        <v>835</v>
      </c>
      <c r="E206" s="741">
        <v>42563</v>
      </c>
      <c r="F206" s="191" t="s">
        <v>839</v>
      </c>
      <c r="G206" s="833" t="s">
        <v>836</v>
      </c>
      <c r="H206" s="7" t="s">
        <v>783</v>
      </c>
      <c r="I206" s="767"/>
      <c r="J206" s="253"/>
      <c r="K206" s="584">
        <v>11550000</v>
      </c>
      <c r="L206" s="39" t="s">
        <v>24</v>
      </c>
      <c r="M206" s="39" t="s">
        <v>251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826"/>
    </row>
    <row r="207" spans="1:27" ht="15.75" customHeight="1">
      <c r="A207" s="827" t="str">
        <f>IF(B207&lt;&gt;"",IF(AND(B207&gt;=_TM1,B207&lt;=_TM2,OR(TH!L207="1111",TH!M207="1111")),TH!D207,""),"")</f>
        <v/>
      </c>
      <c r="B207" s="36">
        <f t="shared" si="82"/>
        <v>7</v>
      </c>
      <c r="C207" s="190">
        <f t="shared" si="83"/>
        <v>42566</v>
      </c>
      <c r="D207" s="37" t="s">
        <v>835</v>
      </c>
      <c r="E207" s="741">
        <v>42566</v>
      </c>
      <c r="F207" s="191" t="s">
        <v>838</v>
      </c>
      <c r="G207" s="833" t="s">
        <v>836</v>
      </c>
      <c r="H207" s="192" t="s">
        <v>837</v>
      </c>
      <c r="I207" s="767"/>
      <c r="J207" s="253"/>
      <c r="K207" s="584">
        <v>4700000</v>
      </c>
      <c r="L207" s="39" t="s">
        <v>24</v>
      </c>
      <c r="M207" s="39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826"/>
    </row>
    <row r="208" spans="1:27" ht="15.75" customHeight="1">
      <c r="A208" s="827" t="str">
        <f>IF(B208&lt;&gt;"",IF(AND(B208&gt;=_TM1,B208&lt;=_TM2,OR(TH!L208="1111",TH!M208="1111")),TH!D208,""),"")</f>
        <v/>
      </c>
      <c r="B208" s="36">
        <f t="shared" si="82"/>
        <v>7</v>
      </c>
      <c r="C208" s="190">
        <f t="shared" si="83"/>
        <v>42569</v>
      </c>
      <c r="D208" s="37" t="s">
        <v>835</v>
      </c>
      <c r="E208" s="741">
        <v>42569</v>
      </c>
      <c r="F208" s="191" t="s">
        <v>838</v>
      </c>
      <c r="G208" s="833" t="s">
        <v>836</v>
      </c>
      <c r="H208" s="192" t="s">
        <v>837</v>
      </c>
      <c r="I208" s="767"/>
      <c r="J208" s="253"/>
      <c r="K208" s="584">
        <v>1300000</v>
      </c>
      <c r="L208" s="39" t="s">
        <v>24</v>
      </c>
      <c r="M208" s="39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826"/>
    </row>
    <row r="209" spans="1:27" ht="15.75" customHeight="1">
      <c r="A209" s="827" t="str">
        <f>IF(B209&lt;&gt;"",IF(AND(B209&gt;=_TM1,B209&lt;=_TM2,OR(TH!L209="1111",TH!M209="1111")),TH!D209,""),"")</f>
        <v/>
      </c>
      <c r="B209" s="36">
        <f t="shared" si="82"/>
        <v>7</v>
      </c>
      <c r="C209" s="190">
        <f t="shared" si="83"/>
        <v>42552</v>
      </c>
      <c r="D209" s="37" t="s">
        <v>842</v>
      </c>
      <c r="E209" s="741">
        <v>42552</v>
      </c>
      <c r="F209" s="188" t="s">
        <v>844</v>
      </c>
      <c r="G209" s="833" t="s">
        <v>836</v>
      </c>
      <c r="H209" s="192" t="s">
        <v>435</v>
      </c>
      <c r="I209" s="767"/>
      <c r="J209" s="253"/>
      <c r="K209" s="584">
        <v>4482632</v>
      </c>
      <c r="L209" s="39" t="s">
        <v>8</v>
      </c>
      <c r="M209" s="39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826"/>
    </row>
    <row r="210" spans="1:27" ht="15.75" customHeight="1">
      <c r="A210" s="827" t="str">
        <f>IF(B210&lt;&gt;"",IF(AND(B210&gt;=_TM1,B210&lt;=_TM2,OR(TH!L210="1111",TH!M210="1111")),TH!D210,""),"")</f>
        <v/>
      </c>
      <c r="B210" s="36">
        <f t="shared" si="82"/>
        <v>7</v>
      </c>
      <c r="C210" s="190">
        <f t="shared" si="83"/>
        <v>42552</v>
      </c>
      <c r="D210" s="37" t="s">
        <v>842</v>
      </c>
      <c r="E210" s="741">
        <v>42552</v>
      </c>
      <c r="F210" s="188" t="s">
        <v>1347</v>
      </c>
      <c r="G210" s="833" t="s">
        <v>836</v>
      </c>
      <c r="H210" s="7"/>
      <c r="I210" s="253"/>
      <c r="J210" s="253"/>
      <c r="K210" s="584">
        <v>20000</v>
      </c>
      <c r="L210" s="39" t="s">
        <v>83</v>
      </c>
      <c r="M210" s="39" t="s">
        <v>24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826"/>
    </row>
    <row r="211" spans="1:27" ht="15.75" customHeight="1">
      <c r="A211" s="827" t="str">
        <f>IF(B211&lt;&gt;"",IF(AND(B211&gt;=_TM1,B211&lt;=_TM2,OR(TH!L211="1111",TH!M211="1111")),TH!D211,""),"")</f>
        <v/>
      </c>
      <c r="B211" s="36">
        <f t="shared" ref="B211" si="84">IF(C211&lt;&gt;"",MONTH(C211),"")</f>
        <v>7</v>
      </c>
      <c r="C211" s="190">
        <f t="shared" ref="C211" si="85">E211</f>
        <v>42552</v>
      </c>
      <c r="D211" s="37" t="s">
        <v>842</v>
      </c>
      <c r="E211" s="741">
        <v>42552</v>
      </c>
      <c r="F211" s="188" t="s">
        <v>1348</v>
      </c>
      <c r="G211" s="833" t="s">
        <v>836</v>
      </c>
      <c r="H211" s="7"/>
      <c r="I211" s="253"/>
      <c r="J211" s="253"/>
      <c r="K211" s="584">
        <v>2000</v>
      </c>
      <c r="L211" s="39" t="s">
        <v>9</v>
      </c>
      <c r="M211" s="39" t="s">
        <v>24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826"/>
    </row>
    <row r="212" spans="1:27" ht="15.75" customHeight="1">
      <c r="A212" s="827" t="str">
        <f>IF(B212&lt;&gt;"",IF(AND(B212&gt;=_TM1,B212&lt;=_TM2,OR(TH!L212="1111",TH!M212="1111")),TH!D212,""),"")</f>
        <v/>
      </c>
      <c r="B212" s="36">
        <f>IF(C212&lt;&gt;"",MONTH(C212),"")</f>
        <v>7</v>
      </c>
      <c r="C212" s="190">
        <f>E212</f>
        <v>42557</v>
      </c>
      <c r="D212" s="37" t="s">
        <v>842</v>
      </c>
      <c r="E212" s="741">
        <v>42557</v>
      </c>
      <c r="F212" s="188" t="s">
        <v>844</v>
      </c>
      <c r="G212" s="833" t="s">
        <v>836</v>
      </c>
      <c r="H212" s="192" t="s">
        <v>445</v>
      </c>
      <c r="I212" s="767"/>
      <c r="J212" s="253"/>
      <c r="K212" s="584">
        <v>454383524</v>
      </c>
      <c r="L212" s="39" t="s">
        <v>8</v>
      </c>
      <c r="M212" s="39" t="s">
        <v>24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826"/>
    </row>
    <row r="213" spans="1:27" ht="15.75" customHeight="1">
      <c r="A213" s="827" t="str">
        <f>IF(B213&lt;&gt;"",IF(AND(B213&gt;=_TM1,B213&lt;=_TM2,OR(TH!L213="1111",TH!M213="1111")),TH!D213,""),"")</f>
        <v/>
      </c>
      <c r="B213" s="36">
        <f>IF(C213&lt;&gt;"",MONTH(C213),"")</f>
        <v>7</v>
      </c>
      <c r="C213" s="190">
        <f>E213</f>
        <v>42557</v>
      </c>
      <c r="D213" s="37" t="s">
        <v>842</v>
      </c>
      <c r="E213" s="741">
        <v>42557</v>
      </c>
      <c r="F213" s="188" t="s">
        <v>1349</v>
      </c>
      <c r="G213" s="833" t="s">
        <v>836</v>
      </c>
      <c r="H213" s="7"/>
      <c r="I213" s="767"/>
      <c r="J213" s="253"/>
      <c r="K213" s="584">
        <v>156310</v>
      </c>
      <c r="L213" s="39" t="s">
        <v>83</v>
      </c>
      <c r="M213" s="39" t="s">
        <v>24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826"/>
    </row>
    <row r="214" spans="1:27" ht="15.75" customHeight="1">
      <c r="A214" s="827" t="str">
        <f>IF(B214&lt;&gt;"",IF(AND(B214&gt;=_TM1,B214&lt;=_TM2,OR(TH!L214="1111",TH!M214="1111")),TH!D214,""),"")</f>
        <v/>
      </c>
      <c r="B214" s="36">
        <f t="shared" ref="B214" si="86">IF(C214&lt;&gt;"",MONTH(C214),"")</f>
        <v>7</v>
      </c>
      <c r="C214" s="190">
        <f t="shared" ref="C214" si="87">E214</f>
        <v>42557</v>
      </c>
      <c r="D214" s="37" t="s">
        <v>842</v>
      </c>
      <c r="E214" s="741">
        <v>42557</v>
      </c>
      <c r="F214" s="188" t="s">
        <v>1350</v>
      </c>
      <c r="G214" s="833" t="s">
        <v>836</v>
      </c>
      <c r="H214" s="192"/>
      <c r="I214" s="767"/>
      <c r="J214" s="253"/>
      <c r="K214" s="584">
        <v>15631</v>
      </c>
      <c r="L214" s="39" t="s">
        <v>9</v>
      </c>
      <c r="M214" s="39" t="s">
        <v>24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826"/>
    </row>
    <row r="215" spans="1:27" ht="15.75" customHeight="1">
      <c r="A215" s="827" t="str">
        <f>IF(B215&lt;&gt;"",IF(AND(B215&gt;=_TM1,B215&lt;=_TM2,OR(TH!L215="1111",TH!M215="1111")),TH!D215,""),"")</f>
        <v/>
      </c>
      <c r="B215" s="36">
        <f t="shared" ref="B215:B229" si="88">IF(C215&lt;&gt;"",MONTH(C215),"")</f>
        <v>7</v>
      </c>
      <c r="C215" s="190">
        <f t="shared" ref="C215:C229" si="89">E215</f>
        <v>42559</v>
      </c>
      <c r="D215" s="37" t="s">
        <v>842</v>
      </c>
      <c r="E215" s="741">
        <v>42559</v>
      </c>
      <c r="F215" s="188" t="s">
        <v>1351</v>
      </c>
      <c r="G215" s="833" t="s">
        <v>836</v>
      </c>
      <c r="H215" s="192" t="s">
        <v>837</v>
      </c>
      <c r="I215" s="767"/>
      <c r="J215" s="253"/>
      <c r="K215" s="584">
        <v>37180000</v>
      </c>
      <c r="L215" s="39" t="s">
        <v>47</v>
      </c>
      <c r="M215" s="39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826"/>
    </row>
    <row r="216" spans="1:27" ht="15.75" customHeight="1">
      <c r="A216" s="827" t="str">
        <f>IF(B216&lt;&gt;"",IF(AND(B216&gt;=_TM1,B216&lt;=_TM2,OR(TH!L216="1111",TH!M216="1111")),TH!D216,""),"")</f>
        <v/>
      </c>
      <c r="B216" s="36">
        <f t="shared" si="88"/>
        <v>7</v>
      </c>
      <c r="C216" s="190">
        <f t="shared" si="89"/>
        <v>42563</v>
      </c>
      <c r="D216" s="37" t="s">
        <v>842</v>
      </c>
      <c r="E216" s="740">
        <v>42563</v>
      </c>
      <c r="F216" s="188" t="s">
        <v>1351</v>
      </c>
      <c r="G216" s="833" t="s">
        <v>836</v>
      </c>
      <c r="H216" s="192" t="s">
        <v>837</v>
      </c>
      <c r="I216" s="767"/>
      <c r="J216" s="253"/>
      <c r="K216" s="584">
        <v>10000000</v>
      </c>
      <c r="L216" s="39" t="s">
        <v>47</v>
      </c>
      <c r="M216" s="39" t="s">
        <v>24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826"/>
    </row>
    <row r="217" spans="1:27" ht="15.75" customHeight="1">
      <c r="A217" s="827" t="str">
        <f>IF(B217&lt;&gt;"",IF(AND(B217&gt;=_TM1,B217&lt;=_TM2,OR(TH!L217="1111",TH!M217="1111")),TH!D217,""),"")</f>
        <v/>
      </c>
      <c r="B217" s="36">
        <f t="shared" si="88"/>
        <v>7</v>
      </c>
      <c r="C217" s="190">
        <f t="shared" si="89"/>
        <v>42564</v>
      </c>
      <c r="D217" s="37" t="s">
        <v>842</v>
      </c>
      <c r="E217" s="740">
        <v>42564</v>
      </c>
      <c r="F217" s="188" t="s">
        <v>1351</v>
      </c>
      <c r="G217" s="833" t="s">
        <v>836</v>
      </c>
      <c r="H217" s="192" t="s">
        <v>837</v>
      </c>
      <c r="I217" s="767"/>
      <c r="J217" s="253"/>
      <c r="K217" s="584">
        <v>11500000</v>
      </c>
      <c r="L217" s="39" t="s">
        <v>47</v>
      </c>
      <c r="M217" s="39" t="s">
        <v>24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826"/>
    </row>
    <row r="218" spans="1:27" ht="15.75" customHeight="1">
      <c r="A218" s="827" t="str">
        <f>IF(B218&lt;&gt;"",IF(AND(B218&gt;=_TM1,B218&lt;=_TM2,OR(TH!L218="1111",TH!M218="1111")),TH!D218,""),"")</f>
        <v/>
      </c>
      <c r="B218" s="36">
        <f t="shared" si="88"/>
        <v>7</v>
      </c>
      <c r="C218" s="190">
        <f t="shared" si="89"/>
        <v>42566</v>
      </c>
      <c r="D218" s="37" t="s">
        <v>842</v>
      </c>
      <c r="E218" s="740">
        <v>42566</v>
      </c>
      <c r="F218" s="188" t="s">
        <v>1352</v>
      </c>
      <c r="G218" s="833" t="s">
        <v>836</v>
      </c>
      <c r="H218" s="7"/>
      <c r="I218" s="767"/>
      <c r="J218" s="253"/>
      <c r="K218" s="584">
        <v>4720250</v>
      </c>
      <c r="L218" s="39" t="s">
        <v>1092</v>
      </c>
      <c r="M218" s="39" t="s">
        <v>24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826"/>
    </row>
    <row r="219" spans="1:27" ht="15.75" customHeight="1">
      <c r="A219" s="827" t="str">
        <f>IF(B219&lt;&gt;"",IF(AND(B219&gt;=_TM1,B219&lt;=_TM2,OR(TH!L219="1111",TH!M219="1111")),TH!D219,""),"")</f>
        <v/>
      </c>
      <c r="B219" s="36">
        <f t="shared" si="88"/>
        <v>7</v>
      </c>
      <c r="C219" s="190">
        <f t="shared" si="89"/>
        <v>42569</v>
      </c>
      <c r="D219" s="37" t="s">
        <v>842</v>
      </c>
      <c r="E219" s="740">
        <v>42569</v>
      </c>
      <c r="F219" s="188" t="s">
        <v>844</v>
      </c>
      <c r="G219" s="833" t="s">
        <v>836</v>
      </c>
      <c r="H219" s="192" t="s">
        <v>435</v>
      </c>
      <c r="I219" s="767"/>
      <c r="J219" s="253"/>
      <c r="K219" s="584">
        <v>13688769</v>
      </c>
      <c r="L219" s="39" t="s">
        <v>8</v>
      </c>
      <c r="M219" s="39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826"/>
    </row>
    <row r="220" spans="1:27" ht="15.75" customHeight="1">
      <c r="A220" s="827" t="str">
        <f>IF(B220&lt;&gt;"",IF(AND(B220&gt;=_TM1,B220&lt;=_TM2,OR(TH!L220="1111",TH!M220="1111")),TH!D220,""),"")</f>
        <v/>
      </c>
      <c r="B220" s="36">
        <f t="shared" si="88"/>
        <v>7</v>
      </c>
      <c r="C220" s="190">
        <f t="shared" si="89"/>
        <v>42569</v>
      </c>
      <c r="D220" s="37" t="s">
        <v>842</v>
      </c>
      <c r="E220" s="740">
        <v>42569</v>
      </c>
      <c r="F220" s="188" t="s">
        <v>1347</v>
      </c>
      <c r="G220" s="833" t="s">
        <v>836</v>
      </c>
      <c r="H220" s="7"/>
      <c r="I220" s="253"/>
      <c r="J220" s="253"/>
      <c r="K220" s="584">
        <v>20000</v>
      </c>
      <c r="L220" s="39" t="s">
        <v>83</v>
      </c>
      <c r="M220" s="39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>x</v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826"/>
    </row>
    <row r="221" spans="1:27" ht="15.75" customHeight="1">
      <c r="A221" s="827" t="str">
        <f>IF(B221&lt;&gt;"",IF(AND(B221&gt;=_TM1,B221&lt;=_TM2,OR(TH!L221="1111",TH!M221="1111")),TH!D221,""),"")</f>
        <v/>
      </c>
      <c r="B221" s="36">
        <f t="shared" si="88"/>
        <v>7</v>
      </c>
      <c r="C221" s="190">
        <f t="shared" si="89"/>
        <v>42569</v>
      </c>
      <c r="D221" s="37" t="s">
        <v>842</v>
      </c>
      <c r="E221" s="740">
        <v>42569</v>
      </c>
      <c r="F221" s="188" t="s">
        <v>1348</v>
      </c>
      <c r="G221" s="833" t="s">
        <v>836</v>
      </c>
      <c r="H221" s="7"/>
      <c r="I221" s="253"/>
      <c r="J221" s="253"/>
      <c r="K221" s="584">
        <v>2000</v>
      </c>
      <c r="L221" s="39" t="s">
        <v>9</v>
      </c>
      <c r="M221" s="39" t="s">
        <v>24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826"/>
    </row>
    <row r="222" spans="1:27" ht="15.75" customHeight="1">
      <c r="A222" s="827" t="str">
        <f>IF(B222&lt;&gt;"",IF(AND(B222&gt;=_TM1,B222&lt;=_TM2,OR(TH!L222="1111",TH!M222="1111")),TH!D222,""),"")</f>
        <v/>
      </c>
      <c r="B222" s="36">
        <f t="shared" si="88"/>
        <v>7</v>
      </c>
      <c r="C222" s="190">
        <f t="shared" si="89"/>
        <v>42569</v>
      </c>
      <c r="D222" s="37" t="s">
        <v>835</v>
      </c>
      <c r="E222" s="740">
        <v>42569</v>
      </c>
      <c r="F222" s="191" t="s">
        <v>839</v>
      </c>
      <c r="G222" s="833" t="s">
        <v>836</v>
      </c>
      <c r="H222" s="192" t="s">
        <v>1437</v>
      </c>
      <c r="I222" s="253"/>
      <c r="J222" s="253"/>
      <c r="K222" s="584">
        <v>12418590</v>
      </c>
      <c r="L222" s="39" t="s">
        <v>24</v>
      </c>
      <c r="M222" s="39" t="s">
        <v>251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826"/>
    </row>
    <row r="223" spans="1:27" ht="15.75" customHeight="1">
      <c r="A223" s="827" t="str">
        <f>IF(B223&lt;&gt;"",IF(AND(B223&gt;=_TM1,B223&lt;=_TM2,OR(TH!L223="1111",TH!M223="1111")),TH!D223,""),"")</f>
        <v/>
      </c>
      <c r="B223" s="36">
        <f t="shared" si="88"/>
        <v>7</v>
      </c>
      <c r="C223" s="190">
        <f t="shared" si="89"/>
        <v>42572</v>
      </c>
      <c r="D223" s="37" t="s">
        <v>835</v>
      </c>
      <c r="E223" s="740">
        <v>42572</v>
      </c>
      <c r="F223" s="191" t="s">
        <v>838</v>
      </c>
      <c r="G223" s="833" t="s">
        <v>836</v>
      </c>
      <c r="H223" s="192" t="s">
        <v>837</v>
      </c>
      <c r="I223" s="253"/>
      <c r="J223" s="253"/>
      <c r="K223" s="584">
        <v>20000000</v>
      </c>
      <c r="L223" s="39" t="s">
        <v>24</v>
      </c>
      <c r="M223" s="39" t="s">
        <v>47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826"/>
    </row>
    <row r="224" spans="1:27" ht="15.75" customHeight="1">
      <c r="A224" s="827" t="str">
        <f>IF(B224&lt;&gt;"",IF(AND(B224&gt;=_TM1,B224&lt;=_TM2,OR(TH!L224="1111",TH!M224="1111")),TH!D224,""),"")</f>
        <v/>
      </c>
      <c r="B224" s="36">
        <f t="shared" si="88"/>
        <v>7</v>
      </c>
      <c r="C224" s="190">
        <f t="shared" si="89"/>
        <v>42573</v>
      </c>
      <c r="D224" s="37" t="s">
        <v>835</v>
      </c>
      <c r="E224" s="740">
        <v>42573</v>
      </c>
      <c r="F224" s="191" t="s">
        <v>839</v>
      </c>
      <c r="G224" s="833" t="s">
        <v>836</v>
      </c>
      <c r="H224" s="192" t="s">
        <v>678</v>
      </c>
      <c r="I224" s="253"/>
      <c r="J224" s="253"/>
      <c r="K224" s="584">
        <v>130855512</v>
      </c>
      <c r="L224" s="39" t="s">
        <v>24</v>
      </c>
      <c r="M224" s="39" t="s">
        <v>251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826"/>
    </row>
    <row r="225" spans="1:27" ht="15.75" customHeight="1">
      <c r="A225" s="827" t="str">
        <f>IF(B225&lt;&gt;"",IF(AND(B225&gt;=_TM1,B225&lt;=_TM2,OR(TH!L225="1111",TH!M225="1111")),TH!D225,""),"")</f>
        <v/>
      </c>
      <c r="B225" s="36">
        <f t="shared" si="88"/>
        <v>7</v>
      </c>
      <c r="C225" s="190">
        <f t="shared" si="89"/>
        <v>42577</v>
      </c>
      <c r="D225" s="37" t="s">
        <v>835</v>
      </c>
      <c r="E225" s="740">
        <v>42577</v>
      </c>
      <c r="F225" s="191" t="s">
        <v>839</v>
      </c>
      <c r="G225" s="833" t="s">
        <v>836</v>
      </c>
      <c r="H225" s="192" t="s">
        <v>662</v>
      </c>
      <c r="I225" s="253"/>
      <c r="J225" s="253"/>
      <c r="K225" s="584">
        <v>120000000</v>
      </c>
      <c r="L225" s="39" t="s">
        <v>24</v>
      </c>
      <c r="M225" s="39" t="s">
        <v>251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826"/>
    </row>
    <row r="226" spans="1:27" ht="15.75" customHeight="1">
      <c r="A226" s="827" t="str">
        <f>IF(B226&lt;&gt;"",IF(AND(B226&gt;=_TM1,B226&lt;=_TM2,OR(TH!L226="1111",TH!M226="1111")),TH!D226,""),"")</f>
        <v/>
      </c>
      <c r="B226" s="36">
        <f t="shared" si="88"/>
        <v>7</v>
      </c>
      <c r="C226" s="190">
        <f t="shared" si="89"/>
        <v>42578</v>
      </c>
      <c r="D226" s="37" t="s">
        <v>835</v>
      </c>
      <c r="E226" s="740">
        <v>42578</v>
      </c>
      <c r="F226" s="191" t="s">
        <v>839</v>
      </c>
      <c r="G226" s="833" t="s">
        <v>836</v>
      </c>
      <c r="H226" s="192" t="s">
        <v>662</v>
      </c>
      <c r="I226" s="253"/>
      <c r="J226" s="253"/>
      <c r="K226" s="584">
        <v>125190000</v>
      </c>
      <c r="L226" s="39" t="s">
        <v>24</v>
      </c>
      <c r="M226" s="39" t="s">
        <v>251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826"/>
    </row>
    <row r="227" spans="1:27" ht="15.75" customHeight="1">
      <c r="A227" s="827" t="str">
        <f>IF(B227&lt;&gt;"",IF(AND(B227&gt;=_TM1,B227&lt;=_TM2,OR(TH!L227="1111",TH!M227="1111")),TH!D227,""),"")</f>
        <v/>
      </c>
      <c r="B227" s="36">
        <f t="shared" si="88"/>
        <v>7</v>
      </c>
      <c r="C227" s="190">
        <f t="shared" si="89"/>
        <v>42579</v>
      </c>
      <c r="D227" s="37" t="s">
        <v>835</v>
      </c>
      <c r="E227" s="740">
        <v>42579</v>
      </c>
      <c r="F227" s="191" t="s">
        <v>839</v>
      </c>
      <c r="G227" s="833" t="s">
        <v>836</v>
      </c>
      <c r="H227" s="192" t="s">
        <v>636</v>
      </c>
      <c r="I227" s="253"/>
      <c r="J227" s="253"/>
      <c r="K227" s="584">
        <v>11286000</v>
      </c>
      <c r="L227" s="39" t="s">
        <v>24</v>
      </c>
      <c r="M227" s="39" t="s">
        <v>251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826"/>
    </row>
    <row r="228" spans="1:27" ht="15.75" customHeight="1">
      <c r="A228" s="827" t="str">
        <f>IF(B228&lt;&gt;"",IF(AND(B228&gt;=_TM1,B228&lt;=_TM2,OR(TH!L228="1111",TH!M228="1111")),TH!D228,""),"")</f>
        <v/>
      </c>
      <c r="B228" s="36">
        <f t="shared" si="88"/>
        <v>7</v>
      </c>
      <c r="C228" s="190">
        <f t="shared" si="89"/>
        <v>42580</v>
      </c>
      <c r="D228" s="37" t="s">
        <v>835</v>
      </c>
      <c r="E228" s="785">
        <v>42580</v>
      </c>
      <c r="F228" s="191" t="s">
        <v>839</v>
      </c>
      <c r="G228" s="833" t="s">
        <v>836</v>
      </c>
      <c r="H228" s="192" t="s">
        <v>1523</v>
      </c>
      <c r="I228" s="253"/>
      <c r="J228" s="253"/>
      <c r="K228" s="584">
        <v>27500000</v>
      </c>
      <c r="L228" s="39" t="s">
        <v>24</v>
      </c>
      <c r="M228" s="193" t="s">
        <v>251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826"/>
    </row>
    <row r="229" spans="1:27" ht="15.75" customHeight="1">
      <c r="A229" s="827" t="str">
        <f>IF(B229&lt;&gt;"",IF(AND(B229&gt;=_TM1,B229&lt;=_TM2,OR(TH!L229="1111",TH!M229="1111")),TH!D229,""),"")</f>
        <v/>
      </c>
      <c r="B229" s="36">
        <f t="shared" si="88"/>
        <v>7</v>
      </c>
      <c r="C229" s="190">
        <f t="shared" si="89"/>
        <v>42572</v>
      </c>
      <c r="D229" s="37" t="s">
        <v>842</v>
      </c>
      <c r="E229" s="785">
        <v>42572</v>
      </c>
      <c r="F229" s="188" t="s">
        <v>844</v>
      </c>
      <c r="G229" s="833" t="s">
        <v>836</v>
      </c>
      <c r="H229" s="192" t="s">
        <v>428</v>
      </c>
      <c r="I229" s="253"/>
      <c r="J229" s="253"/>
      <c r="K229" s="584">
        <v>20000000</v>
      </c>
      <c r="L229" s="193" t="s">
        <v>8</v>
      </c>
      <c r="M229" s="193" t="s">
        <v>24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826"/>
    </row>
    <row r="230" spans="1:27" ht="15.75" customHeight="1">
      <c r="A230" s="827" t="str">
        <f>IF(B230&lt;&gt;"",IF(AND(B230&gt;=_TM1,B230&lt;=_TM2,OR(TH!L230="1111",TH!M230="1111")),TH!D230,""),"")</f>
        <v/>
      </c>
      <c r="B230" s="36">
        <f t="shared" ref="B230:B231" si="90">IF(C230&lt;&gt;"",MONTH(C230),"")</f>
        <v>7</v>
      </c>
      <c r="C230" s="190">
        <f t="shared" ref="C230:C231" si="91">E230</f>
        <v>42572</v>
      </c>
      <c r="D230" s="37" t="s">
        <v>842</v>
      </c>
      <c r="E230" s="785">
        <v>42572</v>
      </c>
      <c r="F230" s="191" t="s">
        <v>892</v>
      </c>
      <c r="G230" s="833" t="s">
        <v>836</v>
      </c>
      <c r="H230" s="192"/>
      <c r="I230" s="253"/>
      <c r="J230" s="253"/>
      <c r="K230" s="584">
        <v>20000</v>
      </c>
      <c r="L230" s="193" t="s">
        <v>83</v>
      </c>
      <c r="M230" s="193" t="s">
        <v>24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826"/>
    </row>
    <row r="231" spans="1:27" ht="15.75" customHeight="1">
      <c r="A231" s="827" t="str">
        <f>IF(B231&lt;&gt;"",IF(AND(B231&gt;=_TM1,B231&lt;=_TM2,OR(TH!L231="1111",TH!M231="1111")),TH!D231,""),"")</f>
        <v/>
      </c>
      <c r="B231" s="36">
        <f t="shared" si="90"/>
        <v>7</v>
      </c>
      <c r="C231" s="190">
        <f t="shared" si="91"/>
        <v>42572</v>
      </c>
      <c r="D231" s="37" t="s">
        <v>842</v>
      </c>
      <c r="E231" s="785">
        <v>42572</v>
      </c>
      <c r="F231" s="191" t="s">
        <v>1098</v>
      </c>
      <c r="G231" s="833" t="s">
        <v>836</v>
      </c>
      <c r="H231" s="192"/>
      <c r="I231" s="253"/>
      <c r="J231" s="253"/>
      <c r="K231" s="584">
        <v>2000</v>
      </c>
      <c r="L231" s="193" t="s">
        <v>9</v>
      </c>
      <c r="M231" s="193" t="s">
        <v>24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826"/>
    </row>
    <row r="232" spans="1:27" ht="15.75" customHeight="1">
      <c r="A232" s="827" t="str">
        <f>IF(B232&lt;&gt;"",IF(AND(B232&gt;=_TM1,B232&lt;=_TM2,OR(TH!L232="1111",TH!M232="1111")),TH!D232,""),"")</f>
        <v/>
      </c>
      <c r="B232" s="36">
        <f>IF(C232&lt;&gt;"",MONTH(C232),"")</f>
        <v>7</v>
      </c>
      <c r="C232" s="190">
        <f>E232</f>
        <v>42573</v>
      </c>
      <c r="D232" s="37" t="s">
        <v>842</v>
      </c>
      <c r="E232" s="785">
        <v>42573</v>
      </c>
      <c r="F232" s="188" t="s">
        <v>1351</v>
      </c>
      <c r="G232" s="833" t="s">
        <v>836</v>
      </c>
      <c r="H232" s="192" t="s">
        <v>837</v>
      </c>
      <c r="I232" s="253"/>
      <c r="J232" s="253"/>
      <c r="K232" s="584">
        <v>130800000</v>
      </c>
      <c r="L232" s="193" t="s">
        <v>47</v>
      </c>
      <c r="M232" s="193" t="s">
        <v>24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826"/>
    </row>
    <row r="233" spans="1:27" ht="15.75" customHeight="1">
      <c r="A233" s="827" t="str">
        <f>IF(B233&lt;&gt;"",IF(AND(B233&gt;=_TM1,B233&lt;=_TM2,OR(TH!L233="1111",TH!M233="1111")),TH!D233,""),"")</f>
        <v/>
      </c>
      <c r="B233" s="36">
        <f>IF(C233&lt;&gt;"",MONTH(C233),"")</f>
        <v>7</v>
      </c>
      <c r="C233" s="190">
        <f>E233</f>
        <v>42574</v>
      </c>
      <c r="D233" s="37" t="s">
        <v>842</v>
      </c>
      <c r="E233" s="785">
        <v>42574</v>
      </c>
      <c r="F233" s="191" t="s">
        <v>1353</v>
      </c>
      <c r="G233" s="833" t="s">
        <v>836</v>
      </c>
      <c r="H233" s="192"/>
      <c r="I233" s="253"/>
      <c r="J233" s="253"/>
      <c r="K233" s="584">
        <v>50000</v>
      </c>
      <c r="L233" s="193" t="s">
        <v>83</v>
      </c>
      <c r="M233" s="193" t="s">
        <v>24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>x</v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826"/>
    </row>
    <row r="234" spans="1:27" ht="15.75" customHeight="1">
      <c r="A234" s="827" t="str">
        <f>IF(B234&lt;&gt;"",IF(AND(B234&gt;=_TM1,B234&lt;=_TM2,OR(TH!L234="1111",TH!M234="1111")),TH!D234,""),"")</f>
        <v/>
      </c>
      <c r="B234" s="36">
        <f t="shared" ref="B234" si="92">IF(C234&lt;&gt;"",MONTH(C234),"")</f>
        <v>7</v>
      </c>
      <c r="C234" s="190">
        <f t="shared" ref="C234" si="93">E234</f>
        <v>42574</v>
      </c>
      <c r="D234" s="37" t="s">
        <v>842</v>
      </c>
      <c r="E234" s="785">
        <v>42574</v>
      </c>
      <c r="F234" s="191" t="s">
        <v>1354</v>
      </c>
      <c r="G234" s="833" t="s">
        <v>836</v>
      </c>
      <c r="H234" s="192"/>
      <c r="I234" s="253"/>
      <c r="J234" s="253"/>
      <c r="K234" s="584">
        <v>5000</v>
      </c>
      <c r="L234" s="193" t="s">
        <v>9</v>
      </c>
      <c r="M234" s="193" t="s">
        <v>24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826"/>
    </row>
    <row r="235" spans="1:27" ht="15.75" customHeight="1">
      <c r="A235" s="827" t="str">
        <f>IF(B235&lt;&gt;"",IF(AND(B235&gt;=_TM1,B235&lt;=_TM2,OR(TH!L235="1111",TH!M235="1111")),TH!D235,""),"")</f>
        <v/>
      </c>
      <c r="B235" s="36">
        <f>IF(C235&lt;&gt;"",MONTH(C235),"")</f>
        <v>7</v>
      </c>
      <c r="C235" s="190">
        <f>E235</f>
        <v>42576</v>
      </c>
      <c r="D235" s="37" t="s">
        <v>842</v>
      </c>
      <c r="E235" s="785">
        <v>42576</v>
      </c>
      <c r="F235" s="191" t="s">
        <v>847</v>
      </c>
      <c r="G235" s="833" t="s">
        <v>836</v>
      </c>
      <c r="H235" s="192"/>
      <c r="I235" s="253"/>
      <c r="J235" s="253"/>
      <c r="K235" s="584">
        <v>10000</v>
      </c>
      <c r="L235" s="193" t="s">
        <v>83</v>
      </c>
      <c r="M235" s="193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>x</v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826"/>
    </row>
    <row r="236" spans="1:27" ht="15.75" customHeight="1">
      <c r="A236" s="827" t="str">
        <f>IF(B236&lt;&gt;"",IF(AND(B236&gt;=_TM1,B236&lt;=_TM2,OR(TH!L236="1111",TH!M236="1111")),TH!D236,""),"")</f>
        <v/>
      </c>
      <c r="B236" s="36">
        <f t="shared" ref="B236" si="94">IF(C236&lt;&gt;"",MONTH(C236),"")</f>
        <v>7</v>
      </c>
      <c r="C236" s="190">
        <f t="shared" ref="C236" si="95">E236</f>
        <v>42576</v>
      </c>
      <c r="D236" s="37" t="s">
        <v>842</v>
      </c>
      <c r="E236" s="785">
        <v>42576</v>
      </c>
      <c r="F236" s="191" t="s">
        <v>848</v>
      </c>
      <c r="G236" s="833" t="s">
        <v>836</v>
      </c>
      <c r="H236" s="192"/>
      <c r="I236" s="253"/>
      <c r="J236" s="253"/>
      <c r="K236" s="584">
        <v>1000</v>
      </c>
      <c r="L236" s="193" t="s">
        <v>9</v>
      </c>
      <c r="M236" s="193" t="s">
        <v>24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826"/>
    </row>
    <row r="237" spans="1:27" ht="15.75" customHeight="1">
      <c r="A237" s="827" t="str">
        <f>IF(B237&lt;&gt;"",IF(AND(B237&gt;=_TM1,B237&lt;=_TM2,OR(TH!L237="1111",TH!M237="1111")),TH!D237,""),"")</f>
        <v/>
      </c>
      <c r="B237" s="36">
        <f t="shared" ref="B237:B250" si="96">IF(C237&lt;&gt;"",MONTH(C237),"")</f>
        <v>7</v>
      </c>
      <c r="C237" s="190">
        <f t="shared" ref="C237:C250" si="97">E237</f>
        <v>42578</v>
      </c>
      <c r="D237" s="37" t="s">
        <v>842</v>
      </c>
      <c r="E237" s="785">
        <v>42578</v>
      </c>
      <c r="F237" s="188" t="s">
        <v>1351</v>
      </c>
      <c r="G237" s="833" t="s">
        <v>836</v>
      </c>
      <c r="H237" s="192" t="s">
        <v>837</v>
      </c>
      <c r="I237" s="253"/>
      <c r="J237" s="253"/>
      <c r="K237" s="584">
        <v>120000000</v>
      </c>
      <c r="L237" s="193" t="s">
        <v>47</v>
      </c>
      <c r="M237" s="193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826"/>
    </row>
    <row r="238" spans="1:27" ht="15.75" customHeight="1">
      <c r="A238" s="827" t="str">
        <f>IF(B238&lt;&gt;"",IF(AND(B238&gt;=_TM1,B238&lt;=_TM2,OR(TH!L238="1111",TH!M238="1111")),TH!D238,""),"")</f>
        <v/>
      </c>
      <c r="B238" s="36">
        <f t="shared" si="96"/>
        <v>7</v>
      </c>
      <c r="C238" s="190">
        <f t="shared" si="97"/>
        <v>42578</v>
      </c>
      <c r="D238" s="37" t="s">
        <v>842</v>
      </c>
      <c r="E238" s="785">
        <v>42578</v>
      </c>
      <c r="F238" s="188" t="s">
        <v>1351</v>
      </c>
      <c r="G238" s="833" t="s">
        <v>836</v>
      </c>
      <c r="H238" s="192" t="s">
        <v>837</v>
      </c>
      <c r="I238" s="253"/>
      <c r="J238" s="253"/>
      <c r="K238" s="584">
        <v>125190000</v>
      </c>
      <c r="L238" s="193" t="s">
        <v>47</v>
      </c>
      <c r="M238" s="193" t="s">
        <v>24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826"/>
    </row>
    <row r="239" spans="1:27" ht="15.75" customHeight="1">
      <c r="A239" s="827" t="str">
        <f>IF(B239&lt;&gt;"",IF(AND(B239&gt;=_TM1,B239&lt;=_TM2,OR(TH!L239="1111",TH!M239="1111")),TH!D239,""),"")</f>
        <v/>
      </c>
      <c r="B239" s="36">
        <f t="shared" si="96"/>
        <v>7</v>
      </c>
      <c r="C239" s="190">
        <f t="shared" si="97"/>
        <v>42579</v>
      </c>
      <c r="D239" s="37" t="s">
        <v>842</v>
      </c>
      <c r="E239" s="785">
        <v>42579</v>
      </c>
      <c r="F239" s="188" t="s">
        <v>1351</v>
      </c>
      <c r="G239" s="833" t="s">
        <v>836</v>
      </c>
      <c r="H239" s="192" t="s">
        <v>837</v>
      </c>
      <c r="I239" s="253"/>
      <c r="J239" s="253"/>
      <c r="K239" s="584">
        <v>11300000</v>
      </c>
      <c r="L239" s="193" t="s">
        <v>47</v>
      </c>
      <c r="M239" s="193" t="s">
        <v>24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826"/>
    </row>
    <row r="240" spans="1:27" ht="15.75" customHeight="1">
      <c r="A240" s="827" t="str">
        <f>IF(B240&lt;&gt;"",IF(AND(B240&gt;=_TM1,B240&lt;=_TM2,OR(TH!L240="1111",TH!M240="1111")),TH!D240,""),"")</f>
        <v/>
      </c>
      <c r="B240" s="36">
        <f t="shared" si="96"/>
        <v>7</v>
      </c>
      <c r="C240" s="190">
        <f t="shared" si="97"/>
        <v>42580</v>
      </c>
      <c r="D240" s="37" t="s">
        <v>842</v>
      </c>
      <c r="E240" s="785">
        <v>42580</v>
      </c>
      <c r="F240" s="188" t="s">
        <v>1351</v>
      </c>
      <c r="G240" s="833" t="s">
        <v>836</v>
      </c>
      <c r="H240" s="192" t="s">
        <v>837</v>
      </c>
      <c r="I240" s="253"/>
      <c r="J240" s="253"/>
      <c r="K240" s="584">
        <v>27500000</v>
      </c>
      <c r="L240" s="193" t="s">
        <v>47</v>
      </c>
      <c r="M240" s="193" t="s">
        <v>24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826"/>
    </row>
    <row r="241" spans="1:27" ht="15.75" customHeight="1">
      <c r="A241" s="827" t="str">
        <f>IF(B241&lt;&gt;"",IF(AND(B241&gt;=_TM1,B241&lt;=_TM2,OR(TH!L241="1111",TH!M241="1111")),TH!D241,""),"")</f>
        <v/>
      </c>
      <c r="B241" s="36">
        <f t="shared" si="96"/>
        <v>8</v>
      </c>
      <c r="C241" s="190">
        <f t="shared" si="97"/>
        <v>42585</v>
      </c>
      <c r="D241" s="37" t="s">
        <v>835</v>
      </c>
      <c r="E241" s="785">
        <v>42585</v>
      </c>
      <c r="F241" s="191" t="s">
        <v>838</v>
      </c>
      <c r="G241" s="833" t="s">
        <v>836</v>
      </c>
      <c r="H241" s="192" t="s">
        <v>837</v>
      </c>
      <c r="I241" s="253"/>
      <c r="J241" s="253"/>
      <c r="K241" s="584">
        <v>362650000</v>
      </c>
      <c r="L241" s="193" t="s">
        <v>24</v>
      </c>
      <c r="M241" s="193" t="s">
        <v>47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826"/>
    </row>
    <row r="242" spans="1:27" ht="15.75" customHeight="1">
      <c r="A242" s="827" t="str">
        <f>IF(B242&lt;&gt;"",IF(AND(B242&gt;=_TM1,B242&lt;=_TM2,OR(TH!L242="1111",TH!M242="1111")),TH!D242,""),"")</f>
        <v/>
      </c>
      <c r="B242" s="36">
        <f t="shared" si="96"/>
        <v>8</v>
      </c>
      <c r="C242" s="190">
        <f t="shared" si="97"/>
        <v>42585</v>
      </c>
      <c r="D242" s="37" t="s">
        <v>835</v>
      </c>
      <c r="E242" s="785">
        <v>42585</v>
      </c>
      <c r="F242" s="191" t="s">
        <v>838</v>
      </c>
      <c r="G242" s="833" t="s">
        <v>836</v>
      </c>
      <c r="H242" s="192" t="s">
        <v>837</v>
      </c>
      <c r="I242" s="253"/>
      <c r="J242" s="253"/>
      <c r="K242" s="584">
        <v>100000</v>
      </c>
      <c r="L242" s="193" t="s">
        <v>24</v>
      </c>
      <c r="M242" s="193" t="s">
        <v>47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826"/>
    </row>
    <row r="243" spans="1:27" ht="15.75" customHeight="1">
      <c r="A243" s="827" t="str">
        <f>IF(B243&lt;&gt;"",IF(AND(B243&gt;=_TM1,B243&lt;=_TM2,OR(TH!L243="1111",TH!M243="1111")),TH!D243,""),"")</f>
        <v/>
      </c>
      <c r="B243" s="36">
        <f t="shared" si="96"/>
        <v>8</v>
      </c>
      <c r="C243" s="190">
        <f t="shared" si="97"/>
        <v>42586</v>
      </c>
      <c r="D243" s="37" t="s">
        <v>835</v>
      </c>
      <c r="E243" s="785">
        <v>42586</v>
      </c>
      <c r="F243" s="191" t="s">
        <v>838</v>
      </c>
      <c r="G243" s="833" t="s">
        <v>836</v>
      </c>
      <c r="H243" s="192" t="s">
        <v>837</v>
      </c>
      <c r="I243" s="253"/>
      <c r="J243" s="253"/>
      <c r="K243" s="584">
        <v>7100000</v>
      </c>
      <c r="L243" s="193" t="s">
        <v>24</v>
      </c>
      <c r="M243" s="193" t="s">
        <v>47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826"/>
    </row>
    <row r="244" spans="1:27" ht="15.75" customHeight="1">
      <c r="A244" s="827" t="str">
        <f>IF(B244&lt;&gt;"",IF(AND(B244&gt;=_TM1,B244&lt;=_TM2,OR(TH!L244="1111",TH!M244="1111")),TH!D244,""),"")</f>
        <v/>
      </c>
      <c r="B244" s="36">
        <f t="shared" si="96"/>
        <v>8</v>
      </c>
      <c r="C244" s="190">
        <f t="shared" si="97"/>
        <v>42587</v>
      </c>
      <c r="D244" s="37" t="s">
        <v>835</v>
      </c>
      <c r="E244" s="785">
        <v>42587</v>
      </c>
      <c r="F244" s="191" t="s">
        <v>839</v>
      </c>
      <c r="G244" s="833" t="s">
        <v>836</v>
      </c>
      <c r="H244" s="192" t="s">
        <v>636</v>
      </c>
      <c r="I244" s="253"/>
      <c r="J244" s="253"/>
      <c r="K244" s="584">
        <v>3371500</v>
      </c>
      <c r="L244" s="193" t="s">
        <v>24</v>
      </c>
      <c r="M244" s="193" t="s">
        <v>251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826"/>
    </row>
    <row r="245" spans="1:27" ht="15.75" customHeight="1">
      <c r="A245" s="827" t="str">
        <f>IF(B245&lt;&gt;"",IF(AND(B245&gt;=_TM1,B245&lt;=_TM2,OR(TH!L245="1111",TH!M245="1111")),TH!D245,""),"")</f>
        <v/>
      </c>
      <c r="B245" s="36">
        <f t="shared" si="96"/>
        <v>8</v>
      </c>
      <c r="C245" s="190">
        <f t="shared" si="97"/>
        <v>42591</v>
      </c>
      <c r="D245" s="37" t="s">
        <v>835</v>
      </c>
      <c r="E245" s="785">
        <v>42591</v>
      </c>
      <c r="F245" s="191" t="s">
        <v>839</v>
      </c>
      <c r="G245" s="833" t="s">
        <v>836</v>
      </c>
      <c r="H245" s="7" t="s">
        <v>785</v>
      </c>
      <c r="I245" s="253"/>
      <c r="J245" s="253"/>
      <c r="K245" s="584">
        <v>49500000</v>
      </c>
      <c r="L245" s="193" t="s">
        <v>24</v>
      </c>
      <c r="M245" s="193" t="s">
        <v>251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826"/>
    </row>
    <row r="246" spans="1:27" ht="15.75" customHeight="1">
      <c r="A246" s="827" t="str">
        <f>IF(B246&lt;&gt;"",IF(AND(B246&gt;=_TM1,B246&lt;=_TM2,OR(TH!L246="1111",TH!M246="1111")),TH!D246,""),"")</f>
        <v/>
      </c>
      <c r="B246" s="36">
        <f t="shared" si="96"/>
        <v>8</v>
      </c>
      <c r="C246" s="190">
        <f t="shared" si="97"/>
        <v>42594</v>
      </c>
      <c r="D246" s="37" t="s">
        <v>835</v>
      </c>
      <c r="E246" s="785">
        <v>42594</v>
      </c>
      <c r="F246" s="191" t="s">
        <v>839</v>
      </c>
      <c r="G246" s="833" t="s">
        <v>836</v>
      </c>
      <c r="H246" s="192" t="s">
        <v>630</v>
      </c>
      <c r="I246" s="253"/>
      <c r="J246" s="253"/>
      <c r="K246" s="584">
        <v>17182000</v>
      </c>
      <c r="L246" s="193" t="s">
        <v>24</v>
      </c>
      <c r="M246" s="193" t="s">
        <v>251</v>
      </c>
      <c r="N246" s="52" t="str">
        <f>IF(AND('331-CT'!$E$7=TH!H246,OR(L246="331",M246="331")),"331",IF(AND(OR(L246="131",M246="131"),H246='131-CT'!$E$7),"131",""))</f>
        <v>131</v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826"/>
    </row>
    <row r="247" spans="1:27" ht="15.75" customHeight="1">
      <c r="A247" s="827" t="str">
        <f>IF(B247&lt;&gt;"",IF(AND(B247&gt;=_TM1,B247&lt;=_TM2,OR(TH!L247="1111",TH!M247="1111")),TH!D247,""),"")</f>
        <v/>
      </c>
      <c r="B247" s="36">
        <f t="shared" si="96"/>
        <v>8</v>
      </c>
      <c r="C247" s="190">
        <f t="shared" si="97"/>
        <v>42594</v>
      </c>
      <c r="D247" s="37" t="s">
        <v>835</v>
      </c>
      <c r="E247" s="785">
        <v>42594</v>
      </c>
      <c r="F247" s="191" t="s">
        <v>838</v>
      </c>
      <c r="G247" s="833" t="s">
        <v>836</v>
      </c>
      <c r="H247" s="192" t="s">
        <v>837</v>
      </c>
      <c r="I247" s="253"/>
      <c r="J247" s="253"/>
      <c r="K247" s="584">
        <v>5700000</v>
      </c>
      <c r="L247" s="193" t="s">
        <v>24</v>
      </c>
      <c r="M247" s="193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826"/>
    </row>
    <row r="248" spans="1:27" ht="15.75" customHeight="1">
      <c r="A248" s="827" t="str">
        <f>IF(B248&lt;&gt;"",IF(AND(B248&gt;=_TM1,B248&lt;=_TM2,OR(TH!L248="1111",TH!M248="1111")),TH!D248,""),"")</f>
        <v/>
      </c>
      <c r="B248" s="36">
        <f t="shared" si="96"/>
        <v>8</v>
      </c>
      <c r="C248" s="190">
        <f t="shared" si="97"/>
        <v>42597</v>
      </c>
      <c r="D248" s="37" t="s">
        <v>835</v>
      </c>
      <c r="E248" s="785">
        <v>42597</v>
      </c>
      <c r="F248" s="191" t="s">
        <v>839</v>
      </c>
      <c r="G248" s="833" t="s">
        <v>836</v>
      </c>
      <c r="H248" s="7" t="s">
        <v>727</v>
      </c>
      <c r="I248" s="253"/>
      <c r="J248" s="253"/>
      <c r="K248" s="584">
        <v>14803140</v>
      </c>
      <c r="L248" s="193" t="s">
        <v>24</v>
      </c>
      <c r="M248" s="193" t="s">
        <v>251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826"/>
    </row>
    <row r="249" spans="1:27" ht="15.75" customHeight="1">
      <c r="A249" s="827" t="str">
        <f>IF(B249&lt;&gt;"",IF(AND(B249&gt;=_TM1,B249&lt;=_TM2,OR(TH!L249="1111",TH!M249="1111")),TH!D249,""),"")</f>
        <v/>
      </c>
      <c r="B249" s="36">
        <f t="shared" si="96"/>
        <v>8</v>
      </c>
      <c r="C249" s="190">
        <f t="shared" si="97"/>
        <v>42585</v>
      </c>
      <c r="D249" s="37" t="s">
        <v>842</v>
      </c>
      <c r="E249" s="785">
        <v>42585</v>
      </c>
      <c r="F249" s="188" t="s">
        <v>844</v>
      </c>
      <c r="G249" s="833" t="s">
        <v>836</v>
      </c>
      <c r="H249" s="192" t="s">
        <v>445</v>
      </c>
      <c r="I249" s="253"/>
      <c r="J249" s="253"/>
      <c r="K249" s="584">
        <v>362633598</v>
      </c>
      <c r="L249" s="193" t="s">
        <v>8</v>
      </c>
      <c r="M249" s="193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826"/>
    </row>
    <row r="250" spans="1:27" ht="15.75" customHeight="1">
      <c r="A250" s="827" t="str">
        <f>IF(B250&lt;&gt;"",IF(AND(B250&gt;=_TM1,B250&lt;=_TM2,OR(TH!L250="1111",TH!M250="1111")),TH!D250,""),"")</f>
        <v/>
      </c>
      <c r="B250" s="36">
        <f t="shared" si="96"/>
        <v>8</v>
      </c>
      <c r="C250" s="190">
        <f t="shared" si="97"/>
        <v>42585</v>
      </c>
      <c r="D250" s="37" t="s">
        <v>842</v>
      </c>
      <c r="E250" s="785">
        <v>42585</v>
      </c>
      <c r="F250" s="188" t="s">
        <v>1347</v>
      </c>
      <c r="G250" s="833" t="s">
        <v>836</v>
      </c>
      <c r="H250" s="192"/>
      <c r="I250" s="253"/>
      <c r="J250" s="253"/>
      <c r="K250" s="584">
        <v>128805</v>
      </c>
      <c r="L250" s="193" t="s">
        <v>83</v>
      </c>
      <c r="M250" s="193" t="s">
        <v>24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>x</v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826"/>
    </row>
    <row r="251" spans="1:27" ht="15.75" customHeight="1">
      <c r="A251" s="827" t="str">
        <f>IF(B251&lt;&gt;"",IF(AND(B251&gt;=_TM1,B251&lt;=_TM2,OR(TH!L251="1111",TH!M251="1111")),TH!D251,""),"")</f>
        <v/>
      </c>
      <c r="B251" s="36">
        <f t="shared" ref="B251" si="98">IF(C251&lt;&gt;"",MONTH(C251),"")</f>
        <v>8</v>
      </c>
      <c r="C251" s="190">
        <f t="shared" ref="C251" si="99">E251</f>
        <v>42585</v>
      </c>
      <c r="D251" s="37" t="s">
        <v>842</v>
      </c>
      <c r="E251" s="785">
        <v>42585</v>
      </c>
      <c r="F251" s="188" t="s">
        <v>1348</v>
      </c>
      <c r="G251" s="833" t="s">
        <v>836</v>
      </c>
      <c r="H251" s="192"/>
      <c r="I251" s="253"/>
      <c r="J251" s="253"/>
      <c r="K251" s="584">
        <v>12881</v>
      </c>
      <c r="L251" s="193" t="s">
        <v>9</v>
      </c>
      <c r="M251" s="193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826">
        <v>3</v>
      </c>
    </row>
    <row r="252" spans="1:27" ht="15.75" customHeight="1">
      <c r="A252" s="827" t="str">
        <f>IF(B252&lt;&gt;"",IF(AND(B252&gt;=_TM1,B252&lt;=_TM2,OR(TH!L252="1111",TH!M252="1111")),TH!D252,""),"")</f>
        <v/>
      </c>
      <c r="B252" s="36">
        <f>IF(C252&lt;&gt;"",MONTH(C252),"")</f>
        <v>8</v>
      </c>
      <c r="C252" s="190">
        <f>E252</f>
        <v>42586</v>
      </c>
      <c r="D252" s="37" t="s">
        <v>842</v>
      </c>
      <c r="E252" s="785">
        <v>42586</v>
      </c>
      <c r="F252" s="188" t="s">
        <v>844</v>
      </c>
      <c r="G252" s="833" t="s">
        <v>836</v>
      </c>
      <c r="H252" s="192" t="s">
        <v>435</v>
      </c>
      <c r="I252" s="253"/>
      <c r="J252" s="253"/>
      <c r="K252" s="584">
        <v>7065267</v>
      </c>
      <c r="L252" s="193" t="s">
        <v>8</v>
      </c>
      <c r="M252" s="193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826"/>
    </row>
    <row r="253" spans="1:27" ht="15.75" customHeight="1">
      <c r="A253" s="827" t="str">
        <f>IF(B253&lt;&gt;"",IF(AND(B253&gt;=_TM1,B253&lt;=_TM2,OR(TH!L253="1111",TH!M253="1111")),TH!D253,""),"")</f>
        <v/>
      </c>
      <c r="B253" s="36">
        <f>IF(C253&lt;&gt;"",MONTH(C253),"")</f>
        <v>8</v>
      </c>
      <c r="C253" s="190">
        <f>E253</f>
        <v>42587</v>
      </c>
      <c r="D253" s="37" t="s">
        <v>842</v>
      </c>
      <c r="E253" s="785">
        <v>42587</v>
      </c>
      <c r="F253" s="188" t="s">
        <v>1351</v>
      </c>
      <c r="G253" s="833" t="s">
        <v>836</v>
      </c>
      <c r="H253" s="192" t="s">
        <v>837</v>
      </c>
      <c r="I253" s="253"/>
      <c r="J253" s="253"/>
      <c r="K253" s="584">
        <v>3350000</v>
      </c>
      <c r="L253" s="193" t="s">
        <v>47</v>
      </c>
      <c r="M253" s="193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826"/>
    </row>
    <row r="254" spans="1:27" ht="15.75" customHeight="1">
      <c r="A254" s="827" t="str">
        <f>IF(B254&lt;&gt;"",IF(AND(B254&gt;=_TM1,B254&lt;=_TM2,OR(TH!L254="1111",TH!M254="1111")),TH!D254,""),"")</f>
        <v/>
      </c>
      <c r="B254" s="36">
        <f>IF(C254&lt;&gt;"",MONTH(C254),"")</f>
        <v>8</v>
      </c>
      <c r="C254" s="190">
        <f>E254</f>
        <v>42591</v>
      </c>
      <c r="D254" s="37" t="s">
        <v>842</v>
      </c>
      <c r="E254" s="785">
        <v>42591</v>
      </c>
      <c r="F254" s="188" t="s">
        <v>1351</v>
      </c>
      <c r="G254" s="833" t="s">
        <v>836</v>
      </c>
      <c r="H254" s="192" t="s">
        <v>837</v>
      </c>
      <c r="I254" s="253"/>
      <c r="J254" s="253"/>
      <c r="K254" s="584">
        <v>49500000</v>
      </c>
      <c r="L254" s="193" t="s">
        <v>47</v>
      </c>
      <c r="M254" s="193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826"/>
    </row>
    <row r="255" spans="1:27" ht="15.75" customHeight="1">
      <c r="A255" s="827" t="str">
        <f>IF(B255&lt;&gt;"",IF(AND(B255&gt;=_TM1,B255&lt;=_TM2,OR(TH!L255="1111",TH!M255="1111")),TH!D255,""),"")</f>
        <v/>
      </c>
      <c r="B255" s="36">
        <f>IF(C255&lt;&gt;"",MONTH(C255),"")</f>
        <v>8</v>
      </c>
      <c r="C255" s="190">
        <f>E255</f>
        <v>42594</v>
      </c>
      <c r="D255" s="37" t="s">
        <v>842</v>
      </c>
      <c r="E255" s="785">
        <v>42594</v>
      </c>
      <c r="F255" s="188" t="s">
        <v>844</v>
      </c>
      <c r="G255" s="833" t="s">
        <v>836</v>
      </c>
      <c r="H255" s="192" t="s">
        <v>435</v>
      </c>
      <c r="I255" s="253"/>
      <c r="J255" s="253"/>
      <c r="K255" s="584">
        <v>5652937</v>
      </c>
      <c r="L255" s="193" t="s">
        <v>8</v>
      </c>
      <c r="M255" s="193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826"/>
    </row>
    <row r="256" spans="1:27" ht="15.75" customHeight="1">
      <c r="A256" s="827" t="str">
        <f>IF(B256&lt;&gt;"",IF(AND(B256&gt;=_TM1,B256&lt;=_TM2,OR(TH!L256="1111",TH!M256="1111")),TH!D256,""),"")</f>
        <v/>
      </c>
      <c r="B256" s="36">
        <f>IF(C256&lt;&gt;"",MONTH(C256),"")</f>
        <v>8</v>
      </c>
      <c r="C256" s="190">
        <f>E256</f>
        <v>42594</v>
      </c>
      <c r="D256" s="37" t="s">
        <v>842</v>
      </c>
      <c r="E256" s="785">
        <v>42594</v>
      </c>
      <c r="F256" s="188" t="s">
        <v>1347</v>
      </c>
      <c r="G256" s="833" t="s">
        <v>836</v>
      </c>
      <c r="H256" s="7"/>
      <c r="I256" s="253"/>
      <c r="J256" s="253"/>
      <c r="K256" s="584">
        <v>20000</v>
      </c>
      <c r="L256" s="39" t="s">
        <v>83</v>
      </c>
      <c r="M256" s="193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826"/>
    </row>
    <row r="257" spans="1:27" ht="15.75" customHeight="1">
      <c r="A257" s="827" t="str">
        <f>IF(B257&lt;&gt;"",IF(AND(B257&gt;=_TM1,B257&lt;=_TM2,OR(TH!L257="1111",TH!M257="1111")),TH!D257,""),"")</f>
        <v/>
      </c>
      <c r="B257" s="36">
        <f t="shared" ref="B257" si="100">IF(C257&lt;&gt;"",MONTH(C257),"")</f>
        <v>8</v>
      </c>
      <c r="C257" s="190">
        <f t="shared" ref="C257" si="101">E257</f>
        <v>42594</v>
      </c>
      <c r="D257" s="37" t="s">
        <v>842</v>
      </c>
      <c r="E257" s="785">
        <v>42594</v>
      </c>
      <c r="F257" s="188" t="s">
        <v>1348</v>
      </c>
      <c r="G257" s="833" t="s">
        <v>836</v>
      </c>
      <c r="H257" s="7"/>
      <c r="I257" s="253"/>
      <c r="J257" s="253"/>
      <c r="K257" s="584">
        <v>2000</v>
      </c>
      <c r="L257" s="193" t="s">
        <v>9</v>
      </c>
      <c r="M257" s="193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826">
        <v>3</v>
      </c>
    </row>
    <row r="258" spans="1:27" ht="15.75" customHeight="1">
      <c r="A258" s="827" t="str">
        <f>IF(B258&lt;&gt;"",IF(AND(B258&gt;=_TM1,B258&lt;=_TM2,OR(TH!L258="1111",TH!M258="1111")),TH!D258,""),"")</f>
        <v/>
      </c>
      <c r="B258" s="36">
        <f>IF(C258&lt;&gt;"",MONTH(C258),"")</f>
        <v>8</v>
      </c>
      <c r="C258" s="190">
        <f>E258</f>
        <v>42596</v>
      </c>
      <c r="D258" s="37" t="s">
        <v>842</v>
      </c>
      <c r="E258" s="785">
        <v>42596</v>
      </c>
      <c r="F258" s="191" t="s">
        <v>1353</v>
      </c>
      <c r="G258" s="833" t="s">
        <v>836</v>
      </c>
      <c r="H258" s="192"/>
      <c r="I258" s="253"/>
      <c r="J258" s="253"/>
      <c r="K258" s="584">
        <v>50000</v>
      </c>
      <c r="L258" s="193" t="s">
        <v>83</v>
      </c>
      <c r="M258" s="193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>x</v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826"/>
    </row>
    <row r="259" spans="1:27" ht="15.75" customHeight="1">
      <c r="A259" s="827" t="str">
        <f>IF(B259&lt;&gt;"",IF(AND(B259&gt;=_TM1,B259&lt;=_TM2,OR(TH!L259="1111",TH!M259="1111")),TH!D259,""),"")</f>
        <v/>
      </c>
      <c r="B259" s="36">
        <f t="shared" ref="B259" si="102">IF(C259&lt;&gt;"",MONTH(C259),"")</f>
        <v>8</v>
      </c>
      <c r="C259" s="190">
        <f t="shared" ref="C259" si="103">E259</f>
        <v>42596</v>
      </c>
      <c r="D259" s="37" t="s">
        <v>842</v>
      </c>
      <c r="E259" s="785">
        <v>42596</v>
      </c>
      <c r="F259" s="191" t="s">
        <v>1354</v>
      </c>
      <c r="G259" s="833" t="s">
        <v>836</v>
      </c>
      <c r="H259" s="192"/>
      <c r="I259" s="253"/>
      <c r="J259" s="253"/>
      <c r="K259" s="584">
        <v>5000</v>
      </c>
      <c r="L259" s="193" t="s">
        <v>9</v>
      </c>
      <c r="M259" s="193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826">
        <v>3</v>
      </c>
    </row>
    <row r="260" spans="1:27" ht="15.75" customHeight="1">
      <c r="A260" s="827" t="str">
        <f>IF(B260&lt;&gt;"",IF(AND(B260&gt;=_TM1,B260&lt;=_TM2,OR(TH!L260="1111",TH!M260="1111")),TH!D260,""),"")</f>
        <v/>
      </c>
      <c r="B260" s="36">
        <f>IF(C260&lt;&gt;"",MONTH(C260),"")</f>
        <v>8</v>
      </c>
      <c r="C260" s="190">
        <f>E260</f>
        <v>42597</v>
      </c>
      <c r="D260" s="37" t="s">
        <v>842</v>
      </c>
      <c r="E260" s="785">
        <v>42597</v>
      </c>
      <c r="F260" s="188" t="s">
        <v>1351</v>
      </c>
      <c r="G260" s="833" t="s">
        <v>836</v>
      </c>
      <c r="H260" s="192" t="s">
        <v>837</v>
      </c>
      <c r="I260" s="253"/>
      <c r="J260" s="253"/>
      <c r="K260" s="584">
        <v>13000000</v>
      </c>
      <c r="L260" s="193" t="s">
        <v>47</v>
      </c>
      <c r="M260" s="193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826"/>
    </row>
    <row r="261" spans="1:27" ht="15.75" customHeight="1">
      <c r="A261" s="827" t="str">
        <f>IF(B261&lt;&gt;"",IF(AND(B261&gt;=_TM1,B261&lt;=_TM2,OR(TH!L261="1111",TH!M261="1111")),TH!D261,""),"")</f>
        <v/>
      </c>
      <c r="B261" s="36">
        <f>IF(C261&lt;&gt;"",MONTH(C261),"")</f>
        <v>8</v>
      </c>
      <c r="C261" s="190">
        <f>E261</f>
        <v>42597</v>
      </c>
      <c r="D261" s="37" t="s">
        <v>842</v>
      </c>
      <c r="E261" s="785">
        <v>42597</v>
      </c>
      <c r="F261" s="188" t="s">
        <v>844</v>
      </c>
      <c r="G261" s="833" t="s">
        <v>836</v>
      </c>
      <c r="H261" s="192" t="s">
        <v>435</v>
      </c>
      <c r="I261" s="253"/>
      <c r="J261" s="253"/>
      <c r="K261" s="584">
        <v>4022579</v>
      </c>
      <c r="L261" s="193" t="s">
        <v>8</v>
      </c>
      <c r="M261" s="193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826"/>
    </row>
    <row r="262" spans="1:27" ht="15.75" customHeight="1">
      <c r="A262" s="827" t="str">
        <f>IF(B262&lt;&gt;"",IF(AND(B262&gt;=_TM1,B262&lt;=_TM2,OR(TH!L262="1111",TH!M262="1111")),TH!D262,""),"")</f>
        <v/>
      </c>
      <c r="B262" s="36">
        <f>IF(C262&lt;&gt;"",MONTH(C262),"")</f>
        <v>8</v>
      </c>
      <c r="C262" s="190">
        <f>E262</f>
        <v>42597</v>
      </c>
      <c r="D262" s="37" t="s">
        <v>842</v>
      </c>
      <c r="E262" s="785">
        <v>42597</v>
      </c>
      <c r="F262" s="191" t="s">
        <v>1355</v>
      </c>
      <c r="G262" s="833" t="s">
        <v>836</v>
      </c>
      <c r="H262" s="192"/>
      <c r="I262" s="253"/>
      <c r="J262" s="253"/>
      <c r="K262" s="584">
        <v>20000</v>
      </c>
      <c r="L262" s="193" t="s">
        <v>83</v>
      </c>
      <c r="M262" s="193" t="s">
        <v>24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>x</v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826"/>
    </row>
    <row r="263" spans="1:27" ht="15.75" customHeight="1">
      <c r="A263" s="827" t="str">
        <f>IF(B263&lt;&gt;"",IF(AND(B263&gt;=_TM1,B263&lt;=_TM2,OR(TH!L263="1111",TH!M263="1111")),TH!D263,""),"")</f>
        <v/>
      </c>
      <c r="B263" s="36">
        <f t="shared" ref="B263" si="104">IF(C263&lt;&gt;"",MONTH(C263),"")</f>
        <v>8</v>
      </c>
      <c r="C263" s="190">
        <f t="shared" ref="C263" si="105">E263</f>
        <v>42597</v>
      </c>
      <c r="D263" s="37" t="s">
        <v>842</v>
      </c>
      <c r="E263" s="785">
        <v>42597</v>
      </c>
      <c r="F263" s="191" t="s">
        <v>1356</v>
      </c>
      <c r="G263" s="833" t="s">
        <v>836</v>
      </c>
      <c r="H263" s="192"/>
      <c r="I263" s="253"/>
      <c r="J263" s="253"/>
      <c r="K263" s="584">
        <v>2000</v>
      </c>
      <c r="L263" s="193" t="s">
        <v>9</v>
      </c>
      <c r="M263" s="193" t="s">
        <v>24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826">
        <v>3</v>
      </c>
    </row>
    <row r="264" spans="1:27" ht="15.75" customHeight="1">
      <c r="A264" s="827" t="str">
        <f>IF(B264&lt;&gt;"",IF(AND(B264&gt;=_TM1,B264&lt;=_TM2,OR(TH!L264="1111",TH!M264="1111")),TH!D264,""),"")</f>
        <v/>
      </c>
      <c r="B264" s="36">
        <f t="shared" ref="B264:B273" si="106">IF(C264&lt;&gt;"",MONTH(C264),"")</f>
        <v>8</v>
      </c>
      <c r="C264" s="190">
        <f t="shared" ref="C264:C273" si="107">E264</f>
        <v>42597</v>
      </c>
      <c r="D264" s="37" t="s">
        <v>842</v>
      </c>
      <c r="E264" s="785">
        <v>42597</v>
      </c>
      <c r="F264" s="188" t="s">
        <v>1351</v>
      </c>
      <c r="G264" s="833" t="s">
        <v>836</v>
      </c>
      <c r="H264" s="192" t="s">
        <v>837</v>
      </c>
      <c r="I264" s="253"/>
      <c r="J264" s="253"/>
      <c r="K264" s="584">
        <v>14900000</v>
      </c>
      <c r="L264" s="193" t="s">
        <v>47</v>
      </c>
      <c r="M264" s="193" t="s">
        <v>24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826"/>
    </row>
    <row r="265" spans="1:27" ht="15.75" customHeight="1">
      <c r="A265" s="827" t="str">
        <f>IF(B265&lt;&gt;"",IF(AND(B265&gt;=_TM1,B265&lt;=_TM2,OR(TH!L265="1111",TH!M265="1111")),TH!D265,""),"")</f>
        <v/>
      </c>
      <c r="B265" s="36">
        <f t="shared" si="106"/>
        <v>8</v>
      </c>
      <c r="C265" s="190">
        <f t="shared" si="107"/>
        <v>42605</v>
      </c>
      <c r="D265" s="190" t="s">
        <v>835</v>
      </c>
      <c r="E265" s="785">
        <v>42605</v>
      </c>
      <c r="F265" s="191" t="s">
        <v>839</v>
      </c>
      <c r="G265" s="833" t="s">
        <v>836</v>
      </c>
      <c r="H265" s="192" t="s">
        <v>678</v>
      </c>
      <c r="I265" s="253"/>
      <c r="J265" s="253"/>
      <c r="K265" s="584">
        <v>143581660</v>
      </c>
      <c r="L265" s="193" t="s">
        <v>24</v>
      </c>
      <c r="M265" s="193" t="s">
        <v>251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826"/>
    </row>
    <row r="266" spans="1:27" ht="15.75" customHeight="1">
      <c r="A266" s="827" t="str">
        <f>IF(B266&lt;&gt;"",IF(AND(B266&gt;=_TM1,B266&lt;=_TM2,OR(TH!L266="1111",TH!M266="1111")),TH!D266,""),"")</f>
        <v/>
      </c>
      <c r="B266" s="36">
        <f t="shared" si="106"/>
        <v>8</v>
      </c>
      <c r="C266" s="190">
        <f t="shared" si="107"/>
        <v>42606</v>
      </c>
      <c r="D266" s="190" t="s">
        <v>835</v>
      </c>
      <c r="E266" s="785">
        <v>42606</v>
      </c>
      <c r="F266" s="191" t="s">
        <v>839</v>
      </c>
      <c r="G266" s="833" t="s">
        <v>836</v>
      </c>
      <c r="H266" s="192" t="s">
        <v>662</v>
      </c>
      <c r="I266" s="253"/>
      <c r="J266" s="253"/>
      <c r="K266" s="584">
        <v>150000000</v>
      </c>
      <c r="L266" s="193" t="s">
        <v>24</v>
      </c>
      <c r="M266" s="193" t="s">
        <v>251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826"/>
    </row>
    <row r="267" spans="1:27" ht="15.75" customHeight="1">
      <c r="A267" s="827" t="str">
        <f>IF(B267&lt;&gt;"",IF(AND(B267&gt;=_TM1,B267&lt;=_TM2,OR(TH!L267="1111",TH!M267="1111")),TH!D267,""),"")</f>
        <v/>
      </c>
      <c r="B267" s="36">
        <f t="shared" si="106"/>
        <v>8</v>
      </c>
      <c r="C267" s="190">
        <f t="shared" si="107"/>
        <v>42606</v>
      </c>
      <c r="D267" s="190" t="s">
        <v>835</v>
      </c>
      <c r="E267" s="785">
        <v>42606</v>
      </c>
      <c r="F267" s="191" t="s">
        <v>839</v>
      </c>
      <c r="G267" s="833" t="s">
        <v>836</v>
      </c>
      <c r="H267" s="7" t="s">
        <v>785</v>
      </c>
      <c r="I267" s="253"/>
      <c r="J267" s="253"/>
      <c r="K267" s="584">
        <v>49500000</v>
      </c>
      <c r="L267" s="193" t="s">
        <v>24</v>
      </c>
      <c r="M267" s="193" t="s">
        <v>251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826"/>
    </row>
    <row r="268" spans="1:27" ht="15.75" customHeight="1">
      <c r="A268" s="827" t="str">
        <f>IF(B268&lt;&gt;"",IF(AND(B268&gt;=_TM1,B268&lt;=_TM2,OR(TH!L268="1111",TH!M268="1111")),TH!D268,""),"")</f>
        <v/>
      </c>
      <c r="B268" s="36">
        <f t="shared" si="106"/>
        <v>8</v>
      </c>
      <c r="C268" s="190">
        <f t="shared" si="107"/>
        <v>42606</v>
      </c>
      <c r="D268" s="190" t="s">
        <v>835</v>
      </c>
      <c r="E268" s="785">
        <v>42606</v>
      </c>
      <c r="F268" s="191" t="s">
        <v>839</v>
      </c>
      <c r="G268" s="833" t="s">
        <v>836</v>
      </c>
      <c r="H268" s="192" t="s">
        <v>1523</v>
      </c>
      <c r="I268" s="253"/>
      <c r="J268" s="253"/>
      <c r="K268" s="584">
        <v>27225000</v>
      </c>
      <c r="L268" s="193" t="s">
        <v>24</v>
      </c>
      <c r="M268" s="193" t="s">
        <v>251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826"/>
    </row>
    <row r="269" spans="1:27" ht="15.75" customHeight="1">
      <c r="A269" s="827" t="str">
        <f>IF(B269&lt;&gt;"",IF(AND(B269&gt;=_TM1,B269&lt;=_TM2,OR(TH!L269="1111",TH!M269="1111")),TH!D269,""),"")</f>
        <v/>
      </c>
      <c r="B269" s="36">
        <f t="shared" si="106"/>
        <v>8</v>
      </c>
      <c r="C269" s="190">
        <f t="shared" si="107"/>
        <v>42607</v>
      </c>
      <c r="D269" s="190" t="s">
        <v>835</v>
      </c>
      <c r="E269" s="740">
        <v>42607</v>
      </c>
      <c r="F269" s="40" t="s">
        <v>840</v>
      </c>
      <c r="G269" s="833" t="s">
        <v>836</v>
      </c>
      <c r="H269" s="7"/>
      <c r="I269" s="253"/>
      <c r="J269" s="253"/>
      <c r="K269" s="584">
        <v>3188</v>
      </c>
      <c r="L269" s="193" t="s">
        <v>24</v>
      </c>
      <c r="M269" s="39" t="s">
        <v>40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826"/>
    </row>
    <row r="270" spans="1:27" ht="15.75" customHeight="1">
      <c r="A270" s="827" t="str">
        <f>IF(B270&lt;&gt;"",IF(AND(B270&gt;=_TM1,B270&lt;=_TM2,OR(TH!L270="1111",TH!M270="1111")),TH!D270,""),"")</f>
        <v/>
      </c>
      <c r="B270" s="36">
        <f t="shared" si="106"/>
        <v>8</v>
      </c>
      <c r="C270" s="190">
        <f t="shared" si="107"/>
        <v>42607</v>
      </c>
      <c r="D270" s="190" t="s">
        <v>835</v>
      </c>
      <c r="E270" s="740">
        <v>42607</v>
      </c>
      <c r="F270" s="191" t="s">
        <v>839</v>
      </c>
      <c r="G270" s="833" t="s">
        <v>836</v>
      </c>
      <c r="H270" s="192" t="s">
        <v>662</v>
      </c>
      <c r="I270" s="253"/>
      <c r="J270" s="253"/>
      <c r="K270" s="584">
        <v>128355000</v>
      </c>
      <c r="L270" s="193" t="s">
        <v>24</v>
      </c>
      <c r="M270" s="39" t="s">
        <v>251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826"/>
    </row>
    <row r="271" spans="1:27" ht="15.75" customHeight="1">
      <c r="A271" s="827" t="str">
        <f>IF(B271&lt;&gt;"",IF(AND(B271&gt;=_TM1,B271&lt;=_TM2,OR(TH!L271="1111",TH!M271="1111")),TH!D271,""),"")</f>
        <v/>
      </c>
      <c r="B271" s="36">
        <f t="shared" si="106"/>
        <v>8</v>
      </c>
      <c r="C271" s="190">
        <f t="shared" si="107"/>
        <v>42611</v>
      </c>
      <c r="D271" s="190" t="s">
        <v>835</v>
      </c>
      <c r="E271" s="740">
        <v>42611</v>
      </c>
      <c r="F271" s="191" t="s">
        <v>838</v>
      </c>
      <c r="G271" s="833" t="s">
        <v>836</v>
      </c>
      <c r="H271" s="192" t="s">
        <v>837</v>
      </c>
      <c r="I271" s="253"/>
      <c r="J271" s="253"/>
      <c r="K271" s="584">
        <v>5150000</v>
      </c>
      <c r="L271" s="193" t="s">
        <v>24</v>
      </c>
      <c r="M271" s="39" t="s">
        <v>47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826"/>
    </row>
    <row r="272" spans="1:27" ht="15.75" customHeight="1">
      <c r="A272" s="827" t="str">
        <f>IF(B272&lt;&gt;"",IF(AND(B272&gt;=_TM1,B272&lt;=_TM2,OR(TH!L272="1111",TH!M272="1111")),TH!D272,""),"")</f>
        <v/>
      </c>
      <c r="B272" s="36">
        <f t="shared" si="106"/>
        <v>8</v>
      </c>
      <c r="C272" s="190">
        <f t="shared" si="107"/>
        <v>42605</v>
      </c>
      <c r="D272" s="190" t="s">
        <v>842</v>
      </c>
      <c r="E272" s="740">
        <v>42605</v>
      </c>
      <c r="F272" s="188" t="s">
        <v>1351</v>
      </c>
      <c r="G272" s="833" t="s">
        <v>836</v>
      </c>
      <c r="H272" s="192" t="s">
        <v>837</v>
      </c>
      <c r="I272" s="253"/>
      <c r="J272" s="253"/>
      <c r="K272" s="584">
        <v>115900000</v>
      </c>
      <c r="L272" s="193" t="s">
        <v>47</v>
      </c>
      <c r="M272" s="39" t="s">
        <v>24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826"/>
    </row>
    <row r="273" spans="1:30" ht="15.75" customHeight="1">
      <c r="A273" s="827" t="str">
        <f>IF(B273&lt;&gt;"",IF(AND(B273&gt;=_TM1,B273&lt;=_TM2,OR(TH!L273="1111",TH!M273="1111")),TH!D273,""),"")</f>
        <v/>
      </c>
      <c r="B273" s="36">
        <f t="shared" si="106"/>
        <v>8</v>
      </c>
      <c r="C273" s="190">
        <f t="shared" si="107"/>
        <v>42605</v>
      </c>
      <c r="D273" s="190" t="s">
        <v>842</v>
      </c>
      <c r="E273" s="740">
        <v>42605</v>
      </c>
      <c r="F273" s="188" t="s">
        <v>844</v>
      </c>
      <c r="G273" s="833" t="s">
        <v>836</v>
      </c>
      <c r="H273" s="192" t="s">
        <v>428</v>
      </c>
      <c r="I273" s="253"/>
      <c r="J273" s="253"/>
      <c r="K273" s="584">
        <v>25000000</v>
      </c>
      <c r="L273" s="193" t="s">
        <v>8</v>
      </c>
      <c r="M273" s="39" t="s">
        <v>24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826"/>
    </row>
    <row r="274" spans="1:30" ht="15.75" customHeight="1">
      <c r="A274" s="827" t="str">
        <f>IF(B274&lt;&gt;"",IF(AND(B274&gt;=_TM1,B274&lt;=_TM2,OR(TH!L274="1111",TH!M274="1111")),TH!D274,""),"")</f>
        <v/>
      </c>
      <c r="B274" s="36">
        <f t="shared" ref="B274" si="108">IF(C274&lt;&gt;"",MONTH(C274),"")</f>
        <v>8</v>
      </c>
      <c r="C274" s="190">
        <f t="shared" ref="C274" si="109">E274</f>
        <v>42605</v>
      </c>
      <c r="D274" s="190" t="s">
        <v>842</v>
      </c>
      <c r="E274" s="740">
        <v>42605</v>
      </c>
      <c r="F274" s="188" t="s">
        <v>1347</v>
      </c>
      <c r="G274" s="833" t="s">
        <v>836</v>
      </c>
      <c r="H274" s="7"/>
      <c r="I274" s="253"/>
      <c r="J274" s="253"/>
      <c r="K274" s="584">
        <v>20000</v>
      </c>
      <c r="L274" s="39" t="s">
        <v>83</v>
      </c>
      <c r="M274" s="193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>x</v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826"/>
    </row>
    <row r="275" spans="1:30" ht="15.75" customHeight="1">
      <c r="A275" s="827" t="str">
        <f>IF(B275&lt;&gt;"",IF(AND(B275&gt;=_TM1,B275&lt;=_TM2,OR(TH!L275="1111",TH!M275="1111")),TH!D275,""),"")</f>
        <v/>
      </c>
      <c r="B275" s="36">
        <f t="shared" ref="B275" si="110">IF(C275&lt;&gt;"",MONTH(C275),"")</f>
        <v>8</v>
      </c>
      <c r="C275" s="190">
        <f t="shared" ref="C275" si="111">E275</f>
        <v>42605</v>
      </c>
      <c r="D275" s="190" t="s">
        <v>842</v>
      </c>
      <c r="E275" s="740">
        <v>42605</v>
      </c>
      <c r="F275" s="188" t="s">
        <v>1348</v>
      </c>
      <c r="G275" s="833" t="s">
        <v>836</v>
      </c>
      <c r="H275" s="7"/>
      <c r="I275" s="253"/>
      <c r="J275" s="253"/>
      <c r="K275" s="584">
        <v>2000</v>
      </c>
      <c r="L275" s="193" t="s">
        <v>9</v>
      </c>
      <c r="M275" s="193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826">
        <v>3</v>
      </c>
    </row>
    <row r="276" spans="1:30" ht="15.75" customHeight="1">
      <c r="A276" s="827" t="str">
        <f>IF(B276&lt;&gt;"",IF(AND(B276&gt;=_TM1,B276&lt;=_TM2,OR(TH!L276="1111",TH!M276="1111")),TH!D276,""),"")</f>
        <v/>
      </c>
      <c r="B276" s="36">
        <f>IF(C276&lt;&gt;"",MONTH(C276),"")</f>
        <v>8</v>
      </c>
      <c r="C276" s="190">
        <f>E276</f>
        <v>42605</v>
      </c>
      <c r="D276" s="190" t="s">
        <v>842</v>
      </c>
      <c r="E276" s="740">
        <v>42605</v>
      </c>
      <c r="F276" s="188" t="s">
        <v>844</v>
      </c>
      <c r="G276" s="833" t="s">
        <v>836</v>
      </c>
      <c r="H276" s="192" t="s">
        <v>435</v>
      </c>
      <c r="I276" s="253"/>
      <c r="J276" s="253"/>
      <c r="K276" s="584">
        <v>2489664</v>
      </c>
      <c r="L276" s="193" t="s">
        <v>8</v>
      </c>
      <c r="M276" s="39" t="s">
        <v>24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826"/>
    </row>
    <row r="277" spans="1:30" ht="15.75" customHeight="1">
      <c r="A277" s="827" t="str">
        <f>IF(B277&lt;&gt;"",IF(AND(B277&gt;=_TM1,B277&lt;=_TM2,OR(TH!L277="1111",TH!M277="1111")),TH!D277,""),"")</f>
        <v/>
      </c>
      <c r="B277" s="36">
        <f>IF(C277&lt;&gt;"",MONTH(C277),"")</f>
        <v>8</v>
      </c>
      <c r="C277" s="190">
        <f>E277</f>
        <v>42606</v>
      </c>
      <c r="D277" s="190" t="s">
        <v>842</v>
      </c>
      <c r="E277" s="740">
        <v>42606</v>
      </c>
      <c r="F277" s="188" t="s">
        <v>1351</v>
      </c>
      <c r="G277" s="833" t="s">
        <v>836</v>
      </c>
      <c r="H277" s="192" t="s">
        <v>837</v>
      </c>
      <c r="I277" s="253"/>
      <c r="J277" s="253"/>
      <c r="K277" s="584">
        <v>49500000</v>
      </c>
      <c r="L277" s="193" t="s">
        <v>47</v>
      </c>
      <c r="M277" s="39" t="s">
        <v>24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826"/>
    </row>
    <row r="278" spans="1:30" ht="15.75" customHeight="1">
      <c r="A278" s="827" t="str">
        <f>IF(B278&lt;&gt;"",IF(AND(B278&gt;=_TM1,B278&lt;=_TM2,OR(TH!L278="1111",TH!M278="1111")),TH!D278,""),"")</f>
        <v/>
      </c>
      <c r="B278" s="36">
        <f>IF(C278&lt;&gt;"",MONTH(C278),"")</f>
        <v>8</v>
      </c>
      <c r="C278" s="190">
        <f>E278</f>
        <v>42607</v>
      </c>
      <c r="D278" s="190" t="s">
        <v>842</v>
      </c>
      <c r="E278" s="740">
        <v>42607</v>
      </c>
      <c r="F278" s="191" t="s">
        <v>847</v>
      </c>
      <c r="G278" s="833" t="s">
        <v>836</v>
      </c>
      <c r="H278" s="192"/>
      <c r="I278" s="253"/>
      <c r="J278" s="253"/>
      <c r="K278" s="584">
        <v>10000</v>
      </c>
      <c r="L278" s="193" t="s">
        <v>83</v>
      </c>
      <c r="M278" s="193" t="s">
        <v>24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>x</v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826"/>
    </row>
    <row r="279" spans="1:30" ht="15.75" customHeight="1">
      <c r="A279" s="827" t="str">
        <f>IF(B279&lt;&gt;"",IF(AND(B279&gt;=_TM1,B279&lt;=_TM2,OR(TH!L279="1111",TH!M279="1111")),TH!D279,""),"")</f>
        <v/>
      </c>
      <c r="B279" s="36">
        <f t="shared" ref="B279" si="112">IF(C279&lt;&gt;"",MONTH(C279),"")</f>
        <v>8</v>
      </c>
      <c r="C279" s="190">
        <f t="shared" ref="C279" si="113">E279</f>
        <v>42607</v>
      </c>
      <c r="D279" s="190" t="s">
        <v>842</v>
      </c>
      <c r="E279" s="740">
        <v>42607</v>
      </c>
      <c r="F279" s="191" t="s">
        <v>848</v>
      </c>
      <c r="G279" s="833" t="s">
        <v>836</v>
      </c>
      <c r="H279" s="192"/>
      <c r="I279" s="253"/>
      <c r="J279" s="253"/>
      <c r="K279" s="584">
        <v>1000</v>
      </c>
      <c r="L279" s="193" t="s">
        <v>9</v>
      </c>
      <c r="M279" s="193" t="s">
        <v>24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826">
        <v>3</v>
      </c>
    </row>
    <row r="280" spans="1:30" ht="15.75" customHeight="1">
      <c r="A280" s="827" t="str">
        <f>IF(B280&lt;&gt;"",IF(AND(B280&gt;=_TM1,B280&lt;=_TM2,OR(TH!L280="1111",TH!M280="1111")),TH!D280,""),"")</f>
        <v/>
      </c>
      <c r="B280" s="36">
        <f>IF(C280&lt;&gt;"",MONTH(C280),"")</f>
        <v>8</v>
      </c>
      <c r="C280" s="190">
        <f>E280</f>
        <v>42607</v>
      </c>
      <c r="D280" s="190" t="s">
        <v>842</v>
      </c>
      <c r="E280" s="740">
        <v>42607</v>
      </c>
      <c r="F280" s="188" t="s">
        <v>1351</v>
      </c>
      <c r="G280" s="833" t="s">
        <v>836</v>
      </c>
      <c r="H280" s="192" t="s">
        <v>837</v>
      </c>
      <c r="I280" s="253"/>
      <c r="J280" s="253"/>
      <c r="K280" s="584">
        <v>177200000</v>
      </c>
      <c r="L280" s="193" t="s">
        <v>47</v>
      </c>
      <c r="M280" s="39" t="s">
        <v>24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826"/>
    </row>
    <row r="281" spans="1:30" ht="15.75" customHeight="1">
      <c r="A281" s="827" t="str">
        <f>IF(B281&lt;&gt;"",IF(AND(B281&gt;=_TM1,B281&lt;=_TM2,OR(TH!L281="1111",TH!M281="1111")),TH!D281,""),"")</f>
        <v/>
      </c>
      <c r="B281" s="36">
        <f>IF(C281&lt;&gt;"",MONTH(C281),"")</f>
        <v>8</v>
      </c>
      <c r="C281" s="190">
        <f>E281</f>
        <v>42607</v>
      </c>
      <c r="D281" s="190" t="s">
        <v>842</v>
      </c>
      <c r="E281" s="740">
        <v>42607</v>
      </c>
      <c r="F281" s="188" t="s">
        <v>1351</v>
      </c>
      <c r="G281" s="833" t="s">
        <v>836</v>
      </c>
      <c r="H281" s="192" t="s">
        <v>837</v>
      </c>
      <c r="I281" s="253"/>
      <c r="J281" s="253"/>
      <c r="K281" s="584">
        <v>128400000</v>
      </c>
      <c r="L281" s="39" t="s">
        <v>47</v>
      </c>
      <c r="M281" s="39" t="s">
        <v>24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826"/>
    </row>
    <row r="282" spans="1:30" ht="15.75" customHeight="1">
      <c r="A282" s="827" t="str">
        <f>IF(B282&lt;&gt;"",IF(AND(B282&gt;=_TM1,B282&lt;=_TM2,OR(TH!L282="1111",TH!M282="1111")),TH!D282,""),"")</f>
        <v/>
      </c>
      <c r="B282" s="36">
        <f>IF(C282&lt;&gt;"",MONTH(C282),"")</f>
        <v>8</v>
      </c>
      <c r="C282" s="190">
        <f>E282</f>
        <v>42611</v>
      </c>
      <c r="D282" s="190" t="s">
        <v>842</v>
      </c>
      <c r="E282" s="740">
        <v>42611</v>
      </c>
      <c r="F282" s="188" t="s">
        <v>844</v>
      </c>
      <c r="G282" s="833" t="s">
        <v>836</v>
      </c>
      <c r="H282" s="192" t="s">
        <v>435</v>
      </c>
      <c r="I282" s="253"/>
      <c r="J282" s="253"/>
      <c r="K282" s="584">
        <v>5329302</v>
      </c>
      <c r="L282" s="39" t="s">
        <v>8</v>
      </c>
      <c r="M282" s="39" t="s">
        <v>24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826"/>
    </row>
    <row r="283" spans="1:30" ht="15.75" customHeight="1">
      <c r="A283" s="827" t="str">
        <f>IF(B283&lt;&gt;"",IF(AND(B283&gt;=_TM1,B283&lt;=_TM2,OR(TH!L283="1111",TH!M283="1111")),TH!D283,""),"")</f>
        <v/>
      </c>
      <c r="B283" s="36">
        <f>IF(C283&lt;&gt;"",MONTH(C283),"")</f>
        <v>8</v>
      </c>
      <c r="C283" s="190">
        <f>E283</f>
        <v>42611</v>
      </c>
      <c r="D283" s="190" t="s">
        <v>842</v>
      </c>
      <c r="E283" s="740">
        <v>42611</v>
      </c>
      <c r="F283" s="188" t="s">
        <v>1347</v>
      </c>
      <c r="G283" s="833" t="s">
        <v>836</v>
      </c>
      <c r="H283" s="7"/>
      <c r="I283" s="253"/>
      <c r="J283" s="253"/>
      <c r="K283" s="584">
        <v>20000</v>
      </c>
      <c r="L283" s="39" t="s">
        <v>83</v>
      </c>
      <c r="M283" s="39" t="s">
        <v>24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>x</v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826"/>
    </row>
    <row r="284" spans="1:30" ht="15.75" customHeight="1">
      <c r="A284" s="827" t="str">
        <f>IF(B284&lt;&gt;"",IF(AND(B284&gt;=_TM1,B284&lt;=_TM2,OR(TH!L284="1111",TH!M284="1111")),TH!D284,""),"")</f>
        <v/>
      </c>
      <c r="B284" s="36">
        <f>IF(C284&lt;&gt;"",MONTH(C284),"")</f>
        <v>8</v>
      </c>
      <c r="C284" s="190">
        <f>E284</f>
        <v>42611</v>
      </c>
      <c r="D284" s="190" t="s">
        <v>842</v>
      </c>
      <c r="E284" s="740">
        <v>42611</v>
      </c>
      <c r="F284" s="188" t="s">
        <v>1348</v>
      </c>
      <c r="G284" s="833" t="s">
        <v>836</v>
      </c>
      <c r="H284" s="7"/>
      <c r="I284" s="253"/>
      <c r="J284" s="253"/>
      <c r="K284" s="584">
        <v>2000</v>
      </c>
      <c r="L284" s="193" t="s">
        <v>9</v>
      </c>
      <c r="M284" s="39" t="s">
        <v>24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826">
        <v>3</v>
      </c>
    </row>
    <row r="285" spans="1:30" s="576" customFormat="1" ht="15.75" customHeight="1">
      <c r="A285" s="827" t="str">
        <f>IF(B285&lt;&gt;"",IF(AND(B285&gt;=_TM1,B285&lt;=_TM2,OR(TH!L285="1111",TH!M285="1111")),TH!D285,""),"")</f>
        <v/>
      </c>
      <c r="B285" s="36">
        <f t="shared" si="80"/>
        <v>1</v>
      </c>
      <c r="C285" s="877">
        <f t="shared" si="81"/>
        <v>42400</v>
      </c>
      <c r="D285" s="877" t="s">
        <v>320</v>
      </c>
      <c r="E285" s="877">
        <v>42400</v>
      </c>
      <c r="F285" s="879" t="s">
        <v>1314</v>
      </c>
      <c r="G285" s="922">
        <v>11000000</v>
      </c>
      <c r="H285" s="881"/>
      <c r="I285" s="882"/>
      <c r="J285" s="882"/>
      <c r="K285" s="883">
        <v>11000000</v>
      </c>
      <c r="L285" s="923" t="s">
        <v>83</v>
      </c>
      <c r="M285" s="923" t="s">
        <v>253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>x</v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924"/>
      <c r="AC285" s="205"/>
      <c r="AD285" s="205"/>
    </row>
    <row r="286" spans="1:30" s="576" customFormat="1" ht="15.75" customHeight="1">
      <c r="A286" s="827" t="str">
        <f>IF(B286&lt;&gt;"",IF(AND(B286&gt;=_TM1,B286&lt;=_TM2,OR(TH!L286="1111",TH!M286="1111")),TH!D286,""),"")</f>
        <v/>
      </c>
      <c r="B286" s="36">
        <f t="shared" si="80"/>
        <v>1</v>
      </c>
      <c r="C286" s="877">
        <f t="shared" si="81"/>
        <v>42400</v>
      </c>
      <c r="D286" s="877" t="s">
        <v>320</v>
      </c>
      <c r="E286" s="877">
        <v>42400</v>
      </c>
      <c r="F286" s="879" t="s">
        <v>1315</v>
      </c>
      <c r="G286" s="922">
        <v>3500000</v>
      </c>
      <c r="H286" s="881"/>
      <c r="I286" s="882"/>
      <c r="J286" s="882"/>
      <c r="K286" s="883">
        <v>3500000</v>
      </c>
      <c r="L286" s="923" t="s">
        <v>160</v>
      </c>
      <c r="M286" s="923" t="s">
        <v>253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924"/>
      <c r="AC286" s="205"/>
      <c r="AD286" s="205"/>
    </row>
    <row r="287" spans="1:30" s="576" customFormat="1" ht="15.75" customHeight="1">
      <c r="A287" s="827" t="str">
        <f>IF(B287&lt;&gt;"",IF(AND(B287&gt;=_TM1,B287&lt;=_TM2,OR(TH!L287="1111",TH!M287="1111")),TH!D287,""),"")</f>
        <v>C05</v>
      </c>
      <c r="B287" s="36">
        <f t="shared" si="80"/>
        <v>1</v>
      </c>
      <c r="C287" s="877">
        <f t="shared" si="81"/>
        <v>42400</v>
      </c>
      <c r="D287" s="878" t="s">
        <v>1316</v>
      </c>
      <c r="E287" s="877">
        <v>42400</v>
      </c>
      <c r="F287" s="879" t="s">
        <v>1317</v>
      </c>
      <c r="G287" s="922"/>
      <c r="H287" s="7" t="s">
        <v>837</v>
      </c>
      <c r="I287" s="882"/>
      <c r="J287" s="882"/>
      <c r="K287" s="883">
        <f>K285+K286</f>
        <v>14500000</v>
      </c>
      <c r="L287" s="923" t="s">
        <v>253</v>
      </c>
      <c r="M287" s="923" t="s">
        <v>47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>x</v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924"/>
      <c r="AC287" s="205"/>
      <c r="AD287" s="205"/>
    </row>
    <row r="288" spans="1:30" s="576" customFormat="1" ht="15.75" customHeight="1">
      <c r="A288" s="827" t="str">
        <f>IF(B288&lt;&gt;"",IF(AND(B288&gt;=_TM1,B288&lt;=_TM2,OR(TH!L288="1111",TH!M288="1111")),TH!D288,""),"")</f>
        <v/>
      </c>
      <c r="B288" s="36">
        <f t="shared" ref="B288:B290" si="114">IF(C288&lt;&gt;"",MONTH(C288),"")</f>
        <v>2</v>
      </c>
      <c r="C288" s="877">
        <f t="shared" ref="C288:C290" si="115">E288</f>
        <v>42428</v>
      </c>
      <c r="D288" s="877" t="s">
        <v>320</v>
      </c>
      <c r="E288" s="877">
        <v>42428</v>
      </c>
      <c r="F288" s="879" t="s">
        <v>1314</v>
      </c>
      <c r="G288" s="922">
        <v>11000000</v>
      </c>
      <c r="H288" s="881"/>
      <c r="I288" s="882"/>
      <c r="J288" s="882"/>
      <c r="K288" s="883">
        <v>11000000</v>
      </c>
      <c r="L288" s="923" t="s">
        <v>83</v>
      </c>
      <c r="M288" s="923" t="s">
        <v>253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>x</v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924"/>
      <c r="AC288" s="205"/>
      <c r="AD288" s="205"/>
    </row>
    <row r="289" spans="1:30" s="576" customFormat="1" ht="15.75" customHeight="1">
      <c r="A289" s="827" t="str">
        <f>IF(B289&lt;&gt;"",IF(AND(B289&gt;=_TM1,B289&lt;=_TM2,OR(TH!L289="1111",TH!M289="1111")),TH!D289,""),"")</f>
        <v/>
      </c>
      <c r="B289" s="36">
        <f t="shared" si="114"/>
        <v>2</v>
      </c>
      <c r="C289" s="877">
        <f t="shared" si="115"/>
        <v>42428</v>
      </c>
      <c r="D289" s="877" t="s">
        <v>320</v>
      </c>
      <c r="E289" s="877">
        <v>42428</v>
      </c>
      <c r="F289" s="879" t="s">
        <v>1315</v>
      </c>
      <c r="G289" s="922">
        <v>3500000</v>
      </c>
      <c r="H289" s="881"/>
      <c r="I289" s="882"/>
      <c r="J289" s="882"/>
      <c r="K289" s="883">
        <v>3500000</v>
      </c>
      <c r="L289" s="923" t="s">
        <v>160</v>
      </c>
      <c r="M289" s="923" t="s">
        <v>253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924"/>
      <c r="AC289" s="205"/>
      <c r="AD289" s="205"/>
    </row>
    <row r="290" spans="1:30" s="576" customFormat="1" ht="15.75" customHeight="1">
      <c r="A290" s="827" t="str">
        <f>IF(B290&lt;&gt;"",IF(AND(B290&gt;=_TM1,B290&lt;=_TM2,OR(TH!L290="1111",TH!M290="1111")),TH!D290,""),"")</f>
        <v>C05</v>
      </c>
      <c r="B290" s="36">
        <f t="shared" si="114"/>
        <v>2</v>
      </c>
      <c r="C290" s="877">
        <f t="shared" si="115"/>
        <v>42428</v>
      </c>
      <c r="D290" s="878" t="s">
        <v>1316</v>
      </c>
      <c r="E290" s="877">
        <v>42428</v>
      </c>
      <c r="F290" s="879" t="s">
        <v>1337</v>
      </c>
      <c r="G290" s="922"/>
      <c r="H290" s="7" t="s">
        <v>837</v>
      </c>
      <c r="I290" s="882"/>
      <c r="J290" s="882"/>
      <c r="K290" s="883">
        <f>K288+K289</f>
        <v>14500000</v>
      </c>
      <c r="L290" s="923" t="s">
        <v>253</v>
      </c>
      <c r="M290" s="923" t="s">
        <v>47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>x</v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924"/>
      <c r="AC290" s="205"/>
      <c r="AD290" s="205"/>
    </row>
    <row r="291" spans="1:30" s="576" customFormat="1" ht="15.75" customHeight="1">
      <c r="A291" s="827" t="str">
        <f>IF(B291&lt;&gt;"",IF(AND(B291&gt;=_TM1,B291&lt;=_TM2,OR(TH!L291="1111",TH!M291="1111")),TH!D291,""),"")</f>
        <v/>
      </c>
      <c r="B291" s="36">
        <f t="shared" si="80"/>
        <v>3</v>
      </c>
      <c r="C291" s="877">
        <f t="shared" si="81"/>
        <v>42460</v>
      </c>
      <c r="D291" s="877" t="s">
        <v>320</v>
      </c>
      <c r="E291" s="877">
        <v>42460</v>
      </c>
      <c r="F291" s="879" t="s">
        <v>1314</v>
      </c>
      <c r="G291" s="922">
        <v>11000000</v>
      </c>
      <c r="H291" s="881"/>
      <c r="I291" s="882"/>
      <c r="J291" s="882"/>
      <c r="K291" s="883">
        <v>11000000</v>
      </c>
      <c r="L291" s="923" t="s">
        <v>83</v>
      </c>
      <c r="M291" s="923" t="s">
        <v>253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>x</v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924"/>
      <c r="AC291" s="205"/>
      <c r="AD291" s="205"/>
    </row>
    <row r="292" spans="1:30" s="576" customFormat="1" ht="15.75" customHeight="1">
      <c r="A292" s="827" t="str">
        <f>IF(B292&lt;&gt;"",IF(AND(B292&gt;=_TM1,B292&lt;=_TM2,OR(TH!L292="1111",TH!M292="1111")),TH!D292,""),"")</f>
        <v/>
      </c>
      <c r="B292" s="36">
        <f t="shared" si="80"/>
        <v>3</v>
      </c>
      <c r="C292" s="877">
        <f t="shared" si="81"/>
        <v>42460</v>
      </c>
      <c r="D292" s="877" t="s">
        <v>320</v>
      </c>
      <c r="E292" s="877">
        <v>42460</v>
      </c>
      <c r="F292" s="879" t="s">
        <v>1315</v>
      </c>
      <c r="G292" s="922">
        <v>3500000</v>
      </c>
      <c r="H292" s="881"/>
      <c r="I292" s="882"/>
      <c r="J292" s="882"/>
      <c r="K292" s="883">
        <v>3500000</v>
      </c>
      <c r="L292" s="923" t="s">
        <v>160</v>
      </c>
      <c r="M292" s="923" t="s">
        <v>253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924"/>
      <c r="AC292" s="205"/>
      <c r="AD292" s="205"/>
    </row>
    <row r="293" spans="1:30" s="576" customFormat="1" ht="15.75" customHeight="1">
      <c r="A293" s="827" t="str">
        <f>IF(B293&lt;&gt;"",IF(AND(B293&gt;=_TM1,B293&lt;=_TM2,OR(TH!L293="1111",TH!M293="1111")),TH!D293,""),"")</f>
        <v>C05</v>
      </c>
      <c r="B293" s="36">
        <f t="shared" si="80"/>
        <v>3</v>
      </c>
      <c r="C293" s="877">
        <f t="shared" si="81"/>
        <v>42460</v>
      </c>
      <c r="D293" s="878" t="s">
        <v>1316</v>
      </c>
      <c r="E293" s="877">
        <v>42460</v>
      </c>
      <c r="F293" s="879" t="s">
        <v>1339</v>
      </c>
      <c r="G293" s="922"/>
      <c r="H293" s="7" t="s">
        <v>837</v>
      </c>
      <c r="I293" s="882"/>
      <c r="J293" s="882"/>
      <c r="K293" s="883">
        <f>K291+K292</f>
        <v>14500000</v>
      </c>
      <c r="L293" s="923" t="s">
        <v>253</v>
      </c>
      <c r="M293" s="923" t="s">
        <v>47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>x</v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924"/>
      <c r="AC293" s="205"/>
      <c r="AD293" s="205"/>
    </row>
    <row r="294" spans="1:30" s="576" customFormat="1" ht="15.75" customHeight="1">
      <c r="A294" s="827" t="str">
        <f>IF(B294&lt;&gt;"",IF(AND(B294&gt;=_TM1,B294&lt;=_TM2,OR(TH!L294="1111",TH!M294="1111")),TH!D294,""),"")</f>
        <v/>
      </c>
      <c r="B294" s="36">
        <f t="shared" ref="B294:B296" si="116">IF(C294&lt;&gt;"",MONTH(C294),"")</f>
        <v>4</v>
      </c>
      <c r="C294" s="877">
        <f t="shared" ref="C294:C296" si="117">E294</f>
        <v>42490</v>
      </c>
      <c r="D294" s="877" t="s">
        <v>320</v>
      </c>
      <c r="E294" s="877">
        <v>42490</v>
      </c>
      <c r="F294" s="879" t="s">
        <v>1314</v>
      </c>
      <c r="G294" s="922">
        <v>11000000</v>
      </c>
      <c r="H294" s="881"/>
      <c r="I294" s="882"/>
      <c r="J294" s="882"/>
      <c r="K294" s="883">
        <v>11000000</v>
      </c>
      <c r="L294" s="923" t="s">
        <v>83</v>
      </c>
      <c r="M294" s="923" t="s">
        <v>253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642</v>
      </c>
      <c r="V294" s="52" t="str">
        <f>IF(OR(TH!L294=TH!$V$7,M294=TH!$V$7),"x","")</f>
        <v>x</v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924"/>
      <c r="AC294" s="205"/>
      <c r="AD294" s="205"/>
    </row>
    <row r="295" spans="1:30" s="576" customFormat="1" ht="15.75" customHeight="1">
      <c r="A295" s="827" t="str">
        <f>IF(B295&lt;&gt;"",IF(AND(B295&gt;=_TM1,B295&lt;=_TM2,OR(TH!L295="1111",TH!M295="1111")),TH!D295,""),"")</f>
        <v/>
      </c>
      <c r="B295" s="36">
        <f t="shared" si="116"/>
        <v>4</v>
      </c>
      <c r="C295" s="877">
        <f t="shared" si="117"/>
        <v>42490</v>
      </c>
      <c r="D295" s="877" t="s">
        <v>320</v>
      </c>
      <c r="E295" s="877">
        <v>42490</v>
      </c>
      <c r="F295" s="879" t="s">
        <v>1315</v>
      </c>
      <c r="G295" s="922">
        <v>3500000</v>
      </c>
      <c r="H295" s="881"/>
      <c r="I295" s="882"/>
      <c r="J295" s="882"/>
      <c r="K295" s="883">
        <v>3500000</v>
      </c>
      <c r="L295" s="923" t="s">
        <v>160</v>
      </c>
      <c r="M295" s="923" t="s">
        <v>253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154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924"/>
      <c r="AC295" s="205"/>
      <c r="AD295" s="205"/>
    </row>
    <row r="296" spans="1:30" s="576" customFormat="1" ht="15.75" customHeight="1">
      <c r="A296" s="827" t="str">
        <f>IF(B296&lt;&gt;"",IF(AND(B296&gt;=_TM1,B296&lt;=_TM2,OR(TH!L296="1111",TH!M296="1111")),TH!D296,""),"")</f>
        <v/>
      </c>
      <c r="B296" s="36">
        <f t="shared" si="116"/>
        <v>4</v>
      </c>
      <c r="C296" s="877">
        <f t="shared" si="117"/>
        <v>42490</v>
      </c>
      <c r="D296" s="878" t="s">
        <v>1316</v>
      </c>
      <c r="E296" s="877">
        <v>42490</v>
      </c>
      <c r="F296" s="879" t="s">
        <v>1335</v>
      </c>
      <c r="G296" s="922"/>
      <c r="H296" s="7" t="s">
        <v>837</v>
      </c>
      <c r="I296" s="882"/>
      <c r="J296" s="882"/>
      <c r="K296" s="883">
        <f>K294+K295</f>
        <v>14500000</v>
      </c>
      <c r="L296" s="923" t="s">
        <v>253</v>
      </c>
      <c r="M296" s="923" t="s">
        <v>47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924"/>
      <c r="AC296" s="205"/>
      <c r="AD296" s="205"/>
    </row>
    <row r="297" spans="1:30" s="576" customFormat="1" ht="15.75" customHeight="1">
      <c r="A297" s="827" t="str">
        <f>IF(B297&lt;&gt;"",IF(AND(B297&gt;=_TM1,B297&lt;=_TM2,OR(TH!L297="1111",TH!M297="1111")),TH!D297,""),"")</f>
        <v/>
      </c>
      <c r="B297" s="36">
        <f t="shared" ref="B297:B311" si="118">IF(C297&lt;&gt;"",MONTH(C297),"")</f>
        <v>5</v>
      </c>
      <c r="C297" s="877">
        <f t="shared" ref="C297:C311" si="119">E297</f>
        <v>42521</v>
      </c>
      <c r="D297" s="877" t="s">
        <v>320</v>
      </c>
      <c r="E297" s="877">
        <v>42521</v>
      </c>
      <c r="F297" s="879" t="s">
        <v>1314</v>
      </c>
      <c r="G297" s="922">
        <v>11000000</v>
      </c>
      <c r="H297" s="881"/>
      <c r="I297" s="882"/>
      <c r="J297" s="882"/>
      <c r="K297" s="883">
        <v>9836050</v>
      </c>
      <c r="L297" s="923" t="s">
        <v>83</v>
      </c>
      <c r="M297" s="923" t="s">
        <v>253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642</v>
      </c>
      <c r="V297" s="52" t="str">
        <f>IF(OR(TH!L297=TH!$V$7,M297=TH!$V$7),"x","")</f>
        <v>x</v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924"/>
      <c r="AC297" s="205"/>
      <c r="AD297" s="205"/>
    </row>
    <row r="298" spans="1:30" s="576" customFormat="1" ht="15.75" customHeight="1">
      <c r="A298" s="827" t="str">
        <f>IF(B298&lt;&gt;"",IF(AND(B298&gt;=_TM1,B298&lt;=_TM2,OR(TH!L298="1111",TH!M298="1111")),TH!D298,""),"")</f>
        <v/>
      </c>
      <c r="B298" s="36">
        <f t="shared" si="118"/>
        <v>5</v>
      </c>
      <c r="C298" s="877">
        <f t="shared" si="119"/>
        <v>42521</v>
      </c>
      <c r="D298" s="877" t="s">
        <v>320</v>
      </c>
      <c r="E298" s="877">
        <v>42521</v>
      </c>
      <c r="F298" s="879" t="s">
        <v>1315</v>
      </c>
      <c r="G298" s="922">
        <v>3500000</v>
      </c>
      <c r="H298" s="881"/>
      <c r="I298" s="882"/>
      <c r="J298" s="882"/>
      <c r="K298" s="883">
        <v>3132500</v>
      </c>
      <c r="L298" s="923" t="s">
        <v>160</v>
      </c>
      <c r="M298" s="923" t="s">
        <v>253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154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924"/>
      <c r="AC298" s="205"/>
      <c r="AD298" s="205"/>
    </row>
    <row r="299" spans="1:30" s="576" customFormat="1" ht="15.75" customHeight="1">
      <c r="A299" s="827" t="str">
        <f>IF(B299&lt;&gt;"",IF(AND(B299&gt;=_TM1,B299&lt;=_TM2,OR(TH!L299="1111",TH!M299="1111")),TH!D299,""),"")</f>
        <v/>
      </c>
      <c r="B299" s="36">
        <f t="shared" si="118"/>
        <v>5</v>
      </c>
      <c r="C299" s="877">
        <f t="shared" si="119"/>
        <v>42521</v>
      </c>
      <c r="D299" s="878" t="s">
        <v>1316</v>
      </c>
      <c r="E299" s="877">
        <v>42521</v>
      </c>
      <c r="F299" s="879" t="s">
        <v>1336</v>
      </c>
      <c r="G299" s="922"/>
      <c r="H299" s="7" t="s">
        <v>837</v>
      </c>
      <c r="I299" s="882"/>
      <c r="J299" s="882"/>
      <c r="K299" s="883">
        <f>K297+K298</f>
        <v>12968550</v>
      </c>
      <c r="L299" s="923" t="s">
        <v>253</v>
      </c>
      <c r="M299" s="923" t="s">
        <v>47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924"/>
      <c r="AC299" s="205"/>
      <c r="AD299" s="205"/>
    </row>
    <row r="300" spans="1:30" s="576" customFormat="1" ht="15.75" customHeight="1">
      <c r="A300" s="827" t="str">
        <f>IF(B300&lt;&gt;"",IF(AND(B300&gt;=_TM1,B300&lt;=_TM2,OR(TH!L300="1111",TH!M300="1111")),TH!D300,""),"")</f>
        <v/>
      </c>
      <c r="B300" s="36">
        <f t="shared" si="118"/>
        <v>5</v>
      </c>
      <c r="C300" s="877">
        <f t="shared" si="119"/>
        <v>42521</v>
      </c>
      <c r="D300" s="877" t="s">
        <v>320</v>
      </c>
      <c r="E300" s="877">
        <v>42521</v>
      </c>
      <c r="F300" s="879" t="s">
        <v>1318</v>
      </c>
      <c r="G300" s="922" t="s">
        <v>1319</v>
      </c>
      <c r="H300" s="881"/>
      <c r="I300" s="882"/>
      <c r="J300" s="882"/>
      <c r="K300" s="883">
        <f>ROUND(G297*$G300,0)</f>
        <v>880000</v>
      </c>
      <c r="L300" s="925" t="s">
        <v>253</v>
      </c>
      <c r="M300" s="925" t="s">
        <v>1092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924"/>
      <c r="AC300" s="205"/>
      <c r="AD300" s="205"/>
    </row>
    <row r="301" spans="1:30" s="576" customFormat="1" ht="15.75" customHeight="1">
      <c r="A301" s="827" t="str">
        <f>IF(B301&lt;&gt;"",IF(AND(B301&gt;=_TM1,B301&lt;=_TM2,OR(TH!L301="1111",TH!M301="1111")),TH!D301,""),"")</f>
        <v/>
      </c>
      <c r="B301" s="36">
        <f t="shared" si="118"/>
        <v>5</v>
      </c>
      <c r="C301" s="877">
        <f t="shared" si="119"/>
        <v>42521</v>
      </c>
      <c r="D301" s="877" t="s">
        <v>320</v>
      </c>
      <c r="E301" s="877">
        <v>42521</v>
      </c>
      <c r="F301" s="879" t="s">
        <v>1329</v>
      </c>
      <c r="G301" s="922"/>
      <c r="H301" s="881"/>
      <c r="I301" s="882"/>
      <c r="J301" s="882"/>
      <c r="K301" s="883">
        <f>ROUND(G300*G298,0)</f>
        <v>280000</v>
      </c>
      <c r="L301" s="923" t="s">
        <v>253</v>
      </c>
      <c r="M301" s="926" t="s">
        <v>1092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924"/>
      <c r="AC301" s="205"/>
      <c r="AD301" s="205"/>
    </row>
    <row r="302" spans="1:30" s="576" customFormat="1" ht="15.75" customHeight="1">
      <c r="A302" s="827" t="str">
        <f>IF(B302&lt;&gt;"",IF(AND(B302&gt;=_TM1,B302&lt;=_TM2,OR(TH!L302="1111",TH!M302="1111")),TH!D302,""),"")</f>
        <v/>
      </c>
      <c r="B302" s="36">
        <f t="shared" si="118"/>
        <v>5</v>
      </c>
      <c r="C302" s="877">
        <f t="shared" si="119"/>
        <v>42521</v>
      </c>
      <c r="D302" s="878" t="s">
        <v>320</v>
      </c>
      <c r="E302" s="877">
        <v>42521</v>
      </c>
      <c r="F302" s="879" t="s">
        <v>1320</v>
      </c>
      <c r="G302" s="922" t="s">
        <v>1321</v>
      </c>
      <c r="H302" s="7"/>
      <c r="I302" s="882"/>
      <c r="J302" s="882"/>
      <c r="K302" s="883">
        <f>ROUND(G297*$G302,0)</f>
        <v>1980000</v>
      </c>
      <c r="L302" s="925" t="s">
        <v>252</v>
      </c>
      <c r="M302" s="925" t="s">
        <v>1092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924"/>
      <c r="AC302" s="205"/>
      <c r="AD302" s="205"/>
    </row>
    <row r="303" spans="1:30" s="576" customFormat="1" ht="15.75" customHeight="1">
      <c r="A303" s="827" t="str">
        <f>IF(B303&lt;&gt;"",IF(AND(B303&gt;=_TM1,B303&lt;=_TM2,OR(TH!L303="1111",TH!M303="1111")),TH!D303,""),"")</f>
        <v/>
      </c>
      <c r="B303" s="36">
        <f t="shared" si="118"/>
        <v>5</v>
      </c>
      <c r="C303" s="877">
        <f t="shared" si="119"/>
        <v>42521</v>
      </c>
      <c r="D303" s="877" t="s">
        <v>320</v>
      </c>
      <c r="E303" s="877">
        <v>42521</v>
      </c>
      <c r="F303" s="879" t="s">
        <v>1330</v>
      </c>
      <c r="G303" s="922"/>
      <c r="H303" s="881"/>
      <c r="I303" s="882"/>
      <c r="J303" s="882"/>
      <c r="K303" s="883">
        <f>ROUND(G298*$G302,0)</f>
        <v>630000</v>
      </c>
      <c r="L303" s="923" t="s">
        <v>160</v>
      </c>
      <c r="M303" s="925" t="s">
        <v>1092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>154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924"/>
      <c r="AC303" s="205"/>
      <c r="AD303" s="205"/>
    </row>
    <row r="304" spans="1:30" s="576" customFormat="1" ht="15.75" customHeight="1">
      <c r="A304" s="827" t="str">
        <f>IF(B304&lt;&gt;"",IF(AND(B304&gt;=_TM1,B304&lt;=_TM2,OR(TH!L304="1111",TH!M304="1111")),TH!D304,""),"")</f>
        <v/>
      </c>
      <c r="B304" s="36">
        <f t="shared" si="118"/>
        <v>5</v>
      </c>
      <c r="C304" s="877">
        <f t="shared" si="119"/>
        <v>42521</v>
      </c>
      <c r="D304" s="877" t="s">
        <v>320</v>
      </c>
      <c r="E304" s="877">
        <v>42521</v>
      </c>
      <c r="F304" s="879" t="s">
        <v>1322</v>
      </c>
      <c r="G304" s="922" t="s">
        <v>1323</v>
      </c>
      <c r="H304" s="881"/>
      <c r="I304" s="882"/>
      <c r="J304" s="882"/>
      <c r="K304" s="883">
        <f>G297*$G304</f>
        <v>165000</v>
      </c>
      <c r="L304" s="925" t="s">
        <v>253</v>
      </c>
      <c r="M304" s="925" t="s">
        <v>1091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924"/>
      <c r="AC304" s="205"/>
      <c r="AD304" s="205"/>
    </row>
    <row r="305" spans="1:30" s="576" customFormat="1" ht="15.75" customHeight="1">
      <c r="A305" s="827" t="str">
        <f>IF(B305&lt;&gt;"",IF(AND(B305&gt;=_TM1,B305&lt;=_TM2,OR(TH!L305="1111",TH!M305="1111")),TH!D305,""),"")</f>
        <v/>
      </c>
      <c r="B305" s="36">
        <f t="shared" si="118"/>
        <v>5</v>
      </c>
      <c r="C305" s="877">
        <f t="shared" si="119"/>
        <v>42521</v>
      </c>
      <c r="D305" s="878" t="s">
        <v>320</v>
      </c>
      <c r="E305" s="877">
        <v>42521</v>
      </c>
      <c r="F305" s="879" t="s">
        <v>1331</v>
      </c>
      <c r="G305" s="922"/>
      <c r="H305" s="7"/>
      <c r="I305" s="882"/>
      <c r="J305" s="882"/>
      <c r="K305" s="883">
        <f>G298*$G304</f>
        <v>52500</v>
      </c>
      <c r="L305" s="925" t="s">
        <v>253</v>
      </c>
      <c r="M305" s="925" t="s">
        <v>1091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924"/>
      <c r="AC305" s="205"/>
      <c r="AD305" s="205"/>
    </row>
    <row r="306" spans="1:30" s="576" customFormat="1" ht="15.75" customHeight="1">
      <c r="A306" s="827" t="str">
        <f>IF(B306&lt;&gt;"",IF(AND(B306&gt;=_TM1,B306&lt;=_TM2,OR(TH!L306="1111",TH!M306="1111")),TH!D306,""),"")</f>
        <v/>
      </c>
      <c r="B306" s="36">
        <f t="shared" si="118"/>
        <v>5</v>
      </c>
      <c r="C306" s="877">
        <f t="shared" si="119"/>
        <v>42521</v>
      </c>
      <c r="D306" s="877" t="s">
        <v>320</v>
      </c>
      <c r="E306" s="877">
        <v>42521</v>
      </c>
      <c r="F306" s="879" t="s">
        <v>1324</v>
      </c>
      <c r="G306" s="922" t="s">
        <v>1325</v>
      </c>
      <c r="H306" s="881"/>
      <c r="I306" s="882"/>
      <c r="J306" s="882"/>
      <c r="K306" s="883">
        <f>G297*$G306</f>
        <v>330000</v>
      </c>
      <c r="L306" s="925" t="s">
        <v>252</v>
      </c>
      <c r="M306" s="925" t="s">
        <v>1091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924"/>
      <c r="AC306" s="205"/>
      <c r="AD306" s="205"/>
    </row>
    <row r="307" spans="1:30" s="576" customFormat="1" ht="15.75" customHeight="1">
      <c r="A307" s="827" t="str">
        <f>IF(B307&lt;&gt;"",IF(AND(B307&gt;=_TM1,B307&lt;=_TM2,OR(TH!L307="1111",TH!M307="1111")),TH!D307,""),"")</f>
        <v/>
      </c>
      <c r="B307" s="36">
        <f t="shared" si="118"/>
        <v>5</v>
      </c>
      <c r="C307" s="877">
        <f t="shared" si="119"/>
        <v>42521</v>
      </c>
      <c r="D307" s="877" t="s">
        <v>320</v>
      </c>
      <c r="E307" s="877">
        <v>42521</v>
      </c>
      <c r="F307" s="879" t="s">
        <v>1332</v>
      </c>
      <c r="G307" s="922"/>
      <c r="H307" s="881"/>
      <c r="I307" s="882"/>
      <c r="J307" s="882"/>
      <c r="K307" s="883">
        <f>G298*$G306</f>
        <v>105000</v>
      </c>
      <c r="L307" s="923" t="s">
        <v>160</v>
      </c>
      <c r="M307" s="925" t="s">
        <v>1091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>154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924"/>
      <c r="AC307" s="205"/>
      <c r="AD307" s="205"/>
    </row>
    <row r="308" spans="1:30" s="576" customFormat="1" ht="15.75" customHeight="1">
      <c r="A308" s="827" t="str">
        <f>IF(B308&lt;&gt;"",IF(AND(B308&gt;=_TM1,B308&lt;=_TM2,OR(TH!L308="1111",TH!M308="1111")),TH!D308,""),"")</f>
        <v/>
      </c>
      <c r="B308" s="36">
        <f t="shared" si="118"/>
        <v>5</v>
      </c>
      <c r="C308" s="877">
        <f t="shared" si="119"/>
        <v>42521</v>
      </c>
      <c r="D308" s="878" t="s">
        <v>320</v>
      </c>
      <c r="E308" s="877">
        <v>42521</v>
      </c>
      <c r="F308" s="879" t="s">
        <v>1326</v>
      </c>
      <c r="G308" s="922" t="s">
        <v>1327</v>
      </c>
      <c r="H308" s="7"/>
      <c r="I308" s="882"/>
      <c r="J308" s="882"/>
      <c r="K308" s="883">
        <f>G297*$G308</f>
        <v>110000</v>
      </c>
      <c r="L308" s="925" t="s">
        <v>253</v>
      </c>
      <c r="M308" s="925" t="s">
        <v>1095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924"/>
      <c r="AC308" s="205"/>
      <c r="AD308" s="205"/>
    </row>
    <row r="309" spans="1:30" s="576" customFormat="1" ht="15.75" customHeight="1">
      <c r="A309" s="827" t="str">
        <f>IF(B309&lt;&gt;"",IF(AND(B309&gt;=_TM1,B309&lt;=_TM2,OR(TH!L309="1111",TH!M309="1111")),TH!D309,""),"")</f>
        <v/>
      </c>
      <c r="B309" s="36">
        <f t="shared" si="118"/>
        <v>5</v>
      </c>
      <c r="C309" s="877">
        <f t="shared" si="119"/>
        <v>42521</v>
      </c>
      <c r="D309" s="877" t="s">
        <v>320</v>
      </c>
      <c r="E309" s="877">
        <v>42521</v>
      </c>
      <c r="F309" s="879" t="s">
        <v>1333</v>
      </c>
      <c r="G309" s="922"/>
      <c r="H309" s="881"/>
      <c r="I309" s="882"/>
      <c r="J309" s="882"/>
      <c r="K309" s="883">
        <f>G298*$G308</f>
        <v>35000</v>
      </c>
      <c r="L309" s="925" t="s">
        <v>253</v>
      </c>
      <c r="M309" s="925" t="s">
        <v>1095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924"/>
      <c r="AC309" s="205"/>
      <c r="AD309" s="205"/>
    </row>
    <row r="310" spans="1:30" s="576" customFormat="1" ht="15.75" customHeight="1">
      <c r="A310" s="827" t="str">
        <f>IF(B310&lt;&gt;"",IF(AND(B310&gt;=_TM1,B310&lt;=_TM2,OR(TH!L310="1111",TH!M310="1111")),TH!D310,""),"")</f>
        <v/>
      </c>
      <c r="B310" s="36">
        <f t="shared" si="118"/>
        <v>5</v>
      </c>
      <c r="C310" s="877">
        <f t="shared" si="119"/>
        <v>42521</v>
      </c>
      <c r="D310" s="877" t="s">
        <v>320</v>
      </c>
      <c r="E310" s="877">
        <v>42521</v>
      </c>
      <c r="F310" s="879" t="s">
        <v>1328</v>
      </c>
      <c r="G310" s="922" t="s">
        <v>1327</v>
      </c>
      <c r="H310" s="881"/>
      <c r="I310" s="882"/>
      <c r="J310" s="882"/>
      <c r="K310" s="883">
        <f>K308</f>
        <v>110000</v>
      </c>
      <c r="L310" s="925" t="s">
        <v>252</v>
      </c>
      <c r="M310" s="925" t="s">
        <v>1095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924"/>
      <c r="AC310" s="205"/>
      <c r="AD310" s="205"/>
    </row>
    <row r="311" spans="1:30" s="576" customFormat="1" ht="15.75" customHeight="1">
      <c r="A311" s="827" t="str">
        <f>IF(B311&lt;&gt;"",IF(AND(B311&gt;=_TM1,B311&lt;=_TM2,OR(TH!L311="1111",TH!M311="1111")),TH!D311,""),"")</f>
        <v/>
      </c>
      <c r="B311" s="36">
        <f t="shared" si="118"/>
        <v>5</v>
      </c>
      <c r="C311" s="877">
        <f t="shared" si="119"/>
        <v>42521</v>
      </c>
      <c r="D311" s="878" t="s">
        <v>320</v>
      </c>
      <c r="E311" s="877">
        <v>42521</v>
      </c>
      <c r="F311" s="879" t="s">
        <v>1334</v>
      </c>
      <c r="G311" s="922"/>
      <c r="H311" s="7"/>
      <c r="I311" s="882"/>
      <c r="J311" s="882"/>
      <c r="K311" s="883">
        <f>K309</f>
        <v>35000</v>
      </c>
      <c r="L311" s="923" t="s">
        <v>160</v>
      </c>
      <c r="M311" s="925" t="s">
        <v>1095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154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924"/>
      <c r="AC311" s="205"/>
      <c r="AD311" s="205"/>
    </row>
    <row r="312" spans="1:30" s="576" customFormat="1" ht="15.75" customHeight="1">
      <c r="A312" s="827" t="str">
        <f>IF(B312&lt;&gt;"",IF(AND(B312&gt;=_TM1,B312&lt;=_TM2,OR(TH!L312="1111",TH!M312="1111")),TH!D312,""),"")</f>
        <v/>
      </c>
      <c r="B312" s="36">
        <f t="shared" si="80"/>
        <v>6</v>
      </c>
      <c r="C312" s="877">
        <f t="shared" si="81"/>
        <v>42551</v>
      </c>
      <c r="D312" s="877" t="s">
        <v>320</v>
      </c>
      <c r="E312" s="877">
        <v>42551</v>
      </c>
      <c r="F312" s="879" t="s">
        <v>1314</v>
      </c>
      <c r="G312" s="922">
        <v>11000000</v>
      </c>
      <c r="H312" s="881"/>
      <c r="I312" s="882"/>
      <c r="J312" s="882"/>
      <c r="K312" s="883">
        <v>9836050</v>
      </c>
      <c r="L312" s="923" t="s">
        <v>83</v>
      </c>
      <c r="M312" s="923" t="s">
        <v>253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642</v>
      </c>
      <c r="V312" s="52" t="str">
        <f>IF(OR(TH!L312=TH!$V$7,M312=TH!$V$7),"x","")</f>
        <v>x</v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924"/>
      <c r="AC312" s="205"/>
      <c r="AD312" s="205"/>
    </row>
    <row r="313" spans="1:30" s="576" customFormat="1" ht="15.75" customHeight="1">
      <c r="A313" s="827" t="str">
        <f>IF(B313&lt;&gt;"",IF(AND(B313&gt;=_TM1,B313&lt;=_TM2,OR(TH!L313="1111",TH!M313="1111")),TH!D313,""),"")</f>
        <v/>
      </c>
      <c r="B313" s="36">
        <f t="shared" si="80"/>
        <v>6</v>
      </c>
      <c r="C313" s="877">
        <f t="shared" si="81"/>
        <v>42551</v>
      </c>
      <c r="D313" s="877" t="s">
        <v>320</v>
      </c>
      <c r="E313" s="877">
        <v>42551</v>
      </c>
      <c r="F313" s="879" t="s">
        <v>1315</v>
      </c>
      <c r="G313" s="922">
        <v>3500000</v>
      </c>
      <c r="H313" s="881"/>
      <c r="I313" s="882"/>
      <c r="J313" s="882"/>
      <c r="K313" s="883">
        <v>3132500</v>
      </c>
      <c r="L313" s="923" t="s">
        <v>160</v>
      </c>
      <c r="M313" s="923" t="s">
        <v>253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154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924"/>
      <c r="AC313" s="205"/>
      <c r="AD313" s="205"/>
    </row>
    <row r="314" spans="1:30" s="576" customFormat="1" ht="15.75" customHeight="1">
      <c r="A314" s="827" t="str">
        <f>IF(B314&lt;&gt;"",IF(AND(B314&gt;=_TM1,B314&lt;=_TM2,OR(TH!L314="1111",TH!M314="1111")),TH!D314,""),"")</f>
        <v/>
      </c>
      <c r="B314" s="36">
        <f t="shared" si="80"/>
        <v>6</v>
      </c>
      <c r="C314" s="877">
        <f t="shared" si="81"/>
        <v>42551</v>
      </c>
      <c r="D314" s="878" t="s">
        <v>1316</v>
      </c>
      <c r="E314" s="877">
        <v>42551</v>
      </c>
      <c r="F314" s="879" t="s">
        <v>1340</v>
      </c>
      <c r="G314" s="922"/>
      <c r="H314" s="7" t="s">
        <v>837</v>
      </c>
      <c r="I314" s="882"/>
      <c r="J314" s="882"/>
      <c r="K314" s="883">
        <f>K312+K313</f>
        <v>12968550</v>
      </c>
      <c r="L314" s="923" t="s">
        <v>253</v>
      </c>
      <c r="M314" s="923" t="s">
        <v>47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924"/>
      <c r="AC314" s="205"/>
      <c r="AD314" s="205"/>
    </row>
    <row r="315" spans="1:30" s="576" customFormat="1" ht="15.75" customHeight="1">
      <c r="A315" s="827" t="str">
        <f>IF(B315&lt;&gt;"",IF(AND(B315&gt;=_TM1,B315&lt;=_TM2,OR(TH!L315="1111",TH!M315="1111")),TH!D315,""),"")</f>
        <v/>
      </c>
      <c r="B315" s="36">
        <f t="shared" ref="B315:B320" si="120">IF(C315&lt;&gt;"",MONTH(C315),"")</f>
        <v>6</v>
      </c>
      <c r="C315" s="877">
        <f t="shared" si="81"/>
        <v>42551</v>
      </c>
      <c r="D315" s="877" t="s">
        <v>320</v>
      </c>
      <c r="E315" s="877">
        <v>42551</v>
      </c>
      <c r="F315" s="879" t="s">
        <v>1318</v>
      </c>
      <c r="G315" s="922" t="s">
        <v>1319</v>
      </c>
      <c r="H315" s="881"/>
      <c r="I315" s="882"/>
      <c r="J315" s="882"/>
      <c r="K315" s="883">
        <f>ROUND(G312*$G315,0)</f>
        <v>880000</v>
      </c>
      <c r="L315" s="925" t="s">
        <v>253</v>
      </c>
      <c r="M315" s="925" t="s">
        <v>1092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924"/>
      <c r="AC315" s="205"/>
      <c r="AD315" s="205"/>
    </row>
    <row r="316" spans="1:30" s="576" customFormat="1" ht="15.75" customHeight="1">
      <c r="A316" s="827" t="str">
        <f>IF(B316&lt;&gt;"",IF(AND(B316&gt;=_TM1,B316&lt;=_TM2,OR(TH!L316="1111",TH!M316="1111")),TH!D316,""),"")</f>
        <v/>
      </c>
      <c r="B316" s="36">
        <f t="shared" si="120"/>
        <v>6</v>
      </c>
      <c r="C316" s="877">
        <f t="shared" si="81"/>
        <v>42551</v>
      </c>
      <c r="D316" s="877" t="s">
        <v>320</v>
      </c>
      <c r="E316" s="877">
        <v>42551</v>
      </c>
      <c r="F316" s="879" t="s">
        <v>1329</v>
      </c>
      <c r="G316" s="922"/>
      <c r="H316" s="881"/>
      <c r="I316" s="882"/>
      <c r="J316" s="882"/>
      <c r="K316" s="883">
        <f>ROUND(G315*G313,0)</f>
        <v>280000</v>
      </c>
      <c r="L316" s="923" t="s">
        <v>253</v>
      </c>
      <c r="M316" s="926" t="s">
        <v>1092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924"/>
      <c r="AC316" s="205"/>
      <c r="AD316" s="205"/>
    </row>
    <row r="317" spans="1:30" s="576" customFormat="1" ht="15.75" customHeight="1">
      <c r="A317" s="827" t="str">
        <f>IF(B317&lt;&gt;"",IF(AND(B317&gt;=_TM1,B317&lt;=_TM2,OR(TH!L317="1111",TH!M317="1111")),TH!D317,""),"")</f>
        <v/>
      </c>
      <c r="B317" s="36">
        <f t="shared" ref="B317:B319" si="121">IF(C317&lt;&gt;"",MONTH(C317),"")</f>
        <v>6</v>
      </c>
      <c r="C317" s="877">
        <f t="shared" si="81"/>
        <v>42551</v>
      </c>
      <c r="D317" s="878" t="s">
        <v>320</v>
      </c>
      <c r="E317" s="877">
        <v>42551</v>
      </c>
      <c r="F317" s="879" t="s">
        <v>1320</v>
      </c>
      <c r="G317" s="922" t="s">
        <v>1321</v>
      </c>
      <c r="H317" s="7"/>
      <c r="I317" s="882"/>
      <c r="J317" s="882"/>
      <c r="K317" s="883">
        <f>ROUND(G312*$G317,0)</f>
        <v>1980000</v>
      </c>
      <c r="L317" s="925" t="s">
        <v>252</v>
      </c>
      <c r="M317" s="925" t="s">
        <v>1092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924"/>
      <c r="AC317" s="205"/>
      <c r="AD317" s="205"/>
    </row>
    <row r="318" spans="1:30" s="576" customFormat="1" ht="15.75" customHeight="1">
      <c r="A318" s="827" t="str">
        <f>IF(B318&lt;&gt;"",IF(AND(B318&gt;=_TM1,B318&lt;=_TM2,OR(TH!L318="1111",TH!M318="1111")),TH!D318,""),"")</f>
        <v/>
      </c>
      <c r="B318" s="36">
        <f t="shared" si="121"/>
        <v>6</v>
      </c>
      <c r="C318" s="877">
        <f t="shared" si="81"/>
        <v>42551</v>
      </c>
      <c r="D318" s="877" t="s">
        <v>320</v>
      </c>
      <c r="E318" s="877">
        <v>42551</v>
      </c>
      <c r="F318" s="879" t="s">
        <v>1330</v>
      </c>
      <c r="G318" s="922"/>
      <c r="H318" s="881"/>
      <c r="I318" s="882"/>
      <c r="J318" s="882"/>
      <c r="K318" s="883">
        <f>ROUND(G313*$G317,0)</f>
        <v>630000</v>
      </c>
      <c r="L318" s="923" t="s">
        <v>160</v>
      </c>
      <c r="M318" s="925" t="s">
        <v>1092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154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924"/>
      <c r="AC318" s="205"/>
      <c r="AD318" s="205"/>
    </row>
    <row r="319" spans="1:30" s="576" customFormat="1" ht="15.75" customHeight="1">
      <c r="A319" s="827" t="str">
        <f>IF(B319&lt;&gt;"",IF(AND(B319&gt;=_TM1,B319&lt;=_TM2,OR(TH!L319="1111",TH!M319="1111")),TH!D319,""),"")</f>
        <v/>
      </c>
      <c r="B319" s="36">
        <f t="shared" si="121"/>
        <v>6</v>
      </c>
      <c r="C319" s="877">
        <f t="shared" si="81"/>
        <v>42551</v>
      </c>
      <c r="D319" s="877" t="s">
        <v>320</v>
      </c>
      <c r="E319" s="877">
        <v>42551</v>
      </c>
      <c r="F319" s="879" t="s">
        <v>1322</v>
      </c>
      <c r="G319" s="922" t="s">
        <v>1323</v>
      </c>
      <c r="H319" s="881"/>
      <c r="I319" s="882"/>
      <c r="J319" s="882"/>
      <c r="K319" s="883">
        <f>G312*$G319</f>
        <v>165000</v>
      </c>
      <c r="L319" s="925" t="s">
        <v>253</v>
      </c>
      <c r="M319" s="925" t="s">
        <v>1091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924"/>
      <c r="AC319" s="205"/>
      <c r="AD319" s="205"/>
    </row>
    <row r="320" spans="1:30" s="576" customFormat="1" ht="15.75" customHeight="1">
      <c r="A320" s="827" t="str">
        <f>IF(B320&lt;&gt;"",IF(AND(B320&gt;=_TM1,B320&lt;=_TM2,OR(TH!L320="1111",TH!M320="1111")),TH!D320,""),"")</f>
        <v/>
      </c>
      <c r="B320" s="36">
        <f t="shared" si="120"/>
        <v>6</v>
      </c>
      <c r="C320" s="877">
        <f t="shared" si="81"/>
        <v>42551</v>
      </c>
      <c r="D320" s="878" t="s">
        <v>320</v>
      </c>
      <c r="E320" s="877">
        <v>42551</v>
      </c>
      <c r="F320" s="879" t="s">
        <v>1331</v>
      </c>
      <c r="G320" s="922"/>
      <c r="H320" s="7"/>
      <c r="I320" s="882"/>
      <c r="J320" s="882"/>
      <c r="K320" s="883">
        <f>G313*$G319</f>
        <v>52500</v>
      </c>
      <c r="L320" s="925" t="s">
        <v>253</v>
      </c>
      <c r="M320" s="925" t="s">
        <v>1091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924"/>
      <c r="AC320" s="205"/>
      <c r="AD320" s="205"/>
    </row>
    <row r="321" spans="1:30" s="576" customFormat="1" ht="15.75" customHeight="1">
      <c r="A321" s="827" t="str">
        <f>IF(B321&lt;&gt;"",IF(AND(B321&gt;=_TM1,B321&lt;=_TM2,OR(TH!L321="1111",TH!M321="1111")),TH!D321,""),"")</f>
        <v/>
      </c>
      <c r="B321" s="36">
        <f t="shared" ref="B321:B323" si="122">IF(C321&lt;&gt;"",MONTH(C321),"")</f>
        <v>6</v>
      </c>
      <c r="C321" s="877">
        <f t="shared" si="81"/>
        <v>42551</v>
      </c>
      <c r="D321" s="877" t="s">
        <v>320</v>
      </c>
      <c r="E321" s="877">
        <v>42551</v>
      </c>
      <c r="F321" s="879" t="s">
        <v>1324</v>
      </c>
      <c r="G321" s="922" t="s">
        <v>1325</v>
      </c>
      <c r="H321" s="881"/>
      <c r="I321" s="882"/>
      <c r="J321" s="882"/>
      <c r="K321" s="883">
        <f>G312*$G321</f>
        <v>330000</v>
      </c>
      <c r="L321" s="925" t="s">
        <v>252</v>
      </c>
      <c r="M321" s="925" t="s">
        <v>1091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924"/>
      <c r="AC321" s="205"/>
      <c r="AD321" s="205"/>
    </row>
    <row r="322" spans="1:30" s="576" customFormat="1" ht="15.75" customHeight="1">
      <c r="A322" s="827" t="str">
        <f>IF(B322&lt;&gt;"",IF(AND(B322&gt;=_TM1,B322&lt;=_TM2,OR(TH!L322="1111",TH!M322="1111")),TH!D322,""),"")</f>
        <v/>
      </c>
      <c r="B322" s="36">
        <f t="shared" si="122"/>
        <v>6</v>
      </c>
      <c r="C322" s="877">
        <f t="shared" si="81"/>
        <v>42551</v>
      </c>
      <c r="D322" s="877" t="s">
        <v>320</v>
      </c>
      <c r="E322" s="877">
        <v>42551</v>
      </c>
      <c r="F322" s="879" t="s">
        <v>1332</v>
      </c>
      <c r="G322" s="922"/>
      <c r="H322" s="881"/>
      <c r="I322" s="882"/>
      <c r="J322" s="882"/>
      <c r="K322" s="883">
        <f>G313*$G321</f>
        <v>105000</v>
      </c>
      <c r="L322" s="923" t="s">
        <v>160</v>
      </c>
      <c r="M322" s="925" t="s">
        <v>1091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154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924"/>
      <c r="AC322" s="205"/>
      <c r="AD322" s="205"/>
    </row>
    <row r="323" spans="1:30" s="576" customFormat="1" ht="15.75" customHeight="1">
      <c r="A323" s="827" t="str">
        <f>IF(B323&lt;&gt;"",IF(AND(B323&gt;=_TM1,B323&lt;=_TM2,OR(TH!L323="1111",TH!M323="1111")),TH!D323,""),"")</f>
        <v/>
      </c>
      <c r="B323" s="36">
        <f t="shared" si="122"/>
        <v>6</v>
      </c>
      <c r="C323" s="877">
        <f t="shared" si="81"/>
        <v>42551</v>
      </c>
      <c r="D323" s="878" t="s">
        <v>320</v>
      </c>
      <c r="E323" s="877">
        <v>42551</v>
      </c>
      <c r="F323" s="879" t="s">
        <v>1326</v>
      </c>
      <c r="G323" s="922" t="s">
        <v>1327</v>
      </c>
      <c r="H323" s="7"/>
      <c r="I323" s="882"/>
      <c r="J323" s="882"/>
      <c r="K323" s="883">
        <f>G312*$G323</f>
        <v>110000</v>
      </c>
      <c r="L323" s="925" t="s">
        <v>253</v>
      </c>
      <c r="M323" s="925" t="s">
        <v>1095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924"/>
      <c r="AC323" s="205"/>
      <c r="AD323" s="205"/>
    </row>
    <row r="324" spans="1:30" s="576" customFormat="1" ht="15.75" customHeight="1">
      <c r="A324" s="827" t="str">
        <f>IF(B324&lt;&gt;"",IF(AND(B324&gt;=_TM1,B324&lt;=_TM2,OR(TH!L324="1111",TH!M324="1111")),TH!D324,""),"")</f>
        <v/>
      </c>
      <c r="B324" s="36">
        <f t="shared" ref="B324:B338" si="123">IF(C324&lt;&gt;"",MONTH(C324),"")</f>
        <v>6</v>
      </c>
      <c r="C324" s="877">
        <f t="shared" si="81"/>
        <v>42551</v>
      </c>
      <c r="D324" s="877" t="s">
        <v>320</v>
      </c>
      <c r="E324" s="877">
        <v>42551</v>
      </c>
      <c r="F324" s="879" t="s">
        <v>1333</v>
      </c>
      <c r="G324" s="922"/>
      <c r="H324" s="881"/>
      <c r="I324" s="882"/>
      <c r="J324" s="882"/>
      <c r="K324" s="883">
        <f>G313*$G323</f>
        <v>35000</v>
      </c>
      <c r="L324" s="925" t="s">
        <v>253</v>
      </c>
      <c r="M324" s="925" t="s">
        <v>1095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924"/>
      <c r="AC324" s="205"/>
      <c r="AD324" s="205"/>
    </row>
    <row r="325" spans="1:30" s="576" customFormat="1" ht="15.75" customHeight="1">
      <c r="A325" s="827" t="str">
        <f>IF(B325&lt;&gt;"",IF(AND(B325&gt;=_TM1,B325&lt;=_TM2,OR(TH!L325="1111",TH!M325="1111")),TH!D325,""),"")</f>
        <v/>
      </c>
      <c r="B325" s="36">
        <f t="shared" si="123"/>
        <v>6</v>
      </c>
      <c r="C325" s="877">
        <f t="shared" si="81"/>
        <v>42551</v>
      </c>
      <c r="D325" s="877" t="s">
        <v>320</v>
      </c>
      <c r="E325" s="877">
        <v>42551</v>
      </c>
      <c r="F325" s="879" t="s">
        <v>1328</v>
      </c>
      <c r="G325" s="922" t="s">
        <v>1327</v>
      </c>
      <c r="H325" s="881"/>
      <c r="I325" s="882"/>
      <c r="J325" s="882"/>
      <c r="K325" s="883">
        <f>K323</f>
        <v>110000</v>
      </c>
      <c r="L325" s="925" t="s">
        <v>252</v>
      </c>
      <c r="M325" s="925" t="s">
        <v>1095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924"/>
      <c r="AC325" s="205"/>
      <c r="AD325" s="205"/>
    </row>
    <row r="326" spans="1:30" s="576" customFormat="1" ht="15.75" customHeight="1">
      <c r="A326" s="827" t="str">
        <f>IF(B326&lt;&gt;"",IF(AND(B326&gt;=_TM1,B326&lt;=_TM2,OR(TH!L326="1111",TH!M326="1111")),TH!D326,""),"")</f>
        <v/>
      </c>
      <c r="B326" s="36">
        <f t="shared" si="123"/>
        <v>6</v>
      </c>
      <c r="C326" s="877">
        <f t="shared" si="81"/>
        <v>42551</v>
      </c>
      <c r="D326" s="878" t="s">
        <v>320</v>
      </c>
      <c r="E326" s="877">
        <v>42551</v>
      </c>
      <c r="F326" s="879" t="s">
        <v>1334</v>
      </c>
      <c r="G326" s="922"/>
      <c r="H326" s="7"/>
      <c r="I326" s="882"/>
      <c r="J326" s="882"/>
      <c r="K326" s="883">
        <f>K324</f>
        <v>35000</v>
      </c>
      <c r="L326" s="923" t="s">
        <v>160</v>
      </c>
      <c r="M326" s="925" t="s">
        <v>1095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>154</v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924"/>
      <c r="AC326" s="205"/>
      <c r="AD326" s="205"/>
    </row>
    <row r="327" spans="1:30" s="576" customFormat="1" ht="15.75" customHeight="1">
      <c r="A327" s="827" t="str">
        <f>IF(B327&lt;&gt;"",IF(AND(B327&gt;=_TM1,B327&lt;=_TM2,OR(TH!L327="1111",TH!M327="1111")),TH!D327,""),"")</f>
        <v/>
      </c>
      <c r="B327" s="36">
        <f t="shared" si="123"/>
        <v>7</v>
      </c>
      <c r="C327" s="877">
        <f t="shared" ref="C327:C341" si="124">E327</f>
        <v>42582</v>
      </c>
      <c r="D327" s="877" t="s">
        <v>320</v>
      </c>
      <c r="E327" s="877">
        <v>42582</v>
      </c>
      <c r="F327" s="879" t="s">
        <v>1314</v>
      </c>
      <c r="G327" s="922">
        <v>11000000</v>
      </c>
      <c r="H327" s="881"/>
      <c r="I327" s="882"/>
      <c r="J327" s="882"/>
      <c r="K327" s="883">
        <v>9836050</v>
      </c>
      <c r="L327" s="923" t="s">
        <v>83</v>
      </c>
      <c r="M327" s="923" t="s">
        <v>253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>x</v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924"/>
      <c r="AC327" s="205"/>
      <c r="AD327" s="205"/>
    </row>
    <row r="328" spans="1:30" s="576" customFormat="1" ht="15.75" customHeight="1">
      <c r="A328" s="827" t="str">
        <f>IF(B328&lt;&gt;"",IF(AND(B328&gt;=_TM1,B328&lt;=_TM2,OR(TH!L328="1111",TH!M328="1111")),TH!D328,""),"")</f>
        <v/>
      </c>
      <c r="B328" s="36">
        <f t="shared" si="123"/>
        <v>7</v>
      </c>
      <c r="C328" s="877">
        <f t="shared" si="124"/>
        <v>42582</v>
      </c>
      <c r="D328" s="877" t="s">
        <v>320</v>
      </c>
      <c r="E328" s="877">
        <v>42582</v>
      </c>
      <c r="F328" s="879" t="s">
        <v>1315</v>
      </c>
      <c r="G328" s="922">
        <v>3500000</v>
      </c>
      <c r="H328" s="881"/>
      <c r="I328" s="882"/>
      <c r="J328" s="882"/>
      <c r="K328" s="883">
        <v>3132500</v>
      </c>
      <c r="L328" s="923" t="s">
        <v>160</v>
      </c>
      <c r="M328" s="923" t="s">
        <v>253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924"/>
      <c r="AC328" s="205"/>
      <c r="AD328" s="205"/>
    </row>
    <row r="329" spans="1:30" s="576" customFormat="1" ht="15.75" customHeight="1">
      <c r="A329" s="827" t="str">
        <f>IF(B329&lt;&gt;"",IF(AND(B329&gt;=_TM1,B329&lt;=_TM2,OR(TH!L329="1111",TH!M329="1111")),TH!D329,""),"")</f>
        <v/>
      </c>
      <c r="B329" s="36">
        <f t="shared" si="123"/>
        <v>7</v>
      </c>
      <c r="C329" s="877">
        <f t="shared" si="124"/>
        <v>42582</v>
      </c>
      <c r="D329" s="878" t="s">
        <v>1316</v>
      </c>
      <c r="E329" s="877">
        <v>42582</v>
      </c>
      <c r="F329" s="879" t="s">
        <v>1341</v>
      </c>
      <c r="G329" s="922"/>
      <c r="H329" s="7" t="s">
        <v>837</v>
      </c>
      <c r="I329" s="882"/>
      <c r="J329" s="882"/>
      <c r="K329" s="883">
        <f>K327+K328</f>
        <v>12968550</v>
      </c>
      <c r="L329" s="923" t="s">
        <v>253</v>
      </c>
      <c r="M329" s="923" t="s">
        <v>47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924"/>
      <c r="AC329" s="205"/>
      <c r="AD329" s="205"/>
    </row>
    <row r="330" spans="1:30" s="576" customFormat="1" ht="15.75" customHeight="1">
      <c r="A330" s="827" t="str">
        <f>IF(B330&lt;&gt;"",IF(AND(B330&gt;=_TM1,B330&lt;=_TM2,OR(TH!L330="1111",TH!M330="1111")),TH!D330,""),"")</f>
        <v/>
      </c>
      <c r="B330" s="36">
        <f t="shared" si="123"/>
        <v>7</v>
      </c>
      <c r="C330" s="877">
        <f t="shared" si="124"/>
        <v>42582</v>
      </c>
      <c r="D330" s="877" t="s">
        <v>320</v>
      </c>
      <c r="E330" s="877">
        <v>42582</v>
      </c>
      <c r="F330" s="879" t="s">
        <v>1318</v>
      </c>
      <c r="G330" s="922" t="s">
        <v>1319</v>
      </c>
      <c r="H330" s="881"/>
      <c r="I330" s="882"/>
      <c r="J330" s="882"/>
      <c r="K330" s="883">
        <f>ROUND(G327*$G330,0)</f>
        <v>880000</v>
      </c>
      <c r="L330" s="925" t="s">
        <v>253</v>
      </c>
      <c r="M330" s="925" t="s">
        <v>1092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924"/>
      <c r="AC330" s="205"/>
      <c r="AD330" s="205"/>
    </row>
    <row r="331" spans="1:30" s="576" customFormat="1" ht="15.75" customHeight="1">
      <c r="A331" s="827" t="str">
        <f>IF(B331&lt;&gt;"",IF(AND(B331&gt;=_TM1,B331&lt;=_TM2,OR(TH!L331="1111",TH!M331="1111")),TH!D331,""),"")</f>
        <v/>
      </c>
      <c r="B331" s="36">
        <f t="shared" si="123"/>
        <v>7</v>
      </c>
      <c r="C331" s="877">
        <f t="shared" si="124"/>
        <v>42582</v>
      </c>
      <c r="D331" s="877" t="s">
        <v>320</v>
      </c>
      <c r="E331" s="877">
        <v>42582</v>
      </c>
      <c r="F331" s="879" t="s">
        <v>1329</v>
      </c>
      <c r="G331" s="922"/>
      <c r="H331" s="881"/>
      <c r="I331" s="882"/>
      <c r="J331" s="882"/>
      <c r="K331" s="883">
        <f>ROUND(G330*G328,0)</f>
        <v>280000</v>
      </c>
      <c r="L331" s="923" t="s">
        <v>253</v>
      </c>
      <c r="M331" s="926" t="s">
        <v>1092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924"/>
      <c r="AC331" s="205"/>
      <c r="AD331" s="205"/>
    </row>
    <row r="332" spans="1:30" s="576" customFormat="1" ht="15.75" customHeight="1">
      <c r="A332" s="827" t="str">
        <f>IF(B332&lt;&gt;"",IF(AND(B332&gt;=_TM1,B332&lt;=_TM2,OR(TH!L332="1111",TH!M332="1111")),TH!D332,""),"")</f>
        <v/>
      </c>
      <c r="B332" s="36">
        <f t="shared" si="123"/>
        <v>7</v>
      </c>
      <c r="C332" s="877">
        <f t="shared" si="124"/>
        <v>42582</v>
      </c>
      <c r="D332" s="878" t="s">
        <v>320</v>
      </c>
      <c r="E332" s="877">
        <v>42582</v>
      </c>
      <c r="F332" s="879" t="s">
        <v>1320</v>
      </c>
      <c r="G332" s="922" t="s">
        <v>1321</v>
      </c>
      <c r="H332" s="7"/>
      <c r="I332" s="882"/>
      <c r="J332" s="882"/>
      <c r="K332" s="883">
        <f>ROUND(G327*$G332,0)</f>
        <v>1980000</v>
      </c>
      <c r="L332" s="925" t="s">
        <v>252</v>
      </c>
      <c r="M332" s="925" t="s">
        <v>1092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>641</v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924"/>
      <c r="AC332" s="205"/>
      <c r="AD332" s="205"/>
    </row>
    <row r="333" spans="1:30" s="576" customFormat="1" ht="15.75" customHeight="1">
      <c r="A333" s="827" t="str">
        <f>IF(B333&lt;&gt;"",IF(AND(B333&gt;=_TM1,B333&lt;=_TM2,OR(TH!L333="1111",TH!M333="1111")),TH!D333,""),"")</f>
        <v/>
      </c>
      <c r="B333" s="36">
        <f t="shared" si="123"/>
        <v>7</v>
      </c>
      <c r="C333" s="877">
        <f t="shared" si="124"/>
        <v>42582</v>
      </c>
      <c r="D333" s="877" t="s">
        <v>320</v>
      </c>
      <c r="E333" s="877">
        <v>42582</v>
      </c>
      <c r="F333" s="879" t="s">
        <v>1330</v>
      </c>
      <c r="G333" s="922"/>
      <c r="H333" s="881"/>
      <c r="I333" s="882"/>
      <c r="J333" s="882"/>
      <c r="K333" s="883">
        <f>ROUND(G328*$G332,0)</f>
        <v>630000</v>
      </c>
      <c r="L333" s="923" t="s">
        <v>160</v>
      </c>
      <c r="M333" s="925" t="s">
        <v>1092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924"/>
      <c r="AC333" s="205"/>
      <c r="AD333" s="205"/>
    </row>
    <row r="334" spans="1:30" s="576" customFormat="1" ht="15.75" customHeight="1">
      <c r="A334" s="827" t="str">
        <f>IF(B334&lt;&gt;"",IF(AND(B334&gt;=_TM1,B334&lt;=_TM2,OR(TH!L334="1111",TH!M334="1111")),TH!D334,""),"")</f>
        <v/>
      </c>
      <c r="B334" s="36">
        <f t="shared" si="123"/>
        <v>7</v>
      </c>
      <c r="C334" s="877">
        <f t="shared" si="124"/>
        <v>42582</v>
      </c>
      <c r="D334" s="877" t="s">
        <v>320</v>
      </c>
      <c r="E334" s="877">
        <v>42582</v>
      </c>
      <c r="F334" s="879" t="s">
        <v>1322</v>
      </c>
      <c r="G334" s="922" t="s">
        <v>1323</v>
      </c>
      <c r="H334" s="881"/>
      <c r="I334" s="882"/>
      <c r="J334" s="882"/>
      <c r="K334" s="883">
        <f>G327*$G334</f>
        <v>165000</v>
      </c>
      <c r="L334" s="925" t="s">
        <v>253</v>
      </c>
      <c r="M334" s="925" t="s">
        <v>1091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924"/>
      <c r="AC334" s="205"/>
      <c r="AD334" s="205"/>
    </row>
    <row r="335" spans="1:30" s="576" customFormat="1" ht="15.75" customHeight="1">
      <c r="A335" s="827" t="str">
        <f>IF(B335&lt;&gt;"",IF(AND(B335&gt;=_TM1,B335&lt;=_TM2,OR(TH!L335="1111",TH!M335="1111")),TH!D335,""),"")</f>
        <v/>
      </c>
      <c r="B335" s="36">
        <f t="shared" si="123"/>
        <v>7</v>
      </c>
      <c r="C335" s="877">
        <f t="shared" si="124"/>
        <v>42582</v>
      </c>
      <c r="D335" s="878" t="s">
        <v>320</v>
      </c>
      <c r="E335" s="877">
        <v>42582</v>
      </c>
      <c r="F335" s="879" t="s">
        <v>1331</v>
      </c>
      <c r="G335" s="922"/>
      <c r="H335" s="7"/>
      <c r="I335" s="882"/>
      <c r="J335" s="882"/>
      <c r="K335" s="883">
        <f>G328*$G334</f>
        <v>52500</v>
      </c>
      <c r="L335" s="925" t="s">
        <v>253</v>
      </c>
      <c r="M335" s="925" t="s">
        <v>1091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924"/>
      <c r="AC335" s="205"/>
      <c r="AD335" s="205"/>
    </row>
    <row r="336" spans="1:30" s="576" customFormat="1" ht="15.75" customHeight="1">
      <c r="A336" s="827" t="str">
        <f>IF(B336&lt;&gt;"",IF(AND(B336&gt;=_TM1,B336&lt;=_TM2,OR(TH!L336="1111",TH!M336="1111")),TH!D336,""),"")</f>
        <v/>
      </c>
      <c r="B336" s="36">
        <f t="shared" si="123"/>
        <v>7</v>
      </c>
      <c r="C336" s="877">
        <f t="shared" si="124"/>
        <v>42582</v>
      </c>
      <c r="D336" s="877" t="s">
        <v>320</v>
      </c>
      <c r="E336" s="877">
        <v>42582</v>
      </c>
      <c r="F336" s="879" t="s">
        <v>1324</v>
      </c>
      <c r="G336" s="922" t="s">
        <v>1325</v>
      </c>
      <c r="H336" s="881"/>
      <c r="I336" s="882"/>
      <c r="J336" s="882"/>
      <c r="K336" s="883">
        <f>G327*$G336</f>
        <v>330000</v>
      </c>
      <c r="L336" s="925" t="s">
        <v>252</v>
      </c>
      <c r="M336" s="925" t="s">
        <v>1091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>641</v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924"/>
      <c r="AC336" s="205"/>
      <c r="AD336" s="205"/>
    </row>
    <row r="337" spans="1:30" s="576" customFormat="1" ht="15.75" customHeight="1">
      <c r="A337" s="827" t="str">
        <f>IF(B337&lt;&gt;"",IF(AND(B337&gt;=_TM1,B337&lt;=_TM2,OR(TH!L337="1111",TH!M337="1111")),TH!D337,""),"")</f>
        <v/>
      </c>
      <c r="B337" s="36">
        <f t="shared" si="123"/>
        <v>7</v>
      </c>
      <c r="C337" s="877">
        <f t="shared" si="124"/>
        <v>42582</v>
      </c>
      <c r="D337" s="877" t="s">
        <v>320</v>
      </c>
      <c r="E337" s="877">
        <v>42582</v>
      </c>
      <c r="F337" s="879" t="s">
        <v>1332</v>
      </c>
      <c r="G337" s="922"/>
      <c r="H337" s="881"/>
      <c r="I337" s="882"/>
      <c r="J337" s="882"/>
      <c r="K337" s="883">
        <f>G328*$G336</f>
        <v>105000</v>
      </c>
      <c r="L337" s="923" t="s">
        <v>160</v>
      </c>
      <c r="M337" s="925" t="s">
        <v>1091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924"/>
      <c r="AC337" s="205"/>
      <c r="AD337" s="205"/>
    </row>
    <row r="338" spans="1:30" s="576" customFormat="1" ht="15.75" customHeight="1">
      <c r="A338" s="827" t="str">
        <f>IF(B338&lt;&gt;"",IF(AND(B338&gt;=_TM1,B338&lt;=_TM2,OR(TH!L338="1111",TH!M338="1111")),TH!D338,""),"")</f>
        <v/>
      </c>
      <c r="B338" s="36">
        <f t="shared" si="123"/>
        <v>7</v>
      </c>
      <c r="C338" s="877">
        <f t="shared" si="124"/>
        <v>42582</v>
      </c>
      <c r="D338" s="878" t="s">
        <v>320</v>
      </c>
      <c r="E338" s="877">
        <v>42582</v>
      </c>
      <c r="F338" s="879" t="s">
        <v>1326</v>
      </c>
      <c r="G338" s="922" t="s">
        <v>1327</v>
      </c>
      <c r="H338" s="7"/>
      <c r="I338" s="882"/>
      <c r="J338" s="882"/>
      <c r="K338" s="883">
        <f>G327*$G338</f>
        <v>110000</v>
      </c>
      <c r="L338" s="925" t="s">
        <v>253</v>
      </c>
      <c r="M338" s="925" t="s">
        <v>1095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924"/>
      <c r="AC338" s="205"/>
      <c r="AD338" s="205"/>
    </row>
    <row r="339" spans="1:30" s="576" customFormat="1" ht="15.75" customHeight="1">
      <c r="A339" s="827" t="str">
        <f>IF(B339&lt;&gt;"",IF(AND(B339&gt;=_TM1,B339&lt;=_TM2,OR(TH!L339="1111",TH!M339="1111")),TH!D339,""),"")</f>
        <v/>
      </c>
      <c r="B339" s="36">
        <f t="shared" ref="B339:B341" si="125">IF(C339&lt;&gt;"",MONTH(C339),"")</f>
        <v>7</v>
      </c>
      <c r="C339" s="877">
        <f t="shared" si="124"/>
        <v>42582</v>
      </c>
      <c r="D339" s="877" t="s">
        <v>320</v>
      </c>
      <c r="E339" s="877">
        <v>42582</v>
      </c>
      <c r="F339" s="879" t="s">
        <v>1333</v>
      </c>
      <c r="G339" s="922"/>
      <c r="H339" s="881"/>
      <c r="I339" s="882"/>
      <c r="J339" s="882"/>
      <c r="K339" s="883">
        <f>G328*$G338</f>
        <v>35000</v>
      </c>
      <c r="L339" s="925" t="s">
        <v>253</v>
      </c>
      <c r="M339" s="925" t="s">
        <v>1095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924"/>
      <c r="AC339" s="205"/>
      <c r="AD339" s="205"/>
    </row>
    <row r="340" spans="1:30" s="576" customFormat="1" ht="15.75" customHeight="1">
      <c r="A340" s="827" t="str">
        <f>IF(B340&lt;&gt;"",IF(AND(B340&gt;=_TM1,B340&lt;=_TM2,OR(TH!L340="1111",TH!M340="1111")),TH!D340,""),"")</f>
        <v/>
      </c>
      <c r="B340" s="36">
        <f t="shared" si="125"/>
        <v>7</v>
      </c>
      <c r="C340" s="877">
        <f t="shared" si="124"/>
        <v>42582</v>
      </c>
      <c r="D340" s="877" t="s">
        <v>320</v>
      </c>
      <c r="E340" s="877">
        <v>42582</v>
      </c>
      <c r="F340" s="879" t="s">
        <v>1328</v>
      </c>
      <c r="G340" s="922" t="s">
        <v>1327</v>
      </c>
      <c r="H340" s="881"/>
      <c r="I340" s="882"/>
      <c r="J340" s="882"/>
      <c r="K340" s="883">
        <f>K338</f>
        <v>110000</v>
      </c>
      <c r="L340" s="925" t="s">
        <v>252</v>
      </c>
      <c r="M340" s="925" t="s">
        <v>1095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>641</v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924"/>
      <c r="AC340" s="205"/>
      <c r="AD340" s="205"/>
    </row>
    <row r="341" spans="1:30" s="576" customFormat="1" ht="15.75" customHeight="1">
      <c r="A341" s="827" t="str">
        <f>IF(B341&lt;&gt;"",IF(AND(B341&gt;=_TM1,B341&lt;=_TM2,OR(TH!L341="1111",TH!M341="1111")),TH!D341,""),"")</f>
        <v/>
      </c>
      <c r="B341" s="36">
        <f t="shared" si="125"/>
        <v>7</v>
      </c>
      <c r="C341" s="877">
        <f t="shared" si="124"/>
        <v>42582</v>
      </c>
      <c r="D341" s="878" t="s">
        <v>320</v>
      </c>
      <c r="E341" s="877">
        <v>42582</v>
      </c>
      <c r="F341" s="879" t="s">
        <v>1334</v>
      </c>
      <c r="G341" s="922"/>
      <c r="H341" s="7"/>
      <c r="I341" s="882"/>
      <c r="J341" s="882"/>
      <c r="K341" s="883">
        <f>K339</f>
        <v>35000</v>
      </c>
      <c r="L341" s="923" t="s">
        <v>160</v>
      </c>
      <c r="M341" s="925" t="s">
        <v>1095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924"/>
      <c r="AC341" s="205"/>
      <c r="AD341" s="205"/>
    </row>
    <row r="342" spans="1:30" s="576" customFormat="1" ht="15.75" customHeight="1">
      <c r="A342" s="827" t="str">
        <f>IF(B342&lt;&gt;"",IF(AND(B342&gt;=_TM1,B342&lt;=_TM2,OR(TH!L342="1111",TH!M342="1111")),TH!D342,""),"")</f>
        <v/>
      </c>
      <c r="B342" s="36">
        <f t="shared" ref="B342:B357" si="126">IF(C342&lt;&gt;"",MONTH(C342),"")</f>
        <v>7</v>
      </c>
      <c r="C342" s="877">
        <f t="shared" ref="C342:C357" si="127">E342</f>
        <v>42582</v>
      </c>
      <c r="D342" s="878" t="s">
        <v>320</v>
      </c>
      <c r="E342" s="877">
        <v>42582</v>
      </c>
      <c r="F342" s="879" t="s">
        <v>1338</v>
      </c>
      <c r="G342" s="922"/>
      <c r="H342" s="7"/>
      <c r="I342" s="882"/>
      <c r="J342" s="882"/>
      <c r="K342" s="883">
        <v>12149</v>
      </c>
      <c r="L342" s="925" t="s">
        <v>87</v>
      </c>
      <c r="M342" s="925" t="s">
        <v>1092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924"/>
      <c r="AC342" s="205"/>
      <c r="AD342" s="205"/>
    </row>
    <row r="343" spans="1:30" s="576" customFormat="1" ht="15.75" customHeight="1">
      <c r="A343" s="827" t="str">
        <f>IF(B343&lt;&gt;"",IF(AND(B343&gt;=_TM1,B343&lt;=_TM2,OR(TH!L343="1111",TH!M343="1111")),TH!D343,""),"")</f>
        <v/>
      </c>
      <c r="B343" s="36">
        <f t="shared" si="126"/>
        <v>8</v>
      </c>
      <c r="C343" s="877">
        <f t="shared" si="127"/>
        <v>42613</v>
      </c>
      <c r="D343" s="877" t="s">
        <v>320</v>
      </c>
      <c r="E343" s="877">
        <v>42613</v>
      </c>
      <c r="F343" s="879" t="s">
        <v>1314</v>
      </c>
      <c r="G343" s="922">
        <v>11000000</v>
      </c>
      <c r="H343" s="881"/>
      <c r="I343" s="882"/>
      <c r="J343" s="882"/>
      <c r="K343" s="883">
        <v>9836050</v>
      </c>
      <c r="L343" s="923" t="s">
        <v>83</v>
      </c>
      <c r="M343" s="923" t="s">
        <v>253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>x</v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924"/>
      <c r="AC343" s="205"/>
      <c r="AD343" s="205"/>
    </row>
    <row r="344" spans="1:30" s="576" customFormat="1" ht="15.75" customHeight="1">
      <c r="A344" s="827" t="str">
        <f>IF(B344&lt;&gt;"",IF(AND(B344&gt;=_TM1,B344&lt;=_TM2,OR(TH!L344="1111",TH!M344="1111")),TH!D344,""),"")</f>
        <v/>
      </c>
      <c r="B344" s="36">
        <f t="shared" si="126"/>
        <v>8</v>
      </c>
      <c r="C344" s="877">
        <f t="shared" si="127"/>
        <v>42613</v>
      </c>
      <c r="D344" s="877" t="s">
        <v>320</v>
      </c>
      <c r="E344" s="877">
        <v>42613</v>
      </c>
      <c r="F344" s="879" t="s">
        <v>1315</v>
      </c>
      <c r="G344" s="922">
        <v>3500000</v>
      </c>
      <c r="H344" s="881"/>
      <c r="I344" s="882"/>
      <c r="J344" s="882"/>
      <c r="K344" s="883">
        <v>3132500</v>
      </c>
      <c r="L344" s="923" t="s">
        <v>160</v>
      </c>
      <c r="M344" s="923" t="s">
        <v>253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924"/>
      <c r="AC344" s="205"/>
      <c r="AD344" s="205"/>
    </row>
    <row r="345" spans="1:30" s="576" customFormat="1" ht="15.75" customHeight="1">
      <c r="A345" s="827" t="str">
        <f>IF(B345&lt;&gt;"",IF(AND(B345&gt;=_TM1,B345&lt;=_TM2,OR(TH!L345="1111",TH!M345="1111")),TH!D345,""),"")</f>
        <v/>
      </c>
      <c r="B345" s="36">
        <f t="shared" si="126"/>
        <v>8</v>
      </c>
      <c r="C345" s="877">
        <f t="shared" si="127"/>
        <v>42613</v>
      </c>
      <c r="D345" s="878" t="s">
        <v>1316</v>
      </c>
      <c r="E345" s="877">
        <v>42613</v>
      </c>
      <c r="F345" s="879" t="s">
        <v>1342</v>
      </c>
      <c r="G345" s="922"/>
      <c r="H345" s="7" t="s">
        <v>837</v>
      </c>
      <c r="I345" s="882"/>
      <c r="J345" s="882"/>
      <c r="K345" s="883">
        <f>K343+K344</f>
        <v>12968550</v>
      </c>
      <c r="L345" s="923" t="s">
        <v>253</v>
      </c>
      <c r="M345" s="923" t="s">
        <v>47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924"/>
      <c r="AC345" s="205"/>
      <c r="AD345" s="205"/>
    </row>
    <row r="346" spans="1:30" s="576" customFormat="1" ht="15.75" customHeight="1">
      <c r="A346" s="827" t="str">
        <f>IF(B346&lt;&gt;"",IF(AND(B346&gt;=_TM1,B346&lt;=_TM2,OR(TH!L346="1111",TH!M346="1111")),TH!D346,""),"")</f>
        <v/>
      </c>
      <c r="B346" s="36">
        <f t="shared" si="126"/>
        <v>8</v>
      </c>
      <c r="C346" s="877">
        <f t="shared" si="127"/>
        <v>42613</v>
      </c>
      <c r="D346" s="877" t="s">
        <v>320</v>
      </c>
      <c r="E346" s="877">
        <v>42613</v>
      </c>
      <c r="F346" s="879" t="s">
        <v>1318</v>
      </c>
      <c r="G346" s="922" t="s">
        <v>1319</v>
      </c>
      <c r="H346" s="881"/>
      <c r="I346" s="882"/>
      <c r="J346" s="882"/>
      <c r="K346" s="883">
        <f>ROUND(G343*$G346,0)</f>
        <v>880000</v>
      </c>
      <c r="L346" s="925" t="s">
        <v>253</v>
      </c>
      <c r="M346" s="925" t="s">
        <v>1092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924"/>
      <c r="AC346" s="205"/>
      <c r="AD346" s="205"/>
    </row>
    <row r="347" spans="1:30" s="576" customFormat="1" ht="15.75" customHeight="1">
      <c r="A347" s="827" t="str">
        <f>IF(B347&lt;&gt;"",IF(AND(B347&gt;=_TM1,B347&lt;=_TM2,OR(TH!L347="1111",TH!M347="1111")),TH!D347,""),"")</f>
        <v/>
      </c>
      <c r="B347" s="36">
        <f t="shared" si="126"/>
        <v>8</v>
      </c>
      <c r="C347" s="877">
        <f t="shared" si="127"/>
        <v>42613</v>
      </c>
      <c r="D347" s="877" t="s">
        <v>320</v>
      </c>
      <c r="E347" s="877">
        <v>42613</v>
      </c>
      <c r="F347" s="879" t="s">
        <v>1329</v>
      </c>
      <c r="G347" s="922"/>
      <c r="H347" s="881"/>
      <c r="I347" s="882"/>
      <c r="J347" s="882"/>
      <c r="K347" s="883">
        <f>ROUND(G346*G344,0)</f>
        <v>280000</v>
      </c>
      <c r="L347" s="923" t="s">
        <v>253</v>
      </c>
      <c r="M347" s="926" t="s">
        <v>1092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924"/>
      <c r="AC347" s="205"/>
      <c r="AD347" s="205"/>
    </row>
    <row r="348" spans="1:30" s="576" customFormat="1" ht="15.75" customHeight="1">
      <c r="A348" s="827" t="str">
        <f>IF(B348&lt;&gt;"",IF(AND(B348&gt;=_TM1,B348&lt;=_TM2,OR(TH!L348="1111",TH!M348="1111")),TH!D348,""),"")</f>
        <v/>
      </c>
      <c r="B348" s="36">
        <f t="shared" si="126"/>
        <v>8</v>
      </c>
      <c r="C348" s="877">
        <f t="shared" si="127"/>
        <v>42613</v>
      </c>
      <c r="D348" s="878" t="s">
        <v>320</v>
      </c>
      <c r="E348" s="877">
        <v>42613</v>
      </c>
      <c r="F348" s="879" t="s">
        <v>1320</v>
      </c>
      <c r="G348" s="922" t="s">
        <v>1321</v>
      </c>
      <c r="H348" s="7"/>
      <c r="I348" s="882"/>
      <c r="J348" s="882"/>
      <c r="K348" s="883">
        <f>ROUND(G343*$G348,0)</f>
        <v>1980000</v>
      </c>
      <c r="L348" s="925" t="s">
        <v>252</v>
      </c>
      <c r="M348" s="925" t="s">
        <v>1092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>641</v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924"/>
      <c r="AC348" s="205"/>
      <c r="AD348" s="205"/>
    </row>
    <row r="349" spans="1:30" s="576" customFormat="1" ht="15.75" customHeight="1">
      <c r="A349" s="827" t="str">
        <f>IF(B349&lt;&gt;"",IF(AND(B349&gt;=_TM1,B349&lt;=_TM2,OR(TH!L349="1111",TH!M349="1111")),TH!D349,""),"")</f>
        <v/>
      </c>
      <c r="B349" s="36">
        <f t="shared" si="126"/>
        <v>8</v>
      </c>
      <c r="C349" s="877">
        <f t="shared" si="127"/>
        <v>42613</v>
      </c>
      <c r="D349" s="877" t="s">
        <v>320</v>
      </c>
      <c r="E349" s="877">
        <v>42613</v>
      </c>
      <c r="F349" s="879" t="s">
        <v>1330</v>
      </c>
      <c r="G349" s="922"/>
      <c r="H349" s="881"/>
      <c r="I349" s="882"/>
      <c r="J349" s="882"/>
      <c r="K349" s="883">
        <f>ROUND(G344*$G348,0)</f>
        <v>630000</v>
      </c>
      <c r="L349" s="923" t="s">
        <v>160</v>
      </c>
      <c r="M349" s="925" t="s">
        <v>1092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924"/>
      <c r="AC349" s="205"/>
      <c r="AD349" s="205"/>
    </row>
    <row r="350" spans="1:30" s="576" customFormat="1" ht="15.75" customHeight="1">
      <c r="A350" s="827" t="str">
        <f>IF(B350&lt;&gt;"",IF(AND(B350&gt;=_TM1,B350&lt;=_TM2,OR(TH!L350="1111",TH!M350="1111")),TH!D350,""),"")</f>
        <v/>
      </c>
      <c r="B350" s="36">
        <f t="shared" si="126"/>
        <v>8</v>
      </c>
      <c r="C350" s="877">
        <f t="shared" si="127"/>
        <v>42613</v>
      </c>
      <c r="D350" s="877" t="s">
        <v>320</v>
      </c>
      <c r="E350" s="877">
        <v>42613</v>
      </c>
      <c r="F350" s="879" t="s">
        <v>1322</v>
      </c>
      <c r="G350" s="922" t="s">
        <v>1323</v>
      </c>
      <c r="H350" s="881"/>
      <c r="I350" s="882"/>
      <c r="J350" s="882"/>
      <c r="K350" s="883">
        <f>G343*$G350</f>
        <v>165000</v>
      </c>
      <c r="L350" s="925" t="s">
        <v>253</v>
      </c>
      <c r="M350" s="925" t="s">
        <v>1091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924"/>
      <c r="AC350" s="205"/>
      <c r="AD350" s="205"/>
    </row>
    <row r="351" spans="1:30" s="576" customFormat="1" ht="15.75" customHeight="1">
      <c r="A351" s="827" t="str">
        <f>IF(B351&lt;&gt;"",IF(AND(B351&gt;=_TM1,B351&lt;=_TM2,OR(TH!L351="1111",TH!M351="1111")),TH!D351,""),"")</f>
        <v/>
      </c>
      <c r="B351" s="36">
        <f t="shared" si="126"/>
        <v>8</v>
      </c>
      <c r="C351" s="877">
        <f t="shared" si="127"/>
        <v>42613</v>
      </c>
      <c r="D351" s="878" t="s">
        <v>320</v>
      </c>
      <c r="E351" s="877">
        <v>42613</v>
      </c>
      <c r="F351" s="879" t="s">
        <v>1331</v>
      </c>
      <c r="G351" s="922"/>
      <c r="H351" s="7"/>
      <c r="I351" s="882"/>
      <c r="J351" s="882"/>
      <c r="K351" s="883">
        <f>G344*$G350</f>
        <v>52500</v>
      </c>
      <c r="L351" s="925" t="s">
        <v>253</v>
      </c>
      <c r="M351" s="925" t="s">
        <v>1091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924"/>
      <c r="AC351" s="205"/>
      <c r="AD351" s="205"/>
    </row>
    <row r="352" spans="1:30" s="576" customFormat="1" ht="15.75" customHeight="1">
      <c r="A352" s="827" t="str">
        <f>IF(B352&lt;&gt;"",IF(AND(B352&gt;=_TM1,B352&lt;=_TM2,OR(TH!L352="1111",TH!M352="1111")),TH!D352,""),"")</f>
        <v/>
      </c>
      <c r="B352" s="36">
        <f t="shared" si="126"/>
        <v>8</v>
      </c>
      <c r="C352" s="877">
        <f t="shared" si="127"/>
        <v>42613</v>
      </c>
      <c r="D352" s="877" t="s">
        <v>320</v>
      </c>
      <c r="E352" s="877">
        <v>42613</v>
      </c>
      <c r="F352" s="879" t="s">
        <v>1324</v>
      </c>
      <c r="G352" s="922" t="s">
        <v>1325</v>
      </c>
      <c r="H352" s="881"/>
      <c r="I352" s="882"/>
      <c r="J352" s="882"/>
      <c r="K352" s="883">
        <f>G343*$G352</f>
        <v>330000</v>
      </c>
      <c r="L352" s="925" t="s">
        <v>252</v>
      </c>
      <c r="M352" s="925" t="s">
        <v>1091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>641</v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924"/>
      <c r="AC352" s="205"/>
      <c r="AD352" s="205"/>
    </row>
    <row r="353" spans="1:30" s="576" customFormat="1" ht="15.75" customHeight="1">
      <c r="A353" s="827" t="str">
        <f>IF(B353&lt;&gt;"",IF(AND(B353&gt;=_TM1,B353&lt;=_TM2,OR(TH!L353="1111",TH!M353="1111")),TH!D353,""),"")</f>
        <v/>
      </c>
      <c r="B353" s="36">
        <f t="shared" si="126"/>
        <v>8</v>
      </c>
      <c r="C353" s="877">
        <f t="shared" si="127"/>
        <v>42613</v>
      </c>
      <c r="D353" s="877" t="s">
        <v>320</v>
      </c>
      <c r="E353" s="877">
        <v>42613</v>
      </c>
      <c r="F353" s="879" t="s">
        <v>1332</v>
      </c>
      <c r="G353" s="922"/>
      <c r="H353" s="881"/>
      <c r="I353" s="882"/>
      <c r="J353" s="882"/>
      <c r="K353" s="883">
        <f>G344*$G352</f>
        <v>105000</v>
      </c>
      <c r="L353" s="923" t="s">
        <v>160</v>
      </c>
      <c r="M353" s="925" t="s">
        <v>1091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  <c r="AA353" s="924"/>
      <c r="AC353" s="205"/>
      <c r="AD353" s="205"/>
    </row>
    <row r="354" spans="1:30" s="576" customFormat="1" ht="15.75" customHeight="1">
      <c r="A354" s="827" t="str">
        <f>IF(B354&lt;&gt;"",IF(AND(B354&gt;=_TM1,B354&lt;=_TM2,OR(TH!L354="1111",TH!M354="1111")),TH!D354,""),"")</f>
        <v/>
      </c>
      <c r="B354" s="36">
        <f t="shared" si="126"/>
        <v>8</v>
      </c>
      <c r="C354" s="877">
        <f t="shared" si="127"/>
        <v>42613</v>
      </c>
      <c r="D354" s="878" t="s">
        <v>320</v>
      </c>
      <c r="E354" s="877">
        <v>42613</v>
      </c>
      <c r="F354" s="879" t="s">
        <v>1326</v>
      </c>
      <c r="G354" s="922" t="s">
        <v>1327</v>
      </c>
      <c r="H354" s="7"/>
      <c r="I354" s="882"/>
      <c r="J354" s="882"/>
      <c r="K354" s="883">
        <f>G343*$G354</f>
        <v>110000</v>
      </c>
      <c r="L354" s="925" t="s">
        <v>253</v>
      </c>
      <c r="M354" s="925" t="s">
        <v>1095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  <c r="AA354" s="924"/>
      <c r="AC354" s="205"/>
      <c r="AD354" s="205"/>
    </row>
    <row r="355" spans="1:30" s="576" customFormat="1" ht="15.75" customHeight="1">
      <c r="A355" s="827" t="str">
        <f>IF(B355&lt;&gt;"",IF(AND(B355&gt;=_TM1,B355&lt;=_TM2,OR(TH!L355="1111",TH!M355="1111")),TH!D355,""),"")</f>
        <v/>
      </c>
      <c r="B355" s="36">
        <f t="shared" si="126"/>
        <v>8</v>
      </c>
      <c r="C355" s="877">
        <f t="shared" si="127"/>
        <v>42613</v>
      </c>
      <c r="D355" s="877" t="s">
        <v>320</v>
      </c>
      <c r="E355" s="877">
        <v>42613</v>
      </c>
      <c r="F355" s="879" t="s">
        <v>1333</v>
      </c>
      <c r="G355" s="922"/>
      <c r="H355" s="881"/>
      <c r="I355" s="882"/>
      <c r="J355" s="882"/>
      <c r="K355" s="883">
        <f>G344*$G354</f>
        <v>35000</v>
      </c>
      <c r="L355" s="925" t="s">
        <v>253</v>
      </c>
      <c r="M355" s="925" t="s">
        <v>1095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924"/>
      <c r="AC355" s="205"/>
      <c r="AD355" s="205"/>
    </row>
    <row r="356" spans="1:30" s="576" customFormat="1" ht="15.75" customHeight="1">
      <c r="A356" s="827" t="str">
        <f>IF(B356&lt;&gt;"",IF(AND(B356&gt;=_TM1,B356&lt;=_TM2,OR(TH!L356="1111",TH!M356="1111")),TH!D356,""),"")</f>
        <v/>
      </c>
      <c r="B356" s="36">
        <f t="shared" si="126"/>
        <v>8</v>
      </c>
      <c r="C356" s="877">
        <f t="shared" si="127"/>
        <v>42613</v>
      </c>
      <c r="D356" s="877" t="s">
        <v>320</v>
      </c>
      <c r="E356" s="877">
        <v>42613</v>
      </c>
      <c r="F356" s="879" t="s">
        <v>1328</v>
      </c>
      <c r="G356" s="922" t="s">
        <v>1327</v>
      </c>
      <c r="H356" s="881"/>
      <c r="I356" s="882"/>
      <c r="J356" s="882"/>
      <c r="K356" s="883">
        <f>K354</f>
        <v>110000</v>
      </c>
      <c r="L356" s="925" t="s">
        <v>252</v>
      </c>
      <c r="M356" s="925" t="s">
        <v>1095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>641</v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924"/>
      <c r="AC356" s="205"/>
      <c r="AD356" s="205"/>
    </row>
    <row r="357" spans="1:30" s="576" customFormat="1" ht="15.75" customHeight="1">
      <c r="A357" s="827" t="str">
        <f>IF(B357&lt;&gt;"",IF(AND(B357&gt;=_TM1,B357&lt;=_TM2,OR(TH!L357="1111",TH!M357="1111")),TH!D357,""),"")</f>
        <v/>
      </c>
      <c r="B357" s="36">
        <f t="shared" si="126"/>
        <v>8</v>
      </c>
      <c r="C357" s="877">
        <f t="shared" si="127"/>
        <v>42613</v>
      </c>
      <c r="D357" s="878" t="s">
        <v>320</v>
      </c>
      <c r="E357" s="877">
        <v>42613</v>
      </c>
      <c r="F357" s="879" t="s">
        <v>1334</v>
      </c>
      <c r="G357" s="922"/>
      <c r="H357" s="7"/>
      <c r="I357" s="882"/>
      <c r="J357" s="882"/>
      <c r="K357" s="883">
        <f>K355</f>
        <v>35000</v>
      </c>
      <c r="L357" s="923" t="s">
        <v>160</v>
      </c>
      <c r="M357" s="925" t="s">
        <v>1095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924"/>
      <c r="AC357" s="205"/>
      <c r="AD357" s="205"/>
    </row>
    <row r="358" spans="1:30" s="576" customFormat="1" ht="15.75" customHeight="1">
      <c r="A358" s="827" t="str">
        <f>IF(B358&lt;&gt;"",IF(AND(B358&gt;=_TM1,B358&lt;=_TM2,OR(TH!L358="1111",TH!M358="1111")),TH!D358,""),"")</f>
        <v/>
      </c>
      <c r="B358" s="36">
        <f t="shared" ref="B358:B373" si="128">IF(C358&lt;&gt;"",MONTH(C358),"")</f>
        <v>8</v>
      </c>
      <c r="C358" s="877">
        <f t="shared" ref="C358:C373" si="129">E358</f>
        <v>42613</v>
      </c>
      <c r="D358" s="878" t="s">
        <v>320</v>
      </c>
      <c r="E358" s="877">
        <v>42613</v>
      </c>
      <c r="F358" s="879" t="s">
        <v>1338</v>
      </c>
      <c r="G358" s="922"/>
      <c r="H358" s="7"/>
      <c r="I358" s="882"/>
      <c r="J358" s="882"/>
      <c r="K358" s="883"/>
      <c r="L358" s="925" t="s">
        <v>87</v>
      </c>
      <c r="M358" s="925" t="s">
        <v>1092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924"/>
      <c r="AC358" s="205"/>
      <c r="AD358" s="205"/>
    </row>
    <row r="359" spans="1:30" s="576" customFormat="1" ht="15.75" customHeight="1">
      <c r="A359" s="827" t="str">
        <f>IF(B359&lt;&gt;"",IF(AND(B359&gt;=_TM1,B359&lt;=_TM2,OR(TH!L359="1111",TH!M359="1111")),TH!D359,""),"")</f>
        <v/>
      </c>
      <c r="B359" s="36">
        <f t="shared" si="128"/>
        <v>9</v>
      </c>
      <c r="C359" s="877">
        <f t="shared" si="129"/>
        <v>42643</v>
      </c>
      <c r="D359" s="877" t="s">
        <v>320</v>
      </c>
      <c r="E359" s="877">
        <v>42643</v>
      </c>
      <c r="F359" s="879" t="s">
        <v>1314</v>
      </c>
      <c r="G359" s="922">
        <v>11000000</v>
      </c>
      <c r="H359" s="881"/>
      <c r="I359" s="882"/>
      <c r="J359" s="882"/>
      <c r="K359" s="883">
        <v>9836050</v>
      </c>
      <c r="L359" s="923" t="s">
        <v>83</v>
      </c>
      <c r="M359" s="923" t="s">
        <v>253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>x</v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924"/>
      <c r="AC359" s="205"/>
      <c r="AD359" s="205"/>
    </row>
    <row r="360" spans="1:30" s="576" customFormat="1" ht="15.75" customHeight="1">
      <c r="A360" s="827" t="str">
        <f>IF(B360&lt;&gt;"",IF(AND(B360&gt;=_TM1,B360&lt;=_TM2,OR(TH!L360="1111",TH!M360="1111")),TH!D360,""),"")</f>
        <v/>
      </c>
      <c r="B360" s="36">
        <f t="shared" si="128"/>
        <v>9</v>
      </c>
      <c r="C360" s="877">
        <f t="shared" si="129"/>
        <v>42643</v>
      </c>
      <c r="D360" s="877" t="s">
        <v>320</v>
      </c>
      <c r="E360" s="877">
        <v>42643</v>
      </c>
      <c r="F360" s="879" t="s">
        <v>1315</v>
      </c>
      <c r="G360" s="922">
        <v>3500000</v>
      </c>
      <c r="H360" s="881"/>
      <c r="I360" s="882"/>
      <c r="J360" s="882"/>
      <c r="K360" s="883">
        <v>3132500</v>
      </c>
      <c r="L360" s="923" t="s">
        <v>160</v>
      </c>
      <c r="M360" s="923" t="s">
        <v>253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924"/>
      <c r="AC360" s="205"/>
      <c r="AD360" s="205"/>
    </row>
    <row r="361" spans="1:30" s="576" customFormat="1" ht="15.75" customHeight="1">
      <c r="A361" s="827" t="str">
        <f>IF(B361&lt;&gt;"",IF(AND(B361&gt;=_TM1,B361&lt;=_TM2,OR(TH!L361="1111",TH!M361="1111")),TH!D361,""),"")</f>
        <v/>
      </c>
      <c r="B361" s="36">
        <f t="shared" si="128"/>
        <v>9</v>
      </c>
      <c r="C361" s="877">
        <f t="shared" si="129"/>
        <v>42643</v>
      </c>
      <c r="D361" s="878" t="s">
        <v>1316</v>
      </c>
      <c r="E361" s="877">
        <v>42643</v>
      </c>
      <c r="F361" s="879" t="s">
        <v>1343</v>
      </c>
      <c r="G361" s="922"/>
      <c r="H361" s="7" t="s">
        <v>837</v>
      </c>
      <c r="I361" s="882"/>
      <c r="J361" s="882"/>
      <c r="K361" s="883">
        <f>K359+K360</f>
        <v>12968550</v>
      </c>
      <c r="L361" s="923" t="s">
        <v>253</v>
      </c>
      <c r="M361" s="923" t="s">
        <v>47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924"/>
      <c r="AC361" s="205"/>
      <c r="AD361" s="205"/>
    </row>
    <row r="362" spans="1:30" s="576" customFormat="1" ht="15.75" customHeight="1">
      <c r="A362" s="827" t="str">
        <f>IF(B362&lt;&gt;"",IF(AND(B362&gt;=_TM1,B362&lt;=_TM2,OR(TH!L362="1111",TH!M362="1111")),TH!D362,""),"")</f>
        <v/>
      </c>
      <c r="B362" s="36">
        <f t="shared" si="128"/>
        <v>9</v>
      </c>
      <c r="C362" s="877">
        <f t="shared" si="129"/>
        <v>42643</v>
      </c>
      <c r="D362" s="877" t="s">
        <v>320</v>
      </c>
      <c r="E362" s="877">
        <v>42643</v>
      </c>
      <c r="F362" s="879" t="s">
        <v>1318</v>
      </c>
      <c r="G362" s="922" t="s">
        <v>1319</v>
      </c>
      <c r="H362" s="881"/>
      <c r="I362" s="882"/>
      <c r="J362" s="882"/>
      <c r="K362" s="883">
        <f>ROUND(G359*$G362,0)</f>
        <v>880000</v>
      </c>
      <c r="L362" s="925" t="s">
        <v>253</v>
      </c>
      <c r="M362" s="925" t="s">
        <v>1092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924"/>
      <c r="AC362" s="205"/>
      <c r="AD362" s="205"/>
    </row>
    <row r="363" spans="1:30" s="576" customFormat="1" ht="15.75" customHeight="1">
      <c r="A363" s="827" t="str">
        <f>IF(B363&lt;&gt;"",IF(AND(B363&gt;=_TM1,B363&lt;=_TM2,OR(TH!L363="1111",TH!M363="1111")),TH!D363,""),"")</f>
        <v/>
      </c>
      <c r="B363" s="36">
        <f t="shared" si="128"/>
        <v>9</v>
      </c>
      <c r="C363" s="877">
        <f t="shared" si="129"/>
        <v>42643</v>
      </c>
      <c r="D363" s="877" t="s">
        <v>320</v>
      </c>
      <c r="E363" s="877">
        <v>42643</v>
      </c>
      <c r="F363" s="879" t="s">
        <v>1329</v>
      </c>
      <c r="G363" s="922"/>
      <c r="H363" s="881"/>
      <c r="I363" s="882"/>
      <c r="J363" s="882"/>
      <c r="K363" s="883">
        <f>ROUND(G362*G360,0)</f>
        <v>280000</v>
      </c>
      <c r="L363" s="923" t="s">
        <v>253</v>
      </c>
      <c r="M363" s="926" t="s">
        <v>1092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924"/>
      <c r="AC363" s="205"/>
      <c r="AD363" s="205"/>
    </row>
    <row r="364" spans="1:30" s="576" customFormat="1" ht="15.75" customHeight="1">
      <c r="A364" s="827" t="str">
        <f>IF(B364&lt;&gt;"",IF(AND(B364&gt;=_TM1,B364&lt;=_TM2,OR(TH!L364="1111",TH!M364="1111")),TH!D364,""),"")</f>
        <v/>
      </c>
      <c r="B364" s="36">
        <f t="shared" si="128"/>
        <v>9</v>
      </c>
      <c r="C364" s="877">
        <f t="shared" si="129"/>
        <v>42643</v>
      </c>
      <c r="D364" s="878" t="s">
        <v>320</v>
      </c>
      <c r="E364" s="877">
        <v>42643</v>
      </c>
      <c r="F364" s="879" t="s">
        <v>1320</v>
      </c>
      <c r="G364" s="922" t="s">
        <v>1321</v>
      </c>
      <c r="H364" s="7"/>
      <c r="I364" s="882"/>
      <c r="J364" s="882"/>
      <c r="K364" s="883">
        <f>ROUND(G359*$G364,0)</f>
        <v>1980000</v>
      </c>
      <c r="L364" s="925" t="s">
        <v>252</v>
      </c>
      <c r="M364" s="925" t="s">
        <v>1092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>641</v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924"/>
      <c r="AC364" s="205"/>
      <c r="AD364" s="205"/>
    </row>
    <row r="365" spans="1:30" s="576" customFormat="1" ht="15.75" customHeight="1">
      <c r="A365" s="827" t="str">
        <f>IF(B365&lt;&gt;"",IF(AND(B365&gt;=_TM1,B365&lt;=_TM2,OR(TH!L365="1111",TH!M365="1111")),TH!D365,""),"")</f>
        <v/>
      </c>
      <c r="B365" s="36">
        <f t="shared" si="128"/>
        <v>9</v>
      </c>
      <c r="C365" s="877">
        <f t="shared" si="129"/>
        <v>42643</v>
      </c>
      <c r="D365" s="877" t="s">
        <v>320</v>
      </c>
      <c r="E365" s="877">
        <v>42643</v>
      </c>
      <c r="F365" s="879" t="s">
        <v>1330</v>
      </c>
      <c r="G365" s="922"/>
      <c r="H365" s="881"/>
      <c r="I365" s="882"/>
      <c r="J365" s="882"/>
      <c r="K365" s="883">
        <f>ROUND(G360*$G364,0)</f>
        <v>630000</v>
      </c>
      <c r="L365" s="923" t="s">
        <v>160</v>
      </c>
      <c r="M365" s="925" t="s">
        <v>1092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924"/>
      <c r="AC365" s="205"/>
      <c r="AD365" s="205"/>
    </row>
    <row r="366" spans="1:30" s="576" customFormat="1" ht="15.75" customHeight="1">
      <c r="A366" s="827" t="str">
        <f>IF(B366&lt;&gt;"",IF(AND(B366&gt;=_TM1,B366&lt;=_TM2,OR(TH!L366="1111",TH!M366="1111")),TH!D366,""),"")</f>
        <v/>
      </c>
      <c r="B366" s="36">
        <f t="shared" si="128"/>
        <v>9</v>
      </c>
      <c r="C366" s="877">
        <f t="shared" si="129"/>
        <v>42643</v>
      </c>
      <c r="D366" s="877" t="s">
        <v>320</v>
      </c>
      <c r="E366" s="877">
        <v>42643</v>
      </c>
      <c r="F366" s="879" t="s">
        <v>1322</v>
      </c>
      <c r="G366" s="922" t="s">
        <v>1323</v>
      </c>
      <c r="H366" s="881"/>
      <c r="I366" s="882"/>
      <c r="J366" s="882"/>
      <c r="K366" s="883">
        <f>G359*$G366</f>
        <v>165000</v>
      </c>
      <c r="L366" s="925" t="s">
        <v>253</v>
      </c>
      <c r="M366" s="925" t="s">
        <v>1091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924"/>
      <c r="AC366" s="205"/>
      <c r="AD366" s="205"/>
    </row>
    <row r="367" spans="1:30" s="576" customFormat="1" ht="15.75" customHeight="1">
      <c r="A367" s="827" t="str">
        <f>IF(B367&lt;&gt;"",IF(AND(B367&gt;=_TM1,B367&lt;=_TM2,OR(TH!L367="1111",TH!M367="1111")),TH!D367,""),"")</f>
        <v/>
      </c>
      <c r="B367" s="36">
        <f t="shared" si="128"/>
        <v>9</v>
      </c>
      <c r="C367" s="877">
        <f t="shared" si="129"/>
        <v>42643</v>
      </c>
      <c r="D367" s="878" t="s">
        <v>320</v>
      </c>
      <c r="E367" s="877">
        <v>42643</v>
      </c>
      <c r="F367" s="879" t="s">
        <v>1331</v>
      </c>
      <c r="G367" s="922"/>
      <c r="H367" s="7"/>
      <c r="I367" s="882"/>
      <c r="J367" s="882"/>
      <c r="K367" s="883">
        <f>G360*$G366</f>
        <v>52500</v>
      </c>
      <c r="L367" s="925" t="s">
        <v>253</v>
      </c>
      <c r="M367" s="925" t="s">
        <v>1091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924"/>
      <c r="AC367" s="205"/>
      <c r="AD367" s="205"/>
    </row>
    <row r="368" spans="1:30" s="576" customFormat="1" ht="15.75" customHeight="1">
      <c r="A368" s="827" t="str">
        <f>IF(B368&lt;&gt;"",IF(AND(B368&gt;=_TM1,B368&lt;=_TM2,OR(TH!L368="1111",TH!M368="1111")),TH!D368,""),"")</f>
        <v/>
      </c>
      <c r="B368" s="36">
        <f t="shared" si="128"/>
        <v>9</v>
      </c>
      <c r="C368" s="877">
        <f t="shared" si="129"/>
        <v>42643</v>
      </c>
      <c r="D368" s="877" t="s">
        <v>320</v>
      </c>
      <c r="E368" s="877">
        <v>42643</v>
      </c>
      <c r="F368" s="879" t="s">
        <v>1324</v>
      </c>
      <c r="G368" s="922" t="s">
        <v>1325</v>
      </c>
      <c r="H368" s="881"/>
      <c r="I368" s="882"/>
      <c r="J368" s="882"/>
      <c r="K368" s="883">
        <f>G359*$G368</f>
        <v>330000</v>
      </c>
      <c r="L368" s="925" t="s">
        <v>252</v>
      </c>
      <c r="M368" s="925" t="s">
        <v>1091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>641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924"/>
      <c r="AC368" s="205"/>
      <c r="AD368" s="205"/>
    </row>
    <row r="369" spans="1:30" s="576" customFormat="1" ht="15.75" customHeight="1">
      <c r="A369" s="827" t="str">
        <f>IF(B369&lt;&gt;"",IF(AND(B369&gt;=_TM1,B369&lt;=_TM2,OR(TH!L369="1111",TH!M369="1111")),TH!D369,""),"")</f>
        <v/>
      </c>
      <c r="B369" s="36">
        <f t="shared" si="128"/>
        <v>9</v>
      </c>
      <c r="C369" s="877">
        <f t="shared" si="129"/>
        <v>42643</v>
      </c>
      <c r="D369" s="877" t="s">
        <v>320</v>
      </c>
      <c r="E369" s="877">
        <v>42643</v>
      </c>
      <c r="F369" s="879" t="s">
        <v>1332</v>
      </c>
      <c r="G369" s="922"/>
      <c r="H369" s="881"/>
      <c r="I369" s="882"/>
      <c r="J369" s="882"/>
      <c r="K369" s="883">
        <f>G360*$G368</f>
        <v>105000</v>
      </c>
      <c r="L369" s="923" t="s">
        <v>160</v>
      </c>
      <c r="M369" s="925" t="s">
        <v>1091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924"/>
      <c r="AC369" s="205"/>
      <c r="AD369" s="205"/>
    </row>
    <row r="370" spans="1:30" s="576" customFormat="1" ht="15.75" customHeight="1">
      <c r="A370" s="827" t="str">
        <f>IF(B370&lt;&gt;"",IF(AND(B370&gt;=_TM1,B370&lt;=_TM2,OR(TH!L370="1111",TH!M370="1111")),TH!D370,""),"")</f>
        <v/>
      </c>
      <c r="B370" s="36">
        <f t="shared" si="128"/>
        <v>9</v>
      </c>
      <c r="C370" s="877">
        <f t="shared" si="129"/>
        <v>42643</v>
      </c>
      <c r="D370" s="878" t="s">
        <v>320</v>
      </c>
      <c r="E370" s="877">
        <v>42643</v>
      </c>
      <c r="F370" s="879" t="s">
        <v>1326</v>
      </c>
      <c r="G370" s="922" t="s">
        <v>1327</v>
      </c>
      <c r="H370" s="7"/>
      <c r="I370" s="882"/>
      <c r="J370" s="882"/>
      <c r="K370" s="883">
        <f>G359*$G370</f>
        <v>110000</v>
      </c>
      <c r="L370" s="925" t="s">
        <v>253</v>
      </c>
      <c r="M370" s="925" t="s">
        <v>1095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924"/>
      <c r="AC370" s="205"/>
      <c r="AD370" s="205"/>
    </row>
    <row r="371" spans="1:30" s="576" customFormat="1" ht="15.75" customHeight="1">
      <c r="A371" s="827" t="str">
        <f>IF(B371&lt;&gt;"",IF(AND(B371&gt;=_TM1,B371&lt;=_TM2,OR(TH!L371="1111",TH!M371="1111")),TH!D371,""),"")</f>
        <v/>
      </c>
      <c r="B371" s="36">
        <f t="shared" si="128"/>
        <v>9</v>
      </c>
      <c r="C371" s="877">
        <f t="shared" si="129"/>
        <v>42643</v>
      </c>
      <c r="D371" s="877" t="s">
        <v>320</v>
      </c>
      <c r="E371" s="877">
        <v>42643</v>
      </c>
      <c r="F371" s="879" t="s">
        <v>1333</v>
      </c>
      <c r="G371" s="922"/>
      <c r="H371" s="881"/>
      <c r="I371" s="882"/>
      <c r="J371" s="882"/>
      <c r="K371" s="883">
        <f>G360*$G370</f>
        <v>35000</v>
      </c>
      <c r="L371" s="925" t="s">
        <v>253</v>
      </c>
      <c r="M371" s="925" t="s">
        <v>1095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924"/>
      <c r="AC371" s="205"/>
      <c r="AD371" s="205"/>
    </row>
    <row r="372" spans="1:30" s="576" customFormat="1" ht="15.75" customHeight="1">
      <c r="A372" s="827" t="str">
        <f>IF(B372&lt;&gt;"",IF(AND(B372&gt;=_TM1,B372&lt;=_TM2,OR(TH!L372="1111",TH!M372="1111")),TH!D372,""),"")</f>
        <v/>
      </c>
      <c r="B372" s="36">
        <f t="shared" si="128"/>
        <v>9</v>
      </c>
      <c r="C372" s="877">
        <f t="shared" si="129"/>
        <v>42643</v>
      </c>
      <c r="D372" s="877" t="s">
        <v>320</v>
      </c>
      <c r="E372" s="877">
        <v>42643</v>
      </c>
      <c r="F372" s="879" t="s">
        <v>1328</v>
      </c>
      <c r="G372" s="922" t="s">
        <v>1327</v>
      </c>
      <c r="H372" s="881"/>
      <c r="I372" s="882"/>
      <c r="J372" s="882"/>
      <c r="K372" s="883">
        <f>K370</f>
        <v>110000</v>
      </c>
      <c r="L372" s="925" t="s">
        <v>252</v>
      </c>
      <c r="M372" s="925" t="s">
        <v>1095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>641</v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924"/>
      <c r="AC372" s="205"/>
      <c r="AD372" s="205"/>
    </row>
    <row r="373" spans="1:30" s="576" customFormat="1" ht="15.75" customHeight="1">
      <c r="A373" s="827" t="str">
        <f>IF(B373&lt;&gt;"",IF(AND(B373&gt;=_TM1,B373&lt;=_TM2,OR(TH!L373="1111",TH!M373="1111")),TH!D373,""),"")</f>
        <v/>
      </c>
      <c r="B373" s="36">
        <f t="shared" si="128"/>
        <v>9</v>
      </c>
      <c r="C373" s="877">
        <f t="shared" si="129"/>
        <v>42643</v>
      </c>
      <c r="D373" s="878" t="s">
        <v>320</v>
      </c>
      <c r="E373" s="877">
        <v>42643</v>
      </c>
      <c r="F373" s="879" t="s">
        <v>1334</v>
      </c>
      <c r="G373" s="922"/>
      <c r="H373" s="7"/>
      <c r="I373" s="882"/>
      <c r="J373" s="882"/>
      <c r="K373" s="883">
        <f>K371</f>
        <v>35000</v>
      </c>
      <c r="L373" s="923" t="s">
        <v>160</v>
      </c>
      <c r="M373" s="925" t="s">
        <v>1095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924"/>
      <c r="AC373" s="205"/>
      <c r="AD373" s="205"/>
    </row>
    <row r="374" spans="1:30" s="576" customFormat="1" ht="15.75" customHeight="1">
      <c r="A374" s="827" t="str">
        <f>IF(B374&lt;&gt;"",IF(AND(B374&gt;=_TM1,B374&lt;=_TM2,OR(TH!L374="1111",TH!M374="1111")),TH!D374,""),"")</f>
        <v/>
      </c>
      <c r="B374" s="36">
        <f t="shared" ref="B374" si="130">IF(C374&lt;&gt;"",MONTH(C374),"")</f>
        <v>9</v>
      </c>
      <c r="C374" s="877">
        <f t="shared" ref="C374" si="131">E374</f>
        <v>42643</v>
      </c>
      <c r="D374" s="878" t="s">
        <v>320</v>
      </c>
      <c r="E374" s="877">
        <v>42643</v>
      </c>
      <c r="F374" s="879" t="s">
        <v>1338</v>
      </c>
      <c r="G374" s="922"/>
      <c r="H374" s="7"/>
      <c r="I374" s="882"/>
      <c r="J374" s="882"/>
      <c r="K374" s="883"/>
      <c r="L374" s="925" t="s">
        <v>87</v>
      </c>
      <c r="M374" s="925" t="s">
        <v>1092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924"/>
      <c r="AC374" s="205"/>
      <c r="AD374" s="205"/>
    </row>
    <row r="375" spans="1:30" ht="15.75" customHeight="1">
      <c r="A375" s="827">
        <f>IF(B375&lt;&gt;"",IF(AND(B375&gt;=_TM1,B375&lt;=_TM2,OR(TH!L375="1111",TH!M375="1111")),TH!D375,""),"")</f>
        <v>0</v>
      </c>
      <c r="B375" s="36">
        <f t="shared" ref="B375:B387" si="132">IF(C375&lt;&gt;"",MONTH(C375),"")</f>
        <v>2</v>
      </c>
      <c r="C375" s="190">
        <f t="shared" ref="C375:C376" si="133">E375</f>
        <v>42403</v>
      </c>
      <c r="D375" s="190"/>
      <c r="E375" s="190">
        <v>42403</v>
      </c>
      <c r="F375" s="191" t="s">
        <v>599</v>
      </c>
      <c r="G375" s="833" t="s">
        <v>895</v>
      </c>
      <c r="H375" s="192" t="s">
        <v>896</v>
      </c>
      <c r="I375" s="253"/>
      <c r="J375" s="253"/>
      <c r="K375" s="584">
        <v>420000</v>
      </c>
      <c r="L375" s="585" t="s">
        <v>83</v>
      </c>
      <c r="M375" s="585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>x</v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>x</v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26">
        <v>1</v>
      </c>
    </row>
    <row r="376" spans="1:30" ht="15.75" customHeight="1">
      <c r="A376" s="827">
        <f>IF(B376&lt;&gt;"",IF(AND(B376&gt;=_TM1,B376&lt;=_TM2,OR(TH!L376="1111",TH!M376="1111")),TH!D376,""),"")</f>
        <v>0</v>
      </c>
      <c r="B376" s="36">
        <f t="shared" si="132"/>
        <v>2</v>
      </c>
      <c r="C376" s="190">
        <f t="shared" si="133"/>
        <v>42403</v>
      </c>
      <c r="D376" s="190"/>
      <c r="E376" s="190">
        <v>42403</v>
      </c>
      <c r="F376" s="191" t="s">
        <v>600</v>
      </c>
      <c r="G376" s="833" t="s">
        <v>895</v>
      </c>
      <c r="H376" s="192" t="s">
        <v>896</v>
      </c>
      <c r="I376" s="253"/>
      <c r="J376" s="253"/>
      <c r="K376" s="584">
        <v>42000</v>
      </c>
      <c r="L376" s="585" t="s">
        <v>9</v>
      </c>
      <c r="M376" s="585" t="s">
        <v>47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>x</v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26">
        <v>1</v>
      </c>
    </row>
    <row r="377" spans="1:30" ht="15.75" customHeight="1">
      <c r="A377" s="827">
        <f>IF(B377&lt;&gt;"",IF(AND(B377&gt;=_TM1,B377&lt;=_TM2,OR(TH!L377="1111",TH!M377="1111")),TH!D377,""),"")</f>
        <v>0</v>
      </c>
      <c r="B377" s="36">
        <f t="shared" si="132"/>
        <v>1</v>
      </c>
      <c r="C377" s="190">
        <f t="shared" ref="C377:C392" si="134">E377</f>
        <v>42391</v>
      </c>
      <c r="D377" s="190"/>
      <c r="E377" s="190">
        <v>42391</v>
      </c>
      <c r="F377" s="191" t="s">
        <v>599</v>
      </c>
      <c r="G377" s="833" t="s">
        <v>897</v>
      </c>
      <c r="H377" s="192" t="s">
        <v>896</v>
      </c>
      <c r="I377" s="253"/>
      <c r="J377" s="253"/>
      <c r="K377" s="584">
        <v>619000</v>
      </c>
      <c r="L377" s="585" t="s">
        <v>83</v>
      </c>
      <c r="M377" s="585" t="s">
        <v>47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>x</v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>x</v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26">
        <v>1</v>
      </c>
    </row>
    <row r="378" spans="1:30" ht="15.75" customHeight="1">
      <c r="A378" s="827">
        <f>IF(B378&lt;&gt;"",IF(AND(B378&gt;=_TM1,B378&lt;=_TM2,OR(TH!L378="1111",TH!M378="1111")),TH!D378,""),"")</f>
        <v>0</v>
      </c>
      <c r="B378" s="36">
        <f t="shared" si="132"/>
        <v>1</v>
      </c>
      <c r="C378" s="190">
        <f t="shared" si="134"/>
        <v>42391</v>
      </c>
      <c r="D378" s="190"/>
      <c r="E378" s="190">
        <v>42391</v>
      </c>
      <c r="F378" s="191" t="s">
        <v>600</v>
      </c>
      <c r="G378" s="833" t="s">
        <v>897</v>
      </c>
      <c r="H378" s="192" t="s">
        <v>896</v>
      </c>
      <c r="I378" s="253"/>
      <c r="J378" s="253"/>
      <c r="K378" s="584">
        <v>61900</v>
      </c>
      <c r="L378" s="585" t="s">
        <v>9</v>
      </c>
      <c r="M378" s="585" t="s">
        <v>47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>x</v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26">
        <v>1</v>
      </c>
    </row>
    <row r="379" spans="1:30" ht="15.75" customHeight="1">
      <c r="A379" s="827">
        <f>IF(B379&lt;&gt;"",IF(AND(B379&gt;=_TM1,B379&lt;=_TM2,OR(TH!L379="1111",TH!M379="1111")),TH!D379,""),"")</f>
        <v>0</v>
      </c>
      <c r="B379" s="36">
        <f t="shared" si="132"/>
        <v>3</v>
      </c>
      <c r="C379" s="190">
        <f t="shared" si="134"/>
        <v>42439</v>
      </c>
      <c r="D379" s="190"/>
      <c r="E379" s="190">
        <v>42439</v>
      </c>
      <c r="F379" s="191" t="s">
        <v>599</v>
      </c>
      <c r="G379" s="833" t="s">
        <v>899</v>
      </c>
      <c r="H379" s="192" t="s">
        <v>898</v>
      </c>
      <c r="I379" s="253"/>
      <c r="J379" s="253"/>
      <c r="K379" s="584">
        <v>1610000</v>
      </c>
      <c r="L379" s="585" t="s">
        <v>83</v>
      </c>
      <c r="M379" s="585" t="s">
        <v>47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>x</v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>x</v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26">
        <v>1</v>
      </c>
    </row>
    <row r="380" spans="1:30" ht="15.75" customHeight="1">
      <c r="A380" s="827">
        <f>IF(B380&lt;&gt;"",IF(AND(B380&gt;=_TM1,B380&lt;=_TM2,OR(TH!L380="1111",TH!M380="1111")),TH!D380,""),"")</f>
        <v>0</v>
      </c>
      <c r="B380" s="36">
        <f t="shared" si="132"/>
        <v>3</v>
      </c>
      <c r="C380" s="190">
        <f t="shared" si="134"/>
        <v>42439</v>
      </c>
      <c r="D380" s="190"/>
      <c r="E380" s="190">
        <v>42439</v>
      </c>
      <c r="F380" s="191" t="s">
        <v>600</v>
      </c>
      <c r="G380" s="833" t="s">
        <v>899</v>
      </c>
      <c r="H380" s="192" t="s">
        <v>898</v>
      </c>
      <c r="I380" s="253"/>
      <c r="J380" s="253"/>
      <c r="K380" s="584">
        <v>161000</v>
      </c>
      <c r="L380" s="585" t="s">
        <v>9</v>
      </c>
      <c r="M380" s="585" t="s">
        <v>47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>x</v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26">
        <v>1</v>
      </c>
    </row>
    <row r="381" spans="1:30" ht="15.75" customHeight="1">
      <c r="A381" s="827">
        <f>IF(B381&lt;&gt;"",IF(AND(B381&gt;=_TM1,B381&lt;=_TM2,OR(TH!L381="1111",TH!M381="1111")),TH!D381,""),"")</f>
        <v>0</v>
      </c>
      <c r="B381" s="36">
        <f t="shared" si="132"/>
        <v>2</v>
      </c>
      <c r="C381" s="190">
        <f t="shared" si="134"/>
        <v>42426</v>
      </c>
      <c r="D381" s="190"/>
      <c r="E381" s="190">
        <v>42426</v>
      </c>
      <c r="F381" s="191" t="s">
        <v>599</v>
      </c>
      <c r="G381" s="829" t="s">
        <v>901</v>
      </c>
      <c r="H381" s="192" t="s">
        <v>900</v>
      </c>
      <c r="I381" s="253"/>
      <c r="J381" s="253"/>
      <c r="K381" s="584">
        <v>907200</v>
      </c>
      <c r="L381" s="585" t="s">
        <v>83</v>
      </c>
      <c r="M381" s="585" t="s">
        <v>47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>x</v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>x</v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26">
        <v>1</v>
      </c>
    </row>
    <row r="382" spans="1:30" ht="15.75" customHeight="1">
      <c r="A382" s="827">
        <f>IF(B382&lt;&gt;"",IF(AND(B382&gt;=_TM1,B382&lt;=_TM2,OR(TH!L382="1111",TH!M382="1111")),TH!D382,""),"")</f>
        <v>0</v>
      </c>
      <c r="B382" s="36">
        <f t="shared" si="132"/>
        <v>2</v>
      </c>
      <c r="C382" s="190">
        <f t="shared" si="134"/>
        <v>42426</v>
      </c>
      <c r="D382" s="190"/>
      <c r="E382" s="190">
        <v>42426</v>
      </c>
      <c r="F382" s="191" t="s">
        <v>600</v>
      </c>
      <c r="G382" s="829" t="s">
        <v>901</v>
      </c>
      <c r="H382" s="192" t="s">
        <v>900</v>
      </c>
      <c r="I382" s="253"/>
      <c r="J382" s="253"/>
      <c r="K382" s="584">
        <v>90720</v>
      </c>
      <c r="L382" s="585" t="s">
        <v>9</v>
      </c>
      <c r="M382" s="585" t="s">
        <v>47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>x</v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26">
        <v>1</v>
      </c>
    </row>
    <row r="383" spans="1:30" ht="15.75" customHeight="1">
      <c r="A383" s="827">
        <f>IF(B383&lt;&gt;"",IF(AND(B383&gt;=_TM1,B383&lt;=_TM2,OR(TH!L383="1111",TH!M383="1111")),TH!D383,""),"")</f>
        <v>0</v>
      </c>
      <c r="B383" s="36">
        <f t="shared" si="132"/>
        <v>2</v>
      </c>
      <c r="C383" s="190">
        <f t="shared" si="134"/>
        <v>42429</v>
      </c>
      <c r="D383" s="37"/>
      <c r="E383" s="37">
        <v>42429</v>
      </c>
      <c r="F383" s="191" t="s">
        <v>902</v>
      </c>
      <c r="G383" s="829" t="s">
        <v>904</v>
      </c>
      <c r="H383" s="192" t="s">
        <v>423</v>
      </c>
      <c r="I383" s="253"/>
      <c r="J383" s="253"/>
      <c r="K383" s="584">
        <v>4545536</v>
      </c>
      <c r="L383" s="585" t="s">
        <v>83</v>
      </c>
      <c r="M383" s="585" t="s">
        <v>47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>x</v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>x</v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26">
        <v>1</v>
      </c>
    </row>
    <row r="384" spans="1:30" ht="15.75" customHeight="1">
      <c r="A384" s="827">
        <f>IF(B384&lt;&gt;"",IF(AND(B384&gt;=_TM1,B384&lt;=_TM2,OR(TH!L384="1111",TH!M384="1111")),TH!D384,""),"")</f>
        <v>0</v>
      </c>
      <c r="B384" s="36">
        <f t="shared" si="132"/>
        <v>2</v>
      </c>
      <c r="C384" s="190">
        <f t="shared" si="134"/>
        <v>42429</v>
      </c>
      <c r="D384" s="37"/>
      <c r="E384" s="37">
        <v>42429</v>
      </c>
      <c r="F384" s="191" t="s">
        <v>903</v>
      </c>
      <c r="G384" s="829" t="s">
        <v>904</v>
      </c>
      <c r="H384" s="192" t="s">
        <v>423</v>
      </c>
      <c r="I384" s="253"/>
      <c r="J384" s="253"/>
      <c r="K384" s="584">
        <v>454553</v>
      </c>
      <c r="L384" s="585" t="s">
        <v>9</v>
      </c>
      <c r="M384" s="585" t="s">
        <v>47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>x</v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26">
        <v>1</v>
      </c>
    </row>
    <row r="385" spans="1:28" ht="15.75" customHeight="1">
      <c r="A385" s="827">
        <f>IF(B385&lt;&gt;"",IF(AND(B385&gt;=_TM1,B385&lt;=_TM2,OR(TH!L385="1111",TH!M385="1111")),TH!D385,""),"")</f>
        <v>0</v>
      </c>
      <c r="B385" s="36">
        <f t="shared" si="132"/>
        <v>2</v>
      </c>
      <c r="C385" s="190">
        <f t="shared" si="134"/>
        <v>42406</v>
      </c>
      <c r="D385" s="37"/>
      <c r="E385" s="37">
        <v>42406</v>
      </c>
      <c r="F385" s="191" t="s">
        <v>908</v>
      </c>
      <c r="G385" s="837" t="s">
        <v>907</v>
      </c>
      <c r="H385" s="7" t="s">
        <v>905</v>
      </c>
      <c r="I385" s="253"/>
      <c r="J385" s="253"/>
      <c r="K385" s="584">
        <f>4600000+160000</f>
        <v>4760000</v>
      </c>
      <c r="L385" s="585" t="s">
        <v>83</v>
      </c>
      <c r="M385" s="585" t="s">
        <v>47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>x</v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>x</v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26">
        <v>2</v>
      </c>
    </row>
    <row r="386" spans="1:28" ht="15.75" customHeight="1">
      <c r="A386" s="827">
        <f>IF(B386&lt;&gt;"",IF(AND(B386&gt;=_TM1,B386&lt;=_TM2,OR(TH!L386="1111",TH!M386="1111")),TH!D386,""),"")</f>
        <v>0</v>
      </c>
      <c r="B386" s="36">
        <f t="shared" si="132"/>
        <v>2</v>
      </c>
      <c r="C386" s="190">
        <f t="shared" si="134"/>
        <v>42406</v>
      </c>
      <c r="D386" s="37"/>
      <c r="E386" s="37">
        <v>42406</v>
      </c>
      <c r="F386" s="191" t="s">
        <v>906</v>
      </c>
      <c r="G386" s="837" t="s">
        <v>907</v>
      </c>
      <c r="H386" s="7" t="s">
        <v>905</v>
      </c>
      <c r="I386" s="253"/>
      <c r="J386" s="253"/>
      <c r="K386" s="584">
        <v>460000</v>
      </c>
      <c r="L386" s="39" t="s">
        <v>9</v>
      </c>
      <c r="M386" s="585" t="s">
        <v>47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>x</v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26">
        <v>2</v>
      </c>
    </row>
    <row r="387" spans="1:28" ht="15.75" customHeight="1">
      <c r="A387" s="827">
        <f>IF(B387&lt;&gt;"",IF(AND(B387&gt;=_TM1,B387&lt;=_TM2,OR(TH!L387="1111",TH!M387="1111")),TH!D387,""),"")</f>
        <v>0</v>
      </c>
      <c r="B387" s="36">
        <f t="shared" si="132"/>
        <v>1</v>
      </c>
      <c r="C387" s="190">
        <f t="shared" si="134"/>
        <v>42388</v>
      </c>
      <c r="D387" s="37"/>
      <c r="E387" s="37">
        <v>42388</v>
      </c>
      <c r="F387" s="191" t="s">
        <v>909</v>
      </c>
      <c r="G387" s="829" t="s">
        <v>912</v>
      </c>
      <c r="H387" s="7" t="s">
        <v>910</v>
      </c>
      <c r="I387" s="253"/>
      <c r="J387" s="253"/>
      <c r="K387" s="584">
        <v>100000</v>
      </c>
      <c r="L387" s="585" t="s">
        <v>83</v>
      </c>
      <c r="M387" s="585" t="s">
        <v>47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>x</v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>x</v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26">
        <v>1</v>
      </c>
    </row>
    <row r="388" spans="1:28" ht="15.75" customHeight="1">
      <c r="A388" s="827">
        <f>IF(B388&lt;&gt;"",IF(AND(B388&gt;=_TM1,B388&lt;=_TM2,OR(TH!L388="1111",TH!M388="1111")),TH!D388,""),"")</f>
        <v>0</v>
      </c>
      <c r="B388" s="36">
        <f t="shared" ref="B388:B392" si="135">IF(C388&lt;&gt;"",MONTH(C388),"")</f>
        <v>1</v>
      </c>
      <c r="C388" s="190">
        <f t="shared" si="134"/>
        <v>42388</v>
      </c>
      <c r="D388" s="37"/>
      <c r="E388" s="37">
        <v>42388</v>
      </c>
      <c r="F388" s="191" t="s">
        <v>911</v>
      </c>
      <c r="G388" s="829" t="s">
        <v>912</v>
      </c>
      <c r="H388" s="7" t="s">
        <v>910</v>
      </c>
      <c r="I388" s="253"/>
      <c r="J388" s="253"/>
      <c r="K388" s="584">
        <v>10000</v>
      </c>
      <c r="L388" s="585" t="s">
        <v>9</v>
      </c>
      <c r="M388" s="585" t="s">
        <v>47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>x</v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26">
        <v>1</v>
      </c>
    </row>
    <row r="389" spans="1:28" ht="15.75" customHeight="1">
      <c r="A389" s="827">
        <f>IF(B389&lt;&gt;"",IF(AND(B389&gt;=_TM1,B389&lt;=_TM2,OR(TH!L389="1111",TH!M389="1111")),TH!D389,""),"")</f>
        <v>0</v>
      </c>
      <c r="B389" s="36">
        <f t="shared" si="135"/>
        <v>3</v>
      </c>
      <c r="C389" s="190">
        <f t="shared" si="134"/>
        <v>42456</v>
      </c>
      <c r="D389" s="37"/>
      <c r="E389" s="37">
        <v>42456</v>
      </c>
      <c r="F389" s="191" t="s">
        <v>909</v>
      </c>
      <c r="G389" s="837" t="s">
        <v>913</v>
      </c>
      <c r="H389" s="7" t="s">
        <v>910</v>
      </c>
      <c r="I389" s="253"/>
      <c r="J389" s="253"/>
      <c r="K389" s="584">
        <v>148636</v>
      </c>
      <c r="L389" s="585" t="s">
        <v>83</v>
      </c>
      <c r="M389" s="585" t="s">
        <v>47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>x</v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>x</v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26">
        <v>1</v>
      </c>
    </row>
    <row r="390" spans="1:28" ht="15.75" customHeight="1">
      <c r="A390" s="827">
        <f>IF(B390&lt;&gt;"",IF(AND(B390&gt;=_TM1,B390&lt;=_TM2,OR(TH!L390="1111",TH!M390="1111")),TH!D390,""),"")</f>
        <v>0</v>
      </c>
      <c r="B390" s="36">
        <f t="shared" si="135"/>
        <v>3</v>
      </c>
      <c r="C390" s="190">
        <f t="shared" si="134"/>
        <v>42456</v>
      </c>
      <c r="D390" s="37"/>
      <c r="E390" s="37">
        <v>42456</v>
      </c>
      <c r="F390" s="191" t="s">
        <v>911</v>
      </c>
      <c r="G390" s="837" t="s">
        <v>913</v>
      </c>
      <c r="H390" s="7" t="s">
        <v>910</v>
      </c>
      <c r="I390" s="253"/>
      <c r="J390" s="253"/>
      <c r="K390" s="584">
        <v>14864</v>
      </c>
      <c r="L390" s="585" t="s">
        <v>9</v>
      </c>
      <c r="M390" s="585" t="s">
        <v>47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>x</v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26">
        <v>1</v>
      </c>
    </row>
    <row r="391" spans="1:28" ht="15.75" customHeight="1">
      <c r="A391" s="827">
        <f>IF(B391&lt;&gt;"",IF(AND(B391&gt;=_TM1,B391&lt;=_TM2,OR(TH!L391="1111",TH!M391="1111")),TH!D391,""),"")</f>
        <v>0</v>
      </c>
      <c r="B391" s="36">
        <f t="shared" si="135"/>
        <v>3</v>
      </c>
      <c r="C391" s="190">
        <f t="shared" si="134"/>
        <v>42455</v>
      </c>
      <c r="D391" s="37"/>
      <c r="E391" s="37">
        <v>42455</v>
      </c>
      <c r="F391" s="191" t="s">
        <v>909</v>
      </c>
      <c r="G391" s="837" t="s">
        <v>914</v>
      </c>
      <c r="H391" s="7" t="s">
        <v>910</v>
      </c>
      <c r="I391" s="253"/>
      <c r="J391" s="253"/>
      <c r="K391" s="584">
        <v>105455</v>
      </c>
      <c r="L391" s="585" t="s">
        <v>83</v>
      </c>
      <c r="M391" s="585" t="s">
        <v>47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>x</v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>x</v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26">
        <v>1</v>
      </c>
    </row>
    <row r="392" spans="1:28" ht="15.75" customHeight="1">
      <c r="A392" s="827">
        <f>IF(B392&lt;&gt;"",IF(AND(B392&gt;=_TM1,B392&lt;=_TM2,OR(TH!L392="1111",TH!M392="1111")),TH!D392,""),"")</f>
        <v>0</v>
      </c>
      <c r="B392" s="36">
        <f t="shared" si="135"/>
        <v>3</v>
      </c>
      <c r="C392" s="190">
        <f t="shared" si="134"/>
        <v>42455</v>
      </c>
      <c r="D392" s="37"/>
      <c r="E392" s="37">
        <v>42455</v>
      </c>
      <c r="F392" s="191" t="s">
        <v>911</v>
      </c>
      <c r="G392" s="837" t="s">
        <v>914</v>
      </c>
      <c r="H392" s="7" t="s">
        <v>910</v>
      </c>
      <c r="I392" s="253"/>
      <c r="J392" s="253"/>
      <c r="K392" s="584">
        <v>10545</v>
      </c>
      <c r="L392" s="585" t="s">
        <v>9</v>
      </c>
      <c r="M392" s="585" t="s">
        <v>47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>x</v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26">
        <v>1</v>
      </c>
    </row>
    <row r="393" spans="1:28" ht="15.75" customHeight="1">
      <c r="A393" s="827" t="str">
        <f>IF(B393&lt;&gt;"",IF(AND(B393&gt;=_TM1,B393&lt;=_TM2,OR(TH!L393="1111",TH!M393="1111")),TH!D393,""),"")</f>
        <v/>
      </c>
      <c r="B393" s="36">
        <f t="shared" ref="B393:B404" si="136">IF(C393&lt;&gt;"",MONTH(C393),"")</f>
        <v>6</v>
      </c>
      <c r="C393" s="190">
        <f t="shared" ref="C393:C404" si="137">E393</f>
        <v>42522</v>
      </c>
      <c r="D393" s="190"/>
      <c r="E393" s="190">
        <v>42522</v>
      </c>
      <c r="F393" s="191" t="s">
        <v>1100</v>
      </c>
      <c r="G393" s="833" t="s">
        <v>1102</v>
      </c>
      <c r="H393" s="192" t="s">
        <v>596</v>
      </c>
      <c r="I393" s="253"/>
      <c r="J393" s="253"/>
      <c r="K393" s="584">
        <f>39023+172727</f>
        <v>211750</v>
      </c>
      <c r="L393" s="193" t="s">
        <v>83</v>
      </c>
      <c r="M393" s="193" t="s">
        <v>47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>642</v>
      </c>
      <c r="V393" s="52" t="str">
        <f>IF(OR(TH!L393=TH!$V$7,M393=TH!$V$7),"x","")</f>
        <v>x</v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26">
        <v>2</v>
      </c>
      <c r="AB393" s="576"/>
    </row>
    <row r="394" spans="1:28" ht="15.75" customHeight="1">
      <c r="A394" s="827" t="str">
        <f>IF(B394&lt;&gt;"",IF(AND(B394&gt;=_TM1,B394&lt;=_TM2,OR(TH!L394="1111",TH!M394="1111")),TH!D394,""),"")</f>
        <v/>
      </c>
      <c r="B394" s="36">
        <f t="shared" si="136"/>
        <v>6</v>
      </c>
      <c r="C394" s="190">
        <f t="shared" si="137"/>
        <v>42522</v>
      </c>
      <c r="D394" s="190"/>
      <c r="E394" s="190">
        <v>42522</v>
      </c>
      <c r="F394" s="191" t="s">
        <v>1101</v>
      </c>
      <c r="G394" s="833" t="s">
        <v>1102</v>
      </c>
      <c r="H394" s="192" t="s">
        <v>596</v>
      </c>
      <c r="I394" s="253"/>
      <c r="J394" s="253"/>
      <c r="K394" s="584">
        <f>17273+3902</f>
        <v>21175</v>
      </c>
      <c r="L394" s="39" t="s">
        <v>9</v>
      </c>
      <c r="M394" s="193" t="s">
        <v>47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26">
        <v>2</v>
      </c>
      <c r="AB394" s="576"/>
    </row>
    <row r="395" spans="1:28" ht="15.75" customHeight="1">
      <c r="A395" s="827" t="str">
        <f>IF(B395&lt;&gt;"",IF(AND(B395&gt;=_TM1,B395&lt;=_TM2,OR(TH!L395="1111",TH!M395="1111")),TH!D395,""),"")</f>
        <v/>
      </c>
      <c r="B395" s="36">
        <f t="shared" si="136"/>
        <v>5</v>
      </c>
      <c r="C395" s="190">
        <f t="shared" si="137"/>
        <v>42491</v>
      </c>
      <c r="D395" s="190"/>
      <c r="E395" s="190">
        <v>42491</v>
      </c>
      <c r="F395" s="191" t="s">
        <v>1100</v>
      </c>
      <c r="G395" s="833" t="s">
        <v>1103</v>
      </c>
      <c r="H395" s="192" t="s">
        <v>596</v>
      </c>
      <c r="I395" s="253"/>
      <c r="J395" s="253"/>
      <c r="K395" s="584">
        <f>40081+172727</f>
        <v>212808</v>
      </c>
      <c r="L395" s="193" t="s">
        <v>83</v>
      </c>
      <c r="M395" s="193" t="s">
        <v>47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>642</v>
      </c>
      <c r="V395" s="52" t="str">
        <f>IF(OR(TH!L395=TH!$V$7,M395=TH!$V$7),"x","")</f>
        <v>x</v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26">
        <v>2</v>
      </c>
      <c r="AB395" s="576"/>
    </row>
    <row r="396" spans="1:28" ht="15.75" customHeight="1">
      <c r="A396" s="827" t="str">
        <f>IF(B396&lt;&gt;"",IF(AND(B396&gt;=_TM1,B396&lt;=_TM2,OR(TH!L396="1111",TH!M396="1111")),TH!D396,""),"")</f>
        <v/>
      </c>
      <c r="B396" s="36">
        <f t="shared" si="136"/>
        <v>5</v>
      </c>
      <c r="C396" s="190">
        <f t="shared" si="137"/>
        <v>42491</v>
      </c>
      <c r="D396" s="190"/>
      <c r="E396" s="190">
        <v>42491</v>
      </c>
      <c r="F396" s="191" t="s">
        <v>1101</v>
      </c>
      <c r="G396" s="833" t="s">
        <v>1103</v>
      </c>
      <c r="H396" s="192" t="s">
        <v>596</v>
      </c>
      <c r="I396" s="253"/>
      <c r="J396" s="253"/>
      <c r="K396" s="584">
        <f>17273+4008</f>
        <v>21281</v>
      </c>
      <c r="L396" s="39" t="s">
        <v>9</v>
      </c>
      <c r="M396" s="193" t="s">
        <v>47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26">
        <v>2</v>
      </c>
      <c r="AB396" s="576"/>
    </row>
    <row r="397" spans="1:28" ht="15.75" customHeight="1">
      <c r="A397" s="827" t="str">
        <f>IF(B397&lt;&gt;"",IF(AND(B397&gt;=_TM1,B397&lt;=_TM2,OR(TH!L397="1111",TH!M397="1111")),TH!D397,""),"")</f>
        <v/>
      </c>
      <c r="B397" s="36">
        <f t="shared" si="136"/>
        <v>4</v>
      </c>
      <c r="C397" s="190">
        <f t="shared" si="137"/>
        <v>42461</v>
      </c>
      <c r="D397" s="190"/>
      <c r="E397" s="190">
        <v>42461</v>
      </c>
      <c r="F397" s="191" t="s">
        <v>1100</v>
      </c>
      <c r="G397" s="833" t="s">
        <v>1104</v>
      </c>
      <c r="H397" s="192" t="s">
        <v>596</v>
      </c>
      <c r="I397" s="253"/>
      <c r="J397" s="253"/>
      <c r="K397" s="584">
        <f>172727+57106</f>
        <v>229833</v>
      </c>
      <c r="L397" s="193" t="s">
        <v>83</v>
      </c>
      <c r="M397" s="193" t="s">
        <v>47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>642</v>
      </c>
      <c r="V397" s="52" t="str">
        <f>IF(OR(TH!L397=TH!$V$7,M397=TH!$V$7),"x","")</f>
        <v>x</v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26">
        <v>2</v>
      </c>
      <c r="AB397" s="576"/>
    </row>
    <row r="398" spans="1:28" ht="15.75" customHeight="1">
      <c r="A398" s="827" t="str">
        <f>IF(B398&lt;&gt;"",IF(AND(B398&gt;=_TM1,B398&lt;=_TM2,OR(TH!L398="1111",TH!M398="1111")),TH!D398,""),"")</f>
        <v/>
      </c>
      <c r="B398" s="36">
        <f t="shared" si="136"/>
        <v>4</v>
      </c>
      <c r="C398" s="190">
        <f t="shared" si="137"/>
        <v>42461</v>
      </c>
      <c r="D398" s="190"/>
      <c r="E398" s="190">
        <v>42461</v>
      </c>
      <c r="F398" s="191" t="s">
        <v>1101</v>
      </c>
      <c r="G398" s="833" t="s">
        <v>1104</v>
      </c>
      <c r="H398" s="192" t="s">
        <v>596</v>
      </c>
      <c r="I398" s="256"/>
      <c r="J398" s="256"/>
      <c r="K398" s="584">
        <f>5711+17273</f>
        <v>22984</v>
      </c>
      <c r="L398" s="39" t="s">
        <v>9</v>
      </c>
      <c r="M398" s="193" t="s">
        <v>47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26">
        <v>2</v>
      </c>
      <c r="AB398" s="576"/>
    </row>
    <row r="399" spans="1:28" ht="15.75" customHeight="1">
      <c r="A399" s="827">
        <f>IF(B399&lt;&gt;"",IF(AND(B399&gt;=_TM1,B399&lt;=_TM2,OR(TH!L399="1111",TH!M399="1111")),TH!D399,""),"")</f>
        <v>0</v>
      </c>
      <c r="B399" s="36">
        <f t="shared" si="136"/>
        <v>3</v>
      </c>
      <c r="C399" s="190">
        <f t="shared" si="137"/>
        <v>42430</v>
      </c>
      <c r="D399" s="190"/>
      <c r="E399" s="190">
        <v>42430</v>
      </c>
      <c r="F399" s="191" t="s">
        <v>1100</v>
      </c>
      <c r="G399" s="833" t="s">
        <v>1105</v>
      </c>
      <c r="H399" s="192" t="s">
        <v>596</v>
      </c>
      <c r="I399" s="253"/>
      <c r="J399" s="253"/>
      <c r="K399" s="584">
        <f>172727+23924</f>
        <v>196651</v>
      </c>
      <c r="L399" s="193" t="s">
        <v>83</v>
      </c>
      <c r="M399" s="193" t="s">
        <v>47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>x</v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>x</v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26">
        <v>2</v>
      </c>
      <c r="AB399" s="576"/>
    </row>
    <row r="400" spans="1:28" ht="15.75" customHeight="1">
      <c r="A400" s="827">
        <f>IF(B400&lt;&gt;"",IF(AND(B400&gt;=_TM1,B400&lt;=_TM2,OR(TH!L400="1111",TH!M400="1111")),TH!D400,""),"")</f>
        <v>0</v>
      </c>
      <c r="B400" s="36">
        <f t="shared" si="136"/>
        <v>3</v>
      </c>
      <c r="C400" s="190">
        <f t="shared" si="137"/>
        <v>42430</v>
      </c>
      <c r="D400" s="190"/>
      <c r="E400" s="190">
        <v>42430</v>
      </c>
      <c r="F400" s="191" t="s">
        <v>1101</v>
      </c>
      <c r="G400" s="833" t="s">
        <v>1105</v>
      </c>
      <c r="H400" s="192" t="s">
        <v>596</v>
      </c>
      <c r="I400" s="253"/>
      <c r="J400" s="253"/>
      <c r="K400" s="584">
        <f>2392+17273</f>
        <v>19665</v>
      </c>
      <c r="L400" s="39" t="s">
        <v>9</v>
      </c>
      <c r="M400" s="193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>x</v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26">
        <v>2</v>
      </c>
      <c r="AB400" s="576"/>
    </row>
    <row r="401" spans="1:30" ht="15.75" customHeight="1">
      <c r="A401" s="827">
        <f>IF(B401&lt;&gt;"",IF(AND(B401&gt;=_TM1,B401&lt;=_TM2,OR(TH!L401="1111",TH!M401="1111")),TH!D401,""),"")</f>
        <v>0</v>
      </c>
      <c r="B401" s="36">
        <f t="shared" si="136"/>
        <v>2</v>
      </c>
      <c r="C401" s="190">
        <f t="shared" si="137"/>
        <v>42401</v>
      </c>
      <c r="D401" s="190"/>
      <c r="E401" s="190">
        <v>42401</v>
      </c>
      <c r="F401" s="191" t="s">
        <v>1100</v>
      </c>
      <c r="G401" s="833" t="s">
        <v>1106</v>
      </c>
      <c r="H401" s="192" t="s">
        <v>596</v>
      </c>
      <c r="I401" s="253"/>
      <c r="J401" s="253"/>
      <c r="K401" s="584">
        <f>172727+32076</f>
        <v>204803</v>
      </c>
      <c r="L401" s="193" t="s">
        <v>83</v>
      </c>
      <c r="M401" s="193" t="s">
        <v>47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>x</v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>x</v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26">
        <v>2</v>
      </c>
      <c r="AB401" s="576"/>
    </row>
    <row r="402" spans="1:30" ht="15.75" customHeight="1">
      <c r="A402" s="827">
        <f>IF(B402&lt;&gt;"",IF(AND(B402&gt;=_TM1,B402&lt;=_TM2,OR(TH!L402="1111",TH!M402="1111")),TH!D402,""),"")</f>
        <v>0</v>
      </c>
      <c r="B402" s="36">
        <f t="shared" si="136"/>
        <v>2</v>
      </c>
      <c r="C402" s="190">
        <f t="shared" si="137"/>
        <v>42401</v>
      </c>
      <c r="D402" s="190"/>
      <c r="E402" s="190">
        <v>42401</v>
      </c>
      <c r="F402" s="191" t="s">
        <v>1101</v>
      </c>
      <c r="G402" s="833" t="s">
        <v>1106</v>
      </c>
      <c r="H402" s="192" t="s">
        <v>596</v>
      </c>
      <c r="I402" s="253"/>
      <c r="J402" s="253"/>
      <c r="K402" s="584">
        <f>3208+17273</f>
        <v>20481</v>
      </c>
      <c r="L402" s="39" t="s">
        <v>9</v>
      </c>
      <c r="M402" s="193" t="s">
        <v>47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>x</v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26">
        <v>2</v>
      </c>
      <c r="AB402" s="576"/>
    </row>
    <row r="403" spans="1:30" ht="15.75" customHeight="1">
      <c r="A403" s="827">
        <f>IF(B403&lt;&gt;"",IF(AND(B403&gt;=_TM1,B403&lt;=_TM2,OR(TH!L403="1111",TH!M403="1111")),TH!D403,""),"")</f>
        <v>0</v>
      </c>
      <c r="B403" s="36">
        <f t="shared" si="136"/>
        <v>1</v>
      </c>
      <c r="C403" s="190">
        <f t="shared" si="137"/>
        <v>42370</v>
      </c>
      <c r="D403" s="190"/>
      <c r="E403" s="190">
        <v>42370</v>
      </c>
      <c r="F403" s="191" t="s">
        <v>1100</v>
      </c>
      <c r="G403" s="833" t="s">
        <v>1107</v>
      </c>
      <c r="H403" s="192" t="s">
        <v>596</v>
      </c>
      <c r="I403" s="253"/>
      <c r="J403" s="253"/>
      <c r="K403" s="584">
        <f>41589+172727</f>
        <v>214316</v>
      </c>
      <c r="L403" s="193" t="s">
        <v>83</v>
      </c>
      <c r="M403" s="193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>x</v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>x</v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26">
        <v>2</v>
      </c>
      <c r="AB403" s="576"/>
    </row>
    <row r="404" spans="1:30" ht="15.75" customHeight="1">
      <c r="A404" s="827">
        <f>IF(B404&lt;&gt;"",IF(AND(B404&gt;=_TM1,B404&lt;=_TM2,OR(TH!L404="1111",TH!M404="1111")),TH!D404,""),"")</f>
        <v>0</v>
      </c>
      <c r="B404" s="36">
        <f t="shared" si="136"/>
        <v>1</v>
      </c>
      <c r="C404" s="190">
        <f t="shared" si="137"/>
        <v>42370</v>
      </c>
      <c r="D404" s="190"/>
      <c r="E404" s="190">
        <v>42370</v>
      </c>
      <c r="F404" s="191" t="s">
        <v>1101</v>
      </c>
      <c r="G404" s="833" t="s">
        <v>1107</v>
      </c>
      <c r="H404" s="192" t="s">
        <v>596</v>
      </c>
      <c r="I404" s="253"/>
      <c r="J404" s="253"/>
      <c r="K404" s="584">
        <f>17273+4159</f>
        <v>21432</v>
      </c>
      <c r="L404" s="39" t="s">
        <v>9</v>
      </c>
      <c r="M404" s="193" t="s">
        <v>47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>x</v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26">
        <v>2</v>
      </c>
      <c r="AB404" s="576"/>
    </row>
    <row r="405" spans="1:30" s="576" customFormat="1" ht="15.75" customHeight="1">
      <c r="A405" s="827" t="str">
        <f>IF(B405&lt;&gt;"",IF(AND(B405&gt;=_TM1,B405&lt;=_TM2,OR(TH!L405="1111",TH!M405="1111")),TH!D405,""),"")</f>
        <v/>
      </c>
      <c r="B405" s="36">
        <f t="shared" ref="B405:B408" si="138">IF(C405&lt;&gt;"",MONTH(C405),"")</f>
        <v>4</v>
      </c>
      <c r="C405" s="183">
        <f t="shared" ref="C405" si="139">E405</f>
        <v>42461</v>
      </c>
      <c r="D405" s="183"/>
      <c r="E405" s="183">
        <v>42461</v>
      </c>
      <c r="F405" s="188" t="s">
        <v>425</v>
      </c>
      <c r="G405" s="834" t="s">
        <v>424</v>
      </c>
      <c r="H405" s="192" t="s">
        <v>423</v>
      </c>
      <c r="I405" s="253"/>
      <c r="J405" s="253"/>
      <c r="K405" s="51">
        <v>4545574</v>
      </c>
      <c r="L405" s="585" t="s">
        <v>83</v>
      </c>
      <c r="M405" s="585" t="s">
        <v>47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>642</v>
      </c>
      <c r="V405" s="52" t="str">
        <f>IF(OR(TH!L405=TH!$V$7,M405=TH!$V$7),"x","")</f>
        <v>x</v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26">
        <v>2</v>
      </c>
    </row>
    <row r="406" spans="1:30" s="576" customFormat="1" ht="15.75" customHeight="1">
      <c r="A406" s="827" t="str">
        <f>IF(B406&lt;&gt;"",IF(AND(B406&gt;=_TM1,B406&lt;=_TM2,OR(TH!L406="1111",TH!M406="1111")),TH!D406,""),"")</f>
        <v/>
      </c>
      <c r="B406" s="36">
        <f t="shared" si="138"/>
        <v>4</v>
      </c>
      <c r="C406" s="183">
        <f t="shared" ref="C406:C408" si="140">E406</f>
        <v>42461</v>
      </c>
      <c r="D406" s="183"/>
      <c r="E406" s="183">
        <v>42461</v>
      </c>
      <c r="F406" s="188" t="s">
        <v>426</v>
      </c>
      <c r="G406" s="834" t="s">
        <v>424</v>
      </c>
      <c r="H406" s="192" t="s">
        <v>423</v>
      </c>
      <c r="I406" s="253"/>
      <c r="J406" s="253"/>
      <c r="K406" s="584">
        <v>454557</v>
      </c>
      <c r="L406" s="39" t="s">
        <v>9</v>
      </c>
      <c r="M406" s="585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26">
        <v>2</v>
      </c>
    </row>
    <row r="407" spans="1:30" s="576" customFormat="1" ht="15.75" customHeight="1">
      <c r="A407" s="827" t="str">
        <f>IF(B407&lt;&gt;"",IF(AND(B407&gt;=_TM1,B407&lt;=_TM2,OR(TH!L407="1111",TH!M407="1111")),TH!D407,""),"")</f>
        <v/>
      </c>
      <c r="B407" s="36">
        <f t="shared" si="138"/>
        <v>5</v>
      </c>
      <c r="C407" s="183">
        <f t="shared" si="140"/>
        <v>42495</v>
      </c>
      <c r="D407" s="183"/>
      <c r="E407" s="183">
        <v>42495</v>
      </c>
      <c r="F407" s="188" t="s">
        <v>425</v>
      </c>
      <c r="G407" s="834" t="s">
        <v>427</v>
      </c>
      <c r="H407" s="192" t="s">
        <v>423</v>
      </c>
      <c r="I407" s="253"/>
      <c r="J407" s="253"/>
      <c r="K407" s="584">
        <v>1818238</v>
      </c>
      <c r="L407" s="585" t="s">
        <v>83</v>
      </c>
      <c r="M407" s="585" t="s">
        <v>47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>642</v>
      </c>
      <c r="V407" s="52" t="str">
        <f>IF(OR(TH!L407=TH!$V$7,M407=TH!$V$7),"x","")</f>
        <v>x</v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26">
        <v>2</v>
      </c>
    </row>
    <row r="408" spans="1:30" ht="15.75" customHeight="1">
      <c r="A408" s="827" t="str">
        <f>IF(B408&lt;&gt;"",IF(AND(B408&gt;=_TM1,B408&lt;=_TM2,OR(TH!L408="1111",TH!M408="1111")),TH!D408,""),"")</f>
        <v/>
      </c>
      <c r="B408" s="36">
        <f t="shared" si="138"/>
        <v>5</v>
      </c>
      <c r="C408" s="183">
        <f t="shared" si="140"/>
        <v>42495</v>
      </c>
      <c r="D408" s="183"/>
      <c r="E408" s="183">
        <v>42495</v>
      </c>
      <c r="F408" s="188" t="s">
        <v>426</v>
      </c>
      <c r="G408" s="834" t="s">
        <v>427</v>
      </c>
      <c r="H408" s="192" t="s">
        <v>423</v>
      </c>
      <c r="I408" s="253"/>
      <c r="J408" s="253"/>
      <c r="K408" s="584">
        <v>181824</v>
      </c>
      <c r="L408" s="39" t="s">
        <v>9</v>
      </c>
      <c r="M408" s="585" t="s">
        <v>47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26">
        <v>2</v>
      </c>
      <c r="AB408" s="576"/>
      <c r="AC408" s="576"/>
      <c r="AD408" s="576"/>
    </row>
    <row r="409" spans="1:30" ht="15.75" customHeight="1">
      <c r="A409" s="827" t="str">
        <f>IF(B409&lt;&gt;"",IF(AND(B409&gt;=_TM1,B409&lt;=_TM2,OR(TH!L409="1111",TH!M409="1111")),TH!D409,""),"")</f>
        <v/>
      </c>
      <c r="B409" s="36">
        <f t="shared" ref="B409" si="141">IF(C409&lt;&gt;"",MONTH(C409),"")</f>
        <v>6</v>
      </c>
      <c r="C409" s="190">
        <f t="shared" ref="C409:C411" si="142">E409</f>
        <v>42536</v>
      </c>
      <c r="D409" s="190"/>
      <c r="E409" s="190">
        <v>42536</v>
      </c>
      <c r="F409" s="191" t="s">
        <v>580</v>
      </c>
      <c r="G409" s="829" t="s">
        <v>579</v>
      </c>
      <c r="H409" s="192" t="s">
        <v>578</v>
      </c>
      <c r="I409" s="253"/>
      <c r="J409" s="253"/>
      <c r="K409" s="584">
        <v>250000</v>
      </c>
      <c r="L409" s="585" t="s">
        <v>160</v>
      </c>
      <c r="M409" s="585" t="s">
        <v>47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154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26">
        <v>2</v>
      </c>
      <c r="AB409" s="576"/>
      <c r="AC409" s="576"/>
      <c r="AD409" s="576"/>
    </row>
    <row r="410" spans="1:30" ht="15.75" customHeight="1">
      <c r="A410" s="827" t="str">
        <f>IF(B410&lt;&gt;"",IF(AND(B410&gt;=_TM1,B410&lt;=_TM2,OR(TH!L410="1111",TH!M410="1111")),TH!D410,""),"")</f>
        <v/>
      </c>
      <c r="B410" s="36">
        <f t="shared" ref="B410:B450" si="143">IF(C410&lt;&gt;"",MONTH(C410),"")</f>
        <v>6</v>
      </c>
      <c r="C410" s="190">
        <f t="shared" si="142"/>
        <v>42550</v>
      </c>
      <c r="D410" s="190"/>
      <c r="E410" s="190">
        <v>42550</v>
      </c>
      <c r="F410" s="191" t="s">
        <v>581</v>
      </c>
      <c r="G410" s="829" t="s">
        <v>582</v>
      </c>
      <c r="H410" s="192" t="s">
        <v>578</v>
      </c>
      <c r="I410" s="253"/>
      <c r="J410" s="253"/>
      <c r="K410" s="584">
        <v>750000</v>
      </c>
      <c r="L410" s="585" t="s">
        <v>160</v>
      </c>
      <c r="M410" s="585" t="s">
        <v>47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154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26">
        <v>2</v>
      </c>
      <c r="AB410" s="576"/>
      <c r="AD410" s="576"/>
    </row>
    <row r="411" spans="1:30" ht="15.75" customHeight="1">
      <c r="A411" s="827" t="str">
        <f>IF(B411&lt;&gt;"",IF(AND(B411&gt;=_TM1,B411&lt;=_TM2,OR(TH!L411="1111",TH!M411="1111")),TH!D411,""),"")</f>
        <v/>
      </c>
      <c r="B411" s="36">
        <f t="shared" si="143"/>
        <v>4</v>
      </c>
      <c r="C411" s="190">
        <f t="shared" si="142"/>
        <v>42479</v>
      </c>
      <c r="D411" s="190"/>
      <c r="E411" s="190">
        <v>42479</v>
      </c>
      <c r="F411" s="191" t="s">
        <v>585</v>
      </c>
      <c r="G411" s="833" t="s">
        <v>583</v>
      </c>
      <c r="H411" s="192" t="s">
        <v>584</v>
      </c>
      <c r="I411" s="253"/>
      <c r="J411" s="253"/>
      <c r="K411" s="584">
        <v>344545</v>
      </c>
      <c r="L411" s="585" t="s">
        <v>160</v>
      </c>
      <c r="M411" s="585" t="s">
        <v>47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154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26">
        <v>2</v>
      </c>
      <c r="AB411" s="576"/>
      <c r="AC411" s="576"/>
      <c r="AD411" s="576"/>
    </row>
    <row r="412" spans="1:30" ht="15.75" customHeight="1">
      <c r="A412" s="827" t="str">
        <f>IF(B412&lt;&gt;"",IF(AND(B412&gt;=_TM1,B412&lt;=_TM2,OR(TH!L412="1111",TH!M412="1111")),TH!D412,""),"")</f>
        <v/>
      </c>
      <c r="B412" s="36">
        <f t="shared" si="143"/>
        <v>4</v>
      </c>
      <c r="C412" s="190">
        <f t="shared" ref="C412:C450" si="144">E412</f>
        <v>42479</v>
      </c>
      <c r="D412" s="190"/>
      <c r="E412" s="190">
        <v>42479</v>
      </c>
      <c r="F412" s="191" t="s">
        <v>586</v>
      </c>
      <c r="G412" s="833" t="s">
        <v>583</v>
      </c>
      <c r="H412" s="192" t="s">
        <v>584</v>
      </c>
      <c r="I412" s="253"/>
      <c r="J412" s="253"/>
      <c r="K412" s="584">
        <v>34455</v>
      </c>
      <c r="L412" s="39" t="s">
        <v>9</v>
      </c>
      <c r="M412" s="585" t="s">
        <v>47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26">
        <v>2</v>
      </c>
      <c r="AB412" s="576"/>
    </row>
    <row r="413" spans="1:30" ht="15.75" customHeight="1">
      <c r="A413" s="827" t="str">
        <f>IF(B413&lt;&gt;"",IF(AND(B413&gt;=_TM1,B413&lt;=_TM2,OR(TH!L413="1111",TH!M413="1111")),TH!D413,""),"")</f>
        <v/>
      </c>
      <c r="B413" s="36">
        <f t="shared" si="143"/>
        <v>5</v>
      </c>
      <c r="C413" s="190">
        <f t="shared" si="144"/>
        <v>42500</v>
      </c>
      <c r="D413" s="190"/>
      <c r="E413" s="190">
        <v>42500</v>
      </c>
      <c r="F413" s="191" t="s">
        <v>587</v>
      </c>
      <c r="G413" s="833" t="s">
        <v>589</v>
      </c>
      <c r="H413" s="192" t="s">
        <v>584</v>
      </c>
      <c r="I413" s="253"/>
      <c r="J413" s="253"/>
      <c r="K413" s="584">
        <v>344545</v>
      </c>
      <c r="L413" s="585" t="s">
        <v>160</v>
      </c>
      <c r="M413" s="585" t="s">
        <v>47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154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26">
        <v>2</v>
      </c>
      <c r="AB413" s="576"/>
    </row>
    <row r="414" spans="1:30" ht="15.75" customHeight="1">
      <c r="A414" s="827" t="str">
        <f>IF(B414&lt;&gt;"",IF(AND(B414&gt;=_TM1,B414&lt;=_TM2,OR(TH!L414="1111",TH!M414="1111")),TH!D414,""),"")</f>
        <v/>
      </c>
      <c r="B414" s="36">
        <f t="shared" si="143"/>
        <v>5</v>
      </c>
      <c r="C414" s="190">
        <f t="shared" si="144"/>
        <v>42500</v>
      </c>
      <c r="D414" s="190"/>
      <c r="E414" s="190">
        <v>42500</v>
      </c>
      <c r="F414" s="191" t="s">
        <v>588</v>
      </c>
      <c r="G414" s="833" t="s">
        <v>589</v>
      </c>
      <c r="H414" s="192" t="s">
        <v>584</v>
      </c>
      <c r="I414" s="253"/>
      <c r="J414" s="253"/>
      <c r="K414" s="584">
        <v>34455</v>
      </c>
      <c r="L414" s="39" t="s">
        <v>9</v>
      </c>
      <c r="M414" s="585" t="s">
        <v>47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26">
        <v>2</v>
      </c>
      <c r="AB414" s="576"/>
    </row>
    <row r="415" spans="1:30" ht="15.75" customHeight="1">
      <c r="A415" s="827" t="str">
        <f>IF(B415&lt;&gt;"",IF(AND(B415&gt;=_TM1,B415&lt;=_TM2,OR(TH!L415="1111",TH!M415="1111")),TH!D415,""),"")</f>
        <v/>
      </c>
      <c r="B415" s="36">
        <f t="shared" si="143"/>
        <v>5</v>
      </c>
      <c r="C415" s="190">
        <f t="shared" si="144"/>
        <v>42518</v>
      </c>
      <c r="D415" s="190"/>
      <c r="E415" s="190">
        <v>42518</v>
      </c>
      <c r="F415" s="191" t="s">
        <v>590</v>
      </c>
      <c r="G415" s="833" t="s">
        <v>592</v>
      </c>
      <c r="H415" s="192" t="s">
        <v>584</v>
      </c>
      <c r="I415" s="253"/>
      <c r="J415" s="253"/>
      <c r="K415" s="584">
        <v>445714</v>
      </c>
      <c r="L415" s="585" t="s">
        <v>160</v>
      </c>
      <c r="M415" s="585" t="s">
        <v>47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154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26">
        <v>2</v>
      </c>
      <c r="AB415" s="576"/>
    </row>
    <row r="416" spans="1:30" ht="15.75" customHeight="1">
      <c r="A416" s="827" t="str">
        <f>IF(B416&lt;&gt;"",IF(AND(B416&gt;=_TM1,B416&lt;=_TM2,OR(TH!L416="1111",TH!M416="1111")),TH!D416,""),"")</f>
        <v/>
      </c>
      <c r="B416" s="36">
        <f t="shared" si="143"/>
        <v>5</v>
      </c>
      <c r="C416" s="190">
        <f t="shared" si="144"/>
        <v>42518</v>
      </c>
      <c r="D416" s="190"/>
      <c r="E416" s="190">
        <v>42518</v>
      </c>
      <c r="F416" s="191" t="s">
        <v>591</v>
      </c>
      <c r="G416" s="833" t="s">
        <v>592</v>
      </c>
      <c r="H416" s="192" t="s">
        <v>584</v>
      </c>
      <c r="I416" s="253"/>
      <c r="J416" s="253"/>
      <c r="K416" s="584">
        <v>22286</v>
      </c>
      <c r="L416" s="39" t="s">
        <v>9</v>
      </c>
      <c r="M416" s="585" t="s">
        <v>47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26">
        <v>2</v>
      </c>
      <c r="AB416" s="576"/>
    </row>
    <row r="417" spans="1:28" ht="15.75" customHeight="1">
      <c r="A417" s="827">
        <f>IF(B417&lt;&gt;"",IF(AND(B417&gt;=_TM1,B417&lt;=_TM2,OR(TH!L417="1111",TH!M417="1111")),TH!D417,""),"")</f>
        <v>0</v>
      </c>
      <c r="B417" s="36">
        <f t="shared" ref="B417:B420" si="145">IF(C417&lt;&gt;"",MONTH(C417),"")</f>
        <v>2</v>
      </c>
      <c r="C417" s="190">
        <f t="shared" ref="C417:C420" si="146">E417</f>
        <v>42405</v>
      </c>
      <c r="D417" s="190"/>
      <c r="E417" s="190">
        <v>42405</v>
      </c>
      <c r="F417" s="191" t="s">
        <v>1714</v>
      </c>
      <c r="G417" s="833" t="s">
        <v>1722</v>
      </c>
      <c r="H417" s="192" t="s">
        <v>593</v>
      </c>
      <c r="I417" s="253"/>
      <c r="J417" s="253"/>
      <c r="K417" s="38">
        <f>198675+253055+296583</f>
        <v>748313</v>
      </c>
      <c r="L417" s="193" t="s">
        <v>252</v>
      </c>
      <c r="M417" s="585" t="s">
        <v>47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>x</v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26">
        <v>3</v>
      </c>
      <c r="AB417" s="576"/>
    </row>
    <row r="418" spans="1:28" ht="15.75" customHeight="1">
      <c r="A418" s="827">
        <f>IF(B418&lt;&gt;"",IF(AND(B418&gt;=_TM1,B418&lt;=_TM2,OR(TH!L418="1111",TH!M418="1111")),TH!D418,""),"")</f>
        <v>0</v>
      </c>
      <c r="B418" s="36">
        <f t="shared" si="145"/>
        <v>2</v>
      </c>
      <c r="C418" s="190">
        <f t="shared" si="146"/>
        <v>42405</v>
      </c>
      <c r="D418" s="190"/>
      <c r="E418" s="190">
        <v>42405</v>
      </c>
      <c r="F418" s="191" t="s">
        <v>1715</v>
      </c>
      <c r="G418" s="833" t="s">
        <v>1722</v>
      </c>
      <c r="H418" s="192" t="s">
        <v>593</v>
      </c>
      <c r="I418" s="253"/>
      <c r="J418" s="253"/>
      <c r="K418" s="38">
        <f>19868+25306+29658</f>
        <v>74832</v>
      </c>
      <c r="L418" s="39" t="s">
        <v>9</v>
      </c>
      <c r="M418" s="585" t="s">
        <v>47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>x</v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26">
        <v>3</v>
      </c>
      <c r="AB418" s="576"/>
    </row>
    <row r="419" spans="1:28" ht="15.75" customHeight="1">
      <c r="A419" s="827">
        <f>IF(B419&lt;&gt;"",IF(AND(B419&gt;=_TM1,B419&lt;=_TM2,OR(TH!L419="1111",TH!M419="1111")),TH!D419,""),"")</f>
        <v>0</v>
      </c>
      <c r="B419" s="36">
        <f t="shared" si="145"/>
        <v>3</v>
      </c>
      <c r="C419" s="190">
        <f t="shared" si="146"/>
        <v>42434</v>
      </c>
      <c r="D419" s="190"/>
      <c r="E419" s="190">
        <v>42434</v>
      </c>
      <c r="F419" s="191" t="s">
        <v>1716</v>
      </c>
      <c r="G419" s="833" t="s">
        <v>1723</v>
      </c>
      <c r="H419" s="192" t="s">
        <v>593</v>
      </c>
      <c r="I419" s="253"/>
      <c r="J419" s="253"/>
      <c r="K419" s="38">
        <f>176363+254663+279077</f>
        <v>710103</v>
      </c>
      <c r="L419" s="193" t="s">
        <v>252</v>
      </c>
      <c r="M419" s="585" t="s">
        <v>47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>x</v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26">
        <v>3</v>
      </c>
      <c r="AB419" s="576"/>
    </row>
    <row r="420" spans="1:28" ht="15.75" customHeight="1">
      <c r="A420" s="827">
        <f>IF(B420&lt;&gt;"",IF(AND(B420&gt;=_TM1,B420&lt;=_TM2,OR(TH!L420="1111",TH!M420="1111")),TH!D420,""),"")</f>
        <v>0</v>
      </c>
      <c r="B420" s="36">
        <f t="shared" si="145"/>
        <v>3</v>
      </c>
      <c r="C420" s="190">
        <f t="shared" si="146"/>
        <v>42434</v>
      </c>
      <c r="D420" s="190"/>
      <c r="E420" s="190">
        <v>42434</v>
      </c>
      <c r="F420" s="191" t="s">
        <v>1717</v>
      </c>
      <c r="G420" s="833" t="s">
        <v>1723</v>
      </c>
      <c r="H420" s="192" t="s">
        <v>593</v>
      </c>
      <c r="I420" s="253"/>
      <c r="J420" s="253"/>
      <c r="K420" s="38">
        <f>17636+25466+27908</f>
        <v>71010</v>
      </c>
      <c r="L420" s="39" t="s">
        <v>9</v>
      </c>
      <c r="M420" s="585" t="s">
        <v>47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>x</v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26">
        <v>3</v>
      </c>
      <c r="AB420" s="576"/>
    </row>
    <row r="421" spans="1:28" ht="15.75" customHeight="1">
      <c r="A421" s="827" t="str">
        <f>IF(B421&lt;&gt;"",IF(AND(B421&gt;=_TM1,B421&lt;=_TM2,OR(TH!L421="1111",TH!M421="1111")),TH!D421,""),"")</f>
        <v/>
      </c>
      <c r="B421" s="36">
        <f t="shared" si="143"/>
        <v>4</v>
      </c>
      <c r="C421" s="190">
        <f t="shared" si="144"/>
        <v>42465</v>
      </c>
      <c r="D421" s="190"/>
      <c r="E421" s="190">
        <v>42465</v>
      </c>
      <c r="F421" s="191" t="s">
        <v>594</v>
      </c>
      <c r="G421" s="833" t="s">
        <v>1712</v>
      </c>
      <c r="H421" s="192" t="s">
        <v>593</v>
      </c>
      <c r="I421" s="253"/>
      <c r="J421" s="253"/>
      <c r="K421" s="38">
        <f>274393+234063+275339</f>
        <v>783795</v>
      </c>
      <c r="L421" s="193" t="s">
        <v>252</v>
      </c>
      <c r="M421" s="585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26">
        <v>2</v>
      </c>
      <c r="AB421" s="576"/>
    </row>
    <row r="422" spans="1:28" ht="15.75" customHeight="1">
      <c r="A422" s="827" t="str">
        <f>IF(B422&lt;&gt;"",IF(AND(B422&gt;=_TM1,B422&lt;=_TM2,OR(TH!L422="1111",TH!M422="1111")),TH!D422,""),"")</f>
        <v/>
      </c>
      <c r="B422" s="36">
        <f t="shared" si="143"/>
        <v>4</v>
      </c>
      <c r="C422" s="190">
        <f t="shared" si="144"/>
        <v>42465</v>
      </c>
      <c r="D422" s="190"/>
      <c r="E422" s="190">
        <v>42465</v>
      </c>
      <c r="F422" s="191" t="s">
        <v>1717</v>
      </c>
      <c r="G422" s="833" t="s">
        <v>1712</v>
      </c>
      <c r="H422" s="192" t="s">
        <v>593</v>
      </c>
      <c r="I422" s="253"/>
      <c r="J422" s="253"/>
      <c r="K422" s="38">
        <f>27439+23406+27534</f>
        <v>78379</v>
      </c>
      <c r="L422" s="39" t="s">
        <v>9</v>
      </c>
      <c r="M422" s="585" t="s">
        <v>47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26">
        <v>2</v>
      </c>
      <c r="AB422" s="576"/>
    </row>
    <row r="423" spans="1:28" ht="15.75" customHeight="1">
      <c r="A423" s="827" t="str">
        <f>IF(B423&lt;&gt;"",IF(AND(B423&gt;=_TM1,B423&lt;=_TM2,OR(TH!L423="1111",TH!M423="1111")),TH!D423,""),"")</f>
        <v/>
      </c>
      <c r="B423" s="36">
        <f t="shared" si="143"/>
        <v>5</v>
      </c>
      <c r="C423" s="190">
        <f t="shared" si="144"/>
        <v>42496</v>
      </c>
      <c r="D423" s="190"/>
      <c r="E423" s="190">
        <v>42496</v>
      </c>
      <c r="F423" s="191" t="s">
        <v>595</v>
      </c>
      <c r="G423" s="833" t="s">
        <v>1713</v>
      </c>
      <c r="H423" s="192" t="s">
        <v>593</v>
      </c>
      <c r="I423" s="253"/>
      <c r="J423" s="253"/>
      <c r="K423" s="38">
        <f>177313+275859+304638</f>
        <v>757810</v>
      </c>
      <c r="L423" s="193" t="s">
        <v>252</v>
      </c>
      <c r="M423" s="585" t="s">
        <v>47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26">
        <v>2</v>
      </c>
      <c r="AB423" s="576"/>
    </row>
    <row r="424" spans="1:28" ht="15.75" customHeight="1">
      <c r="A424" s="827" t="str">
        <f>IF(B424&lt;&gt;"",IF(AND(B424&gt;=_TM1,B424&lt;=_TM2,OR(TH!L424="1111",TH!M424="1111")),TH!D424,""),"")</f>
        <v/>
      </c>
      <c r="B424" s="36">
        <f t="shared" si="143"/>
        <v>5</v>
      </c>
      <c r="C424" s="190">
        <f t="shared" si="144"/>
        <v>42496</v>
      </c>
      <c r="D424" s="190"/>
      <c r="E424" s="190">
        <v>42496</v>
      </c>
      <c r="F424" s="191" t="s">
        <v>1717</v>
      </c>
      <c r="G424" s="833" t="s">
        <v>1713</v>
      </c>
      <c r="H424" s="192" t="s">
        <v>593</v>
      </c>
      <c r="I424" s="253"/>
      <c r="J424" s="253"/>
      <c r="K424" s="38">
        <f>17731+27586+30464</f>
        <v>75781</v>
      </c>
      <c r="L424" s="39" t="s">
        <v>9</v>
      </c>
      <c r="M424" s="585" t="s">
        <v>47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26">
        <v>2</v>
      </c>
      <c r="AB424" s="576"/>
    </row>
    <row r="425" spans="1:28" ht="15.75" customHeight="1">
      <c r="A425" s="827" t="str">
        <f>IF(B425&lt;&gt;"",IF(AND(B425&gt;=_TM1,B425&lt;=_TM2,OR(TH!L425="1111",TH!M425="1111")),TH!D425,""),"")</f>
        <v/>
      </c>
      <c r="B425" s="36">
        <f t="shared" si="143"/>
        <v>6</v>
      </c>
      <c r="C425" s="190">
        <f t="shared" si="144"/>
        <v>42526</v>
      </c>
      <c r="D425" s="190"/>
      <c r="E425" s="190">
        <v>42526</v>
      </c>
      <c r="F425" s="191" t="s">
        <v>1718</v>
      </c>
      <c r="G425" s="833" t="s">
        <v>1724</v>
      </c>
      <c r="H425" s="192" t="s">
        <v>593</v>
      </c>
      <c r="I425" s="253"/>
      <c r="J425" s="253"/>
      <c r="K425" s="38">
        <f>196373+308480+337327</f>
        <v>842180</v>
      </c>
      <c r="L425" s="193" t="s">
        <v>252</v>
      </c>
      <c r="M425" s="585" t="s">
        <v>47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26">
        <v>3</v>
      </c>
      <c r="AB425" s="576"/>
    </row>
    <row r="426" spans="1:28" ht="15.75" customHeight="1">
      <c r="A426" s="827" t="str">
        <f>IF(B426&lt;&gt;"",IF(AND(B426&gt;=_TM1,B426&lt;=_TM2,OR(TH!L426="1111",TH!M426="1111")),TH!D426,""),"")</f>
        <v/>
      </c>
      <c r="B426" s="36">
        <f t="shared" si="143"/>
        <v>6</v>
      </c>
      <c r="C426" s="190">
        <f t="shared" si="144"/>
        <v>42526</v>
      </c>
      <c r="D426" s="190"/>
      <c r="E426" s="190">
        <v>42526</v>
      </c>
      <c r="F426" s="191" t="s">
        <v>1715</v>
      </c>
      <c r="G426" s="833" t="s">
        <v>1724</v>
      </c>
      <c r="H426" s="192" t="s">
        <v>593</v>
      </c>
      <c r="I426" s="253"/>
      <c r="J426" s="253"/>
      <c r="K426" s="38">
        <f>19637+30848+33733</f>
        <v>84218</v>
      </c>
      <c r="L426" s="39" t="s">
        <v>9</v>
      </c>
      <c r="M426" s="585" t="s">
        <v>47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26">
        <v>3</v>
      </c>
      <c r="AB426" s="576"/>
    </row>
    <row r="427" spans="1:28" ht="15.75" customHeight="1">
      <c r="A427" s="827" t="str">
        <f>IF(B427&lt;&gt;"",IF(AND(B427&gt;=_TM1,B427&lt;=_TM2,OR(TH!L427="1111",TH!M427="1111")),TH!D427,""),"")</f>
        <v/>
      </c>
      <c r="B427" s="36">
        <f t="shared" si="143"/>
        <v>7</v>
      </c>
      <c r="C427" s="190">
        <f t="shared" si="144"/>
        <v>42557</v>
      </c>
      <c r="D427" s="190"/>
      <c r="E427" s="190">
        <v>42557</v>
      </c>
      <c r="F427" s="191" t="s">
        <v>1719</v>
      </c>
      <c r="G427" s="833" t="s">
        <v>1725</v>
      </c>
      <c r="H427" s="192" t="s">
        <v>593</v>
      </c>
      <c r="I427" s="253"/>
      <c r="J427" s="253"/>
      <c r="K427" s="38">
        <f>186624+312630+334429</f>
        <v>833683</v>
      </c>
      <c r="L427" s="193" t="s">
        <v>252</v>
      </c>
      <c r="M427" s="585" t="s">
        <v>47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641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26">
        <v>3</v>
      </c>
      <c r="AB427" s="576"/>
    </row>
    <row r="428" spans="1:28" ht="15.75" customHeight="1">
      <c r="A428" s="827" t="str">
        <f>IF(B428&lt;&gt;"",IF(AND(B428&gt;=_TM1,B428&lt;=_TM2,OR(TH!L428="1111",TH!M428="1111")),TH!D428,""),"")</f>
        <v/>
      </c>
      <c r="B428" s="36">
        <f t="shared" si="143"/>
        <v>7</v>
      </c>
      <c r="C428" s="190">
        <f t="shared" si="144"/>
        <v>42557</v>
      </c>
      <c r="D428" s="190"/>
      <c r="E428" s="190">
        <v>42557</v>
      </c>
      <c r="F428" s="191" t="s">
        <v>1717</v>
      </c>
      <c r="G428" s="833" t="s">
        <v>1725</v>
      </c>
      <c r="H428" s="192" t="s">
        <v>593</v>
      </c>
      <c r="I428" s="253"/>
      <c r="J428" s="253"/>
      <c r="K428" s="38">
        <f>18662+31263+33443</f>
        <v>83368</v>
      </c>
      <c r="L428" s="39" t="s">
        <v>9</v>
      </c>
      <c r="M428" s="585" t="s">
        <v>47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26">
        <v>3</v>
      </c>
      <c r="AB428" s="576"/>
    </row>
    <row r="429" spans="1:28" ht="15.75" customHeight="1">
      <c r="A429" s="827" t="str">
        <f>IF(B429&lt;&gt;"",IF(AND(B429&gt;=_TM1,B429&lt;=_TM2,OR(TH!L429="1111",TH!M429="1111")),TH!D429,""),"")</f>
        <v/>
      </c>
      <c r="B429" s="36">
        <f t="shared" ref="B429:B432" si="147">IF(C429&lt;&gt;"",MONTH(C429),"")</f>
        <v>8</v>
      </c>
      <c r="C429" s="190">
        <f t="shared" ref="C429:C432" si="148">E429</f>
        <v>42588</v>
      </c>
      <c r="D429" s="190"/>
      <c r="E429" s="190">
        <v>42588</v>
      </c>
      <c r="F429" s="191" t="s">
        <v>1720</v>
      </c>
      <c r="G429" s="833" t="s">
        <v>1726</v>
      </c>
      <c r="H429" s="192" t="s">
        <v>593</v>
      </c>
      <c r="I429" s="253"/>
      <c r="J429" s="253"/>
      <c r="K429" s="38">
        <f>214894+271363+401735</f>
        <v>887992</v>
      </c>
      <c r="L429" s="193" t="s">
        <v>252</v>
      </c>
      <c r="M429" s="585" t="s">
        <v>47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641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26">
        <v>3</v>
      </c>
      <c r="AB429" s="576"/>
    </row>
    <row r="430" spans="1:28" ht="15.75" customHeight="1">
      <c r="A430" s="827" t="str">
        <f>IF(B430&lt;&gt;"",IF(AND(B430&gt;=_TM1,B430&lt;=_TM2,OR(TH!L430="1111",TH!M430="1111")),TH!D430,""),"")</f>
        <v/>
      </c>
      <c r="B430" s="36">
        <f t="shared" si="147"/>
        <v>8</v>
      </c>
      <c r="C430" s="190">
        <f t="shared" si="148"/>
        <v>42588</v>
      </c>
      <c r="D430" s="190"/>
      <c r="E430" s="190">
        <v>42588</v>
      </c>
      <c r="F430" s="191" t="s">
        <v>1715</v>
      </c>
      <c r="G430" s="833" t="s">
        <v>1726</v>
      </c>
      <c r="H430" s="192" t="s">
        <v>593</v>
      </c>
      <c r="I430" s="253"/>
      <c r="J430" s="253"/>
      <c r="K430" s="38">
        <f>21489+27136+40174</f>
        <v>88799</v>
      </c>
      <c r="L430" s="39" t="s">
        <v>9</v>
      </c>
      <c r="M430" s="585" t="s">
        <v>47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26">
        <v>3</v>
      </c>
      <c r="AB430" s="576"/>
    </row>
    <row r="431" spans="1:28" ht="15.75" customHeight="1">
      <c r="A431" s="827" t="str">
        <f>IF(B431&lt;&gt;"",IF(AND(B431&gt;=_TM1,B431&lt;=_TM2,OR(TH!L431="1111",TH!M431="1111")),TH!D431,""),"")</f>
        <v/>
      </c>
      <c r="B431" s="36">
        <f t="shared" si="147"/>
        <v>9</v>
      </c>
      <c r="C431" s="190">
        <f t="shared" si="148"/>
        <v>42618</v>
      </c>
      <c r="D431" s="190"/>
      <c r="E431" s="190">
        <v>42618</v>
      </c>
      <c r="F431" s="191" t="s">
        <v>1721</v>
      </c>
      <c r="G431" s="833" t="s">
        <v>1727</v>
      </c>
      <c r="H431" s="192" t="s">
        <v>593</v>
      </c>
      <c r="I431" s="253"/>
      <c r="J431" s="253"/>
      <c r="K431" s="38">
        <f>170851+304109+343289</f>
        <v>818249</v>
      </c>
      <c r="L431" s="193" t="s">
        <v>252</v>
      </c>
      <c r="M431" s="585" t="s">
        <v>47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641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26">
        <v>3</v>
      </c>
      <c r="AB431" s="576"/>
    </row>
    <row r="432" spans="1:28" ht="15.75" customHeight="1">
      <c r="A432" s="827" t="str">
        <f>IF(B432&lt;&gt;"",IF(AND(B432&gt;=_TM1,B432&lt;=_TM2,OR(TH!L432="1111",TH!M432="1111")),TH!D432,""),"")</f>
        <v/>
      </c>
      <c r="B432" s="36">
        <f t="shared" si="147"/>
        <v>9</v>
      </c>
      <c r="C432" s="190">
        <f t="shared" si="148"/>
        <v>42618</v>
      </c>
      <c r="D432" s="190"/>
      <c r="E432" s="190">
        <v>42618</v>
      </c>
      <c r="F432" s="191" t="s">
        <v>1717</v>
      </c>
      <c r="G432" s="833" t="s">
        <v>1727</v>
      </c>
      <c r="H432" s="192" t="s">
        <v>593</v>
      </c>
      <c r="I432" s="253"/>
      <c r="J432" s="253"/>
      <c r="K432" s="38">
        <f>17085+30411+34329</f>
        <v>81825</v>
      </c>
      <c r="L432" s="39" t="s">
        <v>9</v>
      </c>
      <c r="M432" s="585" t="s">
        <v>47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26">
        <v>3</v>
      </c>
      <c r="AB432" s="576"/>
    </row>
    <row r="433" spans="1:30" ht="15.75" customHeight="1">
      <c r="A433" s="827" t="str">
        <f>IF(B433&lt;&gt;"",IF(AND(B433&gt;=_TM1,B433&lt;=_TM2,OR(TH!L433="1111",TH!M433="1111")),TH!D433,""),"")</f>
        <v/>
      </c>
      <c r="B433" s="36">
        <f t="shared" si="143"/>
        <v>4</v>
      </c>
      <c r="C433" s="190">
        <f t="shared" si="144"/>
        <v>42482</v>
      </c>
      <c r="D433" s="190"/>
      <c r="E433" s="190">
        <v>42482</v>
      </c>
      <c r="F433" s="191" t="s">
        <v>597</v>
      </c>
      <c r="G433" s="833" t="s">
        <v>603</v>
      </c>
      <c r="H433" s="192" t="s">
        <v>596</v>
      </c>
      <c r="I433" s="253"/>
      <c r="J433" s="253"/>
      <c r="K433" s="38">
        <v>1836000</v>
      </c>
      <c r="L433" s="193" t="s">
        <v>83</v>
      </c>
      <c r="M433" s="585" t="s">
        <v>47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642</v>
      </c>
      <c r="V433" s="52" t="str">
        <f>IF(OR(TH!L433=TH!$V$7,M433=TH!$V$7),"x","")</f>
        <v>x</v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26">
        <v>2</v>
      </c>
      <c r="AB433" s="576"/>
    </row>
    <row r="434" spans="1:30" ht="15.75" customHeight="1">
      <c r="A434" s="827" t="str">
        <f>IF(B434&lt;&gt;"",IF(AND(B434&gt;=_TM1,B434&lt;=_TM2,OR(TH!L434="1111",TH!M434="1111")),TH!D434,""),"")</f>
        <v/>
      </c>
      <c r="B434" s="36">
        <f t="shared" si="143"/>
        <v>4</v>
      </c>
      <c r="C434" s="190">
        <f t="shared" si="144"/>
        <v>42482</v>
      </c>
      <c r="D434" s="190"/>
      <c r="E434" s="190">
        <v>42482</v>
      </c>
      <c r="F434" s="191" t="s">
        <v>598</v>
      </c>
      <c r="G434" s="833" t="s">
        <v>603</v>
      </c>
      <c r="H434" s="192" t="s">
        <v>596</v>
      </c>
      <c r="I434" s="253"/>
      <c r="J434" s="253"/>
      <c r="K434" s="38">
        <v>183600</v>
      </c>
      <c r="L434" s="39" t="s">
        <v>9</v>
      </c>
      <c r="M434" s="585" t="s">
        <v>47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26">
        <v>2</v>
      </c>
      <c r="AB434" s="576"/>
      <c r="AC434" s="576"/>
      <c r="AD434" s="576"/>
    </row>
    <row r="435" spans="1:30" ht="15.75" customHeight="1">
      <c r="A435" s="827" t="str">
        <f>IF(B435&lt;&gt;"",IF(AND(B435&gt;=_TM1,B435&lt;=_TM2,OR(TH!L435="1111",TH!M435="1111")),TH!D435,""),"")</f>
        <v/>
      </c>
      <c r="B435" s="36">
        <f t="shared" si="143"/>
        <v>5</v>
      </c>
      <c r="C435" s="190">
        <f t="shared" si="144"/>
        <v>42511</v>
      </c>
      <c r="D435" s="190"/>
      <c r="E435" s="190">
        <v>42511</v>
      </c>
      <c r="F435" s="191" t="s">
        <v>599</v>
      </c>
      <c r="G435" s="833" t="s">
        <v>602</v>
      </c>
      <c r="H435" s="825" t="s">
        <v>601</v>
      </c>
      <c r="I435" s="254"/>
      <c r="J435" s="253"/>
      <c r="K435" s="38">
        <v>907000</v>
      </c>
      <c r="L435" s="193" t="s">
        <v>83</v>
      </c>
      <c r="M435" s="585" t="s">
        <v>47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642</v>
      </c>
      <c r="V435" s="52" t="str">
        <f>IF(OR(TH!L435=TH!$V$7,M435=TH!$V$7),"x","")</f>
        <v>x</v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26">
        <v>2</v>
      </c>
      <c r="AB435" s="576"/>
      <c r="AC435" s="576"/>
      <c r="AD435" s="576"/>
    </row>
    <row r="436" spans="1:30" ht="15.75" customHeight="1">
      <c r="A436" s="827" t="str">
        <f>IF(B436&lt;&gt;"",IF(AND(B436&gt;=_TM1,B436&lt;=_TM2,OR(TH!L436="1111",TH!M436="1111")),TH!D436,""),"")</f>
        <v/>
      </c>
      <c r="B436" s="36">
        <f t="shared" si="143"/>
        <v>5</v>
      </c>
      <c r="C436" s="190">
        <f t="shared" si="144"/>
        <v>42511</v>
      </c>
      <c r="D436" s="190"/>
      <c r="E436" s="190">
        <v>42511</v>
      </c>
      <c r="F436" s="191" t="s">
        <v>600</v>
      </c>
      <c r="G436" s="833" t="s">
        <v>602</v>
      </c>
      <c r="H436" s="825" t="s">
        <v>601</v>
      </c>
      <c r="I436" s="254"/>
      <c r="J436" s="254"/>
      <c r="K436" s="38">
        <v>90700</v>
      </c>
      <c r="L436" s="39" t="s">
        <v>9</v>
      </c>
      <c r="M436" s="585" t="s">
        <v>47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26">
        <v>2</v>
      </c>
      <c r="AB436" s="576"/>
      <c r="AC436" s="576"/>
      <c r="AD436" s="576"/>
    </row>
    <row r="437" spans="1:30" ht="15.75" customHeight="1">
      <c r="A437" s="827" t="str">
        <f>IF(B437&lt;&gt;"",IF(AND(B437&gt;=_TM1,B437&lt;=_TM2,OR(TH!L437="1111",TH!M437="1111")),TH!D437,""),"")</f>
        <v/>
      </c>
      <c r="B437" s="36">
        <f t="shared" si="143"/>
        <v>4</v>
      </c>
      <c r="C437" s="190">
        <f t="shared" si="144"/>
        <v>42480</v>
      </c>
      <c r="D437" s="190"/>
      <c r="E437" s="190">
        <v>42480</v>
      </c>
      <c r="F437" s="191" t="s">
        <v>599</v>
      </c>
      <c r="G437" s="833" t="s">
        <v>605</v>
      </c>
      <c r="H437" s="204" t="s">
        <v>604</v>
      </c>
      <c r="I437" s="254"/>
      <c r="J437" s="254"/>
      <c r="K437" s="38">
        <v>1216933</v>
      </c>
      <c r="L437" s="193" t="s">
        <v>83</v>
      </c>
      <c r="M437" s="585" t="s">
        <v>47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642</v>
      </c>
      <c r="V437" s="52" t="str">
        <f>IF(OR(TH!L437=TH!$V$7,M437=TH!$V$7),"x","")</f>
        <v>x</v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26">
        <v>2</v>
      </c>
      <c r="AB437" s="576"/>
      <c r="AC437" s="576"/>
      <c r="AD437" s="576"/>
    </row>
    <row r="438" spans="1:30" ht="15.75" customHeight="1">
      <c r="A438" s="827" t="str">
        <f>IF(B438&lt;&gt;"",IF(AND(B438&gt;=_TM1,B438&lt;=_TM2,OR(TH!L438="1111",TH!M438="1111")),TH!D438,""),"")</f>
        <v/>
      </c>
      <c r="B438" s="36">
        <f t="shared" si="143"/>
        <v>4</v>
      </c>
      <c r="C438" s="190">
        <f t="shared" si="144"/>
        <v>42480</v>
      </c>
      <c r="D438" s="190"/>
      <c r="E438" s="190">
        <v>42480</v>
      </c>
      <c r="F438" s="191" t="s">
        <v>600</v>
      </c>
      <c r="G438" s="833" t="s">
        <v>605</v>
      </c>
      <c r="H438" s="204" t="s">
        <v>604</v>
      </c>
      <c r="I438" s="254"/>
      <c r="J438" s="254"/>
      <c r="K438" s="38">
        <v>102202</v>
      </c>
      <c r="L438" s="39" t="s">
        <v>9</v>
      </c>
      <c r="M438" s="585" t="s">
        <v>47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26">
        <v>2</v>
      </c>
      <c r="AB438" s="576"/>
      <c r="AD438" s="576"/>
    </row>
    <row r="439" spans="1:30" ht="15.75" customHeight="1">
      <c r="A439" s="827" t="str">
        <f>IF(B439&lt;&gt;"",IF(AND(B439&gt;=_TM1,B439&lt;=_TM2,OR(TH!L439="1111",TH!M439="1111")),TH!D439,""),"")</f>
        <v/>
      </c>
      <c r="B439" s="36">
        <f t="shared" si="143"/>
        <v>4</v>
      </c>
      <c r="C439" s="190">
        <f t="shared" si="144"/>
        <v>42483</v>
      </c>
      <c r="D439" s="190"/>
      <c r="E439" s="190">
        <v>42483</v>
      </c>
      <c r="F439" s="191" t="s">
        <v>599</v>
      </c>
      <c r="G439" s="833" t="s">
        <v>606</v>
      </c>
      <c r="H439" s="204" t="s">
        <v>604</v>
      </c>
      <c r="I439" s="254"/>
      <c r="J439" s="254"/>
      <c r="K439" s="38">
        <v>829912</v>
      </c>
      <c r="L439" s="193" t="s">
        <v>83</v>
      </c>
      <c r="M439" s="585" t="s">
        <v>47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642</v>
      </c>
      <c r="V439" s="52" t="str">
        <f>IF(OR(TH!L439=TH!$V$7,M439=TH!$V$7),"x","")</f>
        <v>x</v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26">
        <v>2</v>
      </c>
      <c r="AB439" s="576"/>
      <c r="AC439" s="576"/>
      <c r="AD439" s="576"/>
    </row>
    <row r="440" spans="1:30" ht="15.75" customHeight="1">
      <c r="A440" s="827" t="str">
        <f>IF(B440&lt;&gt;"",IF(AND(B440&gt;=_TM1,B440&lt;=_TM2,OR(TH!L440="1111",TH!M440="1111")),TH!D440,""),"")</f>
        <v/>
      </c>
      <c r="B440" s="36">
        <f t="shared" si="143"/>
        <v>4</v>
      </c>
      <c r="C440" s="190">
        <f t="shared" si="144"/>
        <v>42483</v>
      </c>
      <c r="D440" s="190"/>
      <c r="E440" s="190">
        <v>42483</v>
      </c>
      <c r="F440" s="191" t="s">
        <v>600</v>
      </c>
      <c r="G440" s="833" t="s">
        <v>606</v>
      </c>
      <c r="H440" s="204" t="s">
        <v>604</v>
      </c>
      <c r="I440" s="254"/>
      <c r="J440" s="254"/>
      <c r="K440" s="38">
        <v>52381</v>
      </c>
      <c r="L440" s="39" t="s">
        <v>9</v>
      </c>
      <c r="M440" s="585" t="s">
        <v>47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26">
        <v>2</v>
      </c>
      <c r="AB440" s="576"/>
      <c r="AC440" s="576"/>
      <c r="AD440" s="576"/>
    </row>
    <row r="441" spans="1:30" ht="15.75" customHeight="1">
      <c r="A441" s="827" t="str">
        <f>IF(B441&lt;&gt;"",IF(AND(B441&gt;=_TM1,B441&lt;=_TM2,OR(TH!L441="1111",TH!M441="1111")),TH!D441,""),"")</f>
        <v/>
      </c>
      <c r="B441" s="36">
        <f t="shared" si="143"/>
        <v>4</v>
      </c>
      <c r="C441" s="190">
        <f t="shared" si="144"/>
        <v>42480</v>
      </c>
      <c r="D441" s="190"/>
      <c r="E441" s="190">
        <v>42480</v>
      </c>
      <c r="F441" s="191" t="s">
        <v>599</v>
      </c>
      <c r="G441" s="833" t="s">
        <v>608</v>
      </c>
      <c r="H441" s="204" t="s">
        <v>607</v>
      </c>
      <c r="I441" s="254"/>
      <c r="J441" s="254"/>
      <c r="K441" s="38">
        <v>510000</v>
      </c>
      <c r="L441" s="193" t="s">
        <v>83</v>
      </c>
      <c r="M441" s="585" t="s">
        <v>47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642</v>
      </c>
      <c r="V441" s="52" t="str">
        <f>IF(OR(TH!L441=TH!$V$7,M441=TH!$V$7),"x","")</f>
        <v>x</v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26">
        <v>2</v>
      </c>
      <c r="AB441" s="576"/>
      <c r="AC441" s="576"/>
      <c r="AD441" s="576"/>
    </row>
    <row r="442" spans="1:30" ht="15.75" customHeight="1">
      <c r="A442" s="827" t="str">
        <f>IF(B442&lt;&gt;"",IF(AND(B442&gt;=_TM1,B442&lt;=_TM2,OR(TH!L442="1111",TH!M442="1111")),TH!D442,""),"")</f>
        <v/>
      </c>
      <c r="B442" s="36">
        <f t="shared" si="143"/>
        <v>4</v>
      </c>
      <c r="C442" s="190">
        <f t="shared" si="144"/>
        <v>42480</v>
      </c>
      <c r="D442" s="190"/>
      <c r="E442" s="190">
        <v>42480</v>
      </c>
      <c r="F442" s="191" t="s">
        <v>600</v>
      </c>
      <c r="G442" s="833" t="s">
        <v>608</v>
      </c>
      <c r="H442" s="204" t="s">
        <v>607</v>
      </c>
      <c r="I442" s="254"/>
      <c r="J442" s="254"/>
      <c r="K442" s="38">
        <v>51000</v>
      </c>
      <c r="L442" s="39" t="s">
        <v>9</v>
      </c>
      <c r="M442" s="585" t="s">
        <v>47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26">
        <v>2</v>
      </c>
      <c r="AB442" s="576"/>
      <c r="AC442" s="576"/>
      <c r="AD442" s="576"/>
    </row>
    <row r="443" spans="1:30" ht="15.75" customHeight="1">
      <c r="A443" s="827" t="str">
        <f>IF(B443&lt;&gt;"",IF(AND(B443&gt;=_TM1,B443&lt;=_TM2,OR(TH!L443="1111",TH!M443="1111")),TH!D443,""),"")</f>
        <v/>
      </c>
      <c r="B443" s="36">
        <f t="shared" si="143"/>
        <v>5</v>
      </c>
      <c r="C443" s="190">
        <f t="shared" si="144"/>
        <v>42500</v>
      </c>
      <c r="D443" s="190"/>
      <c r="E443" s="190">
        <v>42500</v>
      </c>
      <c r="F443" s="191" t="s">
        <v>599</v>
      </c>
      <c r="G443" s="833" t="s">
        <v>609</v>
      </c>
      <c r="H443" s="204" t="s">
        <v>607</v>
      </c>
      <c r="I443" s="254"/>
      <c r="J443" s="254"/>
      <c r="K443" s="38">
        <v>986818</v>
      </c>
      <c r="L443" s="193" t="s">
        <v>83</v>
      </c>
      <c r="M443" s="585" t="s">
        <v>47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642</v>
      </c>
      <c r="V443" s="52" t="str">
        <f>IF(OR(TH!L443=TH!$V$7,M443=TH!$V$7),"x","")</f>
        <v>x</v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26">
        <v>2</v>
      </c>
      <c r="AB443" s="576"/>
    </row>
    <row r="444" spans="1:30" ht="15.75" customHeight="1">
      <c r="A444" s="827" t="str">
        <f>IF(B444&lt;&gt;"",IF(AND(B444&gt;=_TM1,B444&lt;=_TM2,OR(TH!L444="1111",TH!M444="1111")),TH!D444,""),"")</f>
        <v/>
      </c>
      <c r="B444" s="36">
        <f t="shared" si="143"/>
        <v>5</v>
      </c>
      <c r="C444" s="190">
        <f t="shared" si="144"/>
        <v>42500</v>
      </c>
      <c r="D444" s="190"/>
      <c r="E444" s="190">
        <v>42500</v>
      </c>
      <c r="F444" s="191" t="s">
        <v>600</v>
      </c>
      <c r="G444" s="833" t="s">
        <v>609</v>
      </c>
      <c r="H444" s="204" t="s">
        <v>607</v>
      </c>
      <c r="I444" s="254"/>
      <c r="J444" s="254"/>
      <c r="K444" s="38">
        <v>98682</v>
      </c>
      <c r="L444" s="39" t="s">
        <v>9</v>
      </c>
      <c r="M444" s="585" t="s">
        <v>47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26">
        <v>2</v>
      </c>
      <c r="AB444" s="576"/>
    </row>
    <row r="445" spans="1:30" ht="15.75" customHeight="1">
      <c r="A445" s="827" t="str">
        <f>IF(B445&lt;&gt;"",IF(AND(B445&gt;=_TM1,B445&lt;=_TM2,OR(TH!L445="1111",TH!M445="1111")),TH!D445,""),"")</f>
        <v/>
      </c>
      <c r="B445" s="36">
        <f t="shared" si="143"/>
        <v>4</v>
      </c>
      <c r="C445" s="190">
        <f t="shared" si="144"/>
        <v>42480</v>
      </c>
      <c r="D445" s="190"/>
      <c r="E445" s="190">
        <v>42480</v>
      </c>
      <c r="F445" s="191" t="s">
        <v>610</v>
      </c>
      <c r="G445" s="833" t="s">
        <v>612</v>
      </c>
      <c r="H445" s="204" t="s">
        <v>613</v>
      </c>
      <c r="I445" s="254"/>
      <c r="J445" s="254"/>
      <c r="K445" s="38">
        <v>2171818</v>
      </c>
      <c r="L445" s="193" t="s">
        <v>83</v>
      </c>
      <c r="M445" s="585" t="s">
        <v>47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642</v>
      </c>
      <c r="V445" s="52" t="str">
        <f>IF(OR(TH!L445=TH!$V$7,M445=TH!$V$7),"x","")</f>
        <v>x</v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26">
        <v>2</v>
      </c>
      <c r="AB445" s="576"/>
    </row>
    <row r="446" spans="1:30" ht="15.75" customHeight="1">
      <c r="A446" s="827" t="str">
        <f>IF(B446&lt;&gt;"",IF(AND(B446&gt;=_TM1,B446&lt;=_TM2,OR(TH!L446="1111",TH!M446="1111")),TH!D446,""),"")</f>
        <v/>
      </c>
      <c r="B446" s="36">
        <f t="shared" si="143"/>
        <v>4</v>
      </c>
      <c r="C446" s="190">
        <f t="shared" si="144"/>
        <v>42480</v>
      </c>
      <c r="D446" s="190"/>
      <c r="E446" s="190">
        <v>42480</v>
      </c>
      <c r="F446" s="191" t="s">
        <v>611</v>
      </c>
      <c r="G446" s="833" t="s">
        <v>612</v>
      </c>
      <c r="H446" s="204" t="s">
        <v>613</v>
      </c>
      <c r="I446" s="253"/>
      <c r="J446" s="253"/>
      <c r="K446" s="38">
        <v>217182</v>
      </c>
      <c r="L446" s="39" t="s">
        <v>9</v>
      </c>
      <c r="M446" s="585" t="s">
        <v>47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26">
        <v>2</v>
      </c>
      <c r="AB446" s="576"/>
    </row>
    <row r="447" spans="1:30" ht="15.75" customHeight="1">
      <c r="A447" s="827" t="str">
        <f>IF(B447&lt;&gt;"",IF(AND(B447&gt;=_TM1,B447&lt;=_TM2,OR(TH!L447="1111",TH!M447="1111")),TH!D447,""),"")</f>
        <v/>
      </c>
      <c r="B447" s="36">
        <f t="shared" si="143"/>
        <v>5</v>
      </c>
      <c r="C447" s="190">
        <f t="shared" si="144"/>
        <v>42500</v>
      </c>
      <c r="D447" s="190"/>
      <c r="E447" s="190">
        <v>42500</v>
      </c>
      <c r="F447" s="191" t="s">
        <v>616</v>
      </c>
      <c r="G447" s="833" t="s">
        <v>615</v>
      </c>
      <c r="H447" s="192" t="s">
        <v>614</v>
      </c>
      <c r="I447" s="253"/>
      <c r="J447" s="253"/>
      <c r="K447" s="38">
        <v>318182</v>
      </c>
      <c r="L447" s="193" t="s">
        <v>83</v>
      </c>
      <c r="M447" s="585" t="s">
        <v>47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642</v>
      </c>
      <c r="V447" s="52" t="str">
        <f>IF(OR(TH!L447=TH!$V$7,M447=TH!$V$7),"x","")</f>
        <v>x</v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26">
        <v>2</v>
      </c>
      <c r="AB447" s="576"/>
    </row>
    <row r="448" spans="1:30" ht="15.75" customHeight="1">
      <c r="A448" s="827" t="str">
        <f>IF(B448&lt;&gt;"",IF(AND(B448&gt;=_TM1,B448&lt;=_TM2,OR(TH!L448="1111",TH!M448="1111")),TH!D448,""),"")</f>
        <v/>
      </c>
      <c r="B448" s="36">
        <f t="shared" si="143"/>
        <v>5</v>
      </c>
      <c r="C448" s="190">
        <f t="shared" si="144"/>
        <v>42500</v>
      </c>
      <c r="D448" s="190"/>
      <c r="E448" s="190">
        <v>42500</v>
      </c>
      <c r="F448" s="191" t="s">
        <v>617</v>
      </c>
      <c r="G448" s="833" t="s">
        <v>615</v>
      </c>
      <c r="H448" s="192" t="s">
        <v>614</v>
      </c>
      <c r="I448" s="253"/>
      <c r="J448" s="253"/>
      <c r="K448" s="38">
        <v>31818</v>
      </c>
      <c r="L448" s="39" t="s">
        <v>9</v>
      </c>
      <c r="M448" s="585" t="s">
        <v>47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26">
        <v>2</v>
      </c>
      <c r="AB448" s="576"/>
    </row>
    <row r="449" spans="1:28" ht="15.75" customHeight="1">
      <c r="A449" s="827" t="str">
        <f>IF(B449&lt;&gt;"",IF(AND(B449&gt;=_TM1,B449&lt;=_TM2,OR(TH!L449="1111",TH!M449="1111")),TH!D449,""),"")</f>
        <v/>
      </c>
      <c r="B449" s="36">
        <f t="shared" si="143"/>
        <v>6</v>
      </c>
      <c r="C449" s="190">
        <f t="shared" si="144"/>
        <v>42529</v>
      </c>
      <c r="D449" s="190"/>
      <c r="E449" s="190">
        <v>42529</v>
      </c>
      <c r="F449" s="191" t="s">
        <v>599</v>
      </c>
      <c r="G449" s="833" t="s">
        <v>618</v>
      </c>
      <c r="H449" s="192" t="s">
        <v>619</v>
      </c>
      <c r="I449" s="253"/>
      <c r="J449" s="253"/>
      <c r="K449" s="38">
        <v>304229</v>
      </c>
      <c r="L449" s="193" t="s">
        <v>83</v>
      </c>
      <c r="M449" s="585" t="s">
        <v>47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642</v>
      </c>
      <c r="V449" s="52" t="str">
        <f>IF(OR(TH!L449=TH!$V$7,M449=TH!$V$7),"x","")</f>
        <v>x</v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26">
        <v>2</v>
      </c>
      <c r="AB449" s="576"/>
    </row>
    <row r="450" spans="1:28" ht="15.75" customHeight="1">
      <c r="A450" s="827" t="str">
        <f>IF(B450&lt;&gt;"",IF(AND(B450&gt;=_TM1,B450&lt;=_TM2,OR(TH!L450="1111",TH!M450="1111")),TH!D450,""),"")</f>
        <v/>
      </c>
      <c r="B450" s="36">
        <f t="shared" si="143"/>
        <v>6</v>
      </c>
      <c r="C450" s="190">
        <f t="shared" si="144"/>
        <v>42529</v>
      </c>
      <c r="D450" s="190"/>
      <c r="E450" s="190">
        <v>42529</v>
      </c>
      <c r="F450" s="191" t="s">
        <v>600</v>
      </c>
      <c r="G450" s="833" t="s">
        <v>618</v>
      </c>
      <c r="H450" s="192" t="s">
        <v>619</v>
      </c>
      <c r="I450" s="253"/>
      <c r="J450" s="253"/>
      <c r="K450" s="38">
        <v>15211</v>
      </c>
      <c r="L450" s="39" t="s">
        <v>9</v>
      </c>
      <c r="M450" s="585" t="s">
        <v>47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26">
        <v>2</v>
      </c>
      <c r="AB450" s="576"/>
    </row>
    <row r="451" spans="1:28" ht="15.75" customHeight="1">
      <c r="A451" s="827" t="str">
        <f>IF(B451&lt;&gt;"",IF(AND(B451&gt;=_TM1,B451&lt;=_TM2,OR(TH!L451="1111",TH!M451="1111")),TH!D451,""),"")</f>
        <v/>
      </c>
      <c r="B451" s="36">
        <f t="shared" ref="B451:B476" si="149">IF(C451&lt;&gt;"",MONTH(C451),"")</f>
        <v>8</v>
      </c>
      <c r="C451" s="190">
        <f t="shared" ref="C451:C476" si="150">E451</f>
        <v>42603</v>
      </c>
      <c r="D451" s="37"/>
      <c r="E451" s="740">
        <v>42603</v>
      </c>
      <c r="F451" s="40" t="s">
        <v>599</v>
      </c>
      <c r="G451" s="833" t="s">
        <v>1359</v>
      </c>
      <c r="H451" s="7" t="s">
        <v>1358</v>
      </c>
      <c r="I451" s="253"/>
      <c r="J451" s="253"/>
      <c r="K451" s="584">
        <v>421000</v>
      </c>
      <c r="L451" s="39" t="s">
        <v>83</v>
      </c>
      <c r="M451" s="39" t="s">
        <v>47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>x</v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26">
        <v>3</v>
      </c>
    </row>
    <row r="452" spans="1:28" ht="15.75" customHeight="1">
      <c r="A452" s="827" t="str">
        <f>IF(B452&lt;&gt;"",IF(AND(B452&gt;=_TM1,B452&lt;=_TM2,OR(TH!L452="1111",TH!M452="1111")),TH!D452,""),"")</f>
        <v/>
      </c>
      <c r="B452" s="36">
        <f t="shared" si="149"/>
        <v>8</v>
      </c>
      <c r="C452" s="190">
        <f t="shared" si="150"/>
        <v>42603</v>
      </c>
      <c r="D452" s="37"/>
      <c r="E452" s="740">
        <v>42603</v>
      </c>
      <c r="F452" s="40" t="s">
        <v>600</v>
      </c>
      <c r="G452" s="833" t="s">
        <v>1359</v>
      </c>
      <c r="H452" s="7" t="s">
        <v>1358</v>
      </c>
      <c r="I452" s="253"/>
      <c r="J452" s="253"/>
      <c r="K452" s="584">
        <v>42100</v>
      </c>
      <c r="L452" s="193" t="s">
        <v>9</v>
      </c>
      <c r="M452" s="39" t="s">
        <v>47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26">
        <v>3</v>
      </c>
    </row>
    <row r="453" spans="1:28" ht="15.75" customHeight="1">
      <c r="A453" s="827" t="str">
        <f>IF(B453&lt;&gt;"",IF(AND(B453&gt;=_TM1,B453&lt;=_TM2,OR(TH!L453="1111",TH!M453="1111")),TH!D453,""),"")</f>
        <v/>
      </c>
      <c r="B453" s="36">
        <f t="shared" si="149"/>
        <v>8</v>
      </c>
      <c r="C453" s="190">
        <f t="shared" si="150"/>
        <v>42583</v>
      </c>
      <c r="D453" s="37"/>
      <c r="E453" s="740">
        <v>42583</v>
      </c>
      <c r="F453" s="40" t="s">
        <v>599</v>
      </c>
      <c r="G453" s="833" t="s">
        <v>1361</v>
      </c>
      <c r="H453" s="7" t="s">
        <v>1360</v>
      </c>
      <c r="I453" s="253"/>
      <c r="J453" s="253"/>
      <c r="K453" s="584">
        <v>4328182</v>
      </c>
      <c r="L453" s="39" t="s">
        <v>83</v>
      </c>
      <c r="M453" s="39" t="s">
        <v>47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>x</v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26">
        <v>3</v>
      </c>
    </row>
    <row r="454" spans="1:28" ht="15.75" customHeight="1">
      <c r="A454" s="827" t="str">
        <f>IF(B454&lt;&gt;"",IF(AND(B454&gt;=_TM1,B454&lt;=_TM2,OR(TH!L454="1111",TH!M454="1111")),TH!D454,""),"")</f>
        <v/>
      </c>
      <c r="B454" s="36">
        <f t="shared" si="149"/>
        <v>8</v>
      </c>
      <c r="C454" s="190">
        <f t="shared" si="150"/>
        <v>42583</v>
      </c>
      <c r="D454" s="37"/>
      <c r="E454" s="740">
        <v>42583</v>
      </c>
      <c r="F454" s="40" t="s">
        <v>600</v>
      </c>
      <c r="G454" s="833" t="s">
        <v>1361</v>
      </c>
      <c r="H454" s="7" t="s">
        <v>1360</v>
      </c>
      <c r="I454" s="253"/>
      <c r="J454" s="253"/>
      <c r="K454" s="584">
        <v>432818</v>
      </c>
      <c r="L454" s="193" t="s">
        <v>9</v>
      </c>
      <c r="M454" s="39" t="s">
        <v>47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26">
        <v>3</v>
      </c>
    </row>
    <row r="455" spans="1:28" ht="15.75" customHeight="1">
      <c r="A455" s="827" t="str">
        <f>IF(B455&lt;&gt;"",IF(AND(B455&gt;=_TM1,B455&lt;=_TM2,OR(TH!L455="1111",TH!M455="1111")),TH!D455,""),"")</f>
        <v/>
      </c>
      <c r="B455" s="36">
        <f t="shared" si="149"/>
        <v>8</v>
      </c>
      <c r="C455" s="190">
        <f t="shared" si="150"/>
        <v>42600</v>
      </c>
      <c r="D455" s="37"/>
      <c r="E455" s="740">
        <v>42600</v>
      </c>
      <c r="F455" s="40" t="s">
        <v>599</v>
      </c>
      <c r="G455" s="833" t="s">
        <v>1362</v>
      </c>
      <c r="H455" s="7" t="s">
        <v>1360</v>
      </c>
      <c r="I455" s="253"/>
      <c r="J455" s="253"/>
      <c r="K455" s="584">
        <v>604545</v>
      </c>
      <c r="L455" s="39" t="s">
        <v>83</v>
      </c>
      <c r="M455" s="39" t="s">
        <v>47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>x</v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26">
        <v>3</v>
      </c>
    </row>
    <row r="456" spans="1:28" ht="15.75" customHeight="1">
      <c r="A456" s="827" t="str">
        <f>IF(B456&lt;&gt;"",IF(AND(B456&gt;=_TM1,B456&lt;=_TM2,OR(TH!L456="1111",TH!M456="1111")),TH!D456,""),"")</f>
        <v/>
      </c>
      <c r="B456" s="36">
        <f t="shared" si="149"/>
        <v>8</v>
      </c>
      <c r="C456" s="190">
        <f t="shared" si="150"/>
        <v>42600</v>
      </c>
      <c r="D456" s="37"/>
      <c r="E456" s="740">
        <v>42600</v>
      </c>
      <c r="F456" s="40" t="s">
        <v>600</v>
      </c>
      <c r="G456" s="833" t="s">
        <v>1362</v>
      </c>
      <c r="H456" s="7" t="s">
        <v>1360</v>
      </c>
      <c r="I456" s="253"/>
      <c r="J456" s="253"/>
      <c r="K456" s="584">
        <v>50455</v>
      </c>
      <c r="L456" s="193" t="s">
        <v>9</v>
      </c>
      <c r="M456" s="39" t="s">
        <v>47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26">
        <v>3</v>
      </c>
    </row>
    <row r="457" spans="1:28" ht="15.75" customHeight="1">
      <c r="A457" s="827" t="str">
        <f>IF(B457&lt;&gt;"",IF(AND(B457&gt;=_TM1,B457&lt;=_TM2,OR(TH!L457="1111",TH!M457="1111")),TH!D457,""),"")</f>
        <v/>
      </c>
      <c r="B457" s="36">
        <f t="shared" si="149"/>
        <v>7</v>
      </c>
      <c r="C457" s="190">
        <f t="shared" si="150"/>
        <v>42573</v>
      </c>
      <c r="D457" s="37"/>
      <c r="E457" s="740">
        <v>42573</v>
      </c>
      <c r="F457" s="40" t="s">
        <v>1363</v>
      </c>
      <c r="G457" s="833" t="s">
        <v>1365</v>
      </c>
      <c r="H457" s="7" t="s">
        <v>1366</v>
      </c>
      <c r="I457" s="253"/>
      <c r="J457" s="253"/>
      <c r="K457" s="584">
        <v>2682000</v>
      </c>
      <c r="L457" s="39" t="s">
        <v>83</v>
      </c>
      <c r="M457" s="39" t="s">
        <v>47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>x</v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26">
        <v>3</v>
      </c>
    </row>
    <row r="458" spans="1:28" ht="15.75" customHeight="1">
      <c r="A458" s="827" t="str">
        <f>IF(B458&lt;&gt;"",IF(AND(B458&gt;=_TM1,B458&lt;=_TM2,OR(TH!L458="1111",TH!M458="1111")),TH!D458,""),"")</f>
        <v/>
      </c>
      <c r="B458" s="36">
        <f t="shared" si="149"/>
        <v>7</v>
      </c>
      <c r="C458" s="190">
        <f t="shared" si="150"/>
        <v>42573</v>
      </c>
      <c r="D458" s="37"/>
      <c r="E458" s="740">
        <v>42573</v>
      </c>
      <c r="F458" s="40" t="s">
        <v>1364</v>
      </c>
      <c r="G458" s="833" t="s">
        <v>1365</v>
      </c>
      <c r="H458" s="7" t="s">
        <v>1366</v>
      </c>
      <c r="I458" s="253"/>
      <c r="J458" s="253"/>
      <c r="K458" s="584">
        <v>268000</v>
      </c>
      <c r="L458" s="39" t="s">
        <v>9</v>
      </c>
      <c r="M458" s="39" t="s">
        <v>47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26">
        <v>3</v>
      </c>
    </row>
    <row r="459" spans="1:28" ht="15.75" customHeight="1">
      <c r="A459" s="827" t="str">
        <f>IF(B459&lt;&gt;"",IF(AND(B459&gt;=_TM1,B459&lt;=_TM2,OR(TH!L459="1111",TH!M459="1111")),TH!D459,""),"")</f>
        <v/>
      </c>
      <c r="B459" s="36">
        <f t="shared" si="149"/>
        <v>7</v>
      </c>
      <c r="C459" s="190">
        <f t="shared" si="150"/>
        <v>42579</v>
      </c>
      <c r="D459" s="37"/>
      <c r="E459" s="740">
        <v>42579</v>
      </c>
      <c r="F459" s="191" t="s">
        <v>1367</v>
      </c>
      <c r="G459" s="837" t="s">
        <v>1369</v>
      </c>
      <c r="H459" s="192" t="s">
        <v>614</v>
      </c>
      <c r="I459" s="253"/>
      <c r="J459" s="253"/>
      <c r="K459" s="584">
        <v>1227273</v>
      </c>
      <c r="L459" s="39" t="s">
        <v>83</v>
      </c>
      <c r="M459" s="39" t="s">
        <v>47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>x</v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26">
        <v>3</v>
      </c>
    </row>
    <row r="460" spans="1:28" ht="15.75" customHeight="1">
      <c r="A460" s="827" t="str">
        <f>IF(B460&lt;&gt;"",IF(AND(B460&gt;=_TM1,B460&lt;=_TM2,OR(TH!L460="1111",TH!M460="1111")),TH!D460,""),"")</f>
        <v/>
      </c>
      <c r="B460" s="36">
        <f t="shared" si="149"/>
        <v>7</v>
      </c>
      <c r="C460" s="190">
        <f t="shared" si="150"/>
        <v>42579</v>
      </c>
      <c r="D460" s="37"/>
      <c r="E460" s="740">
        <v>42579</v>
      </c>
      <c r="F460" s="191" t="s">
        <v>1368</v>
      </c>
      <c r="G460" s="837" t="s">
        <v>1369</v>
      </c>
      <c r="H460" s="192" t="s">
        <v>614</v>
      </c>
      <c r="I460" s="253"/>
      <c r="J460" s="253"/>
      <c r="K460" s="584">
        <v>122727</v>
      </c>
      <c r="L460" s="39" t="s">
        <v>9</v>
      </c>
      <c r="M460" s="39" t="s">
        <v>47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826">
        <v>3</v>
      </c>
    </row>
    <row r="461" spans="1:28" ht="15.75" customHeight="1">
      <c r="A461" s="827" t="str">
        <f>IF(B461&lt;&gt;"",IF(AND(B461&gt;=_TM1,B461&lt;=_TM2,OR(TH!L461="1111",TH!M461="1111")),TH!D461,""),"")</f>
        <v/>
      </c>
      <c r="B461" s="36">
        <f t="shared" si="149"/>
        <v>7</v>
      </c>
      <c r="C461" s="190">
        <f t="shared" si="150"/>
        <v>42582</v>
      </c>
      <c r="D461" s="37"/>
      <c r="E461" s="740">
        <v>42582</v>
      </c>
      <c r="F461" s="40" t="s">
        <v>599</v>
      </c>
      <c r="G461" s="837" t="s">
        <v>1370</v>
      </c>
      <c r="H461" s="825" t="s">
        <v>601</v>
      </c>
      <c r="I461" s="253"/>
      <c r="J461" s="253"/>
      <c r="K461" s="584">
        <f>1121730+30298</f>
        <v>1152028</v>
      </c>
      <c r="L461" s="39" t="s">
        <v>83</v>
      </c>
      <c r="M461" s="39" t="s">
        <v>47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>x</v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26">
        <v>3</v>
      </c>
    </row>
    <row r="462" spans="1:28" ht="15.75" customHeight="1">
      <c r="A462" s="827" t="str">
        <f>IF(B462&lt;&gt;"",IF(AND(B462&gt;=_TM1,B462&lt;=_TM2,OR(TH!L462="1111",TH!M462="1111")),TH!D462,""),"")</f>
        <v/>
      </c>
      <c r="B462" s="36">
        <f t="shared" si="149"/>
        <v>7</v>
      </c>
      <c r="C462" s="190">
        <f t="shared" si="150"/>
        <v>42582</v>
      </c>
      <c r="D462" s="37"/>
      <c r="E462" s="740">
        <v>42582</v>
      </c>
      <c r="F462" s="40" t="s">
        <v>600</v>
      </c>
      <c r="G462" s="837" t="s">
        <v>1370</v>
      </c>
      <c r="H462" s="825" t="s">
        <v>601</v>
      </c>
      <c r="I462" s="253"/>
      <c r="J462" s="253"/>
      <c r="K462" s="584">
        <f>112170+1515</f>
        <v>113685</v>
      </c>
      <c r="L462" s="39" t="s">
        <v>9</v>
      </c>
      <c r="M462" s="39" t="s">
        <v>47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26">
        <v>3</v>
      </c>
    </row>
    <row r="463" spans="1:28" ht="15.75" customHeight="1">
      <c r="A463" s="827" t="str">
        <f>IF(B463&lt;&gt;"",IF(AND(B463&gt;=_TM1,B463&lt;=_TM2,OR(TH!L463="1111",TH!M463="1111")),TH!D463,""),"")</f>
        <v/>
      </c>
      <c r="B463" s="36">
        <f t="shared" si="149"/>
        <v>8</v>
      </c>
      <c r="C463" s="190">
        <f t="shared" si="150"/>
        <v>42603</v>
      </c>
      <c r="D463" s="37"/>
      <c r="E463" s="740">
        <v>42603</v>
      </c>
      <c r="F463" s="40" t="s">
        <v>599</v>
      </c>
      <c r="G463" s="837" t="s">
        <v>1371</v>
      </c>
      <c r="H463" s="825" t="s">
        <v>601</v>
      </c>
      <c r="I463" s="253"/>
      <c r="J463" s="253"/>
      <c r="K463" s="584">
        <f>304784+634729</f>
        <v>939513</v>
      </c>
      <c r="L463" s="39" t="s">
        <v>83</v>
      </c>
      <c r="M463" s="39" t="s">
        <v>47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>x</v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26">
        <v>3</v>
      </c>
    </row>
    <row r="464" spans="1:28" ht="15.75" customHeight="1">
      <c r="A464" s="827" t="str">
        <f>IF(B464&lt;&gt;"",IF(AND(B464&gt;=_TM1,B464&lt;=_TM2,OR(TH!L464="1111",TH!M464="1111")),TH!D464,""),"")</f>
        <v/>
      </c>
      <c r="B464" s="36">
        <f t="shared" si="149"/>
        <v>8</v>
      </c>
      <c r="C464" s="190">
        <f t="shared" si="150"/>
        <v>42603</v>
      </c>
      <c r="D464" s="37"/>
      <c r="E464" s="740">
        <v>42603</v>
      </c>
      <c r="F464" s="40" t="s">
        <v>600</v>
      </c>
      <c r="G464" s="837" t="s">
        <v>1371</v>
      </c>
      <c r="H464" s="825" t="s">
        <v>601</v>
      </c>
      <c r="I464" s="253"/>
      <c r="J464" s="253"/>
      <c r="K464" s="584">
        <f>15239+63471</f>
        <v>78710</v>
      </c>
      <c r="L464" s="193" t="s">
        <v>9</v>
      </c>
      <c r="M464" s="39" t="s">
        <v>47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26">
        <v>3</v>
      </c>
    </row>
    <row r="465" spans="1:28" ht="15.75" customHeight="1">
      <c r="A465" s="827" t="str">
        <f>IF(B465&lt;&gt;"",IF(AND(B465&gt;=_TM1,B465&lt;=_TM2,OR(TH!L465="1111",TH!M465="1111")),TH!D465,""),"")</f>
        <v/>
      </c>
      <c r="B465" s="36">
        <f t="shared" si="149"/>
        <v>7</v>
      </c>
      <c r="C465" s="190">
        <f t="shared" si="150"/>
        <v>42552</v>
      </c>
      <c r="D465" s="37"/>
      <c r="E465" s="740">
        <v>42552</v>
      </c>
      <c r="F465" s="188" t="s">
        <v>425</v>
      </c>
      <c r="G465" s="837" t="s">
        <v>1372</v>
      </c>
      <c r="H465" s="192" t="s">
        <v>423</v>
      </c>
      <c r="I465" s="253"/>
      <c r="J465" s="253"/>
      <c r="K465" s="584">
        <v>909125</v>
      </c>
      <c r="L465" s="39" t="s">
        <v>83</v>
      </c>
      <c r="M465" s="39" t="s">
        <v>47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>x</v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26">
        <v>3</v>
      </c>
    </row>
    <row r="466" spans="1:28" ht="15.75" customHeight="1">
      <c r="A466" s="827" t="str">
        <f>IF(B466&lt;&gt;"",IF(AND(B466&gt;=_TM1,B466&lt;=_TM2,OR(TH!L466="1111",TH!M466="1111")),TH!D466,""),"")</f>
        <v/>
      </c>
      <c r="B466" s="36">
        <f t="shared" si="149"/>
        <v>7</v>
      </c>
      <c r="C466" s="190">
        <f t="shared" si="150"/>
        <v>42552</v>
      </c>
      <c r="D466" s="37"/>
      <c r="E466" s="740">
        <v>42552</v>
      </c>
      <c r="F466" s="188" t="s">
        <v>426</v>
      </c>
      <c r="G466" s="837" t="s">
        <v>1372</v>
      </c>
      <c r="H466" s="192" t="s">
        <v>423</v>
      </c>
      <c r="I466" s="253"/>
      <c r="J466" s="253"/>
      <c r="K466" s="584">
        <v>90912</v>
      </c>
      <c r="L466" s="39" t="s">
        <v>9</v>
      </c>
      <c r="M466" s="39" t="s">
        <v>47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26">
        <v>3</v>
      </c>
    </row>
    <row r="467" spans="1:28" ht="15.75" customHeight="1">
      <c r="A467" s="827" t="str">
        <f>IF(B467&lt;&gt;"",IF(AND(B467&gt;=_TM1,B467&lt;=_TM2,OR(TH!L467="1111",TH!M467="1111")),TH!D467,""),"")</f>
        <v/>
      </c>
      <c r="B467" s="36">
        <f t="shared" si="149"/>
        <v>7</v>
      </c>
      <c r="C467" s="190">
        <f t="shared" si="150"/>
        <v>42579</v>
      </c>
      <c r="D467" s="37"/>
      <c r="E467" s="740">
        <v>42579</v>
      </c>
      <c r="F467" s="188" t="s">
        <v>425</v>
      </c>
      <c r="G467" s="837" t="s">
        <v>1373</v>
      </c>
      <c r="H467" s="192" t="s">
        <v>423</v>
      </c>
      <c r="I467" s="253"/>
      <c r="J467" s="253"/>
      <c r="K467" s="584">
        <v>909460</v>
      </c>
      <c r="L467" s="39" t="s">
        <v>83</v>
      </c>
      <c r="M467" s="39" t="s">
        <v>47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>x</v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26">
        <v>3</v>
      </c>
    </row>
    <row r="468" spans="1:28" ht="15.75" customHeight="1">
      <c r="A468" s="827" t="str">
        <f>IF(B468&lt;&gt;"",IF(AND(B468&gt;=_TM1,B468&lt;=_TM2,OR(TH!L468="1111",TH!M468="1111")),TH!D468,""),"")</f>
        <v/>
      </c>
      <c r="B468" s="36">
        <f t="shared" si="149"/>
        <v>7</v>
      </c>
      <c r="C468" s="190">
        <f t="shared" si="150"/>
        <v>42579</v>
      </c>
      <c r="D468" s="37"/>
      <c r="E468" s="740">
        <v>42579</v>
      </c>
      <c r="F468" s="188" t="s">
        <v>426</v>
      </c>
      <c r="G468" s="837" t="s">
        <v>1373</v>
      </c>
      <c r="H468" s="192" t="s">
        <v>423</v>
      </c>
      <c r="I468" s="253"/>
      <c r="J468" s="253"/>
      <c r="K468" s="584">
        <v>90946</v>
      </c>
      <c r="L468" s="39" t="s">
        <v>9</v>
      </c>
      <c r="M468" s="39" t="s">
        <v>47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26">
        <v>3</v>
      </c>
    </row>
    <row r="469" spans="1:28" ht="15.75" customHeight="1">
      <c r="A469" s="827" t="str">
        <f>IF(B469&lt;&gt;"",IF(AND(B469&gt;=_TM1,B469&lt;=_TM2,OR(TH!L469="1111",TH!M469="1111")),TH!D469,""),"")</f>
        <v/>
      </c>
      <c r="B469" s="36">
        <f t="shared" si="149"/>
        <v>8</v>
      </c>
      <c r="C469" s="190">
        <f t="shared" si="150"/>
        <v>42613</v>
      </c>
      <c r="D469" s="37"/>
      <c r="E469" s="740">
        <v>42613</v>
      </c>
      <c r="F469" s="188" t="s">
        <v>425</v>
      </c>
      <c r="G469" s="837" t="s">
        <v>1374</v>
      </c>
      <c r="H469" s="192" t="s">
        <v>423</v>
      </c>
      <c r="I469" s="253"/>
      <c r="J469" s="253"/>
      <c r="K469" s="584">
        <v>1818224</v>
      </c>
      <c r="L469" s="39" t="s">
        <v>83</v>
      </c>
      <c r="M469" s="39" t="s">
        <v>47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>x</v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26">
        <v>3</v>
      </c>
    </row>
    <row r="470" spans="1:28" ht="15.75" customHeight="1">
      <c r="A470" s="827" t="str">
        <f>IF(B470&lt;&gt;"",IF(AND(B470&gt;=_TM1,B470&lt;=_TM2,OR(TH!L470="1111",TH!M470="1111")),TH!D470,""),"")</f>
        <v/>
      </c>
      <c r="B470" s="36">
        <f t="shared" si="149"/>
        <v>8</v>
      </c>
      <c r="C470" s="190">
        <f t="shared" si="150"/>
        <v>42613</v>
      </c>
      <c r="D470" s="37"/>
      <c r="E470" s="740">
        <v>42613</v>
      </c>
      <c r="F470" s="188" t="s">
        <v>426</v>
      </c>
      <c r="G470" s="837" t="s">
        <v>1374</v>
      </c>
      <c r="H470" s="192" t="s">
        <v>423</v>
      </c>
      <c r="I470" s="253"/>
      <c r="J470" s="253"/>
      <c r="K470" s="584">
        <v>181822</v>
      </c>
      <c r="L470" s="193" t="s">
        <v>9</v>
      </c>
      <c r="M470" s="39" t="s">
        <v>47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26">
        <v>3</v>
      </c>
    </row>
    <row r="471" spans="1:28" ht="15.75" customHeight="1">
      <c r="A471" s="827" t="str">
        <f>IF(B471&lt;&gt;"",IF(AND(B471&gt;=_TM1,B471&lt;=_TM2,OR(TH!L471="1111",TH!M471="1111")),TH!D471,""),"")</f>
        <v/>
      </c>
      <c r="B471" s="36">
        <f t="shared" si="149"/>
        <v>7</v>
      </c>
      <c r="C471" s="190">
        <f t="shared" si="150"/>
        <v>42552</v>
      </c>
      <c r="D471" s="190"/>
      <c r="E471" s="190">
        <v>42552</v>
      </c>
      <c r="F471" s="191" t="s">
        <v>1100</v>
      </c>
      <c r="G471" s="833" t="s">
        <v>1709</v>
      </c>
      <c r="H471" s="192" t="s">
        <v>596</v>
      </c>
      <c r="I471" s="253"/>
      <c r="J471" s="253"/>
      <c r="K471" s="584">
        <f>162262+38906</f>
        <v>201168</v>
      </c>
      <c r="L471" s="193" t="s">
        <v>83</v>
      </c>
      <c r="M471" s="193" t="s">
        <v>47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>x</v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26">
        <v>3</v>
      </c>
      <c r="AB471" s="576"/>
    </row>
    <row r="472" spans="1:28" ht="15.75" customHeight="1">
      <c r="A472" s="827" t="str">
        <f>IF(B472&lt;&gt;"",IF(AND(B472&gt;=_TM1,B472&lt;=_TM2,OR(TH!L472="1111",TH!M472="1111")),TH!D472,""),"")</f>
        <v/>
      </c>
      <c r="B472" s="36">
        <f t="shared" si="149"/>
        <v>7</v>
      </c>
      <c r="C472" s="190">
        <f t="shared" si="150"/>
        <v>42552</v>
      </c>
      <c r="D472" s="190"/>
      <c r="E472" s="190">
        <v>42552</v>
      </c>
      <c r="F472" s="191" t="s">
        <v>1101</v>
      </c>
      <c r="G472" s="833" t="s">
        <v>1709</v>
      </c>
      <c r="H472" s="192" t="s">
        <v>596</v>
      </c>
      <c r="I472" s="253"/>
      <c r="J472" s="253"/>
      <c r="K472" s="584">
        <f>16226+3891</f>
        <v>20117</v>
      </c>
      <c r="L472" s="39" t="s">
        <v>9</v>
      </c>
      <c r="M472" s="193" t="s">
        <v>47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26">
        <v>3</v>
      </c>
      <c r="AB472" s="576"/>
    </row>
    <row r="473" spans="1:28" ht="15.75" customHeight="1">
      <c r="A473" s="827" t="str">
        <f>IF(B473&lt;&gt;"",IF(AND(B473&gt;=_TM1,B473&lt;=_TM2,OR(TH!L473="1111",TH!M473="1111")),TH!D473,""),"")</f>
        <v/>
      </c>
      <c r="B473" s="36">
        <f t="shared" si="149"/>
        <v>8</v>
      </c>
      <c r="C473" s="190">
        <f t="shared" si="150"/>
        <v>42583</v>
      </c>
      <c r="D473" s="190"/>
      <c r="E473" s="190">
        <v>42583</v>
      </c>
      <c r="F473" s="191" t="s">
        <v>1100</v>
      </c>
      <c r="G473" s="833" t="s">
        <v>1710</v>
      </c>
      <c r="H473" s="192" t="s">
        <v>596</v>
      </c>
      <c r="I473" s="253"/>
      <c r="J473" s="253"/>
      <c r="K473" s="584">
        <f>172727+90606</f>
        <v>263333</v>
      </c>
      <c r="L473" s="193" t="s">
        <v>83</v>
      </c>
      <c r="M473" s="193" t="s">
        <v>47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>x</v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26">
        <v>3</v>
      </c>
      <c r="AB473" s="576"/>
    </row>
    <row r="474" spans="1:28" ht="15.75" customHeight="1">
      <c r="A474" s="827" t="str">
        <f>IF(B474&lt;&gt;"",IF(AND(B474&gt;=_TM1,B474&lt;=_TM2,OR(TH!L474="1111",TH!M474="1111")),TH!D474,""),"")</f>
        <v/>
      </c>
      <c r="B474" s="36">
        <f t="shared" si="149"/>
        <v>8</v>
      </c>
      <c r="C474" s="190">
        <f t="shared" si="150"/>
        <v>42583</v>
      </c>
      <c r="D474" s="190"/>
      <c r="E474" s="190">
        <v>42583</v>
      </c>
      <c r="F474" s="191" t="s">
        <v>1101</v>
      </c>
      <c r="G474" s="833" t="s">
        <v>1710</v>
      </c>
      <c r="H474" s="192" t="s">
        <v>596</v>
      </c>
      <c r="I474" s="253"/>
      <c r="J474" s="253"/>
      <c r="K474" s="584">
        <f>17273+9061</f>
        <v>26334</v>
      </c>
      <c r="L474" s="39" t="s">
        <v>9</v>
      </c>
      <c r="M474" s="193" t="s">
        <v>47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26">
        <v>3</v>
      </c>
      <c r="AB474" s="576"/>
    </row>
    <row r="475" spans="1:28" ht="15.75" customHeight="1">
      <c r="A475" s="827" t="str">
        <f>IF(B475&lt;&gt;"",IF(AND(B475&gt;=_TM1,B475&lt;=_TM2,OR(TH!L475="1111",TH!M475="1111")),TH!D475,""),"")</f>
        <v/>
      </c>
      <c r="B475" s="36">
        <f t="shared" si="149"/>
        <v>9</v>
      </c>
      <c r="C475" s="190">
        <f t="shared" si="150"/>
        <v>42614</v>
      </c>
      <c r="D475" s="190"/>
      <c r="E475" s="190">
        <v>42614</v>
      </c>
      <c r="F475" s="191" t="s">
        <v>1100</v>
      </c>
      <c r="G475" s="833" t="s">
        <v>1711</v>
      </c>
      <c r="H475" s="192" t="s">
        <v>596</v>
      </c>
      <c r="I475" s="253"/>
      <c r="J475" s="253"/>
      <c r="K475" s="584">
        <f>172727+40060</f>
        <v>212787</v>
      </c>
      <c r="L475" s="193" t="s">
        <v>83</v>
      </c>
      <c r="M475" s="193" t="s">
        <v>47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>x</v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26">
        <v>3</v>
      </c>
      <c r="AB475" s="576"/>
    </row>
    <row r="476" spans="1:28" ht="15.75" customHeight="1">
      <c r="A476" s="827" t="str">
        <f>IF(B476&lt;&gt;"",IF(AND(B476&gt;=_TM1,B476&lt;=_TM2,OR(TH!L476="1111",TH!M476="1111")),TH!D476,""),"")</f>
        <v/>
      </c>
      <c r="B476" s="36">
        <f t="shared" si="149"/>
        <v>9</v>
      </c>
      <c r="C476" s="190">
        <f t="shared" si="150"/>
        <v>42614</v>
      </c>
      <c r="D476" s="190"/>
      <c r="E476" s="190">
        <v>42614</v>
      </c>
      <c r="F476" s="191" t="s">
        <v>1101</v>
      </c>
      <c r="G476" s="833" t="s">
        <v>1711</v>
      </c>
      <c r="H476" s="192" t="s">
        <v>596</v>
      </c>
      <c r="I476" s="256"/>
      <c r="J476" s="256"/>
      <c r="K476" s="584">
        <f>17273+4006</f>
        <v>21279</v>
      </c>
      <c r="L476" s="39" t="s">
        <v>9</v>
      </c>
      <c r="M476" s="193" t="s">
        <v>47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26">
        <v>3</v>
      </c>
      <c r="AB476" s="576"/>
    </row>
    <row r="477" spans="1:28" ht="15.75" customHeight="1">
      <c r="A477" s="827" t="str">
        <f>IF(B477&lt;&gt;"",IF(AND(B477&gt;=_TM1,B477&lt;=_TM2,OR(TH!L477="1111",TH!M477="1111")),TH!D477,""),"")</f>
        <v/>
      </c>
      <c r="B477" s="36">
        <f t="shared" ref="B477:B540" si="151">IF(C477&lt;&gt;"",MONTH(C477),"")</f>
        <v>1</v>
      </c>
      <c r="C477" s="190">
        <f t="shared" ref="C477:C540" si="152">E477</f>
        <v>42371</v>
      </c>
      <c r="D477" s="37" t="s">
        <v>1630</v>
      </c>
      <c r="E477" s="37">
        <v>42371</v>
      </c>
      <c r="F477" s="191" t="s">
        <v>970</v>
      </c>
      <c r="G477" s="837" t="s">
        <v>969</v>
      </c>
      <c r="H477" s="192" t="s">
        <v>445</v>
      </c>
      <c r="I477" s="253">
        <v>1000</v>
      </c>
      <c r="J477" s="253">
        <v>8265</v>
      </c>
      <c r="K477" s="584">
        <f>ROUND(I477*J477,0)</f>
        <v>8265000</v>
      </c>
      <c r="L477" s="585" t="s">
        <v>857</v>
      </c>
      <c r="M477" s="585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26">
        <v>1</v>
      </c>
      <c r="AB477" s="576" t="str">
        <f>IF(VLOOKUP(F477,NXT!$C$12:$C$786,1,0)=F477,"","x")</f>
        <v/>
      </c>
    </row>
    <row r="478" spans="1:28" ht="15.75" customHeight="1">
      <c r="A478" s="827" t="str">
        <f>IF(B478&lt;&gt;"",IF(AND(B478&gt;=_TM1,B478&lt;=_TM2,OR(TH!L478="1111",TH!M478="1111")),TH!D478,""),"")</f>
        <v/>
      </c>
      <c r="B478" s="36">
        <f t="shared" si="151"/>
        <v>1</v>
      </c>
      <c r="C478" s="190">
        <f t="shared" si="152"/>
        <v>42371</v>
      </c>
      <c r="D478" s="37" t="s">
        <v>1630</v>
      </c>
      <c r="E478" s="37">
        <v>42371</v>
      </c>
      <c r="F478" s="191" t="s">
        <v>1178</v>
      </c>
      <c r="G478" s="837" t="s">
        <v>969</v>
      </c>
      <c r="H478" s="192" t="s">
        <v>445</v>
      </c>
      <c r="I478" s="253">
        <v>200</v>
      </c>
      <c r="J478" s="253">
        <v>30875</v>
      </c>
      <c r="K478" s="584">
        <f>ROUND(I478*J478,0)</f>
        <v>6175000</v>
      </c>
      <c r="L478" s="585" t="s">
        <v>857</v>
      </c>
      <c r="M478" s="585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26">
        <v>1</v>
      </c>
      <c r="AB478" s="576" t="str">
        <f>IF(VLOOKUP(F478,NXT!$C$12:$C$786,1,0)=F478,"","x")</f>
        <v/>
      </c>
    </row>
    <row r="479" spans="1:28" ht="15.75" customHeight="1">
      <c r="A479" s="827" t="str">
        <f>IF(B479&lt;&gt;"",IF(AND(B479&gt;=_TM1,B479&lt;=_TM2,OR(TH!L479="1111",TH!M479="1111")),TH!D479,""),"")</f>
        <v/>
      </c>
      <c r="B479" s="36">
        <f t="shared" si="151"/>
        <v>1</v>
      </c>
      <c r="C479" s="190">
        <f t="shared" si="152"/>
        <v>42371</v>
      </c>
      <c r="D479" s="37" t="s">
        <v>1630</v>
      </c>
      <c r="E479" s="37">
        <v>42371</v>
      </c>
      <c r="F479" s="191" t="s">
        <v>1179</v>
      </c>
      <c r="G479" s="837" t="s">
        <v>969</v>
      </c>
      <c r="H479" s="192" t="s">
        <v>445</v>
      </c>
      <c r="I479" s="253">
        <v>200</v>
      </c>
      <c r="J479" s="253">
        <v>31155</v>
      </c>
      <c r="K479" s="584">
        <f>ROUND(I479*J479,0)</f>
        <v>6231000</v>
      </c>
      <c r="L479" s="585" t="s">
        <v>857</v>
      </c>
      <c r="M479" s="585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26">
        <v>1</v>
      </c>
      <c r="AB479" s="576" t="str">
        <f>IF(VLOOKUP(F479,NXT!$C$12:$C$786,1,0)=F479,"","x")</f>
        <v/>
      </c>
    </row>
    <row r="480" spans="1:28" ht="15.75" customHeight="1">
      <c r="A480" s="827" t="str">
        <f>IF(B480&lt;&gt;"",IF(AND(B480&gt;=_TM1,B480&lt;=_TM2,OR(TH!L480="1111",TH!M480="1111")),TH!D480,""),"")</f>
        <v/>
      </c>
      <c r="B480" s="36">
        <f t="shared" si="151"/>
        <v>1</v>
      </c>
      <c r="C480" s="190">
        <f t="shared" si="152"/>
        <v>42371</v>
      </c>
      <c r="D480" s="37" t="s">
        <v>1630</v>
      </c>
      <c r="E480" s="37">
        <v>42371</v>
      </c>
      <c r="F480" s="292" t="s">
        <v>450</v>
      </c>
      <c r="G480" s="837" t="s">
        <v>969</v>
      </c>
      <c r="H480" s="192" t="s">
        <v>445</v>
      </c>
      <c r="I480" s="253">
        <v>2000</v>
      </c>
      <c r="J480" s="253">
        <v>15675</v>
      </c>
      <c r="K480" s="584">
        <f>ROUND(I480*J480,0)</f>
        <v>31350000</v>
      </c>
      <c r="L480" s="585" t="s">
        <v>857</v>
      </c>
      <c r="M480" s="585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26">
        <v>1</v>
      </c>
      <c r="AB480" s="576" t="str">
        <f>IF(VLOOKUP(F480,NXT!$C$12:$C$786,1,0)=F480,"","x")</f>
        <v/>
      </c>
    </row>
    <row r="481" spans="1:28" ht="15.75" customHeight="1">
      <c r="A481" s="827" t="str">
        <f>IF(B481&lt;&gt;"",IF(AND(B481&gt;=_TM1,B481&lt;=_TM2,OR(TH!L481="1111",TH!M481="1111")),TH!D481,""),"")</f>
        <v/>
      </c>
      <c r="B481" s="36">
        <f t="shared" si="151"/>
        <v>1</v>
      </c>
      <c r="C481" s="190">
        <f t="shared" si="152"/>
        <v>42371</v>
      </c>
      <c r="D481" s="37" t="s">
        <v>1630</v>
      </c>
      <c r="E481" s="37">
        <v>42371</v>
      </c>
      <c r="F481" s="191" t="s">
        <v>939</v>
      </c>
      <c r="G481" s="837" t="s">
        <v>969</v>
      </c>
      <c r="H481" s="192" t="s">
        <v>445</v>
      </c>
      <c r="I481" s="253">
        <v>50</v>
      </c>
      <c r="J481" s="253">
        <v>21518</v>
      </c>
      <c r="K481" s="584">
        <f>ROUND(I481*J481,0)</f>
        <v>1075900</v>
      </c>
      <c r="L481" s="585" t="s">
        <v>857</v>
      </c>
      <c r="M481" s="585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26">
        <v>1</v>
      </c>
      <c r="AB481" s="576" t="str">
        <f>IF(VLOOKUP(F481,NXT!$C$12:$C$786,1,0)=F481,"","x")</f>
        <v/>
      </c>
    </row>
    <row r="482" spans="1:28" ht="15.75" customHeight="1">
      <c r="A482" s="827" t="str">
        <f>IF(B482&lt;&gt;"",IF(AND(B482&gt;=_TM1,B482&lt;=_TM2,OR(TH!L482="1111",TH!M482="1111")),TH!D482,""),"")</f>
        <v/>
      </c>
      <c r="B482" s="36">
        <f t="shared" si="151"/>
        <v>1</v>
      </c>
      <c r="C482" s="190">
        <f t="shared" si="152"/>
        <v>42371</v>
      </c>
      <c r="D482" s="37" t="s">
        <v>1630</v>
      </c>
      <c r="E482" s="37">
        <v>42371</v>
      </c>
      <c r="F482" s="191" t="s">
        <v>461</v>
      </c>
      <c r="G482" s="837" t="s">
        <v>969</v>
      </c>
      <c r="H482" s="192" t="s">
        <v>445</v>
      </c>
      <c r="I482" s="253"/>
      <c r="J482" s="253"/>
      <c r="K482" s="584">
        <v>5309690</v>
      </c>
      <c r="L482" s="585" t="s">
        <v>9</v>
      </c>
      <c r="M482" s="585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26">
        <v>1</v>
      </c>
    </row>
    <row r="483" spans="1:28" ht="15.75" customHeight="1">
      <c r="A483" s="827" t="str">
        <f>IF(B483&lt;&gt;"",IF(AND(B483&gt;=_TM1,B483&lt;=_TM2,OR(TH!L483="1111",TH!M483="1111")),TH!D483,""),"")</f>
        <v/>
      </c>
      <c r="B483" s="36">
        <f t="shared" si="151"/>
        <v>1</v>
      </c>
      <c r="C483" s="190">
        <f t="shared" si="152"/>
        <v>42374</v>
      </c>
      <c r="D483" s="37" t="s">
        <v>1631</v>
      </c>
      <c r="E483" s="37">
        <v>42374</v>
      </c>
      <c r="F483" s="191" t="s">
        <v>918</v>
      </c>
      <c r="G483" s="837" t="s">
        <v>917</v>
      </c>
      <c r="H483" s="192" t="s">
        <v>428</v>
      </c>
      <c r="I483" s="253">
        <v>300</v>
      </c>
      <c r="J483" s="253">
        <v>20500</v>
      </c>
      <c r="K483" s="584">
        <f>ROUND(I483*J483,0)</f>
        <v>6150000</v>
      </c>
      <c r="L483" s="585" t="s">
        <v>857</v>
      </c>
      <c r="M483" s="585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26">
        <v>1</v>
      </c>
      <c r="AB483" s="576" t="str">
        <f>IF(VLOOKUP(F483,NXT!$C$12:$C$786,1,0)=F483,"","x")</f>
        <v/>
      </c>
    </row>
    <row r="484" spans="1:28" ht="15.75" customHeight="1">
      <c r="A484" s="827" t="str">
        <f>IF(B484&lt;&gt;"",IF(AND(B484&gt;=_TM1,B484&lt;=_TM2,OR(TH!L484="1111",TH!M484="1111")),TH!D484,""),"")</f>
        <v/>
      </c>
      <c r="B484" s="36">
        <f t="shared" si="151"/>
        <v>1</v>
      </c>
      <c r="C484" s="190">
        <f t="shared" si="152"/>
        <v>42374</v>
      </c>
      <c r="D484" s="37" t="s">
        <v>1631</v>
      </c>
      <c r="E484" s="37">
        <v>42374</v>
      </c>
      <c r="F484" s="191" t="s">
        <v>738</v>
      </c>
      <c r="G484" s="837" t="s">
        <v>917</v>
      </c>
      <c r="H484" s="192" t="s">
        <v>428</v>
      </c>
      <c r="I484" s="253"/>
      <c r="J484" s="253"/>
      <c r="K484" s="584">
        <v>615000</v>
      </c>
      <c r="L484" s="585" t="s">
        <v>9</v>
      </c>
      <c r="M484" s="585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26">
        <v>1</v>
      </c>
    </row>
    <row r="485" spans="1:28" ht="15.75" customHeight="1">
      <c r="A485" s="827" t="str">
        <f>IF(B485&lt;&gt;"",IF(AND(B485&gt;=_TM1,B485&lt;=_TM2,OR(TH!L485="1111",TH!M485="1111")),TH!D485,""),"")</f>
        <v/>
      </c>
      <c r="B485" s="36">
        <f t="shared" si="151"/>
        <v>1</v>
      </c>
      <c r="C485" s="190">
        <f t="shared" si="152"/>
        <v>42376</v>
      </c>
      <c r="D485" s="37" t="s">
        <v>1632</v>
      </c>
      <c r="E485" s="37">
        <v>42376</v>
      </c>
      <c r="F485" s="191" t="s">
        <v>920</v>
      </c>
      <c r="G485" s="837" t="s">
        <v>919</v>
      </c>
      <c r="H485" s="192" t="s">
        <v>428</v>
      </c>
      <c r="I485" s="253">
        <v>500</v>
      </c>
      <c r="J485" s="253">
        <v>9635</v>
      </c>
      <c r="K485" s="584">
        <f>ROUND(I485*J485,0)</f>
        <v>4817500</v>
      </c>
      <c r="L485" s="585" t="s">
        <v>857</v>
      </c>
      <c r="M485" s="585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26">
        <v>1</v>
      </c>
      <c r="AB485" s="576" t="str">
        <f>IF(VLOOKUP(F485,NXT!$C$12:$C$786,1,0)=F485,"","x")</f>
        <v/>
      </c>
    </row>
    <row r="486" spans="1:28" ht="15.75" customHeight="1">
      <c r="A486" s="827" t="str">
        <f>IF(B486&lt;&gt;"",IF(AND(B486&gt;=_TM1,B486&lt;=_TM2,OR(TH!L486="1111",TH!M486="1111")),TH!D486,""),"")</f>
        <v/>
      </c>
      <c r="B486" s="36">
        <f t="shared" si="151"/>
        <v>1</v>
      </c>
      <c r="C486" s="190">
        <f t="shared" si="152"/>
        <v>42376</v>
      </c>
      <c r="D486" s="37" t="s">
        <v>1632</v>
      </c>
      <c r="E486" s="37">
        <v>42376</v>
      </c>
      <c r="F486" s="191" t="s">
        <v>921</v>
      </c>
      <c r="G486" s="837" t="s">
        <v>919</v>
      </c>
      <c r="H486" s="192" t="s">
        <v>428</v>
      </c>
      <c r="I486" s="253">
        <v>1000</v>
      </c>
      <c r="J486" s="253">
        <v>6470</v>
      </c>
      <c r="K486" s="584">
        <f>ROUND(I486*J486,0)</f>
        <v>6470000</v>
      </c>
      <c r="L486" s="585" t="s">
        <v>857</v>
      </c>
      <c r="M486" s="585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26">
        <v>1</v>
      </c>
      <c r="AB486" s="576" t="str">
        <f>IF(VLOOKUP(F486,NXT!$C$12:$C$786,1,0)=F486,"","x")</f>
        <v/>
      </c>
    </row>
    <row r="487" spans="1:28" ht="15.75" customHeight="1">
      <c r="A487" s="827" t="str">
        <f>IF(B487&lt;&gt;"",IF(AND(B487&gt;=_TM1,B487&lt;=_TM2,OR(TH!L487="1111",TH!M487="1111")),TH!D487,""),"")</f>
        <v/>
      </c>
      <c r="B487" s="36">
        <f t="shared" si="151"/>
        <v>1</v>
      </c>
      <c r="C487" s="190">
        <f t="shared" si="152"/>
        <v>42376</v>
      </c>
      <c r="D487" s="37" t="s">
        <v>1632</v>
      </c>
      <c r="E487" s="37">
        <v>42376</v>
      </c>
      <c r="F487" s="191" t="s">
        <v>637</v>
      </c>
      <c r="G487" s="837" t="s">
        <v>919</v>
      </c>
      <c r="H487" s="192" t="s">
        <v>428</v>
      </c>
      <c r="I487" s="253">
        <v>1000</v>
      </c>
      <c r="J487" s="253">
        <v>5942</v>
      </c>
      <c r="K487" s="584">
        <f>ROUND(I487*J487,0)</f>
        <v>5942000</v>
      </c>
      <c r="L487" s="585" t="s">
        <v>857</v>
      </c>
      <c r="M487" s="585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26">
        <v>1</v>
      </c>
      <c r="AB487" s="576" t="str">
        <f>IF(VLOOKUP(F487,NXT!$C$12:$C$786,1,0)=F487,"","x")</f>
        <v/>
      </c>
    </row>
    <row r="488" spans="1:28" ht="15.75" customHeight="1">
      <c r="A488" s="827" t="str">
        <f>IF(B488&lt;&gt;"",IF(AND(B488&gt;=_TM1,B488&lt;=_TM2,OR(TH!L488="1111",TH!M488="1111")),TH!D488,""),"")</f>
        <v/>
      </c>
      <c r="B488" s="36">
        <f t="shared" si="151"/>
        <v>1</v>
      </c>
      <c r="C488" s="190">
        <f t="shared" si="152"/>
        <v>42376</v>
      </c>
      <c r="D488" s="37" t="s">
        <v>1632</v>
      </c>
      <c r="E488" s="37">
        <v>42376</v>
      </c>
      <c r="F488" s="191" t="s">
        <v>922</v>
      </c>
      <c r="G488" s="837" t="s">
        <v>919</v>
      </c>
      <c r="H488" s="192" t="s">
        <v>428</v>
      </c>
      <c r="I488" s="253">
        <v>200</v>
      </c>
      <c r="J488" s="253">
        <v>10013</v>
      </c>
      <c r="K488" s="584">
        <f>ROUND(I488*J488,0)</f>
        <v>2002600</v>
      </c>
      <c r="L488" s="585" t="s">
        <v>857</v>
      </c>
      <c r="M488" s="585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26">
        <v>1</v>
      </c>
      <c r="AB488" s="576" t="str">
        <f>IF(VLOOKUP(F488,NXT!$C$12:$C$786,1,0)=F488,"","x")</f>
        <v/>
      </c>
    </row>
    <row r="489" spans="1:28" ht="15.75" customHeight="1">
      <c r="A489" s="827" t="str">
        <f>IF(B489&lt;&gt;"",IF(AND(B489&gt;=_TM1,B489&lt;=_TM2,OR(TH!L489="1111",TH!M489="1111")),TH!D489,""),"")</f>
        <v/>
      </c>
      <c r="B489" s="36">
        <f t="shared" si="151"/>
        <v>1</v>
      </c>
      <c r="C489" s="190">
        <f t="shared" si="152"/>
        <v>42376</v>
      </c>
      <c r="D489" s="37" t="s">
        <v>1632</v>
      </c>
      <c r="E489" s="37">
        <v>42376</v>
      </c>
      <c r="F489" s="191" t="s">
        <v>461</v>
      </c>
      <c r="G489" s="837" t="s">
        <v>919</v>
      </c>
      <c r="H489" s="192" t="s">
        <v>428</v>
      </c>
      <c r="I489" s="253"/>
      <c r="J489" s="253"/>
      <c r="K489" s="584">
        <v>1923210</v>
      </c>
      <c r="L489" s="585" t="s">
        <v>9</v>
      </c>
      <c r="M489" s="585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26">
        <v>1</v>
      </c>
    </row>
    <row r="490" spans="1:28" ht="15.75" customHeight="1">
      <c r="A490" s="827" t="str">
        <f>IF(B490&lt;&gt;"",IF(AND(B490&gt;=_TM1,B490&lt;=_TM2,OR(TH!L490="1111",TH!M490="1111")),TH!D490,""),"")</f>
        <v/>
      </c>
      <c r="B490" s="36">
        <f t="shared" si="151"/>
        <v>1</v>
      </c>
      <c r="C490" s="190">
        <f t="shared" si="152"/>
        <v>42377</v>
      </c>
      <c r="D490" s="37" t="s">
        <v>1633</v>
      </c>
      <c r="E490" s="741">
        <v>42377</v>
      </c>
      <c r="F490" s="191" t="s">
        <v>926</v>
      </c>
      <c r="G490" s="837" t="s">
        <v>925</v>
      </c>
      <c r="H490" s="192" t="s">
        <v>428</v>
      </c>
      <c r="I490" s="253">
        <v>200</v>
      </c>
      <c r="J490" s="253">
        <v>34590</v>
      </c>
      <c r="K490" s="584">
        <f>ROUND(I490*J490,0)</f>
        <v>6918000</v>
      </c>
      <c r="L490" s="585" t="s">
        <v>857</v>
      </c>
      <c r="M490" s="585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26">
        <v>1</v>
      </c>
      <c r="AB490" s="576" t="str">
        <f>IF(VLOOKUP(F490,NXT!$C$12:$C$786,1,0)=F490,"","x")</f>
        <v/>
      </c>
    </row>
    <row r="491" spans="1:28" ht="15.75" customHeight="1">
      <c r="A491" s="827" t="str">
        <f>IF(B491&lt;&gt;"",IF(AND(B491&gt;=_TM1,B491&lt;=_TM2,OR(TH!L491="1111",TH!M491="1111")),TH!D491,""),"")</f>
        <v/>
      </c>
      <c r="B491" s="36">
        <f t="shared" si="151"/>
        <v>1</v>
      </c>
      <c r="C491" s="190">
        <f t="shared" si="152"/>
        <v>42377</v>
      </c>
      <c r="D491" s="37" t="s">
        <v>1633</v>
      </c>
      <c r="E491" s="741">
        <v>42377</v>
      </c>
      <c r="F491" s="191" t="s">
        <v>738</v>
      </c>
      <c r="G491" s="837" t="s">
        <v>925</v>
      </c>
      <c r="H491" s="192" t="s">
        <v>428</v>
      </c>
      <c r="I491" s="253"/>
      <c r="J491" s="253"/>
      <c r="K491" s="584">
        <v>691800</v>
      </c>
      <c r="L491" s="585" t="s">
        <v>9</v>
      </c>
      <c r="M491" s="585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26">
        <v>1</v>
      </c>
    </row>
    <row r="492" spans="1:28" ht="15.75" customHeight="1">
      <c r="A492" s="827" t="str">
        <f>IF(B492&lt;&gt;"",IF(AND(B492&gt;=_TM1,B492&lt;=_TM2,OR(TH!L492="1111",TH!M492="1111")),TH!D492,""),"")</f>
        <v/>
      </c>
      <c r="B492" s="36">
        <f t="shared" si="151"/>
        <v>1</v>
      </c>
      <c r="C492" s="190">
        <f t="shared" si="152"/>
        <v>42378</v>
      </c>
      <c r="D492" s="37" t="s">
        <v>1634</v>
      </c>
      <c r="E492" s="741">
        <v>42378</v>
      </c>
      <c r="F492" s="191" t="s">
        <v>655</v>
      </c>
      <c r="G492" s="837" t="s">
        <v>927</v>
      </c>
      <c r="H492" s="192" t="s">
        <v>428</v>
      </c>
      <c r="I492" s="253">
        <v>2600</v>
      </c>
      <c r="J492" s="253">
        <v>6552</v>
      </c>
      <c r="K492" s="584">
        <f>ROUND(I492*J492,0)</f>
        <v>17035200</v>
      </c>
      <c r="L492" s="585" t="s">
        <v>857</v>
      </c>
      <c r="M492" s="585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26">
        <v>1</v>
      </c>
      <c r="AB492" s="576" t="str">
        <f>IF(VLOOKUP(F492,NXT!$C$12:$C$786,1,0)=F492,"","x")</f>
        <v/>
      </c>
    </row>
    <row r="493" spans="1:28" ht="15.75" customHeight="1">
      <c r="A493" s="827" t="str">
        <f>IF(B493&lt;&gt;"",IF(AND(B493&gt;=_TM1,B493&lt;=_TM2,OR(TH!L493="1111",TH!M493="1111")),TH!D493,""),"")</f>
        <v/>
      </c>
      <c r="B493" s="36">
        <f t="shared" si="151"/>
        <v>1</v>
      </c>
      <c r="C493" s="190">
        <f t="shared" si="152"/>
        <v>42378</v>
      </c>
      <c r="D493" s="37" t="s">
        <v>1634</v>
      </c>
      <c r="E493" s="741">
        <v>42378</v>
      </c>
      <c r="F493" s="191" t="s">
        <v>461</v>
      </c>
      <c r="G493" s="837" t="s">
        <v>927</v>
      </c>
      <c r="H493" s="192" t="s">
        <v>428</v>
      </c>
      <c r="I493" s="253"/>
      <c r="J493" s="253"/>
      <c r="K493" s="584">
        <v>1703520</v>
      </c>
      <c r="L493" s="585" t="s">
        <v>9</v>
      </c>
      <c r="M493" s="585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26">
        <v>1</v>
      </c>
    </row>
    <row r="494" spans="1:28" ht="15.75" customHeight="1">
      <c r="A494" s="827" t="str">
        <f>IF(B494&lt;&gt;"",IF(AND(B494&gt;=_TM1,B494&lt;=_TM2,OR(TH!L494="1111",TH!M494="1111")),TH!D494,""),"")</f>
        <v/>
      </c>
      <c r="B494" s="36">
        <f t="shared" si="151"/>
        <v>1</v>
      </c>
      <c r="C494" s="190">
        <f t="shared" si="152"/>
        <v>42381</v>
      </c>
      <c r="D494" s="37" t="s">
        <v>1635</v>
      </c>
      <c r="E494" s="37">
        <v>42381</v>
      </c>
      <c r="F494" s="191" t="s">
        <v>916</v>
      </c>
      <c r="G494" s="837" t="s">
        <v>915</v>
      </c>
      <c r="H494" s="192" t="s">
        <v>428</v>
      </c>
      <c r="I494" s="253">
        <v>200</v>
      </c>
      <c r="J494" s="253">
        <v>17397</v>
      </c>
      <c r="K494" s="584">
        <f>ROUND(I494*J494,0)</f>
        <v>3479400</v>
      </c>
      <c r="L494" s="585" t="s">
        <v>857</v>
      </c>
      <c r="M494" s="585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26">
        <v>1</v>
      </c>
      <c r="AB494" s="576" t="str">
        <f>IF(VLOOKUP(F494,NXT!$C$12:$C$786,1,0)=F494,"","x")</f>
        <v/>
      </c>
    </row>
    <row r="495" spans="1:28" ht="15.75" customHeight="1">
      <c r="A495" s="827" t="str">
        <f>IF(B495&lt;&gt;"",IF(AND(B495&gt;=_TM1,B495&lt;=_TM2,OR(TH!L495="1111",TH!M495="1111")),TH!D495,""),"")</f>
        <v/>
      </c>
      <c r="B495" s="36">
        <f t="shared" si="151"/>
        <v>1</v>
      </c>
      <c r="C495" s="190">
        <f t="shared" si="152"/>
        <v>42381</v>
      </c>
      <c r="D495" s="37" t="s">
        <v>1635</v>
      </c>
      <c r="E495" s="37">
        <v>42381</v>
      </c>
      <c r="F495" s="191" t="s">
        <v>738</v>
      </c>
      <c r="G495" s="837" t="s">
        <v>915</v>
      </c>
      <c r="H495" s="192" t="s">
        <v>428</v>
      </c>
      <c r="I495" s="253"/>
      <c r="J495" s="253"/>
      <c r="K495" s="584">
        <v>347940</v>
      </c>
      <c r="L495" s="585" t="s">
        <v>9</v>
      </c>
      <c r="M495" s="585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26">
        <v>1</v>
      </c>
    </row>
    <row r="496" spans="1:28" ht="15.75" customHeight="1">
      <c r="A496" s="827" t="str">
        <f>IF(B496&lt;&gt;"",IF(AND(B496&gt;=_TM1,B496&lt;=_TM2,OR(TH!L496="1111",TH!M496="1111")),TH!D496,""),"")</f>
        <v/>
      </c>
      <c r="B496" s="36">
        <f t="shared" si="151"/>
        <v>1</v>
      </c>
      <c r="C496" s="190">
        <f t="shared" si="152"/>
        <v>42385</v>
      </c>
      <c r="D496" s="37" t="s">
        <v>1636</v>
      </c>
      <c r="E496" s="190">
        <v>42385</v>
      </c>
      <c r="F496" s="191" t="s">
        <v>924</v>
      </c>
      <c r="G496" s="829" t="s">
        <v>923</v>
      </c>
      <c r="H496" s="192" t="s">
        <v>428</v>
      </c>
      <c r="I496" s="253">
        <v>450</v>
      </c>
      <c r="J496" s="253">
        <v>18113</v>
      </c>
      <c r="K496" s="584">
        <f>ROUND(I496*J496,0)</f>
        <v>8150850</v>
      </c>
      <c r="L496" s="585" t="s">
        <v>857</v>
      </c>
      <c r="M496" s="585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26">
        <v>1</v>
      </c>
      <c r="AB496" s="576" t="str">
        <f>IF(VLOOKUP(F496,NXT!$C$12:$C$786,1,0)=F496,"","x")</f>
        <v/>
      </c>
    </row>
    <row r="497" spans="1:28" ht="15.75" customHeight="1">
      <c r="A497" s="827" t="str">
        <f>IF(B497&lt;&gt;"",IF(AND(B497&gt;=_TM1,B497&lt;=_TM2,OR(TH!L497="1111",TH!M497="1111")),TH!D497,""),"")</f>
        <v/>
      </c>
      <c r="B497" s="36">
        <f t="shared" si="151"/>
        <v>1</v>
      </c>
      <c r="C497" s="190">
        <f t="shared" si="152"/>
        <v>42385</v>
      </c>
      <c r="D497" s="37" t="s">
        <v>1636</v>
      </c>
      <c r="E497" s="190">
        <v>42385</v>
      </c>
      <c r="F497" s="191" t="s">
        <v>627</v>
      </c>
      <c r="G497" s="829" t="s">
        <v>923</v>
      </c>
      <c r="H497" s="192" t="s">
        <v>428</v>
      </c>
      <c r="I497" s="253">
        <v>3000</v>
      </c>
      <c r="J497" s="253">
        <v>6209</v>
      </c>
      <c r="K497" s="584">
        <f>ROUND(I497*J497,0)</f>
        <v>18627000</v>
      </c>
      <c r="L497" s="585" t="s">
        <v>857</v>
      </c>
      <c r="M497" s="585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26">
        <v>1</v>
      </c>
      <c r="AB497" s="576" t="str">
        <f>IF(VLOOKUP(F497,NXT!$C$12:$C$786,1,0)=F497,"","x")</f>
        <v/>
      </c>
    </row>
    <row r="498" spans="1:28" ht="15.75" customHeight="1">
      <c r="A498" s="827" t="str">
        <f>IF(B498&lt;&gt;"",IF(AND(B498&gt;=_TM1,B498&lt;=_TM2,OR(TH!L498="1111",TH!M498="1111")),TH!D498,""),"")</f>
        <v/>
      </c>
      <c r="B498" s="36">
        <f t="shared" si="151"/>
        <v>1</v>
      </c>
      <c r="C498" s="190">
        <f t="shared" si="152"/>
        <v>42385</v>
      </c>
      <c r="D498" s="37" t="s">
        <v>1636</v>
      </c>
      <c r="E498" s="190">
        <v>42385</v>
      </c>
      <c r="F498" s="191" t="s">
        <v>656</v>
      </c>
      <c r="G498" s="829" t="s">
        <v>923</v>
      </c>
      <c r="H498" s="192" t="s">
        <v>428</v>
      </c>
      <c r="I498" s="253">
        <v>1005</v>
      </c>
      <c r="J498" s="253">
        <v>4251</v>
      </c>
      <c r="K498" s="584">
        <f>ROUND(I498*J498,0)</f>
        <v>4272255</v>
      </c>
      <c r="L498" s="585" t="s">
        <v>857</v>
      </c>
      <c r="M498" s="585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26">
        <v>1</v>
      </c>
      <c r="AB498" s="576" t="str">
        <f>IF(VLOOKUP(F498,NXT!$C$12:$C$786,1,0)=F498,"","x")</f>
        <v/>
      </c>
    </row>
    <row r="499" spans="1:28" ht="15.75" customHeight="1">
      <c r="A499" s="827" t="str">
        <f>IF(B499&lt;&gt;"",IF(AND(B499&gt;=_TM1,B499&lt;=_TM2,OR(TH!L499="1111",TH!M499="1111")),TH!D499,""),"")</f>
        <v/>
      </c>
      <c r="B499" s="36">
        <f t="shared" si="151"/>
        <v>1</v>
      </c>
      <c r="C499" s="190">
        <f t="shared" si="152"/>
        <v>42385</v>
      </c>
      <c r="D499" s="37" t="s">
        <v>1636</v>
      </c>
      <c r="E499" s="190">
        <v>42385</v>
      </c>
      <c r="F499" s="191" t="s">
        <v>461</v>
      </c>
      <c r="G499" s="829" t="s">
        <v>923</v>
      </c>
      <c r="H499" s="192" t="s">
        <v>428</v>
      </c>
      <c r="I499" s="253"/>
      <c r="J499" s="253"/>
      <c r="K499" s="584">
        <v>3105011</v>
      </c>
      <c r="L499" s="585" t="s">
        <v>9</v>
      </c>
      <c r="M499" s="585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26">
        <v>1</v>
      </c>
    </row>
    <row r="500" spans="1:28" ht="15.75" customHeight="1">
      <c r="A500" s="827" t="str">
        <f>IF(B500&lt;&gt;"",IF(AND(B500&gt;=_TM1,B500&lt;=_TM2,OR(TH!L500="1111",TH!M500="1111")),TH!D500,""),"")</f>
        <v/>
      </c>
      <c r="B500" s="36">
        <f t="shared" si="151"/>
        <v>1</v>
      </c>
      <c r="C500" s="190">
        <f t="shared" si="152"/>
        <v>42388</v>
      </c>
      <c r="D500" s="37" t="s">
        <v>1637</v>
      </c>
      <c r="E500" s="741">
        <v>42388</v>
      </c>
      <c r="F500" s="191" t="s">
        <v>680</v>
      </c>
      <c r="G500" s="837" t="s">
        <v>928</v>
      </c>
      <c r="H500" s="192" t="s">
        <v>428</v>
      </c>
      <c r="I500" s="253">
        <v>600</v>
      </c>
      <c r="J500" s="253">
        <v>7663</v>
      </c>
      <c r="K500" s="584">
        <f>ROUND(I500*J500,0)</f>
        <v>4597800</v>
      </c>
      <c r="L500" s="585" t="s">
        <v>857</v>
      </c>
      <c r="M500" s="585" t="s">
        <v>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26">
        <v>1</v>
      </c>
      <c r="AB500" s="576" t="str">
        <f>IF(VLOOKUP(F500,NXT!$C$12:$C$786,1,0)=F500,"","x")</f>
        <v/>
      </c>
    </row>
    <row r="501" spans="1:28" ht="15.75" customHeight="1">
      <c r="A501" s="827" t="str">
        <f>IF(B501&lt;&gt;"",IF(AND(B501&gt;=_TM1,B501&lt;=_TM2,OR(TH!L501="1111",TH!M501="1111")),TH!D501,""),"")</f>
        <v/>
      </c>
      <c r="B501" s="36">
        <f t="shared" si="151"/>
        <v>1</v>
      </c>
      <c r="C501" s="190">
        <f t="shared" si="152"/>
        <v>42388</v>
      </c>
      <c r="D501" s="37" t="s">
        <v>1637</v>
      </c>
      <c r="E501" s="741">
        <v>42388</v>
      </c>
      <c r="F501" s="191" t="s">
        <v>461</v>
      </c>
      <c r="G501" s="837" t="s">
        <v>928</v>
      </c>
      <c r="H501" s="192" t="s">
        <v>428</v>
      </c>
      <c r="I501" s="253"/>
      <c r="J501" s="253"/>
      <c r="K501" s="584">
        <v>459780</v>
      </c>
      <c r="L501" s="585" t="s">
        <v>9</v>
      </c>
      <c r="M501" s="585" t="s">
        <v>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26">
        <v>1</v>
      </c>
    </row>
    <row r="502" spans="1:28" ht="15.75" customHeight="1">
      <c r="A502" s="827" t="str">
        <f>IF(B502&lt;&gt;"",IF(AND(B502&gt;=_TM1,B502&lt;=_TM2,OR(TH!L502="1111",TH!M502="1111")),TH!D502,""),"")</f>
        <v/>
      </c>
      <c r="B502" s="36">
        <f t="shared" si="151"/>
        <v>1</v>
      </c>
      <c r="C502" s="190">
        <f t="shared" si="152"/>
        <v>42391</v>
      </c>
      <c r="D502" s="37" t="s">
        <v>1638</v>
      </c>
      <c r="E502" s="190">
        <v>42391</v>
      </c>
      <c r="F502" s="191" t="s">
        <v>659</v>
      </c>
      <c r="G502" s="833" t="s">
        <v>929</v>
      </c>
      <c r="H502" s="192" t="s">
        <v>428</v>
      </c>
      <c r="I502" s="253">
        <v>2000</v>
      </c>
      <c r="J502" s="253">
        <v>8771</v>
      </c>
      <c r="K502" s="584">
        <f>ROUND(I502*J502,0)</f>
        <v>17542000</v>
      </c>
      <c r="L502" s="585" t="s">
        <v>857</v>
      </c>
      <c r="M502" s="585" t="s">
        <v>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26">
        <v>1</v>
      </c>
      <c r="AB502" s="576" t="str">
        <f>IF(VLOOKUP(F502,NXT!$C$12:$C$786,1,0)=F502,"","x")</f>
        <v/>
      </c>
    </row>
    <row r="503" spans="1:28" ht="15.75" customHeight="1">
      <c r="A503" s="827" t="str">
        <f>IF(B503&lt;&gt;"",IF(AND(B503&gt;=_TM1,B503&lt;=_TM2,OR(TH!L503="1111",TH!M503="1111")),TH!D503,""),"")</f>
        <v/>
      </c>
      <c r="B503" s="36">
        <f t="shared" si="151"/>
        <v>1</v>
      </c>
      <c r="C503" s="190">
        <f t="shared" si="152"/>
        <v>42391</v>
      </c>
      <c r="D503" s="37" t="s">
        <v>1638</v>
      </c>
      <c r="E503" s="190">
        <v>42391</v>
      </c>
      <c r="F503" s="191" t="s">
        <v>681</v>
      </c>
      <c r="G503" s="833" t="s">
        <v>929</v>
      </c>
      <c r="H503" s="192" t="s">
        <v>428</v>
      </c>
      <c r="I503" s="253">
        <v>500</v>
      </c>
      <c r="J503" s="253">
        <v>9598</v>
      </c>
      <c r="K503" s="584">
        <f>ROUND(I503*J503,0)</f>
        <v>4799000</v>
      </c>
      <c r="L503" s="585" t="s">
        <v>857</v>
      </c>
      <c r="M503" s="585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26">
        <v>1</v>
      </c>
      <c r="AB503" s="576" t="str">
        <f>IF(VLOOKUP(F503,NXT!$C$12:$C$786,1,0)=F503,"","x")</f>
        <v/>
      </c>
    </row>
    <row r="504" spans="1:28" ht="15.75" customHeight="1">
      <c r="A504" s="827" t="str">
        <f>IF(B504&lt;&gt;"",IF(AND(B504&gt;=_TM1,B504&lt;=_TM2,OR(TH!L504="1111",TH!M504="1111")),TH!D504,""),"")</f>
        <v/>
      </c>
      <c r="B504" s="36">
        <f t="shared" si="151"/>
        <v>1</v>
      </c>
      <c r="C504" s="190">
        <f t="shared" si="152"/>
        <v>42391</v>
      </c>
      <c r="D504" s="37" t="s">
        <v>1638</v>
      </c>
      <c r="E504" s="190">
        <v>42391</v>
      </c>
      <c r="F504" s="191" t="s">
        <v>656</v>
      </c>
      <c r="G504" s="833" t="s">
        <v>929</v>
      </c>
      <c r="H504" s="192" t="s">
        <v>428</v>
      </c>
      <c r="I504" s="253">
        <v>1500</v>
      </c>
      <c r="J504" s="253">
        <v>4251</v>
      </c>
      <c r="K504" s="584">
        <f>ROUND(I504*J504,0)</f>
        <v>6376500</v>
      </c>
      <c r="L504" s="585" t="s">
        <v>857</v>
      </c>
      <c r="M504" s="585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26">
        <v>1</v>
      </c>
      <c r="AB504" s="576" t="str">
        <f>IF(VLOOKUP(F504,NXT!$C$12:$C$786,1,0)=F504,"","x")</f>
        <v/>
      </c>
    </row>
    <row r="505" spans="1:28" ht="15.75" customHeight="1">
      <c r="A505" s="827" t="str">
        <f>IF(B505&lt;&gt;"",IF(AND(B505&gt;=_TM1,B505&lt;=_TM2,OR(TH!L505="1111",TH!M505="1111")),TH!D505,""),"")</f>
        <v/>
      </c>
      <c r="B505" s="36">
        <f t="shared" si="151"/>
        <v>1</v>
      </c>
      <c r="C505" s="190">
        <f t="shared" si="152"/>
        <v>42391</v>
      </c>
      <c r="D505" s="37" t="s">
        <v>1638</v>
      </c>
      <c r="E505" s="190">
        <v>42391</v>
      </c>
      <c r="F505" s="191" t="s">
        <v>930</v>
      </c>
      <c r="G505" s="833" t="s">
        <v>929</v>
      </c>
      <c r="H505" s="192" t="s">
        <v>428</v>
      </c>
      <c r="I505" s="253">
        <v>270</v>
      </c>
      <c r="J505" s="253">
        <v>20147</v>
      </c>
      <c r="K505" s="584">
        <f>ROUND(I505*J505,0)</f>
        <v>5439690</v>
      </c>
      <c r="L505" s="585" t="s">
        <v>857</v>
      </c>
      <c r="M505" s="585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26">
        <v>1</v>
      </c>
      <c r="AB505" s="576" t="str">
        <f>IF(VLOOKUP(F505,NXT!$C$12:$C$786,1,0)=F505,"","x")</f>
        <v/>
      </c>
    </row>
    <row r="506" spans="1:28" ht="15.75" customHeight="1">
      <c r="A506" s="827" t="str">
        <f>IF(B506&lt;&gt;"",IF(AND(B506&gt;=_TM1,B506&lt;=_TM2,OR(TH!L506="1111",TH!M506="1111")),TH!D506,""),"")</f>
        <v/>
      </c>
      <c r="B506" s="36">
        <f t="shared" si="151"/>
        <v>1</v>
      </c>
      <c r="C506" s="190">
        <f t="shared" si="152"/>
        <v>42391</v>
      </c>
      <c r="D506" s="37" t="s">
        <v>1638</v>
      </c>
      <c r="E506" s="190">
        <v>42391</v>
      </c>
      <c r="F506" s="191" t="s">
        <v>461</v>
      </c>
      <c r="G506" s="833" t="s">
        <v>929</v>
      </c>
      <c r="H506" s="192" t="s">
        <v>428</v>
      </c>
      <c r="I506" s="253"/>
      <c r="J506" s="253"/>
      <c r="K506" s="584">
        <v>3415719</v>
      </c>
      <c r="L506" s="585" t="s">
        <v>9</v>
      </c>
      <c r="M506" s="585" t="s">
        <v>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26">
        <v>1</v>
      </c>
    </row>
    <row r="507" spans="1:28" ht="15.75" customHeight="1">
      <c r="A507" s="827" t="str">
        <f>IF(B507&lt;&gt;"",IF(AND(B507&gt;=_TM1,B507&lt;=_TM2,OR(TH!L507="1111",TH!M507="1111")),TH!D507,""),"")</f>
        <v/>
      </c>
      <c r="B507" s="36">
        <f t="shared" si="151"/>
        <v>1</v>
      </c>
      <c r="C507" s="190">
        <f t="shared" si="152"/>
        <v>42392</v>
      </c>
      <c r="D507" s="37" t="s">
        <v>1639</v>
      </c>
      <c r="E507" s="190">
        <v>42392</v>
      </c>
      <c r="F507" s="191" t="s">
        <v>690</v>
      </c>
      <c r="G507" s="833" t="s">
        <v>931</v>
      </c>
      <c r="H507" s="192" t="s">
        <v>428</v>
      </c>
      <c r="I507" s="253">
        <v>500</v>
      </c>
      <c r="J507" s="253">
        <v>4557</v>
      </c>
      <c r="K507" s="584">
        <f>ROUND(I507*J507,0)</f>
        <v>2278500</v>
      </c>
      <c r="L507" s="585" t="s">
        <v>857</v>
      </c>
      <c r="M507" s="585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26">
        <v>1</v>
      </c>
      <c r="AB507" s="576" t="str">
        <f>IF(VLOOKUP(F507,NXT!$C$12:$C$786,1,0)=F507,"","x")</f>
        <v/>
      </c>
    </row>
    <row r="508" spans="1:28" ht="15.75" customHeight="1">
      <c r="A508" s="827" t="str">
        <f>IF(B508&lt;&gt;"",IF(AND(B508&gt;=_TM1,B508&lt;=_TM2,OR(TH!L508="1111",TH!M508="1111")),TH!D508,""),"")</f>
        <v/>
      </c>
      <c r="B508" s="36">
        <f t="shared" si="151"/>
        <v>1</v>
      </c>
      <c r="C508" s="190">
        <f t="shared" si="152"/>
        <v>42392</v>
      </c>
      <c r="D508" s="37" t="s">
        <v>1639</v>
      </c>
      <c r="E508" s="190">
        <v>42392</v>
      </c>
      <c r="F508" s="191" t="s">
        <v>627</v>
      </c>
      <c r="G508" s="833" t="s">
        <v>931</v>
      </c>
      <c r="H508" s="192" t="s">
        <v>428</v>
      </c>
      <c r="I508" s="253">
        <v>5000</v>
      </c>
      <c r="J508" s="253">
        <v>6209</v>
      </c>
      <c r="K508" s="584">
        <f>ROUND(I508*J508,0)</f>
        <v>31045000</v>
      </c>
      <c r="L508" s="585" t="s">
        <v>857</v>
      </c>
      <c r="M508" s="585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26">
        <v>1</v>
      </c>
      <c r="AB508" s="576" t="str">
        <f>IF(VLOOKUP(F508,NXT!$C$12:$C$786,1,0)=F508,"","x")</f>
        <v/>
      </c>
    </row>
    <row r="509" spans="1:28" ht="15.75" customHeight="1">
      <c r="A509" s="827" t="str">
        <f>IF(B509&lt;&gt;"",IF(AND(B509&gt;=_TM1,B509&lt;=_TM2,OR(TH!L509="1111",TH!M509="1111")),TH!D509,""),"")</f>
        <v/>
      </c>
      <c r="B509" s="36">
        <f t="shared" si="151"/>
        <v>1</v>
      </c>
      <c r="C509" s="190">
        <f t="shared" si="152"/>
        <v>42392</v>
      </c>
      <c r="D509" s="37" t="s">
        <v>1639</v>
      </c>
      <c r="E509" s="190">
        <v>42392</v>
      </c>
      <c r="F509" s="191" t="s">
        <v>656</v>
      </c>
      <c r="G509" s="833" t="s">
        <v>931</v>
      </c>
      <c r="H509" s="192" t="s">
        <v>428</v>
      </c>
      <c r="I509" s="253">
        <v>5000</v>
      </c>
      <c r="J509" s="253">
        <v>4217</v>
      </c>
      <c r="K509" s="584">
        <f>ROUND(I509*J509,0)</f>
        <v>21085000</v>
      </c>
      <c r="L509" s="585" t="s">
        <v>857</v>
      </c>
      <c r="M509" s="585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26">
        <v>1</v>
      </c>
      <c r="AB509" s="576" t="str">
        <f>IF(VLOOKUP(F509,NXT!$C$12:$C$786,1,0)=F509,"","x")</f>
        <v/>
      </c>
    </row>
    <row r="510" spans="1:28" ht="15.75" customHeight="1">
      <c r="A510" s="827" t="str">
        <f>IF(B510&lt;&gt;"",IF(AND(B510&gt;=_TM1,B510&lt;=_TM2,OR(TH!L510="1111",TH!M510="1111")),TH!D510,""),"")</f>
        <v/>
      </c>
      <c r="B510" s="36">
        <f t="shared" si="151"/>
        <v>1</v>
      </c>
      <c r="C510" s="190">
        <f t="shared" si="152"/>
        <v>42392</v>
      </c>
      <c r="D510" s="37" t="s">
        <v>1639</v>
      </c>
      <c r="E510" s="190">
        <v>42392</v>
      </c>
      <c r="F510" s="191" t="s">
        <v>461</v>
      </c>
      <c r="G510" s="833" t="s">
        <v>931</v>
      </c>
      <c r="H510" s="192" t="s">
        <v>428</v>
      </c>
      <c r="I510" s="253"/>
      <c r="J510" s="253"/>
      <c r="K510" s="584">
        <v>5440850</v>
      </c>
      <c r="L510" s="585" t="s">
        <v>9</v>
      </c>
      <c r="M510" s="585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26">
        <v>1</v>
      </c>
    </row>
    <row r="511" spans="1:28" ht="15.75" customHeight="1">
      <c r="A511" s="827" t="str">
        <f>IF(B511&lt;&gt;"",IF(AND(B511&gt;=_TM1,B511&lt;=_TM2,OR(TH!L511="1111",TH!M511="1111")),TH!D511,""),"")</f>
        <v/>
      </c>
      <c r="B511" s="36">
        <f t="shared" si="151"/>
        <v>1</v>
      </c>
      <c r="C511" s="190">
        <f t="shared" si="152"/>
        <v>42392</v>
      </c>
      <c r="D511" s="37" t="s">
        <v>1640</v>
      </c>
      <c r="E511" s="190">
        <v>42392</v>
      </c>
      <c r="F511" s="191" t="s">
        <v>933</v>
      </c>
      <c r="G511" s="837" t="s">
        <v>932</v>
      </c>
      <c r="H511" s="192" t="s">
        <v>428</v>
      </c>
      <c r="I511" s="253">
        <v>500</v>
      </c>
      <c r="J511" s="253">
        <v>6209</v>
      </c>
      <c r="K511" s="584">
        <f>ROUND(I511*J511,0)</f>
        <v>3104500</v>
      </c>
      <c r="L511" s="585" t="s">
        <v>857</v>
      </c>
      <c r="M511" s="585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26">
        <v>1</v>
      </c>
      <c r="AB511" s="576" t="str">
        <f>IF(VLOOKUP(F511,NXT!$C$12:$C$786,1,0)=F511,"","x")</f>
        <v/>
      </c>
    </row>
    <row r="512" spans="1:28" ht="15.75" customHeight="1">
      <c r="A512" s="827" t="str">
        <f>IF(B512&lt;&gt;"",IF(AND(B512&gt;=_TM1,B512&lt;=_TM2,OR(TH!L512="1111",TH!M512="1111")),TH!D512,""),"")</f>
        <v/>
      </c>
      <c r="B512" s="36">
        <f t="shared" si="151"/>
        <v>1</v>
      </c>
      <c r="C512" s="190">
        <f t="shared" si="152"/>
        <v>42392</v>
      </c>
      <c r="D512" s="37" t="s">
        <v>1640</v>
      </c>
      <c r="E512" s="190">
        <v>42392</v>
      </c>
      <c r="F512" s="191" t="s">
        <v>934</v>
      </c>
      <c r="G512" s="837" t="s">
        <v>932</v>
      </c>
      <c r="H512" s="192" t="s">
        <v>428</v>
      </c>
      <c r="I512" s="253">
        <v>180</v>
      </c>
      <c r="J512" s="253">
        <v>35156</v>
      </c>
      <c r="K512" s="584">
        <f>ROUND(I512*J512,0)</f>
        <v>6328080</v>
      </c>
      <c r="L512" s="585" t="s">
        <v>857</v>
      </c>
      <c r="M512" s="585" t="s">
        <v>8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26">
        <v>1</v>
      </c>
      <c r="AB512" s="576" t="str">
        <f>IF(VLOOKUP(F512,NXT!$C$12:$C$786,1,0)=F512,"","x")</f>
        <v/>
      </c>
    </row>
    <row r="513" spans="1:28" ht="15.75" customHeight="1">
      <c r="A513" s="827" t="str">
        <f>IF(B513&lt;&gt;"",IF(AND(B513&gt;=_TM1,B513&lt;=_TM2,OR(TH!L513="1111",TH!M513="1111")),TH!D513,""),"")</f>
        <v/>
      </c>
      <c r="B513" s="36">
        <f t="shared" si="151"/>
        <v>1</v>
      </c>
      <c r="C513" s="190">
        <f t="shared" si="152"/>
        <v>42392</v>
      </c>
      <c r="D513" s="37" t="s">
        <v>1640</v>
      </c>
      <c r="E513" s="190">
        <v>42392</v>
      </c>
      <c r="F513" s="191" t="s">
        <v>461</v>
      </c>
      <c r="G513" s="837" t="s">
        <v>932</v>
      </c>
      <c r="H513" s="192" t="s">
        <v>428</v>
      </c>
      <c r="I513" s="253"/>
      <c r="J513" s="253"/>
      <c r="K513" s="584">
        <v>943258</v>
      </c>
      <c r="L513" s="585" t="s">
        <v>9</v>
      </c>
      <c r="M513" s="585" t="s">
        <v>8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26">
        <v>1</v>
      </c>
    </row>
    <row r="514" spans="1:28" ht="15.75" customHeight="1">
      <c r="A514" s="827" t="str">
        <f>IF(B514&lt;&gt;"",IF(AND(B514&gt;=_TM1,B514&lt;=_TM2,OR(TH!L514="1111",TH!M514="1111")),TH!D514,""),"")</f>
        <v/>
      </c>
      <c r="B514" s="36">
        <f t="shared" si="151"/>
        <v>1</v>
      </c>
      <c r="C514" s="190">
        <f t="shared" si="152"/>
        <v>42392</v>
      </c>
      <c r="D514" s="37" t="s">
        <v>1641</v>
      </c>
      <c r="E514" s="190">
        <v>42392</v>
      </c>
      <c r="F514" s="191" t="s">
        <v>664</v>
      </c>
      <c r="G514" s="837" t="s">
        <v>935</v>
      </c>
      <c r="H514" s="192" t="s">
        <v>428</v>
      </c>
      <c r="I514" s="253">
        <v>210</v>
      </c>
      <c r="J514" s="253">
        <v>82473</v>
      </c>
      <c r="K514" s="584">
        <f>ROUND(I514*J514,0)</f>
        <v>17319330</v>
      </c>
      <c r="L514" s="585" t="s">
        <v>857</v>
      </c>
      <c r="M514" s="585" t="s">
        <v>8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26">
        <v>1</v>
      </c>
      <c r="AB514" s="576" t="str">
        <f>IF(VLOOKUP(F514,NXT!$C$12:$C$786,1,0)=F514,"","x")</f>
        <v/>
      </c>
    </row>
    <row r="515" spans="1:28" ht="15.75" customHeight="1">
      <c r="A515" s="827" t="str">
        <f>IF(B515&lt;&gt;"",IF(AND(B515&gt;=_TM1,B515&lt;=_TM2,OR(TH!L515="1111",TH!M515="1111")),TH!D515,""),"")</f>
        <v/>
      </c>
      <c r="B515" s="36">
        <f t="shared" si="151"/>
        <v>1</v>
      </c>
      <c r="C515" s="190">
        <f t="shared" si="152"/>
        <v>42392</v>
      </c>
      <c r="D515" s="37" t="s">
        <v>1641</v>
      </c>
      <c r="E515" s="190">
        <v>42392</v>
      </c>
      <c r="F515" s="191" t="s">
        <v>683</v>
      </c>
      <c r="G515" s="837" t="s">
        <v>935</v>
      </c>
      <c r="H515" s="192" t="s">
        <v>428</v>
      </c>
      <c r="I515" s="253">
        <v>210</v>
      </c>
      <c r="J515" s="253">
        <v>54982</v>
      </c>
      <c r="K515" s="584">
        <f>ROUND(I515*J515,0)</f>
        <v>11546220</v>
      </c>
      <c r="L515" s="585" t="s">
        <v>857</v>
      </c>
      <c r="M515" s="585" t="s">
        <v>8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26">
        <v>1</v>
      </c>
      <c r="AB515" s="576" t="str">
        <f>IF(VLOOKUP(F515,NXT!$C$12:$C$786,1,0)=F515,"","x")</f>
        <v/>
      </c>
    </row>
    <row r="516" spans="1:28" ht="15.75" customHeight="1">
      <c r="A516" s="827" t="str">
        <f>IF(B516&lt;&gt;"",IF(AND(B516&gt;=_TM1,B516&lt;=_TM2,OR(TH!L516="1111",TH!M516="1111")),TH!D516,""),"")</f>
        <v/>
      </c>
      <c r="B516" s="36">
        <f t="shared" si="151"/>
        <v>1</v>
      </c>
      <c r="C516" s="190">
        <f t="shared" si="152"/>
        <v>42392</v>
      </c>
      <c r="D516" s="37" t="s">
        <v>1641</v>
      </c>
      <c r="E516" s="190">
        <v>42392</v>
      </c>
      <c r="F516" s="191" t="s">
        <v>461</v>
      </c>
      <c r="G516" s="837" t="s">
        <v>935</v>
      </c>
      <c r="H516" s="192" t="s">
        <v>428</v>
      </c>
      <c r="I516" s="253"/>
      <c r="J516" s="253"/>
      <c r="K516" s="584">
        <v>2886555</v>
      </c>
      <c r="L516" s="585" t="s">
        <v>9</v>
      </c>
      <c r="M516" s="585" t="s">
        <v>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26">
        <v>1</v>
      </c>
    </row>
    <row r="517" spans="1:28" ht="15.75" customHeight="1">
      <c r="A517" s="827" t="str">
        <f>IF(B517&lt;&gt;"",IF(AND(B517&gt;=_TM1,B517&lt;=_TM2,OR(TH!L517="1111",TH!M517="1111")),TH!D517,""),"")</f>
        <v/>
      </c>
      <c r="B517" s="36">
        <f t="shared" si="151"/>
        <v>1</v>
      </c>
      <c r="C517" s="190">
        <f t="shared" si="152"/>
        <v>42394</v>
      </c>
      <c r="D517" s="37" t="s">
        <v>1642</v>
      </c>
      <c r="E517" s="37">
        <v>42394</v>
      </c>
      <c r="F517" s="191" t="s">
        <v>972</v>
      </c>
      <c r="G517" s="833" t="s">
        <v>971</v>
      </c>
      <c r="H517" s="192" t="s">
        <v>445</v>
      </c>
      <c r="I517" s="253">
        <v>50</v>
      </c>
      <c r="J517" s="253">
        <v>37478</v>
      </c>
      <c r="K517" s="584">
        <f t="shared" ref="K517:K543" si="153">ROUND(I517*J517,0)</f>
        <v>1873900</v>
      </c>
      <c r="L517" s="585" t="s">
        <v>857</v>
      </c>
      <c r="M517" s="585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26">
        <v>1</v>
      </c>
      <c r="AB517" s="576" t="str">
        <f>IF(VLOOKUP(F517,NXT!$C$12:$C$786,1,0)=F517,"","x")</f>
        <v/>
      </c>
    </row>
    <row r="518" spans="1:28" ht="15.75" customHeight="1">
      <c r="A518" s="827" t="str">
        <f>IF(B518&lt;&gt;"",IF(AND(B518&gt;=_TM1,B518&lt;=_TM2,OR(TH!L518="1111",TH!M518="1111")),TH!D518,""),"")</f>
        <v/>
      </c>
      <c r="B518" s="36">
        <f t="shared" si="151"/>
        <v>1</v>
      </c>
      <c r="C518" s="190">
        <f t="shared" si="152"/>
        <v>42394</v>
      </c>
      <c r="D518" s="37" t="s">
        <v>1642</v>
      </c>
      <c r="E518" s="37">
        <v>42394</v>
      </c>
      <c r="F518" s="191" t="s">
        <v>973</v>
      </c>
      <c r="G518" s="833" t="s">
        <v>971</v>
      </c>
      <c r="H518" s="192" t="s">
        <v>445</v>
      </c>
      <c r="I518" s="253">
        <v>14</v>
      </c>
      <c r="J518" s="253">
        <v>57615</v>
      </c>
      <c r="K518" s="584">
        <f t="shared" si="153"/>
        <v>806610</v>
      </c>
      <c r="L518" s="585" t="s">
        <v>857</v>
      </c>
      <c r="M518" s="585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26">
        <v>1</v>
      </c>
      <c r="AB518" s="576" t="str">
        <f>IF(VLOOKUP(F518,NXT!$C$12:$C$786,1,0)=F518,"","x")</f>
        <v/>
      </c>
    </row>
    <row r="519" spans="1:28" ht="15.75" customHeight="1">
      <c r="A519" s="827" t="str">
        <f>IF(B519&lt;&gt;"",IF(AND(B519&gt;=_TM1,B519&lt;=_TM2,OR(TH!L519="1111",TH!M519="1111")),TH!D519,""),"")</f>
        <v/>
      </c>
      <c r="B519" s="36">
        <f t="shared" si="151"/>
        <v>1</v>
      </c>
      <c r="C519" s="190">
        <f t="shared" si="152"/>
        <v>42394</v>
      </c>
      <c r="D519" s="37" t="s">
        <v>1642</v>
      </c>
      <c r="E519" s="37">
        <v>42394</v>
      </c>
      <c r="F519" s="191" t="s">
        <v>974</v>
      </c>
      <c r="G519" s="833" t="s">
        <v>971</v>
      </c>
      <c r="H519" s="192" t="s">
        <v>445</v>
      </c>
      <c r="I519" s="253">
        <v>12</v>
      </c>
      <c r="J519" s="253">
        <v>65702</v>
      </c>
      <c r="K519" s="584">
        <f t="shared" si="153"/>
        <v>788424</v>
      </c>
      <c r="L519" s="585" t="s">
        <v>857</v>
      </c>
      <c r="M519" s="585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26">
        <v>1</v>
      </c>
      <c r="AB519" s="576" t="str">
        <f>IF(VLOOKUP(F519,NXT!$C$12:$C$786,1,0)=F519,"","x")</f>
        <v/>
      </c>
    </row>
    <row r="520" spans="1:28" ht="15.75" customHeight="1">
      <c r="A520" s="827" t="str">
        <f>IF(B520&lt;&gt;"",IF(AND(B520&gt;=_TM1,B520&lt;=_TM2,OR(TH!L520="1111",TH!M520="1111")),TH!D520,""),"")</f>
        <v/>
      </c>
      <c r="B520" s="36">
        <f t="shared" si="151"/>
        <v>1</v>
      </c>
      <c r="C520" s="190">
        <f t="shared" si="152"/>
        <v>42394</v>
      </c>
      <c r="D520" s="37" t="s">
        <v>1642</v>
      </c>
      <c r="E520" s="37">
        <v>42394</v>
      </c>
      <c r="F520" s="191" t="s">
        <v>974</v>
      </c>
      <c r="G520" s="833" t="s">
        <v>971</v>
      </c>
      <c r="H520" s="192" t="s">
        <v>445</v>
      </c>
      <c r="I520" s="253">
        <v>12</v>
      </c>
      <c r="J520" s="253">
        <v>65702</v>
      </c>
      <c r="K520" s="584">
        <f t="shared" si="153"/>
        <v>788424</v>
      </c>
      <c r="L520" s="585" t="s">
        <v>857</v>
      </c>
      <c r="M520" s="585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26">
        <v>1</v>
      </c>
      <c r="AB520" s="576" t="str">
        <f>IF(VLOOKUP(F520,NXT!$C$12:$C$786,1,0)=F520,"","x")</f>
        <v/>
      </c>
    </row>
    <row r="521" spans="1:28" ht="15.75" customHeight="1">
      <c r="A521" s="827" t="str">
        <f>IF(B521&lt;&gt;"",IF(AND(B521&gt;=_TM1,B521&lt;=_TM2,OR(TH!L521="1111",TH!M521="1111")),TH!D521,""),"")</f>
        <v/>
      </c>
      <c r="B521" s="36">
        <f t="shared" si="151"/>
        <v>1</v>
      </c>
      <c r="C521" s="190">
        <f t="shared" si="152"/>
        <v>42394</v>
      </c>
      <c r="D521" s="37" t="s">
        <v>1642</v>
      </c>
      <c r="E521" s="37">
        <v>42394</v>
      </c>
      <c r="F521" s="191" t="s">
        <v>975</v>
      </c>
      <c r="G521" s="833" t="s">
        <v>971</v>
      </c>
      <c r="H521" s="192" t="s">
        <v>445</v>
      </c>
      <c r="I521" s="253">
        <v>18</v>
      </c>
      <c r="J521" s="253">
        <v>42345</v>
      </c>
      <c r="K521" s="584">
        <f t="shared" si="153"/>
        <v>762210</v>
      </c>
      <c r="L521" s="585" t="s">
        <v>857</v>
      </c>
      <c r="M521" s="585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26">
        <v>1</v>
      </c>
      <c r="AB521" s="576" t="str">
        <f>IF(VLOOKUP(F521,NXT!$C$12:$C$786,1,0)=F521,"","x")</f>
        <v/>
      </c>
    </row>
    <row r="522" spans="1:28" ht="15.75" customHeight="1">
      <c r="A522" s="827" t="str">
        <f>IF(B522&lt;&gt;"",IF(AND(B522&gt;=_TM1,B522&lt;=_TM2,OR(TH!L522="1111",TH!M522="1111")),TH!D522,""),"")</f>
        <v/>
      </c>
      <c r="B522" s="36">
        <f t="shared" si="151"/>
        <v>1</v>
      </c>
      <c r="C522" s="190">
        <f t="shared" si="152"/>
        <v>42394</v>
      </c>
      <c r="D522" s="37" t="s">
        <v>1642</v>
      </c>
      <c r="E522" s="37">
        <v>42394</v>
      </c>
      <c r="F522" s="191" t="s">
        <v>975</v>
      </c>
      <c r="G522" s="833" t="s">
        <v>971</v>
      </c>
      <c r="H522" s="192" t="s">
        <v>445</v>
      </c>
      <c r="I522" s="253">
        <v>18</v>
      </c>
      <c r="J522" s="253">
        <v>42345</v>
      </c>
      <c r="K522" s="584">
        <f t="shared" si="153"/>
        <v>762210</v>
      </c>
      <c r="L522" s="585" t="s">
        <v>857</v>
      </c>
      <c r="M522" s="585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26">
        <v>1</v>
      </c>
      <c r="AB522" s="576" t="str">
        <f>IF(VLOOKUP(F522,NXT!$C$12:$C$786,1,0)=F522,"","x")</f>
        <v/>
      </c>
    </row>
    <row r="523" spans="1:28" ht="15.75" customHeight="1">
      <c r="A523" s="827" t="str">
        <f>IF(B523&lt;&gt;"",IF(AND(B523&gt;=_TM1,B523&lt;=_TM2,OR(TH!L523="1111",TH!M523="1111")),TH!D523,""),"")</f>
        <v/>
      </c>
      <c r="B523" s="36">
        <f t="shared" si="151"/>
        <v>1</v>
      </c>
      <c r="C523" s="190">
        <f t="shared" si="152"/>
        <v>42394</v>
      </c>
      <c r="D523" s="37" t="s">
        <v>1642</v>
      </c>
      <c r="E523" s="37">
        <v>42394</v>
      </c>
      <c r="F523" s="191" t="s">
        <v>976</v>
      </c>
      <c r="G523" s="833" t="s">
        <v>971</v>
      </c>
      <c r="H523" s="192" t="s">
        <v>445</v>
      </c>
      <c r="I523" s="253">
        <v>5</v>
      </c>
      <c r="J523" s="253">
        <v>137324</v>
      </c>
      <c r="K523" s="584">
        <f t="shared" si="153"/>
        <v>686620</v>
      </c>
      <c r="L523" s="585" t="s">
        <v>857</v>
      </c>
      <c r="M523" s="585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26">
        <v>1</v>
      </c>
      <c r="AB523" s="576" t="str">
        <f>IF(VLOOKUP(F523,NXT!$C$12:$C$786,1,0)=F523,"","x")</f>
        <v/>
      </c>
    </row>
    <row r="524" spans="1:28" ht="15.75" customHeight="1">
      <c r="A524" s="827" t="str">
        <f>IF(B524&lt;&gt;"",IF(AND(B524&gt;=_TM1,B524&lt;=_TM2,OR(TH!L524="1111",TH!M524="1111")),TH!D524,""),"")</f>
        <v/>
      </c>
      <c r="B524" s="36">
        <f t="shared" si="151"/>
        <v>1</v>
      </c>
      <c r="C524" s="190">
        <f t="shared" si="152"/>
        <v>42394</v>
      </c>
      <c r="D524" s="37" t="s">
        <v>1642</v>
      </c>
      <c r="E524" s="37">
        <v>42394</v>
      </c>
      <c r="F524" s="191" t="s">
        <v>977</v>
      </c>
      <c r="G524" s="833" t="s">
        <v>971</v>
      </c>
      <c r="H524" s="192" t="s">
        <v>445</v>
      </c>
      <c r="I524" s="253">
        <v>14</v>
      </c>
      <c r="J524" s="253">
        <v>45847</v>
      </c>
      <c r="K524" s="584">
        <f t="shared" si="153"/>
        <v>641858</v>
      </c>
      <c r="L524" s="585" t="s">
        <v>857</v>
      </c>
      <c r="M524" s="585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26">
        <v>1</v>
      </c>
      <c r="AB524" s="576" t="str">
        <f>IF(VLOOKUP(F524,NXT!$C$12:$C$786,1,0)=F524,"","x")</f>
        <v/>
      </c>
    </row>
    <row r="525" spans="1:28" ht="15.75" customHeight="1">
      <c r="A525" s="827" t="str">
        <f>IF(B525&lt;&gt;"",IF(AND(B525&gt;=_TM1,B525&lt;=_TM2,OR(TH!L525="1111",TH!M525="1111")),TH!D525,""),"")</f>
        <v/>
      </c>
      <c r="B525" s="36">
        <f t="shared" si="151"/>
        <v>1</v>
      </c>
      <c r="C525" s="190">
        <f t="shared" si="152"/>
        <v>42394</v>
      </c>
      <c r="D525" s="37" t="s">
        <v>1642</v>
      </c>
      <c r="E525" s="37">
        <v>42394</v>
      </c>
      <c r="F525" s="191" t="s">
        <v>977</v>
      </c>
      <c r="G525" s="833" t="s">
        <v>971</v>
      </c>
      <c r="H525" s="192" t="s">
        <v>445</v>
      </c>
      <c r="I525" s="253">
        <v>14</v>
      </c>
      <c r="J525" s="253">
        <v>45847</v>
      </c>
      <c r="K525" s="584">
        <f t="shared" si="153"/>
        <v>641858</v>
      </c>
      <c r="L525" s="585" t="s">
        <v>857</v>
      </c>
      <c r="M525" s="585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26">
        <v>1</v>
      </c>
      <c r="AB525" s="576" t="str">
        <f>IF(VLOOKUP(F525,NXT!$C$12:$C$786,1,0)=F525,"","x")</f>
        <v/>
      </c>
    </row>
    <row r="526" spans="1:28" ht="15.75" customHeight="1">
      <c r="A526" s="827" t="str">
        <f>IF(B526&lt;&gt;"",IF(AND(B526&gt;=_TM1,B526&lt;=_TM2,OR(TH!L526="1111",TH!M526="1111")),TH!D526,""),"")</f>
        <v/>
      </c>
      <c r="B526" s="36">
        <f t="shared" si="151"/>
        <v>1</v>
      </c>
      <c r="C526" s="190">
        <f t="shared" si="152"/>
        <v>42394</v>
      </c>
      <c r="D526" s="37" t="s">
        <v>1642</v>
      </c>
      <c r="E526" s="37">
        <v>42394</v>
      </c>
      <c r="F526" s="191" t="s">
        <v>978</v>
      </c>
      <c r="G526" s="833" t="s">
        <v>971</v>
      </c>
      <c r="H526" s="192" t="s">
        <v>445</v>
      </c>
      <c r="I526" s="253">
        <v>8</v>
      </c>
      <c r="J526" s="253">
        <v>49818</v>
      </c>
      <c r="K526" s="584">
        <f t="shared" si="153"/>
        <v>398544</v>
      </c>
      <c r="L526" s="585" t="s">
        <v>857</v>
      </c>
      <c r="M526" s="585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26">
        <v>1</v>
      </c>
      <c r="AB526" s="576" t="str">
        <f>IF(VLOOKUP(F526,NXT!$C$12:$C$786,1,0)=F526,"","x")</f>
        <v/>
      </c>
    </row>
    <row r="527" spans="1:28" ht="15.75" customHeight="1">
      <c r="A527" s="827" t="str">
        <f>IF(B527&lt;&gt;"",IF(AND(B527&gt;=_TM1,B527&lt;=_TM2,OR(TH!L527="1111",TH!M527="1111")),TH!D527,""),"")</f>
        <v/>
      </c>
      <c r="B527" s="36">
        <f t="shared" si="151"/>
        <v>1</v>
      </c>
      <c r="C527" s="190">
        <f t="shared" si="152"/>
        <v>42394</v>
      </c>
      <c r="D527" s="37" t="s">
        <v>1642</v>
      </c>
      <c r="E527" s="37">
        <v>42394</v>
      </c>
      <c r="F527" s="191" t="s">
        <v>979</v>
      </c>
      <c r="G527" s="833" t="s">
        <v>971</v>
      </c>
      <c r="H527" s="192" t="s">
        <v>445</v>
      </c>
      <c r="I527" s="253">
        <v>8</v>
      </c>
      <c r="J527" s="253">
        <v>69492</v>
      </c>
      <c r="K527" s="584">
        <f t="shared" si="153"/>
        <v>555936</v>
      </c>
      <c r="L527" s="585" t="s">
        <v>857</v>
      </c>
      <c r="M527" s="585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26">
        <v>1</v>
      </c>
      <c r="AB527" s="576" t="str">
        <f>IF(VLOOKUP(F527,NXT!$C$12:$C$786,1,0)=F527,"","x")</f>
        <v/>
      </c>
    </row>
    <row r="528" spans="1:28" ht="15.75" customHeight="1">
      <c r="A528" s="827" t="str">
        <f>IF(B528&lt;&gt;"",IF(AND(B528&gt;=_TM1,B528&lt;=_TM2,OR(TH!L528="1111",TH!M528="1111")),TH!D528,""),"")</f>
        <v/>
      </c>
      <c r="B528" s="36">
        <f t="shared" si="151"/>
        <v>1</v>
      </c>
      <c r="C528" s="190">
        <f t="shared" si="152"/>
        <v>42394</v>
      </c>
      <c r="D528" s="37" t="s">
        <v>1642</v>
      </c>
      <c r="E528" s="37">
        <v>42394</v>
      </c>
      <c r="F528" s="191" t="s">
        <v>980</v>
      </c>
      <c r="G528" s="833" t="s">
        <v>971</v>
      </c>
      <c r="H528" s="192" t="s">
        <v>445</v>
      </c>
      <c r="I528" s="253">
        <v>8</v>
      </c>
      <c r="J528" s="253">
        <v>61370</v>
      </c>
      <c r="K528" s="584">
        <f t="shared" si="153"/>
        <v>490960</v>
      </c>
      <c r="L528" s="585" t="s">
        <v>857</v>
      </c>
      <c r="M528" s="585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26">
        <v>1</v>
      </c>
      <c r="AB528" s="576" t="str">
        <f>IF(VLOOKUP(F528,NXT!$C$12:$C$786,1,0)=F528,"","x")</f>
        <v/>
      </c>
    </row>
    <row r="529" spans="1:28" ht="15.75" customHeight="1">
      <c r="A529" s="827" t="str">
        <f>IF(B529&lt;&gt;"",IF(AND(B529&gt;=_TM1,B529&lt;=_TM2,OR(TH!L529="1111",TH!M529="1111")),TH!D529,""),"")</f>
        <v/>
      </c>
      <c r="B529" s="36">
        <f t="shared" si="151"/>
        <v>1</v>
      </c>
      <c r="C529" s="190">
        <f t="shared" si="152"/>
        <v>42394</v>
      </c>
      <c r="D529" s="37" t="s">
        <v>1642</v>
      </c>
      <c r="E529" s="37">
        <v>42394</v>
      </c>
      <c r="F529" s="191" t="s">
        <v>981</v>
      </c>
      <c r="G529" s="833" t="s">
        <v>971</v>
      </c>
      <c r="H529" s="192" t="s">
        <v>445</v>
      </c>
      <c r="I529" s="253">
        <v>10</v>
      </c>
      <c r="J529" s="253">
        <v>51893</v>
      </c>
      <c r="K529" s="584">
        <f t="shared" si="153"/>
        <v>518930</v>
      </c>
      <c r="L529" s="585" t="s">
        <v>857</v>
      </c>
      <c r="M529" s="585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26">
        <v>1</v>
      </c>
      <c r="AB529" s="576" t="str">
        <f>IF(VLOOKUP(F529,NXT!$C$12:$C$786,1,0)=F529,"","x")</f>
        <v/>
      </c>
    </row>
    <row r="530" spans="1:28" ht="15.75" customHeight="1">
      <c r="A530" s="827" t="str">
        <f>IF(B530&lt;&gt;"",IF(AND(B530&gt;=_TM1,B530&lt;=_TM2,OR(TH!L530="1111",TH!M530="1111")),TH!D530,""),"")</f>
        <v/>
      </c>
      <c r="B530" s="36">
        <f t="shared" si="151"/>
        <v>1</v>
      </c>
      <c r="C530" s="190">
        <f t="shared" si="152"/>
        <v>42394</v>
      </c>
      <c r="D530" s="37" t="s">
        <v>1642</v>
      </c>
      <c r="E530" s="37">
        <v>42394</v>
      </c>
      <c r="F530" s="191" t="s">
        <v>982</v>
      </c>
      <c r="G530" s="833" t="s">
        <v>971</v>
      </c>
      <c r="H530" s="192" t="s">
        <v>445</v>
      </c>
      <c r="I530" s="253">
        <v>12</v>
      </c>
      <c r="J530" s="253">
        <v>30548</v>
      </c>
      <c r="K530" s="584">
        <f t="shared" si="153"/>
        <v>366576</v>
      </c>
      <c r="L530" s="585" t="s">
        <v>857</v>
      </c>
      <c r="M530" s="585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26">
        <v>1</v>
      </c>
      <c r="AB530" s="576" t="str">
        <f>IF(VLOOKUP(F530,NXT!$C$12:$C$786,1,0)=F530,"","x")</f>
        <v/>
      </c>
    </row>
    <row r="531" spans="1:28" ht="15.75" customHeight="1">
      <c r="A531" s="827" t="str">
        <f>IF(B531&lt;&gt;"",IF(AND(B531&gt;=_TM1,B531&lt;=_TM2,OR(TH!L531="1111",TH!M531="1111")),TH!D531,""),"")</f>
        <v/>
      </c>
      <c r="B531" s="36">
        <f t="shared" si="151"/>
        <v>1</v>
      </c>
      <c r="C531" s="190">
        <f t="shared" si="152"/>
        <v>42394</v>
      </c>
      <c r="D531" s="37" t="s">
        <v>1642</v>
      </c>
      <c r="E531" s="37">
        <v>42394</v>
      </c>
      <c r="F531" s="191" t="s">
        <v>467</v>
      </c>
      <c r="G531" s="833" t="s">
        <v>971</v>
      </c>
      <c r="H531" s="192" t="s">
        <v>445</v>
      </c>
      <c r="I531" s="253">
        <v>12</v>
      </c>
      <c r="J531" s="253">
        <v>30031</v>
      </c>
      <c r="K531" s="584">
        <f t="shared" si="153"/>
        <v>360372</v>
      </c>
      <c r="L531" s="585" t="s">
        <v>857</v>
      </c>
      <c r="M531" s="585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26">
        <v>1</v>
      </c>
      <c r="AB531" s="576" t="str">
        <f>IF(VLOOKUP(F531,NXT!$C$12:$C$786,1,0)=F531,"","x")</f>
        <v/>
      </c>
    </row>
    <row r="532" spans="1:28" ht="15.75" customHeight="1">
      <c r="A532" s="827" t="str">
        <f>IF(B532&lt;&gt;"",IF(AND(B532&gt;=_TM1,B532&lt;=_TM2,OR(TH!L532="1111",TH!M532="1111")),TH!D532,""),"")</f>
        <v/>
      </c>
      <c r="B532" s="36">
        <f t="shared" si="151"/>
        <v>1</v>
      </c>
      <c r="C532" s="190">
        <f t="shared" si="152"/>
        <v>42394</v>
      </c>
      <c r="D532" s="37" t="s">
        <v>1642</v>
      </c>
      <c r="E532" s="37">
        <v>42394</v>
      </c>
      <c r="F532" s="191" t="s">
        <v>983</v>
      </c>
      <c r="G532" s="833" t="s">
        <v>971</v>
      </c>
      <c r="H532" s="192" t="s">
        <v>445</v>
      </c>
      <c r="I532" s="253">
        <v>6</v>
      </c>
      <c r="J532" s="253">
        <v>71080</v>
      </c>
      <c r="K532" s="584">
        <f t="shared" si="153"/>
        <v>426480</v>
      </c>
      <c r="L532" s="585" t="s">
        <v>857</v>
      </c>
      <c r="M532" s="585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26">
        <v>1</v>
      </c>
      <c r="AB532" s="576" t="str">
        <f>IF(VLOOKUP(F532,NXT!$C$12:$C$786,1,0)=F532,"","x")</f>
        <v/>
      </c>
    </row>
    <row r="533" spans="1:28" ht="15.75" customHeight="1">
      <c r="A533" s="827" t="str">
        <f>IF(B533&lt;&gt;"",IF(AND(B533&gt;=_TM1,B533&lt;=_TM2,OR(TH!L533="1111",TH!M533="1111")),TH!D533,""),"")</f>
        <v/>
      </c>
      <c r="B533" s="36">
        <f t="shared" si="151"/>
        <v>1</v>
      </c>
      <c r="C533" s="190">
        <f t="shared" si="152"/>
        <v>42394</v>
      </c>
      <c r="D533" s="37" t="s">
        <v>1642</v>
      </c>
      <c r="E533" s="37">
        <v>42394</v>
      </c>
      <c r="F533" s="191" t="s">
        <v>984</v>
      </c>
      <c r="G533" s="833" t="s">
        <v>971</v>
      </c>
      <c r="H533" s="192" t="s">
        <v>445</v>
      </c>
      <c r="I533" s="253">
        <v>8</v>
      </c>
      <c r="J533" s="253">
        <v>20995</v>
      </c>
      <c r="K533" s="584">
        <f t="shared" si="153"/>
        <v>167960</v>
      </c>
      <c r="L533" s="585" t="s">
        <v>857</v>
      </c>
      <c r="M533" s="585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26">
        <v>1</v>
      </c>
      <c r="AB533" s="576" t="str">
        <f>IF(VLOOKUP(F533,NXT!$C$12:$C$786,1,0)=F533,"","x")</f>
        <v/>
      </c>
    </row>
    <row r="534" spans="1:28" ht="15.75" customHeight="1">
      <c r="A534" s="827" t="str">
        <f>IF(B534&lt;&gt;"",IF(AND(B534&gt;=_TM1,B534&lt;=_TM2,OR(TH!L534="1111",TH!M534="1111")),TH!D534,""),"")</f>
        <v/>
      </c>
      <c r="B534" s="36">
        <f t="shared" si="151"/>
        <v>1</v>
      </c>
      <c r="C534" s="190">
        <f t="shared" si="152"/>
        <v>42394</v>
      </c>
      <c r="D534" s="37" t="s">
        <v>1642</v>
      </c>
      <c r="E534" s="37">
        <v>42394</v>
      </c>
      <c r="F534" s="191" t="s">
        <v>985</v>
      </c>
      <c r="G534" s="833" t="s">
        <v>971</v>
      </c>
      <c r="H534" s="192" t="s">
        <v>445</v>
      </c>
      <c r="I534" s="253">
        <v>6</v>
      </c>
      <c r="J534" s="253">
        <v>33820</v>
      </c>
      <c r="K534" s="584">
        <f t="shared" si="153"/>
        <v>202920</v>
      </c>
      <c r="L534" s="585" t="s">
        <v>857</v>
      </c>
      <c r="M534" s="585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26">
        <v>1</v>
      </c>
      <c r="AB534" s="576" t="str">
        <f>IF(VLOOKUP(F534,NXT!$C$12:$C$786,1,0)=F534,"","x")</f>
        <v/>
      </c>
    </row>
    <row r="535" spans="1:28" ht="15.75" customHeight="1">
      <c r="A535" s="827" t="str">
        <f>IF(B535&lt;&gt;"",IF(AND(B535&gt;=_TM1,B535&lt;=_TM2,OR(TH!L535="1111",TH!M535="1111")),TH!D535,""),"")</f>
        <v/>
      </c>
      <c r="B535" s="36">
        <f t="shared" si="151"/>
        <v>1</v>
      </c>
      <c r="C535" s="190">
        <f t="shared" si="152"/>
        <v>42394</v>
      </c>
      <c r="D535" s="37" t="s">
        <v>1642</v>
      </c>
      <c r="E535" s="37">
        <v>42394</v>
      </c>
      <c r="F535" s="191" t="s">
        <v>868</v>
      </c>
      <c r="G535" s="833" t="s">
        <v>971</v>
      </c>
      <c r="H535" s="192" t="s">
        <v>445</v>
      </c>
      <c r="I535" s="253">
        <v>4</v>
      </c>
      <c r="J535" s="253">
        <v>25251</v>
      </c>
      <c r="K535" s="584">
        <f t="shared" si="153"/>
        <v>101004</v>
      </c>
      <c r="L535" s="585" t="s">
        <v>857</v>
      </c>
      <c r="M535" s="585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26">
        <v>1</v>
      </c>
      <c r="AB535" s="576" t="str">
        <f>IF(VLOOKUP(F535,NXT!$C$12:$C$786,1,0)=F535,"","x")</f>
        <v/>
      </c>
    </row>
    <row r="536" spans="1:28" ht="15.75" customHeight="1">
      <c r="A536" s="827" t="str">
        <f>IF(B536&lt;&gt;"",IF(AND(B536&gt;=_TM1,B536&lt;=_TM2,OR(TH!L536="1111",TH!M536="1111")),TH!D536,""),"")</f>
        <v/>
      </c>
      <c r="B536" s="36">
        <f t="shared" si="151"/>
        <v>1</v>
      </c>
      <c r="C536" s="190">
        <f t="shared" si="152"/>
        <v>42394</v>
      </c>
      <c r="D536" s="37" t="s">
        <v>1642</v>
      </c>
      <c r="E536" s="37">
        <v>42394</v>
      </c>
      <c r="F536" s="191" t="s">
        <v>986</v>
      </c>
      <c r="G536" s="833" t="s">
        <v>971</v>
      </c>
      <c r="H536" s="192" t="s">
        <v>445</v>
      </c>
      <c r="I536" s="253">
        <v>10</v>
      </c>
      <c r="J536" s="253">
        <v>97297</v>
      </c>
      <c r="K536" s="584">
        <f t="shared" si="153"/>
        <v>972970</v>
      </c>
      <c r="L536" s="585" t="s">
        <v>857</v>
      </c>
      <c r="M536" s="585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26">
        <v>1</v>
      </c>
      <c r="AB536" s="576" t="str">
        <f>IF(VLOOKUP(F536,NXT!$C$12:$C$786,1,0)=F536,"","x")</f>
        <v/>
      </c>
    </row>
    <row r="537" spans="1:28" ht="15.75" customHeight="1">
      <c r="A537" s="827" t="str">
        <f>IF(B537&lt;&gt;"",IF(AND(B537&gt;=_TM1,B537&lt;=_TM2,OR(TH!L537="1111",TH!M537="1111")),TH!D537,""),"")</f>
        <v/>
      </c>
      <c r="B537" s="36">
        <f t="shared" si="151"/>
        <v>1</v>
      </c>
      <c r="C537" s="190">
        <f t="shared" si="152"/>
        <v>42394</v>
      </c>
      <c r="D537" s="37" t="s">
        <v>1642</v>
      </c>
      <c r="E537" s="37">
        <v>42394</v>
      </c>
      <c r="F537" s="191" t="s">
        <v>987</v>
      </c>
      <c r="G537" s="833" t="s">
        <v>971</v>
      </c>
      <c r="H537" s="192" t="s">
        <v>445</v>
      </c>
      <c r="I537" s="253">
        <v>10</v>
      </c>
      <c r="J537" s="253">
        <v>75503</v>
      </c>
      <c r="K537" s="584">
        <f t="shared" si="153"/>
        <v>755030</v>
      </c>
      <c r="L537" s="585" t="s">
        <v>857</v>
      </c>
      <c r="M537" s="585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26">
        <v>1</v>
      </c>
      <c r="AB537" s="576" t="str">
        <f>IF(VLOOKUP(F537,NXT!$C$12:$C$786,1,0)=F537,"","x")</f>
        <v/>
      </c>
    </row>
    <row r="538" spans="1:28" ht="15.75" customHeight="1">
      <c r="A538" s="827" t="str">
        <f>IF(B538&lt;&gt;"",IF(AND(B538&gt;=_TM1,B538&lt;=_TM2,OR(TH!L538="1111",TH!M538="1111")),TH!D538,""),"")</f>
        <v/>
      </c>
      <c r="B538" s="36">
        <f t="shared" si="151"/>
        <v>1</v>
      </c>
      <c r="C538" s="190">
        <f t="shared" si="152"/>
        <v>42394</v>
      </c>
      <c r="D538" s="37" t="s">
        <v>1642</v>
      </c>
      <c r="E538" s="37">
        <v>42394</v>
      </c>
      <c r="F538" s="191" t="s">
        <v>988</v>
      </c>
      <c r="G538" s="833" t="s">
        <v>971</v>
      </c>
      <c r="H538" s="192" t="s">
        <v>445</v>
      </c>
      <c r="I538" s="253">
        <v>12</v>
      </c>
      <c r="J538" s="253">
        <v>66205</v>
      </c>
      <c r="K538" s="584">
        <f t="shared" si="153"/>
        <v>794460</v>
      </c>
      <c r="L538" s="585" t="s">
        <v>857</v>
      </c>
      <c r="M538" s="585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26">
        <v>1</v>
      </c>
      <c r="AB538" s="576" t="str">
        <f>IF(VLOOKUP(F538,NXT!$C$12:$C$786,1,0)=F538,"","x")</f>
        <v/>
      </c>
    </row>
    <row r="539" spans="1:28" ht="15.75" customHeight="1">
      <c r="A539" s="827" t="str">
        <f>IF(B539&lt;&gt;"",IF(AND(B539&gt;=_TM1,B539&lt;=_TM2,OR(TH!L539="1111",TH!M539="1111")),TH!D539,""),"")</f>
        <v/>
      </c>
      <c r="B539" s="36">
        <f t="shared" si="151"/>
        <v>1</v>
      </c>
      <c r="C539" s="190">
        <f t="shared" si="152"/>
        <v>42394</v>
      </c>
      <c r="D539" s="37" t="s">
        <v>1642</v>
      </c>
      <c r="E539" s="37">
        <v>42394</v>
      </c>
      <c r="F539" s="191" t="s">
        <v>989</v>
      </c>
      <c r="G539" s="833" t="s">
        <v>971</v>
      </c>
      <c r="H539" s="192" t="s">
        <v>445</v>
      </c>
      <c r="I539" s="253">
        <v>10</v>
      </c>
      <c r="J539" s="253">
        <v>131455</v>
      </c>
      <c r="K539" s="584">
        <f t="shared" si="153"/>
        <v>1314550</v>
      </c>
      <c r="L539" s="585" t="s">
        <v>857</v>
      </c>
      <c r="M539" s="585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26">
        <v>1</v>
      </c>
      <c r="AB539" s="576" t="str">
        <f>IF(VLOOKUP(F539,NXT!$C$12:$C$786,1,0)=F539,"","x")</f>
        <v/>
      </c>
    </row>
    <row r="540" spans="1:28" ht="15.75" customHeight="1">
      <c r="A540" s="827" t="str">
        <f>IF(B540&lt;&gt;"",IF(AND(B540&gt;=_TM1,B540&lt;=_TM2,OR(TH!L540="1111",TH!M540="1111")),TH!D540,""),"")</f>
        <v/>
      </c>
      <c r="B540" s="36">
        <f t="shared" si="151"/>
        <v>1</v>
      </c>
      <c r="C540" s="190">
        <f t="shared" si="152"/>
        <v>42394</v>
      </c>
      <c r="D540" s="37" t="s">
        <v>1642</v>
      </c>
      <c r="E540" s="37">
        <v>42394</v>
      </c>
      <c r="F540" s="191" t="s">
        <v>990</v>
      </c>
      <c r="G540" s="833" t="s">
        <v>971</v>
      </c>
      <c r="H540" s="192" t="s">
        <v>445</v>
      </c>
      <c r="I540" s="253">
        <v>10</v>
      </c>
      <c r="J540" s="253">
        <v>150948</v>
      </c>
      <c r="K540" s="584">
        <f t="shared" si="153"/>
        <v>1509480</v>
      </c>
      <c r="L540" s="585" t="s">
        <v>857</v>
      </c>
      <c r="M540" s="585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26">
        <v>1</v>
      </c>
      <c r="AB540" s="576" t="str">
        <f>IF(VLOOKUP(F540,NXT!$C$12:$C$786,1,0)=F540,"","x")</f>
        <v/>
      </c>
    </row>
    <row r="541" spans="1:28" ht="15.75" customHeight="1">
      <c r="A541" s="827" t="str">
        <f>IF(B541&lt;&gt;"",IF(AND(B541&gt;=_TM1,B541&lt;=_TM2,OR(TH!L541="1111",TH!M541="1111")),TH!D541,""),"")</f>
        <v/>
      </c>
      <c r="B541" s="36">
        <f t="shared" ref="B541:B604" si="154">IF(C541&lt;&gt;"",MONTH(C541),"")</f>
        <v>1</v>
      </c>
      <c r="C541" s="190">
        <f t="shared" ref="C541:C604" si="155">E541</f>
        <v>42394</v>
      </c>
      <c r="D541" s="37" t="s">
        <v>1642</v>
      </c>
      <c r="E541" s="37">
        <v>42394</v>
      </c>
      <c r="F541" s="191" t="s">
        <v>991</v>
      </c>
      <c r="G541" s="833" t="s">
        <v>971</v>
      </c>
      <c r="H541" s="192" t="s">
        <v>445</v>
      </c>
      <c r="I541" s="253">
        <v>16</v>
      </c>
      <c r="J541" s="253">
        <v>63125</v>
      </c>
      <c r="K541" s="584">
        <f t="shared" si="153"/>
        <v>1010000</v>
      </c>
      <c r="L541" s="585" t="s">
        <v>857</v>
      </c>
      <c r="M541" s="585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26">
        <v>1</v>
      </c>
      <c r="AB541" s="576" t="str">
        <f>IF(VLOOKUP(F541,NXT!$C$12:$C$786,1,0)=F541,"","x")</f>
        <v/>
      </c>
    </row>
    <row r="542" spans="1:28" ht="15.75" customHeight="1">
      <c r="A542" s="827" t="str">
        <f>IF(B542&lt;&gt;"",IF(AND(B542&gt;=_TM1,B542&lt;=_TM2,OR(TH!L542="1111",TH!M542="1111")),TH!D542,""),"")</f>
        <v/>
      </c>
      <c r="B542" s="36">
        <f t="shared" si="154"/>
        <v>1</v>
      </c>
      <c r="C542" s="190">
        <f t="shared" si="155"/>
        <v>42394</v>
      </c>
      <c r="D542" s="37" t="s">
        <v>1642</v>
      </c>
      <c r="E542" s="37">
        <v>42394</v>
      </c>
      <c r="F542" s="191" t="s">
        <v>992</v>
      </c>
      <c r="G542" s="833" t="s">
        <v>971</v>
      </c>
      <c r="H542" s="192" t="s">
        <v>445</v>
      </c>
      <c r="I542" s="253">
        <v>10</v>
      </c>
      <c r="J542" s="253">
        <v>45595</v>
      </c>
      <c r="K542" s="584">
        <f t="shared" si="153"/>
        <v>455950</v>
      </c>
      <c r="L542" s="585" t="s">
        <v>857</v>
      </c>
      <c r="M542" s="585" t="s">
        <v>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26">
        <v>1</v>
      </c>
      <c r="AB542" s="576" t="str">
        <f>IF(VLOOKUP(F542,NXT!$C$12:$C$786,1,0)=F542,"","x")</f>
        <v/>
      </c>
    </row>
    <row r="543" spans="1:28" ht="15.75" customHeight="1">
      <c r="A543" s="827" t="str">
        <f>IF(B543&lt;&gt;"",IF(AND(B543&gt;=_TM1,B543&lt;=_TM2,OR(TH!L543="1111",TH!M543="1111")),TH!D543,""),"")</f>
        <v/>
      </c>
      <c r="B543" s="36">
        <f t="shared" si="154"/>
        <v>1</v>
      </c>
      <c r="C543" s="190">
        <f t="shared" si="155"/>
        <v>42394</v>
      </c>
      <c r="D543" s="37" t="s">
        <v>1642</v>
      </c>
      <c r="E543" s="37">
        <v>42394</v>
      </c>
      <c r="F543" s="191" t="s">
        <v>993</v>
      </c>
      <c r="G543" s="833" t="s">
        <v>971</v>
      </c>
      <c r="H543" s="192" t="s">
        <v>445</v>
      </c>
      <c r="I543" s="253">
        <v>20</v>
      </c>
      <c r="J543" s="253">
        <v>40788</v>
      </c>
      <c r="K543" s="584">
        <f t="shared" si="153"/>
        <v>815760</v>
      </c>
      <c r="L543" s="585" t="s">
        <v>857</v>
      </c>
      <c r="M543" s="585" t="s">
        <v>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26">
        <v>1</v>
      </c>
      <c r="AB543" s="576" t="str">
        <f>IF(VLOOKUP(F543,NXT!$C$12:$C$786,1,0)=F543,"","x")</f>
        <v/>
      </c>
    </row>
    <row r="544" spans="1:28" ht="15.75" customHeight="1">
      <c r="A544" s="827" t="str">
        <f>IF(B544&lt;&gt;"",IF(AND(B544&gt;=_TM1,B544&lt;=_TM2,OR(TH!L544="1111",TH!M544="1111")),TH!D544,""),"")</f>
        <v/>
      </c>
      <c r="B544" s="36">
        <f t="shared" si="154"/>
        <v>1</v>
      </c>
      <c r="C544" s="190">
        <f t="shared" si="155"/>
        <v>42394</v>
      </c>
      <c r="D544" s="37" t="s">
        <v>1642</v>
      </c>
      <c r="E544" s="37">
        <v>42394</v>
      </c>
      <c r="F544" s="191" t="s">
        <v>461</v>
      </c>
      <c r="G544" s="833" t="s">
        <v>971</v>
      </c>
      <c r="H544" s="192" t="s">
        <v>445</v>
      </c>
      <c r="I544" s="253"/>
      <c r="J544" s="253"/>
      <c r="K544" s="584">
        <v>1897000</v>
      </c>
      <c r="L544" s="585" t="s">
        <v>9</v>
      </c>
      <c r="M544" s="585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26">
        <v>1</v>
      </c>
    </row>
    <row r="545" spans="1:28" ht="15.75" customHeight="1">
      <c r="A545" s="827" t="str">
        <f>IF(B545&lt;&gt;"",IF(AND(B545&gt;=_TM1,B545&lt;=_TM2,OR(TH!L545="1111",TH!M545="1111")),TH!D545,""),"")</f>
        <v/>
      </c>
      <c r="B545" s="36">
        <f t="shared" si="154"/>
        <v>1</v>
      </c>
      <c r="C545" s="190">
        <f t="shared" si="155"/>
        <v>42399</v>
      </c>
      <c r="D545" s="37" t="s">
        <v>1643</v>
      </c>
      <c r="E545" s="183">
        <v>42399</v>
      </c>
      <c r="F545" s="191" t="s">
        <v>937</v>
      </c>
      <c r="G545" s="834" t="s">
        <v>936</v>
      </c>
      <c r="H545" s="192" t="s">
        <v>428</v>
      </c>
      <c r="I545" s="253">
        <v>400</v>
      </c>
      <c r="J545" s="253">
        <v>18113</v>
      </c>
      <c r="K545" s="584">
        <f>ROUND(I545*J545,0)</f>
        <v>7245200</v>
      </c>
      <c r="L545" s="585" t="s">
        <v>857</v>
      </c>
      <c r="M545" s="585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26">
        <v>1</v>
      </c>
      <c r="AB545" s="576" t="str">
        <f>IF(VLOOKUP(F545,NXT!$C$12:$C$786,1,0)=F545,"","x")</f>
        <v/>
      </c>
    </row>
    <row r="546" spans="1:28" ht="15.75" customHeight="1">
      <c r="A546" s="827" t="str">
        <f>IF(B546&lt;&gt;"",IF(AND(B546&gt;=_TM1,B546&lt;=_TM2,OR(TH!L546="1111",TH!M546="1111")),TH!D546,""),"")</f>
        <v/>
      </c>
      <c r="B546" s="36">
        <f t="shared" si="154"/>
        <v>1</v>
      </c>
      <c r="C546" s="190">
        <f t="shared" si="155"/>
        <v>42399</v>
      </c>
      <c r="D546" s="37" t="s">
        <v>1643</v>
      </c>
      <c r="E546" s="183">
        <v>42399</v>
      </c>
      <c r="F546" s="191" t="s">
        <v>938</v>
      </c>
      <c r="G546" s="834" t="s">
        <v>936</v>
      </c>
      <c r="H546" s="192" t="s">
        <v>428</v>
      </c>
      <c r="I546" s="253">
        <v>125</v>
      </c>
      <c r="J546" s="253">
        <v>18548</v>
      </c>
      <c r="K546" s="584">
        <f>ROUND(I546*J546,0)</f>
        <v>2318500</v>
      </c>
      <c r="L546" s="585" t="s">
        <v>857</v>
      </c>
      <c r="M546" s="585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26">
        <v>1</v>
      </c>
      <c r="AB546" s="576" t="str">
        <f>IF(VLOOKUP(F546,NXT!$C$12:$C$786,1,0)=F546,"","x")</f>
        <v/>
      </c>
    </row>
    <row r="547" spans="1:28" ht="15.75" customHeight="1">
      <c r="A547" s="827" t="str">
        <f>IF(B547&lt;&gt;"",IF(AND(B547&gt;=_TM1,B547&lt;=_TM2,OR(TH!L547="1111",TH!M547="1111")),TH!D547,""),"")</f>
        <v/>
      </c>
      <c r="B547" s="36">
        <f t="shared" si="154"/>
        <v>1</v>
      </c>
      <c r="C547" s="190">
        <f t="shared" si="155"/>
        <v>42399</v>
      </c>
      <c r="D547" s="37" t="s">
        <v>1643</v>
      </c>
      <c r="E547" s="183">
        <v>42399</v>
      </c>
      <c r="F547" s="191" t="s">
        <v>939</v>
      </c>
      <c r="G547" s="834" t="s">
        <v>936</v>
      </c>
      <c r="H547" s="192" t="s">
        <v>428</v>
      </c>
      <c r="I547" s="253">
        <v>200</v>
      </c>
      <c r="J547" s="253">
        <v>14466</v>
      </c>
      <c r="K547" s="584">
        <f>ROUND(I547*J547,0)</f>
        <v>2893200</v>
      </c>
      <c r="L547" s="585" t="s">
        <v>857</v>
      </c>
      <c r="M547" s="585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26">
        <v>1</v>
      </c>
      <c r="AB547" s="576" t="str">
        <f>IF(VLOOKUP(F547,NXT!$C$12:$C$786,1,0)=F547,"","x")</f>
        <v/>
      </c>
    </row>
    <row r="548" spans="1:28" ht="15.75" customHeight="1">
      <c r="A548" s="827" t="str">
        <f>IF(B548&lt;&gt;"",IF(AND(B548&gt;=_TM1,B548&lt;=_TM2,OR(TH!L548="1111",TH!M548="1111")),TH!D548,""),"")</f>
        <v/>
      </c>
      <c r="B548" s="36">
        <f t="shared" si="154"/>
        <v>1</v>
      </c>
      <c r="C548" s="190">
        <f t="shared" si="155"/>
        <v>42399</v>
      </c>
      <c r="D548" s="37" t="s">
        <v>1643</v>
      </c>
      <c r="E548" s="183">
        <v>42399</v>
      </c>
      <c r="F548" s="191" t="s">
        <v>461</v>
      </c>
      <c r="G548" s="834" t="s">
        <v>936</v>
      </c>
      <c r="H548" s="192" t="s">
        <v>428</v>
      </c>
      <c r="I548" s="253"/>
      <c r="J548" s="253"/>
      <c r="K548" s="584">
        <v>1245690</v>
      </c>
      <c r="L548" s="585" t="s">
        <v>9</v>
      </c>
      <c r="M548" s="585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26">
        <v>1</v>
      </c>
    </row>
    <row r="549" spans="1:28" ht="15.75" customHeight="1">
      <c r="A549" s="827" t="str">
        <f>IF(B549&lt;&gt;"",IF(AND(B549&gt;=_TM1,B549&lt;=_TM2,OR(TH!L549="1111",TH!M549="1111")),TH!D549,""),"")</f>
        <v/>
      </c>
      <c r="B549" s="36">
        <f t="shared" si="154"/>
        <v>2</v>
      </c>
      <c r="C549" s="190">
        <f t="shared" si="155"/>
        <v>42402</v>
      </c>
      <c r="D549" s="37" t="s">
        <v>1644</v>
      </c>
      <c r="E549" s="190">
        <v>42402</v>
      </c>
      <c r="F549" s="191" t="s">
        <v>659</v>
      </c>
      <c r="G549" s="833" t="s">
        <v>940</v>
      </c>
      <c r="H549" s="192" t="s">
        <v>428</v>
      </c>
      <c r="I549" s="253">
        <v>3984</v>
      </c>
      <c r="J549" s="253">
        <v>8771</v>
      </c>
      <c r="K549" s="584">
        <f>ROUND(I549*J549,0)</f>
        <v>34943664</v>
      </c>
      <c r="L549" s="585" t="s">
        <v>857</v>
      </c>
      <c r="M549" s="585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26">
        <v>1</v>
      </c>
      <c r="AB549" s="576" t="str">
        <f>IF(VLOOKUP(F549,NXT!$C$12:$C$786,1,0)=F549,"","x")</f>
        <v/>
      </c>
    </row>
    <row r="550" spans="1:28" ht="15.75" customHeight="1">
      <c r="A550" s="827" t="str">
        <f>IF(B550&lt;&gt;"",IF(AND(B550&gt;=_TM1,B550&lt;=_TM2,OR(TH!L550="1111",TH!M550="1111")),TH!D550,""),"")</f>
        <v/>
      </c>
      <c r="B550" s="36">
        <f t="shared" si="154"/>
        <v>2</v>
      </c>
      <c r="C550" s="190">
        <f t="shared" si="155"/>
        <v>42402</v>
      </c>
      <c r="D550" s="37" t="s">
        <v>1644</v>
      </c>
      <c r="E550" s="190">
        <v>42402</v>
      </c>
      <c r="F550" s="191" t="s">
        <v>461</v>
      </c>
      <c r="G550" s="833" t="s">
        <v>940</v>
      </c>
      <c r="H550" s="192" t="s">
        <v>428</v>
      </c>
      <c r="I550" s="253"/>
      <c r="J550" s="253"/>
      <c r="K550" s="584">
        <v>3494366</v>
      </c>
      <c r="L550" s="585" t="s">
        <v>9</v>
      </c>
      <c r="M550" s="585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26">
        <v>1</v>
      </c>
    </row>
    <row r="551" spans="1:28" ht="15.75" customHeight="1">
      <c r="A551" s="827" t="str">
        <f>IF(B551&lt;&gt;"",IF(AND(B551&gt;=_TM1,B551&lt;=_TM2,OR(TH!L551="1111",TH!M551="1111")),TH!D551,""),"")</f>
        <v/>
      </c>
      <c r="B551" s="36">
        <f t="shared" si="154"/>
        <v>2</v>
      </c>
      <c r="C551" s="190">
        <f t="shared" si="155"/>
        <v>42419</v>
      </c>
      <c r="D551" s="37" t="s">
        <v>1645</v>
      </c>
      <c r="E551" s="190">
        <v>42419</v>
      </c>
      <c r="F551" s="191" t="s">
        <v>939</v>
      </c>
      <c r="G551" s="833" t="s">
        <v>941</v>
      </c>
      <c r="H551" s="192" t="s">
        <v>428</v>
      </c>
      <c r="I551" s="253">
        <v>50</v>
      </c>
      <c r="J551" s="253">
        <v>32416</v>
      </c>
      <c r="K551" s="584">
        <f>ROUND(I551*J551,0)</f>
        <v>1620800</v>
      </c>
      <c r="L551" s="585" t="s">
        <v>857</v>
      </c>
      <c r="M551" s="585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26">
        <v>1</v>
      </c>
      <c r="AB551" s="576" t="str">
        <f>IF(VLOOKUP(F551,NXT!$C$12:$C$786,1,0)=F551,"","x")</f>
        <v/>
      </c>
    </row>
    <row r="552" spans="1:28" ht="15.75" customHeight="1">
      <c r="A552" s="827" t="str">
        <f>IF(B552&lt;&gt;"",IF(AND(B552&gt;=_TM1,B552&lt;=_TM2,OR(TH!L552="1111",TH!M552="1111")),TH!D552,""),"")</f>
        <v/>
      </c>
      <c r="B552" s="36">
        <f t="shared" si="154"/>
        <v>2</v>
      </c>
      <c r="C552" s="190">
        <f t="shared" si="155"/>
        <v>42419</v>
      </c>
      <c r="D552" s="37" t="s">
        <v>1645</v>
      </c>
      <c r="E552" s="190">
        <v>42419</v>
      </c>
      <c r="F552" s="191" t="s">
        <v>942</v>
      </c>
      <c r="G552" s="833" t="s">
        <v>941</v>
      </c>
      <c r="H552" s="192" t="s">
        <v>428</v>
      </c>
      <c r="I552" s="253">
        <v>90</v>
      </c>
      <c r="J552" s="253">
        <v>48420</v>
      </c>
      <c r="K552" s="584">
        <f>ROUND(I552*J552,0)</f>
        <v>4357800</v>
      </c>
      <c r="L552" s="585" t="s">
        <v>857</v>
      </c>
      <c r="M552" s="585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26">
        <v>1</v>
      </c>
      <c r="AB552" s="576" t="str">
        <f>IF(VLOOKUP(F552,NXT!$C$12:$C$786,1,0)=F552,"","x")</f>
        <v/>
      </c>
    </row>
    <row r="553" spans="1:28" ht="15.75" customHeight="1">
      <c r="A553" s="827" t="str">
        <f>IF(B553&lt;&gt;"",IF(AND(B553&gt;=_TM1,B553&lt;=_TM2,OR(TH!L553="1111",TH!M553="1111")),TH!D553,""),"")</f>
        <v/>
      </c>
      <c r="B553" s="36">
        <f t="shared" si="154"/>
        <v>2</v>
      </c>
      <c r="C553" s="190">
        <f t="shared" si="155"/>
        <v>42419</v>
      </c>
      <c r="D553" s="37" t="s">
        <v>1645</v>
      </c>
      <c r="E553" s="190">
        <v>42419</v>
      </c>
      <c r="F553" s="191" t="s">
        <v>943</v>
      </c>
      <c r="G553" s="833" t="s">
        <v>941</v>
      </c>
      <c r="H553" s="192" t="s">
        <v>428</v>
      </c>
      <c r="I553" s="253">
        <v>61</v>
      </c>
      <c r="J553" s="253">
        <v>46021</v>
      </c>
      <c r="K553" s="584">
        <f>ROUND(I553*J553,0)</f>
        <v>2807281</v>
      </c>
      <c r="L553" s="585" t="s">
        <v>857</v>
      </c>
      <c r="M553" s="585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26">
        <v>1</v>
      </c>
      <c r="AB553" s="576" t="str">
        <f>IF(VLOOKUP(F553,NXT!$C$12:$C$786,1,0)=F553,"","x")</f>
        <v/>
      </c>
    </row>
    <row r="554" spans="1:28" ht="15.75" customHeight="1">
      <c r="A554" s="827" t="str">
        <f>IF(B554&lt;&gt;"",IF(AND(B554&gt;=_TM1,B554&lt;=_TM2,OR(TH!L554="1111",TH!M554="1111")),TH!D554,""),"")</f>
        <v/>
      </c>
      <c r="B554" s="36">
        <f t="shared" si="154"/>
        <v>2</v>
      </c>
      <c r="C554" s="190">
        <f t="shared" si="155"/>
        <v>42419</v>
      </c>
      <c r="D554" s="37" t="s">
        <v>1645</v>
      </c>
      <c r="E554" s="190">
        <v>42419</v>
      </c>
      <c r="F554" s="191" t="s">
        <v>1014</v>
      </c>
      <c r="G554" s="833" t="s">
        <v>941</v>
      </c>
      <c r="H554" s="192" t="s">
        <v>428</v>
      </c>
      <c r="I554" s="253">
        <v>200</v>
      </c>
      <c r="J554" s="253">
        <v>56265</v>
      </c>
      <c r="K554" s="584">
        <f>ROUND(I554*J554,0)</f>
        <v>11253000</v>
      </c>
      <c r="L554" s="585" t="s">
        <v>857</v>
      </c>
      <c r="M554" s="585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26">
        <v>1</v>
      </c>
      <c r="AB554" s="576" t="str">
        <f>IF(VLOOKUP(F554,NXT!$C$12:$C$786,1,0)=F554,"","x")</f>
        <v/>
      </c>
    </row>
    <row r="555" spans="1:28" ht="15.75" customHeight="1">
      <c r="A555" s="827" t="str">
        <f>IF(B555&lt;&gt;"",IF(AND(B555&gt;=_TM1,B555&lt;=_TM2,OR(TH!L555="1111",TH!M555="1111")),TH!D555,""),"")</f>
        <v/>
      </c>
      <c r="B555" s="36">
        <f t="shared" si="154"/>
        <v>2</v>
      </c>
      <c r="C555" s="190">
        <f t="shared" si="155"/>
        <v>42419</v>
      </c>
      <c r="D555" s="37" t="s">
        <v>1645</v>
      </c>
      <c r="E555" s="190">
        <v>42419</v>
      </c>
      <c r="F555" s="191" t="s">
        <v>461</v>
      </c>
      <c r="G555" s="833" t="s">
        <v>941</v>
      </c>
      <c r="H555" s="192" t="s">
        <v>428</v>
      </c>
      <c r="I555" s="253"/>
      <c r="J555" s="253"/>
      <c r="K555" s="584">
        <v>2003888</v>
      </c>
      <c r="L555" s="585" t="s">
        <v>9</v>
      </c>
      <c r="M555" s="585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26">
        <v>1</v>
      </c>
    </row>
    <row r="556" spans="1:28" ht="15.75" customHeight="1">
      <c r="A556" s="827" t="str">
        <f>IF(B556&lt;&gt;"",IF(AND(B556&gt;=_TM1,B556&lt;=_TM2,OR(TH!L556="1111",TH!M556="1111")),TH!D556,""),"")</f>
        <v/>
      </c>
      <c r="B556" s="36">
        <f t="shared" si="154"/>
        <v>2</v>
      </c>
      <c r="C556" s="190">
        <f t="shared" si="155"/>
        <v>42419</v>
      </c>
      <c r="D556" s="37" t="s">
        <v>1646</v>
      </c>
      <c r="E556" s="190">
        <v>42419</v>
      </c>
      <c r="F556" s="191" t="s">
        <v>946</v>
      </c>
      <c r="G556" s="833" t="s">
        <v>944</v>
      </c>
      <c r="H556" s="192" t="s">
        <v>428</v>
      </c>
      <c r="I556" s="253">
        <v>200</v>
      </c>
      <c r="J556" s="253">
        <v>10355</v>
      </c>
      <c r="K556" s="584">
        <f t="shared" ref="K556:K563" si="156">ROUND(I556*J556,0)</f>
        <v>2071000</v>
      </c>
      <c r="L556" s="585" t="s">
        <v>857</v>
      </c>
      <c r="M556" s="585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26">
        <v>1</v>
      </c>
      <c r="AB556" s="576" t="str">
        <f>IF(VLOOKUP(F556,NXT!$C$12:$C$786,1,0)=F556,"","x")</f>
        <v/>
      </c>
    </row>
    <row r="557" spans="1:28" ht="15.75" customHeight="1">
      <c r="A557" s="827" t="str">
        <f>IF(B557&lt;&gt;"",IF(AND(B557&gt;=_TM1,B557&lt;=_TM2,OR(TH!L557="1111",TH!M557="1111")),TH!D557,""),"")</f>
        <v/>
      </c>
      <c r="B557" s="36">
        <f t="shared" si="154"/>
        <v>2</v>
      </c>
      <c r="C557" s="190">
        <f t="shared" si="155"/>
        <v>42419</v>
      </c>
      <c r="D557" s="37" t="s">
        <v>1646</v>
      </c>
      <c r="E557" s="190">
        <v>42419</v>
      </c>
      <c r="F557" s="191" t="s">
        <v>945</v>
      </c>
      <c r="G557" s="833" t="s">
        <v>944</v>
      </c>
      <c r="H557" s="192" t="s">
        <v>428</v>
      </c>
      <c r="I557" s="253">
        <v>500</v>
      </c>
      <c r="J557" s="253">
        <v>12341</v>
      </c>
      <c r="K557" s="584">
        <f t="shared" si="156"/>
        <v>6170500</v>
      </c>
      <c r="L557" s="585" t="s">
        <v>857</v>
      </c>
      <c r="M557" s="585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26">
        <v>1</v>
      </c>
      <c r="AB557" s="576" t="str">
        <f>IF(VLOOKUP(F557,NXT!$C$12:$C$786,1,0)=F557,"","x")</f>
        <v/>
      </c>
    </row>
    <row r="558" spans="1:28" ht="15.75" customHeight="1">
      <c r="A558" s="827" t="str">
        <f>IF(B558&lt;&gt;"",IF(AND(B558&gt;=_TM1,B558&lt;=_TM2,OR(TH!L558="1111",TH!M558="1111")),TH!D558,""),"")</f>
        <v/>
      </c>
      <c r="B558" s="36">
        <f t="shared" si="154"/>
        <v>2</v>
      </c>
      <c r="C558" s="190">
        <f t="shared" si="155"/>
        <v>42419</v>
      </c>
      <c r="D558" s="37" t="s">
        <v>1646</v>
      </c>
      <c r="E558" s="190">
        <v>42419</v>
      </c>
      <c r="F558" s="191" t="s">
        <v>947</v>
      </c>
      <c r="G558" s="833" t="s">
        <v>944</v>
      </c>
      <c r="H558" s="192" t="s">
        <v>428</v>
      </c>
      <c r="I558" s="253">
        <v>300</v>
      </c>
      <c r="J558" s="253">
        <v>12752</v>
      </c>
      <c r="K558" s="584">
        <f t="shared" si="156"/>
        <v>3825600</v>
      </c>
      <c r="L558" s="585" t="s">
        <v>857</v>
      </c>
      <c r="M558" s="585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26">
        <v>1</v>
      </c>
      <c r="AB558" s="576" t="str">
        <f>IF(VLOOKUP(F558,NXT!$C$12:$C$786,1,0)=F558,"","x")</f>
        <v/>
      </c>
    </row>
    <row r="559" spans="1:28" ht="15.75" customHeight="1">
      <c r="A559" s="827" t="str">
        <f>IF(B559&lt;&gt;"",IF(AND(B559&gt;=_TM1,B559&lt;=_TM2,OR(TH!L559="1111",TH!M559="1111")),TH!D559,""),"")</f>
        <v/>
      </c>
      <c r="B559" s="36">
        <f t="shared" si="154"/>
        <v>2</v>
      </c>
      <c r="C559" s="190">
        <f t="shared" si="155"/>
        <v>42419</v>
      </c>
      <c r="D559" s="37" t="s">
        <v>1646</v>
      </c>
      <c r="E559" s="190">
        <v>42419</v>
      </c>
      <c r="F559" s="191" t="s">
        <v>948</v>
      </c>
      <c r="G559" s="833" t="s">
        <v>944</v>
      </c>
      <c r="H559" s="192" t="s">
        <v>428</v>
      </c>
      <c r="I559" s="253">
        <v>260</v>
      </c>
      <c r="J559" s="253">
        <v>12379</v>
      </c>
      <c r="K559" s="584">
        <f t="shared" si="156"/>
        <v>3218540</v>
      </c>
      <c r="L559" s="585" t="s">
        <v>857</v>
      </c>
      <c r="M559" s="585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26">
        <v>1</v>
      </c>
      <c r="AB559" s="576" t="str">
        <f>IF(VLOOKUP(F559,NXT!$C$12:$C$786,1,0)=F559,"","x")</f>
        <v/>
      </c>
    </row>
    <row r="560" spans="1:28" ht="15.75" customHeight="1">
      <c r="A560" s="827" t="str">
        <f>IF(B560&lt;&gt;"",IF(AND(B560&gt;=_TM1,B560&lt;=_TM2,OR(TH!L560="1111",TH!M560="1111")),TH!D560,""),"")</f>
        <v/>
      </c>
      <c r="B560" s="36">
        <f t="shared" si="154"/>
        <v>2</v>
      </c>
      <c r="C560" s="190">
        <f t="shared" si="155"/>
        <v>42419</v>
      </c>
      <c r="D560" s="37" t="s">
        <v>1646</v>
      </c>
      <c r="E560" s="190">
        <v>42419</v>
      </c>
      <c r="F560" s="191" t="s">
        <v>949</v>
      </c>
      <c r="G560" s="833" t="s">
        <v>944</v>
      </c>
      <c r="H560" s="192" t="s">
        <v>428</v>
      </c>
      <c r="I560" s="253">
        <v>36</v>
      </c>
      <c r="J560" s="253">
        <v>55264</v>
      </c>
      <c r="K560" s="584">
        <f t="shared" si="156"/>
        <v>1989504</v>
      </c>
      <c r="L560" s="585" t="s">
        <v>857</v>
      </c>
      <c r="M560" s="585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26">
        <v>1</v>
      </c>
      <c r="AB560" s="576" t="str">
        <f>IF(VLOOKUP(F560,NXT!$C$12:$C$786,1,0)=F560,"","x")</f>
        <v/>
      </c>
    </row>
    <row r="561" spans="1:28" ht="15.75" customHeight="1">
      <c r="A561" s="827" t="str">
        <f>IF(B561&lt;&gt;"",IF(AND(B561&gt;=_TM1,B561&lt;=_TM2,OR(TH!L561="1111",TH!M561="1111")),TH!D561,""),"")</f>
        <v/>
      </c>
      <c r="B561" s="36">
        <f t="shared" si="154"/>
        <v>2</v>
      </c>
      <c r="C561" s="190">
        <f t="shared" si="155"/>
        <v>42419</v>
      </c>
      <c r="D561" s="37" t="s">
        <v>1646</v>
      </c>
      <c r="E561" s="190">
        <v>42419</v>
      </c>
      <c r="F561" s="191" t="s">
        <v>952</v>
      </c>
      <c r="G561" s="833" t="s">
        <v>944</v>
      </c>
      <c r="H561" s="192" t="s">
        <v>428</v>
      </c>
      <c r="I561" s="253">
        <v>72</v>
      </c>
      <c r="J561" s="253">
        <v>22641</v>
      </c>
      <c r="K561" s="584">
        <f t="shared" si="156"/>
        <v>1630152</v>
      </c>
      <c r="L561" s="585" t="s">
        <v>857</v>
      </c>
      <c r="M561" s="585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26">
        <v>1</v>
      </c>
      <c r="AB561" s="576" t="str">
        <f>IF(VLOOKUP(F561,NXT!$C$12:$C$786,1,0)=F561,"","x")</f>
        <v/>
      </c>
    </row>
    <row r="562" spans="1:28" ht="15.75" customHeight="1">
      <c r="A562" s="827" t="str">
        <f>IF(B562&lt;&gt;"",IF(AND(B562&gt;=_TM1,B562&lt;=_TM2,OR(TH!L562="1111",TH!M562="1111")),TH!D562,""),"")</f>
        <v/>
      </c>
      <c r="B562" s="36">
        <f t="shared" si="154"/>
        <v>2</v>
      </c>
      <c r="C562" s="190">
        <f t="shared" si="155"/>
        <v>42419</v>
      </c>
      <c r="D562" s="37" t="s">
        <v>1646</v>
      </c>
      <c r="E562" s="190">
        <v>42419</v>
      </c>
      <c r="F562" s="191" t="s">
        <v>950</v>
      </c>
      <c r="G562" s="833" t="s">
        <v>944</v>
      </c>
      <c r="H562" s="192" t="s">
        <v>428</v>
      </c>
      <c r="I562" s="253">
        <v>54</v>
      </c>
      <c r="J562" s="253">
        <v>35219</v>
      </c>
      <c r="K562" s="584">
        <f t="shared" si="156"/>
        <v>1901826</v>
      </c>
      <c r="L562" s="585" t="s">
        <v>857</v>
      </c>
      <c r="M562" s="585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26">
        <v>1</v>
      </c>
      <c r="AB562" s="576" t="str">
        <f>IF(VLOOKUP(F562,NXT!$C$12:$C$786,1,0)=F562,"","x")</f>
        <v/>
      </c>
    </row>
    <row r="563" spans="1:28" ht="15.75" customHeight="1">
      <c r="A563" s="827" t="str">
        <f>IF(B563&lt;&gt;"",IF(AND(B563&gt;=_TM1,B563&lt;=_TM2,OR(TH!L563="1111",TH!M563="1111")),TH!D563,""),"")</f>
        <v/>
      </c>
      <c r="B563" s="36">
        <f t="shared" si="154"/>
        <v>2</v>
      </c>
      <c r="C563" s="190">
        <f t="shared" si="155"/>
        <v>42419</v>
      </c>
      <c r="D563" s="37" t="s">
        <v>1646</v>
      </c>
      <c r="E563" s="190">
        <v>42419</v>
      </c>
      <c r="F563" s="191" t="s">
        <v>951</v>
      </c>
      <c r="G563" s="833" t="s">
        <v>944</v>
      </c>
      <c r="H563" s="192" t="s">
        <v>428</v>
      </c>
      <c r="I563" s="253">
        <v>30</v>
      </c>
      <c r="J563" s="253">
        <v>84084</v>
      </c>
      <c r="K563" s="584">
        <f t="shared" si="156"/>
        <v>2522520</v>
      </c>
      <c r="L563" s="585" t="s">
        <v>857</v>
      </c>
      <c r="M563" s="585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26">
        <v>1</v>
      </c>
      <c r="AB563" s="576" t="str">
        <f>IF(VLOOKUP(F563,NXT!$C$12:$C$786,1,0)=F563,"","x")</f>
        <v/>
      </c>
    </row>
    <row r="564" spans="1:28" ht="15.75" customHeight="1">
      <c r="A564" s="827" t="str">
        <f>IF(B564&lt;&gt;"",IF(AND(B564&gt;=_TM1,B564&lt;=_TM2,OR(TH!L564="1111",TH!M564="1111")),TH!D564,""),"")</f>
        <v/>
      </c>
      <c r="B564" s="36">
        <f t="shared" si="154"/>
        <v>2</v>
      </c>
      <c r="C564" s="190">
        <f t="shared" si="155"/>
        <v>42419</v>
      </c>
      <c r="D564" s="37" t="s">
        <v>1646</v>
      </c>
      <c r="E564" s="190">
        <v>42419</v>
      </c>
      <c r="F564" s="191" t="s">
        <v>461</v>
      </c>
      <c r="G564" s="833" t="s">
        <v>944</v>
      </c>
      <c r="H564" s="192" t="s">
        <v>428</v>
      </c>
      <c r="I564" s="253"/>
      <c r="J564" s="253"/>
      <c r="K564" s="584">
        <v>2332964</v>
      </c>
      <c r="L564" s="585" t="s">
        <v>9</v>
      </c>
      <c r="M564" s="585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26">
        <v>1</v>
      </c>
    </row>
    <row r="565" spans="1:28" ht="15.75" customHeight="1">
      <c r="A565" s="827" t="str">
        <f>IF(B565&lt;&gt;"",IF(AND(B565&gt;=_TM1,B565&lt;=_TM2,OR(TH!L565="1111",TH!M565="1111")),TH!D565,""),"")</f>
        <v/>
      </c>
      <c r="B565" s="36">
        <f t="shared" si="154"/>
        <v>2</v>
      </c>
      <c r="C565" s="190">
        <f t="shared" si="155"/>
        <v>42420</v>
      </c>
      <c r="D565" s="37" t="s">
        <v>1647</v>
      </c>
      <c r="E565" s="37">
        <v>42420</v>
      </c>
      <c r="F565" s="191" t="s">
        <v>1178</v>
      </c>
      <c r="G565" s="837" t="s">
        <v>994</v>
      </c>
      <c r="H565" s="192" t="s">
        <v>445</v>
      </c>
      <c r="I565" s="253">
        <v>850</v>
      </c>
      <c r="J565" s="253">
        <v>30875</v>
      </c>
      <c r="K565" s="584">
        <f>ROUND(I565*J565,0)</f>
        <v>26243750</v>
      </c>
      <c r="L565" s="585" t="s">
        <v>857</v>
      </c>
      <c r="M565" s="585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26">
        <v>1</v>
      </c>
      <c r="AB565" s="576" t="str">
        <f>IF(VLOOKUP(F565,NXT!$C$12:$C$786,1,0)=F565,"","x")</f>
        <v/>
      </c>
    </row>
    <row r="566" spans="1:28" ht="15.75" customHeight="1">
      <c r="A566" s="827" t="str">
        <f>IF(B566&lt;&gt;"",IF(AND(B566&gt;=_TM1,B566&lt;=_TM2,OR(TH!L566="1111",TH!M566="1111")),TH!D566,""),"")</f>
        <v/>
      </c>
      <c r="B566" s="36">
        <f t="shared" si="154"/>
        <v>2</v>
      </c>
      <c r="C566" s="190">
        <f t="shared" si="155"/>
        <v>42420</v>
      </c>
      <c r="D566" s="37" t="s">
        <v>1647</v>
      </c>
      <c r="E566" s="37">
        <v>42420</v>
      </c>
      <c r="F566" s="191" t="s">
        <v>1179</v>
      </c>
      <c r="G566" s="837" t="s">
        <v>994</v>
      </c>
      <c r="H566" s="192" t="s">
        <v>445</v>
      </c>
      <c r="I566" s="253">
        <v>850</v>
      </c>
      <c r="J566" s="253">
        <v>31155</v>
      </c>
      <c r="K566" s="584">
        <f>ROUND(I566*J566,0)</f>
        <v>26481750</v>
      </c>
      <c r="L566" s="585" t="s">
        <v>857</v>
      </c>
      <c r="M566" s="585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26">
        <v>1</v>
      </c>
      <c r="AB566" s="576" t="str">
        <f>IF(VLOOKUP(F566,NXT!$C$12:$C$786,1,0)=F566,"","x")</f>
        <v/>
      </c>
    </row>
    <row r="567" spans="1:28" ht="15.75" customHeight="1">
      <c r="A567" s="827" t="str">
        <f>IF(B567&lt;&gt;"",IF(AND(B567&gt;=_TM1,B567&lt;=_TM2,OR(TH!L567="1111",TH!M567="1111")),TH!D567,""),"")</f>
        <v/>
      </c>
      <c r="B567" s="36">
        <f t="shared" si="154"/>
        <v>2</v>
      </c>
      <c r="C567" s="190">
        <f t="shared" si="155"/>
        <v>42420</v>
      </c>
      <c r="D567" s="37" t="s">
        <v>1647</v>
      </c>
      <c r="E567" s="37">
        <v>42420</v>
      </c>
      <c r="F567" s="292" t="s">
        <v>450</v>
      </c>
      <c r="G567" s="837" t="s">
        <v>994</v>
      </c>
      <c r="H567" s="192" t="s">
        <v>445</v>
      </c>
      <c r="I567" s="253">
        <v>3000</v>
      </c>
      <c r="J567" s="253">
        <v>15675</v>
      </c>
      <c r="K567" s="584">
        <f>ROUND(I567*J567,0)</f>
        <v>47025000</v>
      </c>
      <c r="L567" s="585" t="s">
        <v>857</v>
      </c>
      <c r="M567" s="585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26">
        <v>1</v>
      </c>
      <c r="AB567" s="576" t="str">
        <f>IF(VLOOKUP(F567,NXT!$C$12:$C$786,1,0)=F567,"","x")</f>
        <v/>
      </c>
    </row>
    <row r="568" spans="1:28" ht="15.75" customHeight="1">
      <c r="A568" s="827" t="str">
        <f>IF(B568&lt;&gt;"",IF(AND(B568&gt;=_TM1,B568&lt;=_TM2,OR(TH!L568="1111",TH!M568="1111")),TH!D568,""),"")</f>
        <v/>
      </c>
      <c r="B568" s="36">
        <f t="shared" si="154"/>
        <v>2</v>
      </c>
      <c r="C568" s="190">
        <f t="shared" si="155"/>
        <v>42420</v>
      </c>
      <c r="D568" s="37" t="s">
        <v>1647</v>
      </c>
      <c r="E568" s="37">
        <v>42420</v>
      </c>
      <c r="F568" s="292" t="s">
        <v>451</v>
      </c>
      <c r="G568" s="837" t="s">
        <v>994</v>
      </c>
      <c r="H568" s="192" t="s">
        <v>445</v>
      </c>
      <c r="I568" s="253">
        <v>2500</v>
      </c>
      <c r="J568" s="253">
        <v>14250</v>
      </c>
      <c r="K568" s="584">
        <f>ROUND(I568*J568,0)</f>
        <v>35625000</v>
      </c>
      <c r="L568" s="585" t="s">
        <v>857</v>
      </c>
      <c r="M568" s="585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>x</v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26">
        <v>1</v>
      </c>
      <c r="AB568" s="576" t="str">
        <f>IF(VLOOKUP(F568,NXT!$C$12:$C$786,1,0)=F568,"","x")</f>
        <v/>
      </c>
    </row>
    <row r="569" spans="1:28" ht="15.75" customHeight="1">
      <c r="A569" s="827" t="str">
        <f>IF(B569&lt;&gt;"",IF(AND(B569&gt;=_TM1,B569&lt;=_TM2,OR(TH!L569="1111",TH!M569="1111")),TH!D569,""),"")</f>
        <v/>
      </c>
      <c r="B569" s="36">
        <f t="shared" si="154"/>
        <v>2</v>
      </c>
      <c r="C569" s="190">
        <f t="shared" si="155"/>
        <v>42420</v>
      </c>
      <c r="D569" s="37" t="s">
        <v>1647</v>
      </c>
      <c r="E569" s="37">
        <v>42420</v>
      </c>
      <c r="F569" s="191" t="s">
        <v>461</v>
      </c>
      <c r="G569" s="837" t="s">
        <v>994</v>
      </c>
      <c r="H569" s="192" t="s">
        <v>445</v>
      </c>
      <c r="I569" s="253"/>
      <c r="J569" s="253"/>
      <c r="K569" s="584">
        <v>13537550</v>
      </c>
      <c r="L569" s="585" t="s">
        <v>9</v>
      </c>
      <c r="M569" s="585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26">
        <v>1</v>
      </c>
    </row>
    <row r="570" spans="1:28" ht="15.75" customHeight="1">
      <c r="A570" s="827" t="str">
        <f>IF(B570&lt;&gt;"",IF(AND(B570&gt;=_TM1,B570&lt;=_TM2,OR(TH!L570="1111",TH!M570="1111")),TH!D570,""),"")</f>
        <v/>
      </c>
      <c r="B570" s="36">
        <f t="shared" si="154"/>
        <v>2</v>
      </c>
      <c r="C570" s="190">
        <f t="shared" si="155"/>
        <v>42424</v>
      </c>
      <c r="D570" s="37" t="s">
        <v>1648</v>
      </c>
      <c r="E570" s="37">
        <v>42424</v>
      </c>
      <c r="F570" s="191" t="s">
        <v>954</v>
      </c>
      <c r="G570" s="837" t="s">
        <v>953</v>
      </c>
      <c r="H570" s="192" t="s">
        <v>428</v>
      </c>
      <c r="I570" s="253">
        <v>500</v>
      </c>
      <c r="J570" s="253">
        <v>17334</v>
      </c>
      <c r="K570" s="584">
        <f>ROUND(I570*J570,0)</f>
        <v>8667000</v>
      </c>
      <c r="L570" s="585" t="s">
        <v>857</v>
      </c>
      <c r="M570" s="585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26">
        <v>1</v>
      </c>
      <c r="AB570" s="576" t="str">
        <f>IF(VLOOKUP(F570,NXT!$C$12:$C$786,1,0)=F570,"","x")</f>
        <v/>
      </c>
    </row>
    <row r="571" spans="1:28" ht="15.75" customHeight="1">
      <c r="A571" s="827" t="str">
        <f>IF(B571&lt;&gt;"",IF(AND(B571&gt;=_TM1,B571&lt;=_TM2,OR(TH!L571="1111",TH!M571="1111")),TH!D571,""),"")</f>
        <v/>
      </c>
      <c r="B571" s="36">
        <f t="shared" si="154"/>
        <v>2</v>
      </c>
      <c r="C571" s="190">
        <f t="shared" si="155"/>
        <v>42424</v>
      </c>
      <c r="D571" s="37" t="s">
        <v>1648</v>
      </c>
      <c r="E571" s="37">
        <v>42424</v>
      </c>
      <c r="F571" s="191" t="s">
        <v>682</v>
      </c>
      <c r="G571" s="837" t="s">
        <v>953</v>
      </c>
      <c r="H571" s="192" t="s">
        <v>428</v>
      </c>
      <c r="I571" s="253">
        <v>1000</v>
      </c>
      <c r="J571" s="253">
        <v>763</v>
      </c>
      <c r="K571" s="584">
        <f>ROUND(I571*J571,0)</f>
        <v>763000</v>
      </c>
      <c r="L571" s="585" t="s">
        <v>857</v>
      </c>
      <c r="M571" s="585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26">
        <v>1</v>
      </c>
      <c r="AB571" s="576" t="str">
        <f>IF(VLOOKUP(F571,NXT!$C$12:$C$786,1,0)=F571,"","x")</f>
        <v/>
      </c>
    </row>
    <row r="572" spans="1:28" ht="15.75" customHeight="1">
      <c r="A572" s="827" t="str">
        <f>IF(B572&lt;&gt;"",IF(AND(B572&gt;=_TM1,B572&lt;=_TM2,OR(TH!L572="1111",TH!M572="1111")),TH!D572,""),"")</f>
        <v/>
      </c>
      <c r="B572" s="36">
        <f t="shared" si="154"/>
        <v>2</v>
      </c>
      <c r="C572" s="190">
        <f t="shared" si="155"/>
        <v>42424</v>
      </c>
      <c r="D572" s="37" t="s">
        <v>1648</v>
      </c>
      <c r="E572" s="37">
        <v>42424</v>
      </c>
      <c r="F572" s="191" t="s">
        <v>754</v>
      </c>
      <c r="G572" s="837" t="s">
        <v>953</v>
      </c>
      <c r="H572" s="192" t="s">
        <v>428</v>
      </c>
      <c r="I572" s="253">
        <v>1000</v>
      </c>
      <c r="J572" s="253">
        <v>763</v>
      </c>
      <c r="K572" s="584">
        <f>ROUND(I572*J572,0)</f>
        <v>763000</v>
      </c>
      <c r="L572" s="585" t="s">
        <v>857</v>
      </c>
      <c r="M572" s="585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26">
        <v>1</v>
      </c>
      <c r="AB572" s="576" t="str">
        <f>IF(VLOOKUP(F572,NXT!$C$12:$C$786,1,0)=F572,"","x")</f>
        <v/>
      </c>
    </row>
    <row r="573" spans="1:28" ht="15.75" customHeight="1">
      <c r="A573" s="827" t="str">
        <f>IF(B573&lt;&gt;"",IF(AND(B573&gt;=_TM1,B573&lt;=_TM2,OR(TH!L573="1111",TH!M573="1111")),TH!D573,""),"")</f>
        <v/>
      </c>
      <c r="B573" s="36">
        <f t="shared" si="154"/>
        <v>2</v>
      </c>
      <c r="C573" s="190">
        <f t="shared" si="155"/>
        <v>42424</v>
      </c>
      <c r="D573" s="37" t="s">
        <v>1648</v>
      </c>
      <c r="E573" s="37">
        <v>42424</v>
      </c>
      <c r="F573" s="191" t="s">
        <v>955</v>
      </c>
      <c r="G573" s="837" t="s">
        <v>953</v>
      </c>
      <c r="H573" s="192" t="s">
        <v>428</v>
      </c>
      <c r="I573" s="253">
        <v>200</v>
      </c>
      <c r="J573" s="253">
        <v>6750</v>
      </c>
      <c r="K573" s="584">
        <f>ROUND(I573*J573,0)</f>
        <v>1350000</v>
      </c>
      <c r="L573" s="585" t="s">
        <v>857</v>
      </c>
      <c r="M573" s="585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26">
        <v>1</v>
      </c>
      <c r="AB573" s="576" t="str">
        <f>IF(VLOOKUP(F573,NXT!$C$12:$C$786,1,0)=F573,"","x")</f>
        <v/>
      </c>
    </row>
    <row r="574" spans="1:28" ht="15.75" customHeight="1">
      <c r="A574" s="827" t="str">
        <f>IF(B574&lt;&gt;"",IF(AND(B574&gt;=_TM1,B574&lt;=_TM2,OR(TH!L574="1111",TH!M574="1111")),TH!D574,""),"")</f>
        <v/>
      </c>
      <c r="B574" s="36">
        <f t="shared" si="154"/>
        <v>2</v>
      </c>
      <c r="C574" s="190">
        <f t="shared" si="155"/>
        <v>42424</v>
      </c>
      <c r="D574" s="37" t="s">
        <v>1648</v>
      </c>
      <c r="E574" s="37">
        <v>42424</v>
      </c>
      <c r="F574" s="191" t="s">
        <v>461</v>
      </c>
      <c r="G574" s="837" t="s">
        <v>953</v>
      </c>
      <c r="H574" s="192" t="s">
        <v>428</v>
      </c>
      <c r="I574" s="253"/>
      <c r="J574" s="253"/>
      <c r="K574" s="584">
        <v>1154300</v>
      </c>
      <c r="L574" s="585" t="s">
        <v>9</v>
      </c>
      <c r="M574" s="585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26">
        <v>1</v>
      </c>
    </row>
    <row r="575" spans="1:28" ht="15.75" customHeight="1">
      <c r="A575" s="827" t="str">
        <f>IF(B575&lt;&gt;"",IF(AND(B575&gt;=_TM1,B575&lt;=_TM2,OR(TH!L575="1111",TH!M575="1111")),TH!D575,""),"")</f>
        <v/>
      </c>
      <c r="B575" s="36">
        <f t="shared" si="154"/>
        <v>2</v>
      </c>
      <c r="C575" s="190">
        <f t="shared" si="155"/>
        <v>42425</v>
      </c>
      <c r="D575" s="37" t="s">
        <v>1649</v>
      </c>
      <c r="E575" s="37">
        <v>42425</v>
      </c>
      <c r="F575" s="191" t="s">
        <v>996</v>
      </c>
      <c r="G575" s="837" t="s">
        <v>995</v>
      </c>
      <c r="H575" s="192" t="s">
        <v>445</v>
      </c>
      <c r="I575" s="253">
        <v>3</v>
      </c>
      <c r="J575" s="253">
        <v>23765</v>
      </c>
      <c r="K575" s="584">
        <f t="shared" ref="K575:K602" si="157">ROUND(I575*J575,0)</f>
        <v>71295</v>
      </c>
      <c r="L575" s="585" t="s">
        <v>857</v>
      </c>
      <c r="M575" s="585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26">
        <v>1</v>
      </c>
      <c r="AB575" s="576" t="str">
        <f>IF(VLOOKUP(F575,NXT!$C$12:$C$786,1,0)=F575,"","x")</f>
        <v/>
      </c>
    </row>
    <row r="576" spans="1:28" ht="15.75" customHeight="1">
      <c r="A576" s="827" t="str">
        <f>IF(B576&lt;&gt;"",IF(AND(B576&gt;=_TM1,B576&lt;=_TM2,OR(TH!L576="1111",TH!M576="1111")),TH!D576,""),"")</f>
        <v/>
      </c>
      <c r="B576" s="36">
        <f t="shared" si="154"/>
        <v>2</v>
      </c>
      <c r="C576" s="190">
        <f t="shared" si="155"/>
        <v>42425</v>
      </c>
      <c r="D576" s="37" t="s">
        <v>1649</v>
      </c>
      <c r="E576" s="37">
        <v>42425</v>
      </c>
      <c r="F576" s="191" t="s">
        <v>997</v>
      </c>
      <c r="G576" s="837" t="s">
        <v>995</v>
      </c>
      <c r="H576" s="192" t="s">
        <v>445</v>
      </c>
      <c r="I576" s="253">
        <v>24</v>
      </c>
      <c r="J576" s="253">
        <v>8755</v>
      </c>
      <c r="K576" s="584">
        <f t="shared" si="157"/>
        <v>210120</v>
      </c>
      <c r="L576" s="585" t="s">
        <v>857</v>
      </c>
      <c r="M576" s="585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26">
        <v>1</v>
      </c>
      <c r="AB576" s="576" t="str">
        <f>IF(VLOOKUP(F576,NXT!$C$12:$C$786,1,0)=F576,"","x")</f>
        <v/>
      </c>
    </row>
    <row r="577" spans="1:28" ht="15.75" customHeight="1">
      <c r="A577" s="827" t="str">
        <f>IF(B577&lt;&gt;"",IF(AND(B577&gt;=_TM1,B577&lt;=_TM2,OR(TH!L577="1111",TH!M577="1111")),TH!D577,""),"")</f>
        <v/>
      </c>
      <c r="B577" s="36">
        <f t="shared" si="154"/>
        <v>2</v>
      </c>
      <c r="C577" s="190">
        <f t="shared" si="155"/>
        <v>42425</v>
      </c>
      <c r="D577" s="37" t="s">
        <v>1649</v>
      </c>
      <c r="E577" s="37">
        <v>42425</v>
      </c>
      <c r="F577" s="191" t="s">
        <v>998</v>
      </c>
      <c r="G577" s="837" t="s">
        <v>995</v>
      </c>
      <c r="H577" s="192" t="s">
        <v>445</v>
      </c>
      <c r="I577" s="253">
        <v>20</v>
      </c>
      <c r="J577" s="253">
        <v>11999</v>
      </c>
      <c r="K577" s="584">
        <f t="shared" si="157"/>
        <v>239980</v>
      </c>
      <c r="L577" s="585" t="s">
        <v>857</v>
      </c>
      <c r="M577" s="585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26">
        <v>1</v>
      </c>
      <c r="AB577" s="576" t="str">
        <f>IF(VLOOKUP(F577,NXT!$C$12:$C$786,1,0)=F577,"","x")</f>
        <v/>
      </c>
    </row>
    <row r="578" spans="1:28" ht="15.75" customHeight="1">
      <c r="A578" s="827" t="str">
        <f>IF(B578&lt;&gt;"",IF(AND(B578&gt;=_TM1,B578&lt;=_TM2,OR(TH!L578="1111",TH!M578="1111")),TH!D578,""),"")</f>
        <v/>
      </c>
      <c r="B578" s="36">
        <f t="shared" si="154"/>
        <v>2</v>
      </c>
      <c r="C578" s="190">
        <f t="shared" si="155"/>
        <v>42425</v>
      </c>
      <c r="D578" s="37" t="s">
        <v>1649</v>
      </c>
      <c r="E578" s="37">
        <v>42425</v>
      </c>
      <c r="F578" s="191" t="s">
        <v>999</v>
      </c>
      <c r="G578" s="837" t="s">
        <v>995</v>
      </c>
      <c r="H578" s="192" t="s">
        <v>445</v>
      </c>
      <c r="I578" s="253">
        <v>15</v>
      </c>
      <c r="J578" s="253">
        <v>31128</v>
      </c>
      <c r="K578" s="584">
        <f t="shared" si="157"/>
        <v>466920</v>
      </c>
      <c r="L578" s="585" t="s">
        <v>857</v>
      </c>
      <c r="M578" s="585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26">
        <v>1</v>
      </c>
      <c r="AB578" s="576" t="str">
        <f>IF(VLOOKUP(F578,NXT!$C$12:$C$786,1,0)=F578,"","x")</f>
        <v/>
      </c>
    </row>
    <row r="579" spans="1:28" ht="15.75" customHeight="1">
      <c r="A579" s="827" t="str">
        <f>IF(B579&lt;&gt;"",IF(AND(B579&gt;=_TM1,B579&lt;=_TM2,OR(TH!L579="1111",TH!M579="1111")),TH!D579,""),"")</f>
        <v/>
      </c>
      <c r="B579" s="36">
        <f t="shared" si="154"/>
        <v>2</v>
      </c>
      <c r="C579" s="190">
        <f t="shared" si="155"/>
        <v>42425</v>
      </c>
      <c r="D579" s="37" t="s">
        <v>1649</v>
      </c>
      <c r="E579" s="37">
        <v>42425</v>
      </c>
      <c r="F579" s="191" t="s">
        <v>1000</v>
      </c>
      <c r="G579" s="837" t="s">
        <v>995</v>
      </c>
      <c r="H579" s="192" t="s">
        <v>445</v>
      </c>
      <c r="I579" s="253">
        <v>6</v>
      </c>
      <c r="J579" s="253">
        <v>4474</v>
      </c>
      <c r="K579" s="584">
        <f t="shared" si="157"/>
        <v>26844</v>
      </c>
      <c r="L579" s="585" t="s">
        <v>857</v>
      </c>
      <c r="M579" s="585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26">
        <v>1</v>
      </c>
      <c r="AB579" s="576" t="str">
        <f>IF(VLOOKUP(F579,NXT!$C$12:$C$786,1,0)=F579,"","x")</f>
        <v/>
      </c>
    </row>
    <row r="580" spans="1:28" ht="15.75" customHeight="1">
      <c r="A580" s="827" t="str">
        <f>IF(B580&lt;&gt;"",IF(AND(B580&gt;=_TM1,B580&lt;=_TM2,OR(TH!L580="1111",TH!M580="1111")),TH!D580,""),"")</f>
        <v/>
      </c>
      <c r="B580" s="36">
        <f t="shared" si="154"/>
        <v>2</v>
      </c>
      <c r="C580" s="190">
        <f t="shared" si="155"/>
        <v>42425</v>
      </c>
      <c r="D580" s="37" t="s">
        <v>1649</v>
      </c>
      <c r="E580" s="37">
        <v>42425</v>
      </c>
      <c r="F580" s="191" t="s">
        <v>1001</v>
      </c>
      <c r="G580" s="837" t="s">
        <v>995</v>
      </c>
      <c r="H580" s="192" t="s">
        <v>445</v>
      </c>
      <c r="I580" s="253">
        <v>6</v>
      </c>
      <c r="J580" s="253">
        <v>6480</v>
      </c>
      <c r="K580" s="584">
        <f t="shared" si="157"/>
        <v>38880</v>
      </c>
      <c r="L580" s="585" t="s">
        <v>857</v>
      </c>
      <c r="M580" s="585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26">
        <v>1</v>
      </c>
      <c r="AB580" s="576" t="str">
        <f>IF(VLOOKUP(F580,NXT!$C$12:$C$786,1,0)=F580,"","x")</f>
        <v/>
      </c>
    </row>
    <row r="581" spans="1:28" ht="15.75" customHeight="1">
      <c r="A581" s="827" t="str">
        <f>IF(B581&lt;&gt;"",IF(AND(B581&gt;=_TM1,B581&lt;=_TM2,OR(TH!L581="1111",TH!M581="1111")),TH!D581,""),"")</f>
        <v/>
      </c>
      <c r="B581" s="36">
        <f t="shared" si="154"/>
        <v>2</v>
      </c>
      <c r="C581" s="190">
        <f t="shared" si="155"/>
        <v>42425</v>
      </c>
      <c r="D581" s="37" t="s">
        <v>1649</v>
      </c>
      <c r="E581" s="37">
        <v>42425</v>
      </c>
      <c r="F581" s="191" t="s">
        <v>1002</v>
      </c>
      <c r="G581" s="837" t="s">
        <v>995</v>
      </c>
      <c r="H581" s="192" t="s">
        <v>445</v>
      </c>
      <c r="I581" s="253">
        <v>24</v>
      </c>
      <c r="J581" s="253">
        <v>20813</v>
      </c>
      <c r="K581" s="584">
        <f t="shared" si="157"/>
        <v>499512</v>
      </c>
      <c r="L581" s="585" t="s">
        <v>857</v>
      </c>
      <c r="M581" s="585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26">
        <v>1</v>
      </c>
      <c r="AB581" s="576" t="str">
        <f>IF(VLOOKUP(F581,NXT!$C$12:$C$786,1,0)=F581,"","x")</f>
        <v/>
      </c>
    </row>
    <row r="582" spans="1:28" ht="15.75" customHeight="1">
      <c r="A582" s="827" t="str">
        <f>IF(B582&lt;&gt;"",IF(AND(B582&gt;=_TM1,B582&lt;=_TM2,OR(TH!L582="1111",TH!M582="1111")),TH!D582,""),"")</f>
        <v/>
      </c>
      <c r="B582" s="36">
        <f t="shared" si="154"/>
        <v>2</v>
      </c>
      <c r="C582" s="190">
        <f t="shared" si="155"/>
        <v>42425</v>
      </c>
      <c r="D582" s="37" t="s">
        <v>1649</v>
      </c>
      <c r="E582" s="37">
        <v>42425</v>
      </c>
      <c r="F582" s="191" t="s">
        <v>1003</v>
      </c>
      <c r="G582" s="837" t="s">
        <v>995</v>
      </c>
      <c r="H582" s="192" t="s">
        <v>445</v>
      </c>
      <c r="I582" s="253">
        <v>60</v>
      </c>
      <c r="J582" s="253">
        <v>20256</v>
      </c>
      <c r="K582" s="584">
        <f t="shared" si="157"/>
        <v>1215360</v>
      </c>
      <c r="L582" s="585" t="s">
        <v>857</v>
      </c>
      <c r="M582" s="585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26">
        <v>1</v>
      </c>
      <c r="AB582" s="576" t="str">
        <f>IF(VLOOKUP(F582,NXT!$C$12:$C$786,1,0)=F582,"","x")</f>
        <v/>
      </c>
    </row>
    <row r="583" spans="1:28" ht="15.75" customHeight="1">
      <c r="A583" s="827" t="str">
        <f>IF(B583&lt;&gt;"",IF(AND(B583&gt;=_TM1,B583&lt;=_TM2,OR(TH!L583="1111",TH!M583="1111")),TH!D583,""),"")</f>
        <v/>
      </c>
      <c r="B583" s="36">
        <f t="shared" si="154"/>
        <v>2</v>
      </c>
      <c r="C583" s="190">
        <f t="shared" si="155"/>
        <v>42425</v>
      </c>
      <c r="D583" s="37" t="s">
        <v>1649</v>
      </c>
      <c r="E583" s="37">
        <v>42425</v>
      </c>
      <c r="F583" s="191" t="s">
        <v>882</v>
      </c>
      <c r="G583" s="837" t="s">
        <v>995</v>
      </c>
      <c r="H583" s="192" t="s">
        <v>445</v>
      </c>
      <c r="I583" s="253">
        <v>30</v>
      </c>
      <c r="J583" s="253">
        <v>13567</v>
      </c>
      <c r="K583" s="584">
        <f t="shared" si="157"/>
        <v>407010</v>
      </c>
      <c r="L583" s="585" t="s">
        <v>857</v>
      </c>
      <c r="M583" s="585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26">
        <v>1</v>
      </c>
      <c r="AB583" s="576" t="str">
        <f>IF(VLOOKUP(F583,NXT!$C$12:$C$786,1,0)=F583,"","x")</f>
        <v/>
      </c>
    </row>
    <row r="584" spans="1:28" ht="15.75" customHeight="1">
      <c r="A584" s="827" t="str">
        <f>IF(B584&lt;&gt;"",IF(AND(B584&gt;=_TM1,B584&lt;=_TM2,OR(TH!L584="1111",TH!M584="1111")),TH!D584,""),"")</f>
        <v/>
      </c>
      <c r="B584" s="36">
        <f t="shared" si="154"/>
        <v>2</v>
      </c>
      <c r="C584" s="190">
        <f t="shared" si="155"/>
        <v>42425</v>
      </c>
      <c r="D584" s="37" t="s">
        <v>1649</v>
      </c>
      <c r="E584" s="37">
        <v>42425</v>
      </c>
      <c r="F584" s="191" t="s">
        <v>542</v>
      </c>
      <c r="G584" s="837" t="s">
        <v>995</v>
      </c>
      <c r="H584" s="192" t="s">
        <v>445</v>
      </c>
      <c r="I584" s="253">
        <v>180</v>
      </c>
      <c r="J584" s="253">
        <v>37996</v>
      </c>
      <c r="K584" s="584">
        <f t="shared" si="157"/>
        <v>6839280</v>
      </c>
      <c r="L584" s="585" t="s">
        <v>857</v>
      </c>
      <c r="M584" s="585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26">
        <v>1</v>
      </c>
      <c r="AB584" s="576" t="str">
        <f>IF(VLOOKUP(F584,NXT!$C$12:$C$786,1,0)=F584,"","x")</f>
        <v/>
      </c>
    </row>
    <row r="585" spans="1:28" ht="15.75" customHeight="1">
      <c r="A585" s="827" t="str">
        <f>IF(B585&lt;&gt;"",IF(AND(B585&gt;=_TM1,B585&lt;=_TM2,OR(TH!L585="1111",TH!M585="1111")),TH!D585,""),"")</f>
        <v/>
      </c>
      <c r="B585" s="36">
        <f t="shared" si="154"/>
        <v>2</v>
      </c>
      <c r="C585" s="190">
        <f t="shared" si="155"/>
        <v>42425</v>
      </c>
      <c r="D585" s="37" t="s">
        <v>1649</v>
      </c>
      <c r="E585" s="37">
        <v>42425</v>
      </c>
      <c r="F585" s="191" t="s">
        <v>1004</v>
      </c>
      <c r="G585" s="837" t="s">
        <v>995</v>
      </c>
      <c r="H585" s="192" t="s">
        <v>445</v>
      </c>
      <c r="I585" s="253">
        <v>12</v>
      </c>
      <c r="J585" s="253">
        <v>41070</v>
      </c>
      <c r="K585" s="584">
        <f t="shared" si="157"/>
        <v>492840</v>
      </c>
      <c r="L585" s="585" t="s">
        <v>857</v>
      </c>
      <c r="M585" s="585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26">
        <v>1</v>
      </c>
      <c r="AB585" s="576" t="str">
        <f>IF(VLOOKUP(F585,NXT!$C$12:$C$786,1,0)=F585,"","x")</f>
        <v/>
      </c>
    </row>
    <row r="586" spans="1:28" ht="15.75" customHeight="1">
      <c r="A586" s="827" t="str">
        <f>IF(B586&lt;&gt;"",IF(AND(B586&gt;=_TM1,B586&lt;=_TM2,OR(TH!L586="1111",TH!M586="1111")),TH!D586,""),"")</f>
        <v/>
      </c>
      <c r="B586" s="36">
        <f t="shared" si="154"/>
        <v>2</v>
      </c>
      <c r="C586" s="190">
        <f t="shared" si="155"/>
        <v>42425</v>
      </c>
      <c r="D586" s="37" t="s">
        <v>1649</v>
      </c>
      <c r="E586" s="37">
        <v>42425</v>
      </c>
      <c r="F586" s="191" t="s">
        <v>1005</v>
      </c>
      <c r="G586" s="837" t="s">
        <v>995</v>
      </c>
      <c r="H586" s="192" t="s">
        <v>445</v>
      </c>
      <c r="I586" s="253">
        <v>4</v>
      </c>
      <c r="J586" s="253">
        <v>75973</v>
      </c>
      <c r="K586" s="584">
        <f t="shared" si="157"/>
        <v>303892</v>
      </c>
      <c r="L586" s="585" t="s">
        <v>857</v>
      </c>
      <c r="M586" s="585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26">
        <v>1</v>
      </c>
      <c r="AB586" s="576" t="str">
        <f>IF(VLOOKUP(F586,NXT!$C$12:$C$786,1,0)=F586,"","x")</f>
        <v/>
      </c>
    </row>
    <row r="587" spans="1:28" ht="15.75" customHeight="1">
      <c r="A587" s="827" t="str">
        <f>IF(B587&lt;&gt;"",IF(AND(B587&gt;=_TM1,B587&lt;=_TM2,OR(TH!L587="1111",TH!M587="1111")),TH!D587,""),"")</f>
        <v/>
      </c>
      <c r="B587" s="36">
        <f t="shared" si="154"/>
        <v>2</v>
      </c>
      <c r="C587" s="190">
        <f t="shared" si="155"/>
        <v>42425</v>
      </c>
      <c r="D587" s="37" t="s">
        <v>1649</v>
      </c>
      <c r="E587" s="37">
        <v>42425</v>
      </c>
      <c r="F587" s="191" t="s">
        <v>1005</v>
      </c>
      <c r="G587" s="837" t="s">
        <v>995</v>
      </c>
      <c r="H587" s="192" t="s">
        <v>445</v>
      </c>
      <c r="I587" s="253">
        <v>12</v>
      </c>
      <c r="J587" s="253">
        <v>51429</v>
      </c>
      <c r="K587" s="584">
        <f t="shared" si="157"/>
        <v>617148</v>
      </c>
      <c r="L587" s="585" t="s">
        <v>857</v>
      </c>
      <c r="M587" s="585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26">
        <v>1</v>
      </c>
      <c r="AB587" s="576" t="str">
        <f>IF(VLOOKUP(F587,NXT!$C$12:$C$786,1,0)=F587,"","x")</f>
        <v/>
      </c>
    </row>
    <row r="588" spans="1:28" ht="15.75" customHeight="1">
      <c r="A588" s="827" t="str">
        <f>IF(B588&lt;&gt;"",IF(AND(B588&gt;=_TM1,B588&lt;=_TM2,OR(TH!L588="1111",TH!M588="1111")),TH!D588,""),"")</f>
        <v/>
      </c>
      <c r="B588" s="36">
        <f t="shared" si="154"/>
        <v>2</v>
      </c>
      <c r="C588" s="190">
        <f t="shared" si="155"/>
        <v>42425</v>
      </c>
      <c r="D588" s="37" t="s">
        <v>1649</v>
      </c>
      <c r="E588" s="37">
        <v>42425</v>
      </c>
      <c r="F588" s="191" t="s">
        <v>1006</v>
      </c>
      <c r="G588" s="837" t="s">
        <v>995</v>
      </c>
      <c r="H588" s="192" t="s">
        <v>445</v>
      </c>
      <c r="I588" s="253">
        <v>8</v>
      </c>
      <c r="J588" s="253">
        <v>65909</v>
      </c>
      <c r="K588" s="584">
        <f t="shared" si="157"/>
        <v>527272</v>
      </c>
      <c r="L588" s="585" t="s">
        <v>857</v>
      </c>
      <c r="M588" s="585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26">
        <v>1</v>
      </c>
      <c r="AB588" s="576" t="str">
        <f>IF(VLOOKUP(F588,NXT!$C$12:$C$786,1,0)=F588,"","x")</f>
        <v/>
      </c>
    </row>
    <row r="589" spans="1:28" ht="15.75" customHeight="1">
      <c r="A589" s="827" t="str">
        <f>IF(B589&lt;&gt;"",IF(AND(B589&gt;=_TM1,B589&lt;=_TM2,OR(TH!L589="1111",TH!M589="1111")),TH!D589,""),"")</f>
        <v/>
      </c>
      <c r="B589" s="36">
        <f t="shared" si="154"/>
        <v>2</v>
      </c>
      <c r="C589" s="190">
        <f t="shared" si="155"/>
        <v>42425</v>
      </c>
      <c r="D589" s="37" t="s">
        <v>1649</v>
      </c>
      <c r="E589" s="37">
        <v>42425</v>
      </c>
      <c r="F589" s="191" t="s">
        <v>1007</v>
      </c>
      <c r="G589" s="837" t="s">
        <v>995</v>
      </c>
      <c r="H589" s="192" t="s">
        <v>445</v>
      </c>
      <c r="I589" s="253">
        <v>12</v>
      </c>
      <c r="J589" s="253">
        <v>51429</v>
      </c>
      <c r="K589" s="584">
        <f t="shared" si="157"/>
        <v>617148</v>
      </c>
      <c r="L589" s="585" t="s">
        <v>857</v>
      </c>
      <c r="M589" s="585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26">
        <v>1</v>
      </c>
      <c r="AB589" s="576" t="str">
        <f>IF(VLOOKUP(F589,NXT!$C$12:$C$786,1,0)=F589,"","x")</f>
        <v/>
      </c>
    </row>
    <row r="590" spans="1:28" ht="15.75" customHeight="1">
      <c r="A590" s="827" t="str">
        <f>IF(B590&lt;&gt;"",IF(AND(B590&gt;=_TM1,B590&lt;=_TM2,OR(TH!L590="1111",TH!M590="1111")),TH!D590,""),"")</f>
        <v/>
      </c>
      <c r="B590" s="36">
        <f t="shared" si="154"/>
        <v>2</v>
      </c>
      <c r="C590" s="190">
        <f t="shared" si="155"/>
        <v>42425</v>
      </c>
      <c r="D590" s="37" t="s">
        <v>1649</v>
      </c>
      <c r="E590" s="37">
        <v>42425</v>
      </c>
      <c r="F590" s="191" t="s">
        <v>1008</v>
      </c>
      <c r="G590" s="837" t="s">
        <v>995</v>
      </c>
      <c r="H590" s="192" t="s">
        <v>445</v>
      </c>
      <c r="I590" s="253">
        <v>4</v>
      </c>
      <c r="J590" s="253">
        <v>129138</v>
      </c>
      <c r="K590" s="584">
        <f t="shared" si="157"/>
        <v>516552</v>
      </c>
      <c r="L590" s="585" t="s">
        <v>857</v>
      </c>
      <c r="M590" s="585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26">
        <v>1</v>
      </c>
      <c r="AB590" s="576" t="str">
        <f>IF(VLOOKUP(F590,NXT!$C$12:$C$786,1,0)=F590,"","x")</f>
        <v/>
      </c>
    </row>
    <row r="591" spans="1:28" ht="15.75" customHeight="1">
      <c r="A591" s="827" t="str">
        <f>IF(B591&lt;&gt;"",IF(AND(B591&gt;=_TM1,B591&lt;=_TM2,OR(TH!L591="1111",TH!M591="1111")),TH!D591,""),"")</f>
        <v/>
      </c>
      <c r="B591" s="36">
        <f t="shared" si="154"/>
        <v>2</v>
      </c>
      <c r="C591" s="190">
        <f t="shared" si="155"/>
        <v>42425</v>
      </c>
      <c r="D591" s="37" t="s">
        <v>1649</v>
      </c>
      <c r="E591" s="37">
        <v>42425</v>
      </c>
      <c r="F591" s="191" t="s">
        <v>1009</v>
      </c>
      <c r="G591" s="837" t="s">
        <v>995</v>
      </c>
      <c r="H591" s="192" t="s">
        <v>445</v>
      </c>
      <c r="I591" s="253">
        <v>7</v>
      </c>
      <c r="J591" s="253">
        <v>42587</v>
      </c>
      <c r="K591" s="584">
        <f t="shared" si="157"/>
        <v>298109</v>
      </c>
      <c r="L591" s="585" t="s">
        <v>857</v>
      </c>
      <c r="M591" s="585" t="s">
        <v>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26">
        <v>1</v>
      </c>
      <c r="AB591" s="576" t="str">
        <f>IF(VLOOKUP(F591,NXT!$C$12:$C$786,1,0)=F591,"","x")</f>
        <v/>
      </c>
    </row>
    <row r="592" spans="1:28" ht="15.75" customHeight="1">
      <c r="A592" s="827" t="str">
        <f>IF(B592&lt;&gt;"",IF(AND(B592&gt;=_TM1,B592&lt;=_TM2,OR(TH!L592="1111",TH!M592="1111")),TH!D592,""),"")</f>
        <v/>
      </c>
      <c r="B592" s="36">
        <f t="shared" si="154"/>
        <v>2</v>
      </c>
      <c r="C592" s="190">
        <f t="shared" si="155"/>
        <v>42425</v>
      </c>
      <c r="D592" s="37" t="s">
        <v>1649</v>
      </c>
      <c r="E592" s="37">
        <v>42425</v>
      </c>
      <c r="F592" s="191" t="s">
        <v>1010</v>
      </c>
      <c r="G592" s="837" t="s">
        <v>995</v>
      </c>
      <c r="H592" s="192" t="s">
        <v>445</v>
      </c>
      <c r="I592" s="253">
        <v>8</v>
      </c>
      <c r="J592" s="253">
        <v>45861</v>
      </c>
      <c r="K592" s="584">
        <f t="shared" si="157"/>
        <v>366888</v>
      </c>
      <c r="L592" s="585" t="s">
        <v>857</v>
      </c>
      <c r="M592" s="585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26">
        <v>1</v>
      </c>
      <c r="AB592" s="576" t="str">
        <f>IF(VLOOKUP(F592,NXT!$C$12:$C$786,1,0)=F592,"","x")</f>
        <v/>
      </c>
    </row>
    <row r="593" spans="1:28" ht="15.75" customHeight="1">
      <c r="A593" s="827" t="str">
        <f>IF(B593&lt;&gt;"",IF(AND(B593&gt;=_TM1,B593&lt;=_TM2,OR(TH!L593="1111",TH!M593="1111")),TH!D593,""),"")</f>
        <v/>
      </c>
      <c r="B593" s="36">
        <f t="shared" si="154"/>
        <v>2</v>
      </c>
      <c r="C593" s="190">
        <f t="shared" si="155"/>
        <v>42425</v>
      </c>
      <c r="D593" s="37" t="s">
        <v>1649</v>
      </c>
      <c r="E593" s="37">
        <v>42425</v>
      </c>
      <c r="F593" s="191" t="s">
        <v>1011</v>
      </c>
      <c r="G593" s="837" t="s">
        <v>995</v>
      </c>
      <c r="H593" s="192" t="s">
        <v>445</v>
      </c>
      <c r="I593" s="253">
        <v>16</v>
      </c>
      <c r="J593" s="253">
        <v>64056</v>
      </c>
      <c r="K593" s="584">
        <f t="shared" si="157"/>
        <v>1024896</v>
      </c>
      <c r="L593" s="585" t="s">
        <v>857</v>
      </c>
      <c r="M593" s="585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26">
        <v>1</v>
      </c>
      <c r="AB593" s="576" t="str">
        <f>IF(VLOOKUP(F593,NXT!$C$12:$C$786,1,0)=F593,"","x")</f>
        <v/>
      </c>
    </row>
    <row r="594" spans="1:28" ht="15.75" customHeight="1">
      <c r="A594" s="827" t="str">
        <f>IF(B594&lt;&gt;"",IF(AND(B594&gt;=_TM1,B594&lt;=_TM2,OR(TH!L594="1111",TH!M594="1111")),TH!D594,""),"")</f>
        <v/>
      </c>
      <c r="B594" s="36">
        <f t="shared" si="154"/>
        <v>2</v>
      </c>
      <c r="C594" s="190">
        <f t="shared" si="155"/>
        <v>42425</v>
      </c>
      <c r="D594" s="37" t="s">
        <v>1649</v>
      </c>
      <c r="E594" s="37">
        <v>42425</v>
      </c>
      <c r="F594" s="191" t="s">
        <v>1012</v>
      </c>
      <c r="G594" s="837" t="s">
        <v>995</v>
      </c>
      <c r="H594" s="192" t="s">
        <v>445</v>
      </c>
      <c r="I594" s="253">
        <v>7</v>
      </c>
      <c r="J594" s="253">
        <v>59090</v>
      </c>
      <c r="K594" s="584">
        <f t="shared" si="157"/>
        <v>413630</v>
      </c>
      <c r="L594" s="585" t="s">
        <v>857</v>
      </c>
      <c r="M594" s="585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26">
        <v>1</v>
      </c>
      <c r="AB594" s="576" t="str">
        <f>IF(VLOOKUP(F594,NXT!$C$12:$C$786,1,0)=F594,"","x")</f>
        <v/>
      </c>
    </row>
    <row r="595" spans="1:28" ht="15.75" customHeight="1">
      <c r="A595" s="827" t="str">
        <f>IF(B595&lt;&gt;"",IF(AND(B595&gt;=_TM1,B595&lt;=_TM2,OR(TH!L595="1111",TH!M595="1111")),TH!D595,""),"")</f>
        <v/>
      </c>
      <c r="B595" s="36">
        <f t="shared" si="154"/>
        <v>2</v>
      </c>
      <c r="C595" s="190">
        <f t="shared" si="155"/>
        <v>42425</v>
      </c>
      <c r="D595" s="37" t="s">
        <v>1649</v>
      </c>
      <c r="E595" s="37">
        <v>42425</v>
      </c>
      <c r="F595" s="191" t="s">
        <v>1013</v>
      </c>
      <c r="G595" s="837" t="s">
        <v>995</v>
      </c>
      <c r="H595" s="192" t="s">
        <v>445</v>
      </c>
      <c r="I595" s="253">
        <v>4</v>
      </c>
      <c r="J595" s="253">
        <v>75477</v>
      </c>
      <c r="K595" s="584">
        <f t="shared" si="157"/>
        <v>301908</v>
      </c>
      <c r="L595" s="585" t="s">
        <v>857</v>
      </c>
      <c r="M595" s="585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26">
        <v>1</v>
      </c>
      <c r="AB595" s="576" t="str">
        <f>IF(VLOOKUP(F595,NXT!$C$12:$C$786,1,0)=F595,"","x")</f>
        <v/>
      </c>
    </row>
    <row r="596" spans="1:28" ht="15.75" customHeight="1">
      <c r="A596" s="827" t="str">
        <f>IF(B596&lt;&gt;"",IF(AND(B596&gt;=_TM1,B596&lt;=_TM2,OR(TH!L596="1111",TH!M596="1111")),TH!D596,""),"")</f>
        <v/>
      </c>
      <c r="B596" s="36">
        <f t="shared" si="154"/>
        <v>2</v>
      </c>
      <c r="C596" s="190">
        <f t="shared" si="155"/>
        <v>42425</v>
      </c>
      <c r="D596" s="37" t="s">
        <v>1649</v>
      </c>
      <c r="E596" s="37">
        <v>42425</v>
      </c>
      <c r="F596" s="783" t="s">
        <v>495</v>
      </c>
      <c r="G596" s="837" t="s">
        <v>995</v>
      </c>
      <c r="H596" s="192" t="s">
        <v>445</v>
      </c>
      <c r="I596" s="253">
        <v>72</v>
      </c>
      <c r="J596" s="253">
        <v>7623</v>
      </c>
      <c r="K596" s="584">
        <f t="shared" si="157"/>
        <v>548856</v>
      </c>
      <c r="L596" s="585" t="s">
        <v>857</v>
      </c>
      <c r="M596" s="585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26">
        <v>1</v>
      </c>
      <c r="AB596" s="576" t="str">
        <f>IF(VLOOKUP(F596,NXT!$C$12:$C$786,1,0)=F596,"","x")</f>
        <v/>
      </c>
    </row>
    <row r="597" spans="1:28" ht="15.75" customHeight="1">
      <c r="A597" s="827" t="str">
        <f>IF(B597&lt;&gt;"",IF(AND(B597&gt;=_TM1,B597&lt;=_TM2,OR(TH!L597="1111",TH!M597="1111")),TH!D597,""),"")</f>
        <v/>
      </c>
      <c r="B597" s="36">
        <f t="shared" si="154"/>
        <v>2</v>
      </c>
      <c r="C597" s="190">
        <f t="shared" si="155"/>
        <v>42425</v>
      </c>
      <c r="D597" s="37" t="s">
        <v>1649</v>
      </c>
      <c r="E597" s="37">
        <v>42425</v>
      </c>
      <c r="F597" s="191" t="s">
        <v>496</v>
      </c>
      <c r="G597" s="837" t="s">
        <v>995</v>
      </c>
      <c r="H597" s="192" t="s">
        <v>445</v>
      </c>
      <c r="I597" s="253">
        <v>72</v>
      </c>
      <c r="J597" s="253">
        <v>16489</v>
      </c>
      <c r="K597" s="584">
        <f t="shared" si="157"/>
        <v>1187208</v>
      </c>
      <c r="L597" s="585" t="s">
        <v>857</v>
      </c>
      <c r="M597" s="585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26">
        <v>1</v>
      </c>
      <c r="AB597" s="576" t="str">
        <f>IF(VLOOKUP(F597,NXT!$C$12:$C$786,1,0)=F597,"","x")</f>
        <v/>
      </c>
    </row>
    <row r="598" spans="1:28" ht="15.75" customHeight="1">
      <c r="A598" s="827" t="str">
        <f>IF(B598&lt;&gt;"",IF(AND(B598&gt;=_TM1,B598&lt;=_TM2,OR(TH!L598="1111",TH!M598="1111")),TH!D598,""),"")</f>
        <v/>
      </c>
      <c r="B598" s="36">
        <f t="shared" si="154"/>
        <v>2</v>
      </c>
      <c r="C598" s="190">
        <f t="shared" si="155"/>
        <v>42425</v>
      </c>
      <c r="D598" s="37" t="s">
        <v>1649</v>
      </c>
      <c r="E598" s="37">
        <v>42425</v>
      </c>
      <c r="F598" s="191" t="s">
        <v>497</v>
      </c>
      <c r="G598" s="837" t="s">
        <v>995</v>
      </c>
      <c r="H598" s="192" t="s">
        <v>445</v>
      </c>
      <c r="I598" s="253">
        <v>54</v>
      </c>
      <c r="J598" s="253">
        <v>33710</v>
      </c>
      <c r="K598" s="584">
        <f t="shared" si="157"/>
        <v>1820340</v>
      </c>
      <c r="L598" s="585" t="s">
        <v>857</v>
      </c>
      <c r="M598" s="585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26">
        <v>1</v>
      </c>
      <c r="AB598" s="576" t="str">
        <f>IF(VLOOKUP(F598,NXT!$C$12:$C$786,1,0)=F598,"","x")</f>
        <v/>
      </c>
    </row>
    <row r="599" spans="1:28" ht="15.75" customHeight="1">
      <c r="A599" s="827" t="str">
        <f>IF(B599&lt;&gt;"",IF(AND(B599&gt;=_TM1,B599&lt;=_TM2,OR(TH!L599="1111",TH!M599="1111")),TH!D599,""),"")</f>
        <v/>
      </c>
      <c r="B599" s="36">
        <f t="shared" si="154"/>
        <v>2</v>
      </c>
      <c r="C599" s="190">
        <f t="shared" si="155"/>
        <v>42425</v>
      </c>
      <c r="D599" s="37" t="s">
        <v>1649</v>
      </c>
      <c r="E599" s="37">
        <v>42425</v>
      </c>
      <c r="F599" s="191" t="s">
        <v>486</v>
      </c>
      <c r="G599" s="837" t="s">
        <v>995</v>
      </c>
      <c r="H599" s="192" t="s">
        <v>445</v>
      </c>
      <c r="I599" s="253">
        <v>30</v>
      </c>
      <c r="J599" s="253">
        <v>11161</v>
      </c>
      <c r="K599" s="584">
        <f t="shared" si="157"/>
        <v>334830</v>
      </c>
      <c r="L599" s="585" t="s">
        <v>857</v>
      </c>
      <c r="M599" s="585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26">
        <v>1</v>
      </c>
      <c r="AB599" s="576" t="str">
        <f>IF(VLOOKUP(F599,NXT!$C$12:$C$786,1,0)=F599,"","x")</f>
        <v/>
      </c>
    </row>
    <row r="600" spans="1:28" ht="15.75" customHeight="1">
      <c r="A600" s="827" t="str">
        <f>IF(B600&lt;&gt;"",IF(AND(B600&gt;=_TM1,B600&lt;=_TM2,OR(TH!L600="1111",TH!M600="1111")),TH!D600,""),"")</f>
        <v/>
      </c>
      <c r="B600" s="36">
        <f t="shared" si="154"/>
        <v>2</v>
      </c>
      <c r="C600" s="190">
        <f t="shared" si="155"/>
        <v>42425</v>
      </c>
      <c r="D600" s="37" t="s">
        <v>1649</v>
      </c>
      <c r="E600" s="37">
        <v>42425</v>
      </c>
      <c r="F600" s="191" t="s">
        <v>498</v>
      </c>
      <c r="G600" s="837" t="s">
        <v>995</v>
      </c>
      <c r="H600" s="192" t="s">
        <v>445</v>
      </c>
      <c r="I600" s="253">
        <v>36</v>
      </c>
      <c r="J600" s="253">
        <v>21081</v>
      </c>
      <c r="K600" s="584">
        <f t="shared" si="157"/>
        <v>758916</v>
      </c>
      <c r="L600" s="585" t="s">
        <v>857</v>
      </c>
      <c r="M600" s="585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26">
        <v>1</v>
      </c>
      <c r="AB600" s="576" t="str">
        <f>IF(VLOOKUP(F600,NXT!$C$12:$C$786,1,0)=F600,"","x")</f>
        <v/>
      </c>
    </row>
    <row r="601" spans="1:28" ht="15.75" customHeight="1">
      <c r="A601" s="827" t="str">
        <f>IF(B601&lt;&gt;"",IF(AND(B601&gt;=_TM1,B601&lt;=_TM2,OR(TH!L601="1111",TH!M601="1111")),TH!D601,""),"")</f>
        <v/>
      </c>
      <c r="B601" s="36">
        <f t="shared" si="154"/>
        <v>2</v>
      </c>
      <c r="C601" s="190">
        <f t="shared" si="155"/>
        <v>42425</v>
      </c>
      <c r="D601" s="37" t="s">
        <v>1649</v>
      </c>
      <c r="E601" s="37">
        <v>42425</v>
      </c>
      <c r="F601" s="191" t="s">
        <v>487</v>
      </c>
      <c r="G601" s="837" t="s">
        <v>995</v>
      </c>
      <c r="H601" s="192" t="s">
        <v>445</v>
      </c>
      <c r="I601" s="253">
        <v>12</v>
      </c>
      <c r="J601" s="253">
        <v>41677</v>
      </c>
      <c r="K601" s="584">
        <f t="shared" si="157"/>
        <v>500124</v>
      </c>
      <c r="L601" s="585" t="s">
        <v>857</v>
      </c>
      <c r="M601" s="585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26">
        <v>1</v>
      </c>
      <c r="AB601" s="576" t="str">
        <f>IF(VLOOKUP(F601,NXT!$C$12:$C$786,1,0)=F601,"","x")</f>
        <v/>
      </c>
    </row>
    <row r="602" spans="1:28" ht="15.75" customHeight="1">
      <c r="A602" s="827" t="str">
        <f>IF(B602&lt;&gt;"",IF(AND(B602&gt;=_TM1,B602&lt;=_TM2,OR(TH!L602="1111",TH!M602="1111")),TH!D602,""),"")</f>
        <v/>
      </c>
      <c r="B602" s="36">
        <f t="shared" si="154"/>
        <v>2</v>
      </c>
      <c r="C602" s="190">
        <f t="shared" si="155"/>
        <v>42425</v>
      </c>
      <c r="D602" s="37" t="s">
        <v>1649</v>
      </c>
      <c r="E602" s="37">
        <v>42425</v>
      </c>
      <c r="F602" s="191" t="s">
        <v>1014</v>
      </c>
      <c r="G602" s="837" t="s">
        <v>995</v>
      </c>
      <c r="H602" s="192" t="s">
        <v>445</v>
      </c>
      <c r="I602" s="253">
        <v>200</v>
      </c>
      <c r="J602" s="253">
        <v>64232</v>
      </c>
      <c r="K602" s="584">
        <f t="shared" si="157"/>
        <v>12846400</v>
      </c>
      <c r="L602" s="585" t="s">
        <v>857</v>
      </c>
      <c r="M602" s="585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26">
        <v>1</v>
      </c>
      <c r="AB602" s="576" t="str">
        <f>IF(VLOOKUP(F602,NXT!$C$12:$C$786,1,0)=F602,"","x")</f>
        <v/>
      </c>
    </row>
    <row r="603" spans="1:28" ht="15.75" customHeight="1">
      <c r="A603" s="827" t="str">
        <f>IF(B603&lt;&gt;"",IF(AND(B603&gt;=_TM1,B603&lt;=_TM2,OR(TH!L603="1111",TH!M603="1111")),TH!D603,""),"")</f>
        <v/>
      </c>
      <c r="B603" s="36">
        <f t="shared" si="154"/>
        <v>2</v>
      </c>
      <c r="C603" s="190">
        <f t="shared" si="155"/>
        <v>42425</v>
      </c>
      <c r="D603" s="37" t="s">
        <v>1649</v>
      </c>
      <c r="E603" s="37">
        <v>42425</v>
      </c>
      <c r="F603" s="191" t="s">
        <v>461</v>
      </c>
      <c r="G603" s="837" t="s">
        <v>995</v>
      </c>
      <c r="H603" s="192" t="s">
        <v>445</v>
      </c>
      <c r="I603" s="253"/>
      <c r="J603" s="253"/>
      <c r="K603" s="584">
        <v>3349216</v>
      </c>
      <c r="L603" s="585" t="s">
        <v>9</v>
      </c>
      <c r="M603" s="585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26">
        <v>1</v>
      </c>
    </row>
    <row r="604" spans="1:28" ht="15.75" customHeight="1">
      <c r="A604" s="827" t="str">
        <f>IF(B604&lt;&gt;"",IF(AND(B604&gt;=_TM1,B604&lt;=_TM2,OR(TH!L604="1111",TH!M604="1111")),TH!D604,""),"")</f>
        <v/>
      </c>
      <c r="B604" s="36">
        <f t="shared" si="154"/>
        <v>3</v>
      </c>
      <c r="C604" s="190">
        <f t="shared" si="155"/>
        <v>42432</v>
      </c>
      <c r="D604" s="37" t="s">
        <v>1650</v>
      </c>
      <c r="E604" s="37">
        <v>42432</v>
      </c>
      <c r="F604" s="191" t="s">
        <v>957</v>
      </c>
      <c r="G604" s="837" t="s">
        <v>956</v>
      </c>
      <c r="H604" s="192" t="s">
        <v>428</v>
      </c>
      <c r="I604" s="253">
        <v>56</v>
      </c>
      <c r="J604" s="253">
        <v>30701</v>
      </c>
      <c r="K604" s="584">
        <f t="shared" ref="K604:K621" si="158">ROUND(I604*J604,0)</f>
        <v>1719256</v>
      </c>
      <c r="L604" s="585" t="s">
        <v>857</v>
      </c>
      <c r="M604" s="585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26">
        <v>1</v>
      </c>
      <c r="AB604" s="576" t="str">
        <f>IF(VLOOKUP(F604,NXT!$C$12:$C$786,1,0)=F604,"","x")</f>
        <v/>
      </c>
    </row>
    <row r="605" spans="1:28" ht="15.75" customHeight="1">
      <c r="A605" s="827" t="str">
        <f>IF(B605&lt;&gt;"",IF(AND(B605&gt;=_TM1,B605&lt;=_TM2,OR(TH!L605="1111",TH!M605="1111")),TH!D605,""),"")</f>
        <v/>
      </c>
      <c r="B605" s="36">
        <f t="shared" ref="B605:B668" si="159">IF(C605&lt;&gt;"",MONTH(C605),"")</f>
        <v>3</v>
      </c>
      <c r="C605" s="190">
        <f t="shared" ref="C605:C668" si="160">E605</f>
        <v>42432</v>
      </c>
      <c r="D605" s="37" t="s">
        <v>1650</v>
      </c>
      <c r="E605" s="37">
        <v>42432</v>
      </c>
      <c r="F605" s="191" t="s">
        <v>755</v>
      </c>
      <c r="G605" s="837" t="s">
        <v>956</v>
      </c>
      <c r="H605" s="192" t="s">
        <v>428</v>
      </c>
      <c r="I605" s="253">
        <v>50</v>
      </c>
      <c r="J605" s="253">
        <v>33168</v>
      </c>
      <c r="K605" s="584">
        <f t="shared" si="158"/>
        <v>1658400</v>
      </c>
      <c r="L605" s="585" t="s">
        <v>857</v>
      </c>
      <c r="M605" s="585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26">
        <v>1</v>
      </c>
      <c r="AB605" s="576" t="str">
        <f>IF(VLOOKUP(F605,NXT!$C$12:$C$786,1,0)=F605,"","x")</f>
        <v/>
      </c>
    </row>
    <row r="606" spans="1:28" ht="15.75" customHeight="1">
      <c r="A606" s="827" t="str">
        <f>IF(B606&lt;&gt;"",IF(AND(B606&gt;=_TM1,B606&lt;=_TM2,OR(TH!L606="1111",TH!M606="1111")),TH!D606,""),"")</f>
        <v/>
      </c>
      <c r="B606" s="36">
        <f t="shared" si="159"/>
        <v>3</v>
      </c>
      <c r="C606" s="190">
        <f t="shared" si="160"/>
        <v>42432</v>
      </c>
      <c r="D606" s="37" t="s">
        <v>1650</v>
      </c>
      <c r="E606" s="37">
        <v>42432</v>
      </c>
      <c r="F606" s="191" t="s">
        <v>958</v>
      </c>
      <c r="G606" s="837" t="s">
        <v>956</v>
      </c>
      <c r="H606" s="192" t="s">
        <v>428</v>
      </c>
      <c r="I606" s="253">
        <v>50</v>
      </c>
      <c r="J606" s="253">
        <v>32374</v>
      </c>
      <c r="K606" s="584">
        <f t="shared" si="158"/>
        <v>1618700</v>
      </c>
      <c r="L606" s="585" t="s">
        <v>857</v>
      </c>
      <c r="M606" s="585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26">
        <v>1</v>
      </c>
      <c r="AB606" s="576" t="str">
        <f>IF(VLOOKUP(F606,NXT!$C$12:$C$786,1,0)=F606,"","x")</f>
        <v/>
      </c>
    </row>
    <row r="607" spans="1:28" ht="15.75" customHeight="1">
      <c r="A607" s="827" t="str">
        <f>IF(B607&lt;&gt;"",IF(AND(B607&gt;=_TM1,B607&lt;=_TM2,OR(TH!L607="1111",TH!M607="1111")),TH!D607,""),"")</f>
        <v/>
      </c>
      <c r="B607" s="36">
        <f t="shared" si="159"/>
        <v>3</v>
      </c>
      <c r="C607" s="190">
        <f t="shared" si="160"/>
        <v>42432</v>
      </c>
      <c r="D607" s="37" t="s">
        <v>1650</v>
      </c>
      <c r="E607" s="37">
        <v>42432</v>
      </c>
      <c r="F607" s="191" t="s">
        <v>756</v>
      </c>
      <c r="G607" s="837" t="s">
        <v>956</v>
      </c>
      <c r="H607" s="192" t="s">
        <v>428</v>
      </c>
      <c r="I607" s="253">
        <v>50</v>
      </c>
      <c r="J607" s="253">
        <v>51418</v>
      </c>
      <c r="K607" s="584">
        <f t="shared" si="158"/>
        <v>2570900</v>
      </c>
      <c r="L607" s="585" t="s">
        <v>857</v>
      </c>
      <c r="M607" s="585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26">
        <v>1</v>
      </c>
      <c r="AB607" s="576" t="str">
        <f>IF(VLOOKUP(F607,NXT!$C$12:$C$786,1,0)=F607,"","x")</f>
        <v/>
      </c>
    </row>
    <row r="608" spans="1:28" ht="15.75" customHeight="1">
      <c r="A608" s="827" t="str">
        <f>IF(B608&lt;&gt;"",IF(AND(B608&gt;=_TM1,B608&lt;=_TM2,OR(TH!L608="1111",TH!M608="1111")),TH!D608,""),"")</f>
        <v/>
      </c>
      <c r="B608" s="36">
        <f t="shared" si="159"/>
        <v>3</v>
      </c>
      <c r="C608" s="190">
        <f t="shared" si="160"/>
        <v>42432</v>
      </c>
      <c r="D608" s="37" t="s">
        <v>1650</v>
      </c>
      <c r="E608" s="37">
        <v>42432</v>
      </c>
      <c r="F608" s="191" t="s">
        <v>757</v>
      </c>
      <c r="G608" s="837" t="s">
        <v>956</v>
      </c>
      <c r="H608" s="192" t="s">
        <v>428</v>
      </c>
      <c r="I608" s="253">
        <v>50</v>
      </c>
      <c r="J608" s="253">
        <v>57766</v>
      </c>
      <c r="K608" s="584">
        <f t="shared" si="158"/>
        <v>2888300</v>
      </c>
      <c r="L608" s="585" t="s">
        <v>857</v>
      </c>
      <c r="M608" s="585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26">
        <v>1</v>
      </c>
      <c r="AB608" s="576" t="str">
        <f>IF(VLOOKUP(F608,NXT!$C$12:$C$786,1,0)=F608,"","x")</f>
        <v/>
      </c>
    </row>
    <row r="609" spans="1:30" ht="15.75" customHeight="1">
      <c r="A609" s="827" t="str">
        <f>IF(B609&lt;&gt;"",IF(AND(B609&gt;=_TM1,B609&lt;=_TM2,OR(TH!L609="1111",TH!M609="1111")),TH!D609,""),"")</f>
        <v/>
      </c>
      <c r="B609" s="36">
        <f t="shared" si="159"/>
        <v>3</v>
      </c>
      <c r="C609" s="190">
        <f t="shared" si="160"/>
        <v>42432</v>
      </c>
      <c r="D609" s="37" t="s">
        <v>1650</v>
      </c>
      <c r="E609" s="37">
        <v>42432</v>
      </c>
      <c r="F609" s="191" t="s">
        <v>758</v>
      </c>
      <c r="G609" s="837" t="s">
        <v>956</v>
      </c>
      <c r="H609" s="192" t="s">
        <v>428</v>
      </c>
      <c r="I609" s="253">
        <v>50</v>
      </c>
      <c r="J609" s="253">
        <v>40482</v>
      </c>
      <c r="K609" s="584">
        <f t="shared" si="158"/>
        <v>2024100</v>
      </c>
      <c r="L609" s="585" t="s">
        <v>857</v>
      </c>
      <c r="M609" s="585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26">
        <v>1</v>
      </c>
      <c r="AB609" s="576" t="str">
        <f>IF(VLOOKUP(F609,NXT!$C$12:$C$786,1,0)=F609,"","x")</f>
        <v/>
      </c>
    </row>
    <row r="610" spans="1:30" ht="15.75" customHeight="1">
      <c r="A610" s="827" t="str">
        <f>IF(B610&lt;&gt;"",IF(AND(B610&gt;=_TM1,B610&lt;=_TM2,OR(TH!L610="1111",TH!M610="1111")),TH!D610,""),"")</f>
        <v/>
      </c>
      <c r="B610" s="36">
        <f t="shared" si="159"/>
        <v>3</v>
      </c>
      <c r="C610" s="190">
        <f t="shared" si="160"/>
        <v>42432</v>
      </c>
      <c r="D610" s="37" t="s">
        <v>1650</v>
      </c>
      <c r="E610" s="37">
        <v>42432</v>
      </c>
      <c r="F610" s="191" t="s">
        <v>672</v>
      </c>
      <c r="G610" s="837" t="s">
        <v>956</v>
      </c>
      <c r="H610" s="192" t="s">
        <v>428</v>
      </c>
      <c r="I610" s="253">
        <v>54</v>
      </c>
      <c r="J610" s="253">
        <v>33846</v>
      </c>
      <c r="K610" s="584">
        <f t="shared" si="158"/>
        <v>1827684</v>
      </c>
      <c r="L610" s="585" t="s">
        <v>857</v>
      </c>
      <c r="M610" s="585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26">
        <v>1</v>
      </c>
      <c r="AB610" s="576" t="str">
        <f>IF(VLOOKUP(F610,NXT!$C$12:$C$786,1,0)=F610,"","x")</f>
        <v/>
      </c>
    </row>
    <row r="611" spans="1:30" ht="15.75" customHeight="1">
      <c r="A611" s="827" t="str">
        <f>IF(B611&lt;&gt;"",IF(AND(B611&gt;=_TM1,B611&lt;=_TM2,OR(TH!L611="1111",TH!M611="1111")),TH!D611,""),"")</f>
        <v/>
      </c>
      <c r="B611" s="36">
        <f t="shared" si="159"/>
        <v>3</v>
      </c>
      <c r="C611" s="190">
        <f t="shared" si="160"/>
        <v>42432</v>
      </c>
      <c r="D611" s="37" t="s">
        <v>1650</v>
      </c>
      <c r="E611" s="37">
        <v>42432</v>
      </c>
      <c r="F611" s="191" t="s">
        <v>759</v>
      </c>
      <c r="G611" s="837" t="s">
        <v>956</v>
      </c>
      <c r="H611" s="192" t="s">
        <v>428</v>
      </c>
      <c r="I611" s="253">
        <v>50</v>
      </c>
      <c r="J611" s="253">
        <v>42242</v>
      </c>
      <c r="K611" s="584">
        <f t="shared" si="158"/>
        <v>2112100</v>
      </c>
      <c r="L611" s="585" t="s">
        <v>857</v>
      </c>
      <c r="M611" s="585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26">
        <v>1</v>
      </c>
      <c r="AB611" s="576" t="str">
        <f>IF(VLOOKUP(F611,NXT!$C$12:$C$786,1,0)=F611,"","x")</f>
        <v/>
      </c>
    </row>
    <row r="612" spans="1:30" ht="15.75" customHeight="1">
      <c r="A612" s="827" t="str">
        <f>IF(B612&lt;&gt;"",IF(AND(B612&gt;=_TM1,B612&lt;=_TM2,OR(TH!L612="1111",TH!M612="1111")),TH!D612,""),"")</f>
        <v/>
      </c>
      <c r="B612" s="36">
        <f t="shared" si="159"/>
        <v>3</v>
      </c>
      <c r="C612" s="190">
        <f t="shared" si="160"/>
        <v>42432</v>
      </c>
      <c r="D612" s="37" t="s">
        <v>1650</v>
      </c>
      <c r="E612" s="37">
        <v>42432</v>
      </c>
      <c r="F612" s="191" t="s">
        <v>959</v>
      </c>
      <c r="G612" s="837" t="s">
        <v>956</v>
      </c>
      <c r="H612" s="192" t="s">
        <v>428</v>
      </c>
      <c r="I612" s="253">
        <v>60</v>
      </c>
      <c r="J612" s="253">
        <v>67172</v>
      </c>
      <c r="K612" s="584">
        <f t="shared" si="158"/>
        <v>4030320</v>
      </c>
      <c r="L612" s="585" t="s">
        <v>857</v>
      </c>
      <c r="M612" s="585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26">
        <v>1</v>
      </c>
      <c r="AB612" s="576" t="str">
        <f>IF(VLOOKUP(F612,NXT!$C$12:$C$786,1,0)=F612,"","x")</f>
        <v/>
      </c>
    </row>
    <row r="613" spans="1:30" ht="15.75" customHeight="1">
      <c r="A613" s="827" t="str">
        <f>IF(B613&lt;&gt;"",IF(AND(B613&gt;=_TM1,B613&lt;=_TM2,OR(TH!L613="1111",TH!M613="1111")),TH!D613,""),"")</f>
        <v/>
      </c>
      <c r="B613" s="36">
        <f t="shared" si="159"/>
        <v>3</v>
      </c>
      <c r="C613" s="190">
        <f t="shared" si="160"/>
        <v>42432</v>
      </c>
      <c r="D613" s="37" t="s">
        <v>1650</v>
      </c>
      <c r="E613" s="37">
        <v>42432</v>
      </c>
      <c r="F613" s="191" t="s">
        <v>736</v>
      </c>
      <c r="G613" s="837" t="s">
        <v>956</v>
      </c>
      <c r="H613" s="192" t="s">
        <v>428</v>
      </c>
      <c r="I613" s="253">
        <v>50</v>
      </c>
      <c r="J613" s="253">
        <v>72214</v>
      </c>
      <c r="K613" s="584">
        <f t="shared" si="158"/>
        <v>3610700</v>
      </c>
      <c r="L613" s="585" t="s">
        <v>857</v>
      </c>
      <c r="M613" s="585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26">
        <v>1</v>
      </c>
      <c r="AB613" s="576" t="str">
        <f>IF(VLOOKUP(F613,NXT!$C$12:$C$786,1,0)=F613,"","x")</f>
        <v/>
      </c>
    </row>
    <row r="614" spans="1:30" ht="15.75" customHeight="1">
      <c r="A614" s="827" t="str">
        <f>IF(B614&lt;&gt;"",IF(AND(B614&gt;=_TM1,B614&lt;=_TM2,OR(TH!L614="1111",TH!M614="1111")),TH!D614,""),"")</f>
        <v/>
      </c>
      <c r="B614" s="36">
        <f t="shared" si="159"/>
        <v>3</v>
      </c>
      <c r="C614" s="190">
        <f t="shared" si="160"/>
        <v>42432</v>
      </c>
      <c r="D614" s="37" t="s">
        <v>1650</v>
      </c>
      <c r="E614" s="37">
        <v>42432</v>
      </c>
      <c r="F614" s="191" t="s">
        <v>760</v>
      </c>
      <c r="G614" s="837" t="s">
        <v>956</v>
      </c>
      <c r="H614" s="192" t="s">
        <v>428</v>
      </c>
      <c r="I614" s="253">
        <v>50</v>
      </c>
      <c r="J614" s="253">
        <v>39732</v>
      </c>
      <c r="K614" s="584">
        <f t="shared" si="158"/>
        <v>1986600</v>
      </c>
      <c r="L614" s="585" t="s">
        <v>857</v>
      </c>
      <c r="M614" s="585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26">
        <v>1</v>
      </c>
      <c r="AB614" s="576" t="str">
        <f>IF(VLOOKUP(F614,NXT!$C$12:$C$786,1,0)=F614,"","x")</f>
        <v/>
      </c>
    </row>
    <row r="615" spans="1:30" ht="15.75" customHeight="1">
      <c r="A615" s="827" t="str">
        <f>IF(B615&lt;&gt;"",IF(AND(B615&gt;=_TM1,B615&lt;=_TM2,OR(TH!L615="1111",TH!M615="1111")),TH!D615,""),"")</f>
        <v/>
      </c>
      <c r="B615" s="36">
        <f t="shared" si="159"/>
        <v>3</v>
      </c>
      <c r="C615" s="190">
        <f t="shared" si="160"/>
        <v>42432</v>
      </c>
      <c r="D615" s="37" t="s">
        <v>1650</v>
      </c>
      <c r="E615" s="37">
        <v>42432</v>
      </c>
      <c r="F615" s="191" t="s">
        <v>761</v>
      </c>
      <c r="G615" s="837" t="s">
        <v>956</v>
      </c>
      <c r="H615" s="192" t="s">
        <v>428</v>
      </c>
      <c r="I615" s="253">
        <v>50</v>
      </c>
      <c r="J615" s="253">
        <v>70894</v>
      </c>
      <c r="K615" s="584">
        <f t="shared" si="158"/>
        <v>3544700</v>
      </c>
      <c r="L615" s="585" t="s">
        <v>857</v>
      </c>
      <c r="M615" s="585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26">
        <v>1</v>
      </c>
      <c r="AB615" s="576" t="str">
        <f>IF(VLOOKUP(F615,NXT!$C$12:$C$786,1,0)=F615,"","x")</f>
        <v/>
      </c>
    </row>
    <row r="616" spans="1:30" ht="15.75" customHeight="1">
      <c r="A616" s="827" t="str">
        <f>IF(B616&lt;&gt;"",IF(AND(B616&gt;=_TM1,B616&lt;=_TM2,OR(TH!L616="1111",TH!M616="1111")),TH!D616,""),"")</f>
        <v/>
      </c>
      <c r="B616" s="36">
        <f t="shared" si="159"/>
        <v>3</v>
      </c>
      <c r="C616" s="190">
        <f t="shared" si="160"/>
        <v>42432</v>
      </c>
      <c r="D616" s="37" t="s">
        <v>1650</v>
      </c>
      <c r="E616" s="37">
        <v>42432</v>
      </c>
      <c r="F616" s="191" t="s">
        <v>762</v>
      </c>
      <c r="G616" s="837" t="s">
        <v>956</v>
      </c>
      <c r="H616" s="192" t="s">
        <v>428</v>
      </c>
      <c r="I616" s="253">
        <v>50</v>
      </c>
      <c r="J616" s="253">
        <v>51043</v>
      </c>
      <c r="K616" s="584">
        <f t="shared" si="158"/>
        <v>2552150</v>
      </c>
      <c r="L616" s="585" t="s">
        <v>857</v>
      </c>
      <c r="M616" s="585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26">
        <v>1</v>
      </c>
      <c r="AB616" s="576" t="str">
        <f>IF(VLOOKUP(F616,NXT!$C$12:$C$786,1,0)=F616,"","x")</f>
        <v/>
      </c>
    </row>
    <row r="617" spans="1:30" ht="15.75" customHeight="1">
      <c r="A617" s="827" t="str">
        <f>IF(B617&lt;&gt;"",IF(AND(B617&gt;=_TM1,B617&lt;=_TM2,OR(TH!L617="1111",TH!M617="1111")),TH!D617,""),"")</f>
        <v/>
      </c>
      <c r="B617" s="36">
        <f t="shared" si="159"/>
        <v>3</v>
      </c>
      <c r="C617" s="190">
        <f t="shared" si="160"/>
        <v>42432</v>
      </c>
      <c r="D617" s="37" t="s">
        <v>1650</v>
      </c>
      <c r="E617" s="37">
        <v>42432</v>
      </c>
      <c r="F617" s="191" t="s">
        <v>939</v>
      </c>
      <c r="G617" s="837" t="s">
        <v>956</v>
      </c>
      <c r="H617" s="192" t="s">
        <v>428</v>
      </c>
      <c r="I617" s="253">
        <v>685</v>
      </c>
      <c r="J617" s="253">
        <v>14572</v>
      </c>
      <c r="K617" s="584">
        <f t="shared" si="158"/>
        <v>9981820</v>
      </c>
      <c r="L617" s="585" t="s">
        <v>857</v>
      </c>
      <c r="M617" s="585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26">
        <v>1</v>
      </c>
      <c r="AB617" s="576" t="str">
        <f>IF(VLOOKUP(F617,NXT!$C$12:$C$786,1,0)=F617,"","x")</f>
        <v/>
      </c>
    </row>
    <row r="618" spans="1:30" ht="15.75" customHeight="1">
      <c r="A618" s="827" t="str">
        <f>IF(B618&lt;&gt;"",IF(AND(B618&gt;=_TM1,B618&lt;=_TM2,OR(TH!L618="1111",TH!M618="1111")),TH!D618,""),"")</f>
        <v/>
      </c>
      <c r="B618" s="36">
        <f t="shared" si="159"/>
        <v>3</v>
      </c>
      <c r="C618" s="190">
        <f t="shared" si="160"/>
        <v>42432</v>
      </c>
      <c r="D618" s="37" t="s">
        <v>1650</v>
      </c>
      <c r="E618" s="37">
        <v>42432</v>
      </c>
      <c r="F618" s="191" t="s">
        <v>670</v>
      </c>
      <c r="G618" s="837" t="s">
        <v>956</v>
      </c>
      <c r="H618" s="192" t="s">
        <v>428</v>
      </c>
      <c r="I618" s="253">
        <v>50</v>
      </c>
      <c r="J618" s="253">
        <v>105692</v>
      </c>
      <c r="K618" s="584">
        <f t="shared" si="158"/>
        <v>5284600</v>
      </c>
      <c r="L618" s="585" t="s">
        <v>857</v>
      </c>
      <c r="M618" s="585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26">
        <v>1</v>
      </c>
      <c r="AB618" s="576" t="str">
        <f>IF(VLOOKUP(F618,NXT!$C$12:$C$786,1,0)=F618,"","x")</f>
        <v/>
      </c>
    </row>
    <row r="619" spans="1:30" ht="15.75" customHeight="1">
      <c r="A619" s="827" t="str">
        <f>IF(B619&lt;&gt;"",IF(AND(B619&gt;=_TM1,B619&lt;=_TM2,OR(TH!L619="1111",TH!M619="1111")),TH!D619,""),"")</f>
        <v/>
      </c>
      <c r="B619" s="36">
        <f t="shared" si="159"/>
        <v>3</v>
      </c>
      <c r="C619" s="190">
        <f t="shared" si="160"/>
        <v>42432</v>
      </c>
      <c r="D619" s="37" t="s">
        <v>1650</v>
      </c>
      <c r="E619" s="37">
        <v>42432</v>
      </c>
      <c r="F619" s="191" t="s">
        <v>728</v>
      </c>
      <c r="G619" s="837" t="s">
        <v>956</v>
      </c>
      <c r="H619" s="192" t="s">
        <v>428</v>
      </c>
      <c r="I619" s="253">
        <v>500</v>
      </c>
      <c r="J619" s="253">
        <v>6589</v>
      </c>
      <c r="K619" s="584">
        <f t="shared" si="158"/>
        <v>3294500</v>
      </c>
      <c r="L619" s="585" t="s">
        <v>857</v>
      </c>
      <c r="M619" s="585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26">
        <v>1</v>
      </c>
      <c r="AB619" s="576" t="str">
        <f>IF(VLOOKUP(F619,NXT!$C$12:$C$786,1,0)=F619,"","x")</f>
        <v/>
      </c>
    </row>
    <row r="620" spans="1:30" ht="15.75" customHeight="1">
      <c r="A620" s="827" t="str">
        <f>IF(B620&lt;&gt;"",IF(AND(B620&gt;=_TM1,B620&lt;=_TM2,OR(TH!L620="1111",TH!M620="1111")),TH!D620,""),"")</f>
        <v/>
      </c>
      <c r="B620" s="36">
        <f t="shared" si="159"/>
        <v>3</v>
      </c>
      <c r="C620" s="190">
        <f t="shared" si="160"/>
        <v>42432</v>
      </c>
      <c r="D620" s="37" t="s">
        <v>1650</v>
      </c>
      <c r="E620" s="37">
        <v>42432</v>
      </c>
      <c r="F620" s="191" t="s">
        <v>921</v>
      </c>
      <c r="G620" s="837" t="s">
        <v>956</v>
      </c>
      <c r="H620" s="192" t="s">
        <v>428</v>
      </c>
      <c r="I620" s="253">
        <v>1000</v>
      </c>
      <c r="J620" s="253">
        <v>6428</v>
      </c>
      <c r="K620" s="584">
        <f t="shared" si="158"/>
        <v>6428000</v>
      </c>
      <c r="L620" s="585" t="s">
        <v>857</v>
      </c>
      <c r="M620" s="585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26">
        <v>1</v>
      </c>
      <c r="AB620" s="576" t="str">
        <f>IF(VLOOKUP(F620,NXT!$C$12:$C$786,1,0)=F620,"","x")</f>
        <v/>
      </c>
    </row>
    <row r="621" spans="1:30" ht="15.75" customHeight="1">
      <c r="A621" s="827" t="str">
        <f>IF(B621&lt;&gt;"",IF(AND(B621&gt;=_TM1,B621&lt;=_TM2,OR(TH!L621="1111",TH!M621="1111")),TH!D621,""),"")</f>
        <v/>
      </c>
      <c r="B621" s="36">
        <f t="shared" si="159"/>
        <v>3</v>
      </c>
      <c r="C621" s="190">
        <f t="shared" si="160"/>
        <v>42432</v>
      </c>
      <c r="D621" s="37" t="s">
        <v>1650</v>
      </c>
      <c r="E621" s="37">
        <v>42432</v>
      </c>
      <c r="F621" s="191" t="s">
        <v>637</v>
      </c>
      <c r="G621" s="837" t="s">
        <v>956</v>
      </c>
      <c r="H621" s="192" t="s">
        <v>428</v>
      </c>
      <c r="I621" s="253">
        <v>1050</v>
      </c>
      <c r="J621" s="253">
        <v>5639</v>
      </c>
      <c r="K621" s="584">
        <f t="shared" si="158"/>
        <v>5920950</v>
      </c>
      <c r="L621" s="585" t="s">
        <v>857</v>
      </c>
      <c r="M621" s="585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26">
        <v>1</v>
      </c>
      <c r="AB621" s="576" t="str">
        <f>IF(VLOOKUP(F621,NXT!$C$12:$C$786,1,0)=F621,"","x")</f>
        <v/>
      </c>
    </row>
    <row r="622" spans="1:30" ht="15.75" customHeight="1">
      <c r="A622" s="827" t="str">
        <f>IF(B622&lt;&gt;"",IF(AND(B622&gt;=_TM1,B622&lt;=_TM2,OR(TH!L622="1111",TH!M622="1111")),TH!D622,""),"")</f>
        <v/>
      </c>
      <c r="B622" s="36">
        <f t="shared" si="159"/>
        <v>3</v>
      </c>
      <c r="C622" s="190">
        <f t="shared" si="160"/>
        <v>42432</v>
      </c>
      <c r="D622" s="37" t="s">
        <v>1650</v>
      </c>
      <c r="E622" s="37">
        <v>42432</v>
      </c>
      <c r="F622" s="191" t="s">
        <v>461</v>
      </c>
      <c r="G622" s="837" t="s">
        <v>956</v>
      </c>
      <c r="H622" s="192" t="s">
        <v>428</v>
      </c>
      <c r="I622" s="253"/>
      <c r="J622" s="253"/>
      <c r="K622" s="584">
        <v>6305378</v>
      </c>
      <c r="L622" s="585" t="s">
        <v>9</v>
      </c>
      <c r="M622" s="585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26">
        <v>1</v>
      </c>
    </row>
    <row r="623" spans="1:30" ht="15.75" customHeight="1">
      <c r="A623" s="827" t="str">
        <f>IF(B623&lt;&gt;"",IF(AND(B623&gt;=_TM1,B623&lt;=_TM2,OR(TH!L623="1111",TH!M623="1111")),TH!D623,""),"")</f>
        <v/>
      </c>
      <c r="B623" s="36">
        <f t="shared" si="159"/>
        <v>3</v>
      </c>
      <c r="C623" s="183">
        <f t="shared" si="160"/>
        <v>42436</v>
      </c>
      <c r="D623" s="37" t="s">
        <v>1651</v>
      </c>
      <c r="E623" s="183">
        <v>42436</v>
      </c>
      <c r="F623" s="191" t="s">
        <v>1303</v>
      </c>
      <c r="G623" s="829" t="s">
        <v>446</v>
      </c>
      <c r="H623" s="192" t="s">
        <v>445</v>
      </c>
      <c r="I623" s="253">
        <v>50</v>
      </c>
      <c r="J623" s="253">
        <v>31464</v>
      </c>
      <c r="K623" s="584">
        <f>ROUND(I623*J623,0)</f>
        <v>1573200</v>
      </c>
      <c r="L623" s="585" t="s">
        <v>857</v>
      </c>
      <c r="M623" s="585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26">
        <v>2</v>
      </c>
      <c r="AB623" s="576" t="str">
        <f>IF(VLOOKUP(F623,NXT!$C$12:$C$786,1,0)=F623,"","x")</f>
        <v/>
      </c>
      <c r="AD623" s="576"/>
    </row>
    <row r="624" spans="1:30" ht="15.75" customHeight="1">
      <c r="A624" s="827" t="str">
        <f>IF(B624&lt;&gt;"",IF(AND(B624&gt;=_TM1,B624&lt;=_TM2,OR(TH!L624="1111",TH!M624="1111")),TH!D624,""),"")</f>
        <v/>
      </c>
      <c r="B624" s="36">
        <f t="shared" si="159"/>
        <v>3</v>
      </c>
      <c r="C624" s="183">
        <f t="shared" si="160"/>
        <v>42436</v>
      </c>
      <c r="D624" s="37" t="s">
        <v>1651</v>
      </c>
      <c r="E624" s="183">
        <v>42436</v>
      </c>
      <c r="F624" s="188" t="s">
        <v>1304</v>
      </c>
      <c r="G624" s="829" t="s">
        <v>446</v>
      </c>
      <c r="H624" s="192" t="s">
        <v>445</v>
      </c>
      <c r="I624" s="253">
        <v>200</v>
      </c>
      <c r="J624" s="253">
        <v>6033</v>
      </c>
      <c r="K624" s="584">
        <f>ROUND(I624*J624,0)</f>
        <v>1206600</v>
      </c>
      <c r="L624" s="585" t="s">
        <v>857</v>
      </c>
      <c r="M624" s="585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26">
        <v>2</v>
      </c>
      <c r="AB624" s="576" t="str">
        <f>IF(VLOOKUP(F624,NXT!$C$12:$C$786,1,0)=F624,"","x")</f>
        <v/>
      </c>
      <c r="AD624" s="576"/>
    </row>
    <row r="625" spans="1:30" ht="15.75" customHeight="1">
      <c r="A625" s="827" t="str">
        <f>IF(B625&lt;&gt;"",IF(AND(B625&gt;=_TM1,B625&lt;=_TM2,OR(TH!L625="1111",TH!M625="1111")),TH!D625,""),"")</f>
        <v/>
      </c>
      <c r="B625" s="36">
        <f t="shared" si="159"/>
        <v>3</v>
      </c>
      <c r="C625" s="183">
        <f t="shared" si="160"/>
        <v>42436</v>
      </c>
      <c r="D625" s="37" t="s">
        <v>1651</v>
      </c>
      <c r="E625" s="183">
        <v>42436</v>
      </c>
      <c r="F625" s="188" t="s">
        <v>448</v>
      </c>
      <c r="G625" s="829" t="s">
        <v>446</v>
      </c>
      <c r="H625" s="192" t="s">
        <v>445</v>
      </c>
      <c r="I625" s="253">
        <v>1000</v>
      </c>
      <c r="J625" s="253">
        <v>8265</v>
      </c>
      <c r="K625" s="584">
        <f>ROUND(I625*J625,0)</f>
        <v>8265000</v>
      </c>
      <c r="L625" s="585" t="s">
        <v>857</v>
      </c>
      <c r="M625" s="585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26">
        <v>2</v>
      </c>
      <c r="AB625" s="576" t="str">
        <f>IF(VLOOKUP(F625,NXT!$C$12:$C$786,1,0)=F625,"","x")</f>
        <v/>
      </c>
      <c r="AD625" s="576"/>
    </row>
    <row r="626" spans="1:30" ht="15.75" customHeight="1">
      <c r="A626" s="827" t="str">
        <f>IF(B626&lt;&gt;"",IF(AND(B626&gt;=_TM1,B626&lt;=_TM2,OR(TH!L626="1111",TH!M626="1111")),TH!D626,""),"")</f>
        <v/>
      </c>
      <c r="B626" s="36">
        <f t="shared" si="159"/>
        <v>3</v>
      </c>
      <c r="C626" s="183">
        <f t="shared" si="160"/>
        <v>42436</v>
      </c>
      <c r="D626" s="37" t="s">
        <v>1651</v>
      </c>
      <c r="E626" s="183">
        <v>42436</v>
      </c>
      <c r="F626" s="188" t="s">
        <v>447</v>
      </c>
      <c r="G626" s="829" t="s">
        <v>446</v>
      </c>
      <c r="H626" s="192" t="s">
        <v>445</v>
      </c>
      <c r="I626" s="253"/>
      <c r="J626" s="253"/>
      <c r="K626" s="584">
        <v>1104480</v>
      </c>
      <c r="L626" s="39" t="s">
        <v>9</v>
      </c>
      <c r="M626" s="585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26">
        <v>2</v>
      </c>
      <c r="AB626" s="576"/>
      <c r="AD626" s="576"/>
    </row>
    <row r="627" spans="1:30" ht="15.75" customHeight="1">
      <c r="A627" s="827" t="str">
        <f>IF(B627&lt;&gt;"",IF(AND(B627&gt;=_TM1,B627&lt;=_TM2,OR(TH!L627="1111",TH!M627="1111")),TH!D627,""),"")</f>
        <v/>
      </c>
      <c r="B627" s="36">
        <f t="shared" si="159"/>
        <v>3</v>
      </c>
      <c r="C627" s="190">
        <f t="shared" si="160"/>
        <v>42437</v>
      </c>
      <c r="D627" s="37" t="s">
        <v>1652</v>
      </c>
      <c r="E627" s="37">
        <v>42437</v>
      </c>
      <c r="F627" s="191" t="s">
        <v>763</v>
      </c>
      <c r="G627" s="837" t="s">
        <v>960</v>
      </c>
      <c r="H627" s="192" t="s">
        <v>428</v>
      </c>
      <c r="I627" s="253">
        <v>50</v>
      </c>
      <c r="J627" s="253">
        <v>69250</v>
      </c>
      <c r="K627" s="584">
        <f t="shared" ref="K627:K632" si="161">ROUND(I627*J627,0)</f>
        <v>3462500</v>
      </c>
      <c r="L627" s="585" t="s">
        <v>857</v>
      </c>
      <c r="M627" s="585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26">
        <v>1</v>
      </c>
      <c r="AB627" s="576" t="str">
        <f>IF(VLOOKUP(F627,NXT!$C$12:$C$786,1,0)=F627,"","x")</f>
        <v/>
      </c>
    </row>
    <row r="628" spans="1:30" ht="15.75" customHeight="1">
      <c r="A628" s="827" t="str">
        <f>IF(B628&lt;&gt;"",IF(AND(B628&gt;=_TM1,B628&lt;=_TM2,OR(TH!L628="1111",TH!M628="1111")),TH!D628,""),"")</f>
        <v/>
      </c>
      <c r="B628" s="36">
        <f t="shared" si="159"/>
        <v>3</v>
      </c>
      <c r="C628" s="190">
        <f t="shared" si="160"/>
        <v>42437</v>
      </c>
      <c r="D628" s="37" t="s">
        <v>1652</v>
      </c>
      <c r="E628" s="37">
        <v>42437</v>
      </c>
      <c r="F628" s="191" t="s">
        <v>764</v>
      </c>
      <c r="G628" s="837" t="s">
        <v>960</v>
      </c>
      <c r="H628" s="192" t="s">
        <v>428</v>
      </c>
      <c r="I628" s="253">
        <v>50</v>
      </c>
      <c r="J628" s="253">
        <v>83677</v>
      </c>
      <c r="K628" s="584">
        <f t="shared" si="161"/>
        <v>4183850</v>
      </c>
      <c r="L628" s="585" t="s">
        <v>857</v>
      </c>
      <c r="M628" s="585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26">
        <v>1</v>
      </c>
      <c r="AB628" s="576" t="str">
        <f>IF(VLOOKUP(F628,NXT!$C$12:$C$786,1,0)=F628,"","x")</f>
        <v/>
      </c>
    </row>
    <row r="629" spans="1:30" ht="15.75" customHeight="1">
      <c r="A629" s="827" t="str">
        <f>IF(B629&lt;&gt;"",IF(AND(B629&gt;=_TM1,B629&lt;=_TM2,OR(TH!L629="1111",TH!M629="1111")),TH!D629,""),"")</f>
        <v/>
      </c>
      <c r="B629" s="36">
        <f t="shared" si="159"/>
        <v>3</v>
      </c>
      <c r="C629" s="190">
        <f t="shared" si="160"/>
        <v>42437</v>
      </c>
      <c r="D629" s="37" t="s">
        <v>1652</v>
      </c>
      <c r="E629" s="37">
        <v>42437</v>
      </c>
      <c r="F629" s="783" t="s">
        <v>765</v>
      </c>
      <c r="G629" s="837" t="s">
        <v>960</v>
      </c>
      <c r="H629" s="192" t="s">
        <v>428</v>
      </c>
      <c r="I629" s="253">
        <v>50</v>
      </c>
      <c r="J629" s="253">
        <v>72380</v>
      </c>
      <c r="K629" s="584">
        <f t="shared" si="161"/>
        <v>3619000</v>
      </c>
      <c r="L629" s="585" t="s">
        <v>857</v>
      </c>
      <c r="M629" s="585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26">
        <v>1</v>
      </c>
      <c r="AB629" s="576" t="str">
        <f>IF(VLOOKUP(F629,NXT!$C$12:$C$786,1,0)=F629,"","x")</f>
        <v/>
      </c>
    </row>
    <row r="630" spans="1:30" ht="15.75" customHeight="1">
      <c r="A630" s="827" t="str">
        <f>IF(B630&lt;&gt;"",IF(AND(B630&gt;=_TM1,B630&lt;=_TM2,OR(TH!L630="1111",TH!M630="1111")),TH!D630,""),"")</f>
        <v/>
      </c>
      <c r="B630" s="36">
        <f t="shared" si="159"/>
        <v>3</v>
      </c>
      <c r="C630" s="190">
        <f t="shared" si="160"/>
        <v>42437</v>
      </c>
      <c r="D630" s="37" t="s">
        <v>1652</v>
      </c>
      <c r="E630" s="37">
        <v>42437</v>
      </c>
      <c r="F630" s="783" t="s">
        <v>454</v>
      </c>
      <c r="G630" s="837" t="s">
        <v>960</v>
      </c>
      <c r="H630" s="192" t="s">
        <v>428</v>
      </c>
      <c r="I630" s="253">
        <v>50</v>
      </c>
      <c r="J630" s="253">
        <v>73996</v>
      </c>
      <c r="K630" s="584">
        <f t="shared" si="161"/>
        <v>3699800</v>
      </c>
      <c r="L630" s="585" t="s">
        <v>857</v>
      </c>
      <c r="M630" s="585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26">
        <v>1</v>
      </c>
      <c r="AB630" s="576" t="str">
        <f>IF(VLOOKUP(F630,NXT!$C$12:$C$786,1,0)=F630,"","x")</f>
        <v/>
      </c>
    </row>
    <row r="631" spans="1:30" ht="15.75" customHeight="1">
      <c r="A631" s="827" t="str">
        <f>IF(B631&lt;&gt;"",IF(AND(B631&gt;=_TM1,B631&lt;=_TM2,OR(TH!L631="1111",TH!M631="1111")),TH!D631,""),"")</f>
        <v/>
      </c>
      <c r="B631" s="36">
        <f t="shared" si="159"/>
        <v>3</v>
      </c>
      <c r="C631" s="190">
        <f t="shared" si="160"/>
        <v>42437</v>
      </c>
      <c r="D631" s="37" t="s">
        <v>1652</v>
      </c>
      <c r="E631" s="37">
        <v>42437</v>
      </c>
      <c r="F631" s="191" t="s">
        <v>1011</v>
      </c>
      <c r="G631" s="837" t="s">
        <v>960</v>
      </c>
      <c r="H631" s="192" t="s">
        <v>428</v>
      </c>
      <c r="I631" s="253">
        <v>50</v>
      </c>
      <c r="J631" s="253">
        <v>77984</v>
      </c>
      <c r="K631" s="584">
        <f t="shared" si="161"/>
        <v>3899200</v>
      </c>
      <c r="L631" s="585" t="s">
        <v>857</v>
      </c>
      <c r="M631" s="585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26">
        <v>1</v>
      </c>
      <c r="AB631" s="576" t="str">
        <f>IF(VLOOKUP(F631,NXT!$C$12:$C$786,1,0)=F631,"","x")</f>
        <v/>
      </c>
    </row>
    <row r="632" spans="1:30" ht="15.75" customHeight="1">
      <c r="A632" s="827" t="str">
        <f>IF(B632&lt;&gt;"",IF(AND(B632&gt;=_TM1,B632&lt;=_TM2,OR(TH!L632="1111",TH!M632="1111")),TH!D632,""),"")</f>
        <v/>
      </c>
      <c r="B632" s="36">
        <f t="shared" si="159"/>
        <v>3</v>
      </c>
      <c r="C632" s="190">
        <f t="shared" si="160"/>
        <v>42437</v>
      </c>
      <c r="D632" s="37" t="s">
        <v>1652</v>
      </c>
      <c r="E632" s="37">
        <v>42437</v>
      </c>
      <c r="F632" s="191" t="s">
        <v>766</v>
      </c>
      <c r="G632" s="837" t="s">
        <v>960</v>
      </c>
      <c r="H632" s="192" t="s">
        <v>428</v>
      </c>
      <c r="I632" s="253">
        <v>1000</v>
      </c>
      <c r="J632" s="253">
        <v>12919</v>
      </c>
      <c r="K632" s="584">
        <f t="shared" si="161"/>
        <v>12919000</v>
      </c>
      <c r="L632" s="585" t="s">
        <v>857</v>
      </c>
      <c r="M632" s="585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26">
        <v>1</v>
      </c>
      <c r="AB632" s="576" t="str">
        <f>IF(VLOOKUP(F632,NXT!$C$12:$C$786,1,0)=F632,"","x")</f>
        <v/>
      </c>
    </row>
    <row r="633" spans="1:30" ht="15.75" customHeight="1">
      <c r="A633" s="827" t="str">
        <f>IF(B633&lt;&gt;"",IF(AND(B633&gt;=_TM1,B633&lt;=_TM2,OR(TH!L633="1111",TH!M633="1111")),TH!D633,""),"")</f>
        <v/>
      </c>
      <c r="B633" s="36">
        <f t="shared" si="159"/>
        <v>3</v>
      </c>
      <c r="C633" s="190">
        <f t="shared" si="160"/>
        <v>42437</v>
      </c>
      <c r="D633" s="37" t="s">
        <v>1652</v>
      </c>
      <c r="E633" s="37">
        <v>42437</v>
      </c>
      <c r="F633" s="191" t="s">
        <v>461</v>
      </c>
      <c r="G633" s="837" t="s">
        <v>960</v>
      </c>
      <c r="H633" s="192" t="s">
        <v>428</v>
      </c>
      <c r="I633" s="253"/>
      <c r="J633" s="253"/>
      <c r="K633" s="584">
        <v>3178335</v>
      </c>
      <c r="L633" s="585" t="s">
        <v>9</v>
      </c>
      <c r="M633" s="585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26">
        <v>1</v>
      </c>
    </row>
    <row r="634" spans="1:30" ht="15.75" customHeight="1">
      <c r="A634" s="827" t="str">
        <f>IF(B634&lt;&gt;"",IF(AND(B634&gt;=_TM1,B634&lt;=_TM2,OR(TH!L634="1111",TH!M634="1111")),TH!D634,""),"")</f>
        <v/>
      </c>
      <c r="B634" s="36">
        <f t="shared" si="159"/>
        <v>3</v>
      </c>
      <c r="C634" s="183">
        <f t="shared" si="160"/>
        <v>42437</v>
      </c>
      <c r="D634" s="37" t="s">
        <v>1653</v>
      </c>
      <c r="E634" s="183">
        <v>42437</v>
      </c>
      <c r="F634" s="188" t="s">
        <v>429</v>
      </c>
      <c r="G634" s="829" t="s">
        <v>431</v>
      </c>
      <c r="H634" s="192" t="s">
        <v>428</v>
      </c>
      <c r="I634" s="253">
        <v>500</v>
      </c>
      <c r="J634" s="253">
        <v>13306</v>
      </c>
      <c r="K634" s="584">
        <f>ROUND(I634*J634,0)</f>
        <v>6653000</v>
      </c>
      <c r="L634" s="585" t="s">
        <v>857</v>
      </c>
      <c r="M634" s="585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26">
        <v>2</v>
      </c>
      <c r="AB634" s="576" t="str">
        <f>IF(VLOOKUP(F634,NXT!$C$12:$C$786,1,0)=F634,"","x")</f>
        <v/>
      </c>
      <c r="AC634" s="576"/>
      <c r="AD634" s="576"/>
    </row>
    <row r="635" spans="1:30" ht="15.75" customHeight="1">
      <c r="A635" s="827" t="str">
        <f>IF(B635&lt;&gt;"",IF(AND(B635&gt;=_TM1,B635&lt;=_TM2,OR(TH!L635="1111",TH!M635="1111")),TH!D635,""),"")</f>
        <v/>
      </c>
      <c r="B635" s="36">
        <f t="shared" si="159"/>
        <v>3</v>
      </c>
      <c r="C635" s="183">
        <f t="shared" si="160"/>
        <v>42437</v>
      </c>
      <c r="D635" s="37" t="s">
        <v>1653</v>
      </c>
      <c r="E635" s="183">
        <v>42437</v>
      </c>
      <c r="F635" s="188" t="s">
        <v>430</v>
      </c>
      <c r="G635" s="829" t="s">
        <v>431</v>
      </c>
      <c r="H635" s="192" t="s">
        <v>428</v>
      </c>
      <c r="I635" s="253"/>
      <c r="J635" s="253"/>
      <c r="K635" s="584">
        <v>665300</v>
      </c>
      <c r="L635" s="39" t="s">
        <v>9</v>
      </c>
      <c r="M635" s="585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26">
        <v>2</v>
      </c>
      <c r="AB635" s="576"/>
      <c r="AC635" s="576"/>
      <c r="AD635" s="576"/>
    </row>
    <row r="636" spans="1:30" ht="15.75" customHeight="1">
      <c r="A636" s="827" t="str">
        <f>IF(B636&lt;&gt;"",IF(AND(B636&gt;=_TM1,B636&lt;=_TM2,OR(TH!L636="1111",TH!M636="1111")),TH!D636,""),"")</f>
        <v/>
      </c>
      <c r="B636" s="36">
        <f t="shared" si="159"/>
        <v>3</v>
      </c>
      <c r="C636" s="190">
        <f t="shared" si="160"/>
        <v>42443</v>
      </c>
      <c r="D636" s="37" t="s">
        <v>1654</v>
      </c>
      <c r="E636" s="37">
        <v>42443</v>
      </c>
      <c r="F636" s="191" t="s">
        <v>962</v>
      </c>
      <c r="G636" s="837" t="s">
        <v>961</v>
      </c>
      <c r="H636" s="192" t="s">
        <v>428</v>
      </c>
      <c r="I636" s="253">
        <v>500</v>
      </c>
      <c r="J636" s="253">
        <v>6029</v>
      </c>
      <c r="K636" s="584">
        <f>ROUND(I636*J636,0)</f>
        <v>3014500</v>
      </c>
      <c r="L636" s="585" t="s">
        <v>857</v>
      </c>
      <c r="M636" s="585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26">
        <v>1</v>
      </c>
      <c r="AB636" s="576" t="str">
        <f>IF(VLOOKUP(F636,NXT!$C$12:$C$786,1,0)=F636,"","x")</f>
        <v/>
      </c>
    </row>
    <row r="637" spans="1:30" ht="15.75" customHeight="1">
      <c r="A637" s="827" t="str">
        <f>IF(B637&lt;&gt;"",IF(AND(B637&gt;=_TM1,B637&lt;=_TM2,OR(TH!L637="1111",TH!M637="1111")),TH!D637,""),"")</f>
        <v/>
      </c>
      <c r="B637" s="36">
        <f t="shared" si="159"/>
        <v>3</v>
      </c>
      <c r="C637" s="190">
        <f t="shared" si="160"/>
        <v>42443</v>
      </c>
      <c r="D637" s="37" t="s">
        <v>1654</v>
      </c>
      <c r="E637" s="37">
        <v>42443</v>
      </c>
      <c r="F637" s="191" t="s">
        <v>729</v>
      </c>
      <c r="G637" s="837" t="s">
        <v>961</v>
      </c>
      <c r="H637" s="192" t="s">
        <v>428</v>
      </c>
      <c r="I637" s="253">
        <v>500</v>
      </c>
      <c r="J637" s="253">
        <v>6389</v>
      </c>
      <c r="K637" s="584">
        <f>ROUND(I637*J637,0)</f>
        <v>3194500</v>
      </c>
      <c r="L637" s="585" t="s">
        <v>857</v>
      </c>
      <c r="M637" s="585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26">
        <v>1</v>
      </c>
      <c r="AB637" s="576" t="str">
        <f>IF(VLOOKUP(F637,NXT!$C$12:$C$786,1,0)=F637,"","x")</f>
        <v/>
      </c>
    </row>
    <row r="638" spans="1:30" ht="15.75" customHeight="1">
      <c r="A638" s="827" t="str">
        <f>IF(B638&lt;&gt;"",IF(AND(B638&gt;=_TM1,B638&lt;=_TM2,OR(TH!L638="1111",TH!M638="1111")),TH!D638,""),"")</f>
        <v/>
      </c>
      <c r="B638" s="36">
        <f t="shared" si="159"/>
        <v>3</v>
      </c>
      <c r="C638" s="190">
        <f t="shared" si="160"/>
        <v>42443</v>
      </c>
      <c r="D638" s="37" t="s">
        <v>1654</v>
      </c>
      <c r="E638" s="37">
        <v>42443</v>
      </c>
      <c r="F638" s="191" t="s">
        <v>461</v>
      </c>
      <c r="G638" s="837" t="s">
        <v>961</v>
      </c>
      <c r="H638" s="192" t="s">
        <v>428</v>
      </c>
      <c r="I638" s="253"/>
      <c r="J638" s="253"/>
      <c r="K638" s="584">
        <v>620900</v>
      </c>
      <c r="L638" s="585" t="s">
        <v>9</v>
      </c>
      <c r="M638" s="585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26">
        <v>1</v>
      </c>
    </row>
    <row r="639" spans="1:30" ht="15.75" customHeight="1">
      <c r="A639" s="827" t="str">
        <f>IF(B639&lt;&gt;"",IF(AND(B639&gt;=_TM1,B639&lt;=_TM2,OR(TH!L639="1111",TH!M639="1111")),TH!D639,""),"")</f>
        <v/>
      </c>
      <c r="B639" s="36">
        <f t="shared" si="159"/>
        <v>3</v>
      </c>
      <c r="C639" s="190">
        <f t="shared" si="160"/>
        <v>42444</v>
      </c>
      <c r="D639" s="37" t="s">
        <v>1655</v>
      </c>
      <c r="E639" s="37">
        <v>42444</v>
      </c>
      <c r="F639" s="191" t="s">
        <v>459</v>
      </c>
      <c r="G639" s="837" t="s">
        <v>963</v>
      </c>
      <c r="H639" s="192" t="s">
        <v>428</v>
      </c>
      <c r="I639" s="253">
        <v>155</v>
      </c>
      <c r="J639" s="253">
        <v>15747</v>
      </c>
      <c r="K639" s="584">
        <f>ROUND(I639*J639,0)</f>
        <v>2440785</v>
      </c>
      <c r="L639" s="585" t="s">
        <v>857</v>
      </c>
      <c r="M639" s="585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26">
        <v>1</v>
      </c>
      <c r="AB639" s="576" t="str">
        <f>IF(VLOOKUP(F639,NXT!$C$12:$C$786,1,0)=F639,"","x")</f>
        <v/>
      </c>
    </row>
    <row r="640" spans="1:30" ht="15.75" customHeight="1">
      <c r="A640" s="827" t="str">
        <f>IF(B640&lt;&gt;"",IF(AND(B640&gt;=_TM1,B640&lt;=_TM2,OR(TH!L640="1111",TH!M640="1111")),TH!D640,""),"")</f>
        <v/>
      </c>
      <c r="B640" s="36">
        <f t="shared" si="159"/>
        <v>3</v>
      </c>
      <c r="C640" s="190">
        <f t="shared" si="160"/>
        <v>42444</v>
      </c>
      <c r="D640" s="37" t="s">
        <v>1655</v>
      </c>
      <c r="E640" s="37">
        <v>42444</v>
      </c>
      <c r="F640" s="191" t="s">
        <v>459</v>
      </c>
      <c r="G640" s="837" t="s">
        <v>963</v>
      </c>
      <c r="H640" s="192" t="s">
        <v>428</v>
      </c>
      <c r="I640" s="253">
        <v>155</v>
      </c>
      <c r="J640" s="253">
        <v>10762</v>
      </c>
      <c r="K640" s="584">
        <f>ROUND(I640*J640,0)</f>
        <v>1668110</v>
      </c>
      <c r="L640" s="585" t="s">
        <v>857</v>
      </c>
      <c r="M640" s="585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26">
        <v>1</v>
      </c>
      <c r="AB640" s="576" t="str">
        <f>IF(VLOOKUP(F640,NXT!$C$12:$C$786,1,0)=F640,"","x")</f>
        <v/>
      </c>
    </row>
    <row r="641" spans="1:30" ht="15.75" customHeight="1">
      <c r="A641" s="827" t="str">
        <f>IF(B641&lt;&gt;"",IF(AND(B641&gt;=_TM1,B641&lt;=_TM2,OR(TH!L641="1111",TH!M641="1111")),TH!D641,""),"")</f>
        <v/>
      </c>
      <c r="B641" s="36">
        <f t="shared" si="159"/>
        <v>3</v>
      </c>
      <c r="C641" s="190">
        <f t="shared" si="160"/>
        <v>42444</v>
      </c>
      <c r="D641" s="37" t="s">
        <v>1655</v>
      </c>
      <c r="E641" s="37">
        <v>42444</v>
      </c>
      <c r="F641" s="191" t="s">
        <v>767</v>
      </c>
      <c r="G641" s="837" t="s">
        <v>963</v>
      </c>
      <c r="H641" s="192" t="s">
        <v>428</v>
      </c>
      <c r="I641" s="253">
        <v>100</v>
      </c>
      <c r="J641" s="253">
        <v>6153</v>
      </c>
      <c r="K641" s="584">
        <f>ROUND(I641*J641,0)</f>
        <v>615300</v>
      </c>
      <c r="L641" s="585" t="s">
        <v>857</v>
      </c>
      <c r="M641" s="585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26">
        <v>1</v>
      </c>
      <c r="AB641" s="576" t="str">
        <f>IF(VLOOKUP(F641,NXT!$C$12:$C$786,1,0)=F641,"","x")</f>
        <v/>
      </c>
    </row>
    <row r="642" spans="1:30" ht="15.75" customHeight="1">
      <c r="A642" s="827" t="str">
        <f>IF(B642&lt;&gt;"",IF(AND(B642&gt;=_TM1,B642&lt;=_TM2,OR(TH!L642="1111",TH!M642="1111")),TH!D642,""),"")</f>
        <v/>
      </c>
      <c r="B642" s="36">
        <f t="shared" si="159"/>
        <v>3</v>
      </c>
      <c r="C642" s="190">
        <f t="shared" si="160"/>
        <v>42444</v>
      </c>
      <c r="D642" s="37" t="s">
        <v>1655</v>
      </c>
      <c r="E642" s="37">
        <v>42444</v>
      </c>
      <c r="F642" s="191" t="s">
        <v>768</v>
      </c>
      <c r="G642" s="837" t="s">
        <v>963</v>
      </c>
      <c r="H642" s="192" t="s">
        <v>428</v>
      </c>
      <c r="I642" s="253">
        <v>100</v>
      </c>
      <c r="J642" s="253">
        <v>6153</v>
      </c>
      <c r="K642" s="584">
        <f>ROUND(I642*J642,0)</f>
        <v>615300</v>
      </c>
      <c r="L642" s="585" t="s">
        <v>857</v>
      </c>
      <c r="M642" s="585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26">
        <v>1</v>
      </c>
      <c r="AB642" s="576" t="str">
        <f>IF(VLOOKUP(F642,NXT!$C$12:$C$786,1,0)=F642,"","x")</f>
        <v/>
      </c>
    </row>
    <row r="643" spans="1:30" ht="15.75" customHeight="1">
      <c r="A643" s="827" t="str">
        <f>IF(B643&lt;&gt;"",IF(AND(B643&gt;=_TM1,B643&lt;=_TM2,OR(TH!L643="1111",TH!M643="1111")),TH!D643,""),"")</f>
        <v/>
      </c>
      <c r="B643" s="36">
        <f t="shared" si="159"/>
        <v>3</v>
      </c>
      <c r="C643" s="190">
        <f t="shared" si="160"/>
        <v>42444</v>
      </c>
      <c r="D643" s="37" t="s">
        <v>1655</v>
      </c>
      <c r="E643" s="37">
        <v>42444</v>
      </c>
      <c r="F643" s="191" t="s">
        <v>461</v>
      </c>
      <c r="G643" s="837" t="s">
        <v>963</v>
      </c>
      <c r="H643" s="192" t="s">
        <v>428</v>
      </c>
      <c r="I643" s="253"/>
      <c r="J643" s="253"/>
      <c r="K643" s="584">
        <v>533950</v>
      </c>
      <c r="L643" s="585" t="s">
        <v>9</v>
      </c>
      <c r="M643" s="585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26">
        <v>1</v>
      </c>
    </row>
    <row r="644" spans="1:30" ht="15.75" customHeight="1">
      <c r="A644" s="827" t="str">
        <f>IF(B644&lt;&gt;"",IF(AND(B644&gt;=_TM1,B644&lt;=_TM2,OR(TH!L644="1111",TH!M644="1111")),TH!D644,""),"")</f>
        <v/>
      </c>
      <c r="B644" s="36">
        <f t="shared" si="159"/>
        <v>3</v>
      </c>
      <c r="C644" s="183">
        <f t="shared" si="160"/>
        <v>42447</v>
      </c>
      <c r="D644" s="37" t="s">
        <v>1656</v>
      </c>
      <c r="E644" s="183">
        <v>42447</v>
      </c>
      <c r="F644" s="191" t="s">
        <v>1178</v>
      </c>
      <c r="G644" s="829" t="s">
        <v>449</v>
      </c>
      <c r="H644" s="192" t="s">
        <v>445</v>
      </c>
      <c r="I644" s="253">
        <v>950</v>
      </c>
      <c r="J644" s="253">
        <v>30875</v>
      </c>
      <c r="K644" s="584">
        <f>ROUND(I644*J644,0)</f>
        <v>29331250</v>
      </c>
      <c r="L644" s="585" t="s">
        <v>857</v>
      </c>
      <c r="M644" s="585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26">
        <v>1</v>
      </c>
      <c r="AB644" s="576" t="str">
        <f>IF(VLOOKUP(F644,NXT!$C$12:$C$786,1,0)=F644,"","x")</f>
        <v/>
      </c>
      <c r="AD644" s="576"/>
    </row>
    <row r="645" spans="1:30" ht="15.75" customHeight="1">
      <c r="A645" s="827" t="str">
        <f>IF(B645&lt;&gt;"",IF(AND(B645&gt;=_TM1,B645&lt;=_TM2,OR(TH!L645="1111",TH!M645="1111")),TH!D645,""),"")</f>
        <v/>
      </c>
      <c r="B645" s="36">
        <f t="shared" si="159"/>
        <v>3</v>
      </c>
      <c r="C645" s="183">
        <f t="shared" si="160"/>
        <v>42447</v>
      </c>
      <c r="D645" s="37" t="s">
        <v>1656</v>
      </c>
      <c r="E645" s="183">
        <v>42447</v>
      </c>
      <c r="F645" s="191" t="s">
        <v>1179</v>
      </c>
      <c r="G645" s="829" t="s">
        <v>449</v>
      </c>
      <c r="H645" s="192" t="s">
        <v>445</v>
      </c>
      <c r="I645" s="253">
        <v>950</v>
      </c>
      <c r="J645" s="253">
        <v>31155</v>
      </c>
      <c r="K645" s="584">
        <f>ROUND(I645*J645,0)</f>
        <v>29597250</v>
      </c>
      <c r="L645" s="585" t="s">
        <v>857</v>
      </c>
      <c r="M645" s="585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26">
        <v>1</v>
      </c>
      <c r="AB645" s="576" t="str">
        <f>IF(VLOOKUP(F645,NXT!$C$12:$C$786,1,0)=F645,"","x")</f>
        <v/>
      </c>
      <c r="AD645" s="576"/>
    </row>
    <row r="646" spans="1:30" ht="15.75" customHeight="1">
      <c r="A646" s="827" t="str">
        <f>IF(B646&lt;&gt;"",IF(AND(B646&gt;=_TM1,B646&lt;=_TM2,OR(TH!L646="1111",TH!M646="1111")),TH!D646,""),"")</f>
        <v/>
      </c>
      <c r="B646" s="36">
        <f t="shared" si="159"/>
        <v>3</v>
      </c>
      <c r="C646" s="183">
        <f t="shared" si="160"/>
        <v>42447</v>
      </c>
      <c r="D646" s="37" t="s">
        <v>1656</v>
      </c>
      <c r="E646" s="183">
        <v>42447</v>
      </c>
      <c r="F646" s="188" t="s">
        <v>450</v>
      </c>
      <c r="G646" s="829" t="s">
        <v>449</v>
      </c>
      <c r="H646" s="192" t="s">
        <v>445</v>
      </c>
      <c r="I646" s="253">
        <v>3200</v>
      </c>
      <c r="J646" s="253">
        <v>15675</v>
      </c>
      <c r="K646" s="584">
        <f>ROUND(I646*J646,0)</f>
        <v>50160000</v>
      </c>
      <c r="L646" s="585" t="s">
        <v>857</v>
      </c>
      <c r="M646" s="585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26">
        <v>1</v>
      </c>
      <c r="AB646" s="576" t="str">
        <f>IF(VLOOKUP(F646,NXT!$C$12:$C$786,1,0)=F646,"","x")</f>
        <v/>
      </c>
      <c r="AD646" s="576"/>
    </row>
    <row r="647" spans="1:30" ht="15.75" customHeight="1">
      <c r="A647" s="827" t="str">
        <f>IF(B647&lt;&gt;"",IF(AND(B647&gt;=_TM1,B647&lt;=_TM2,OR(TH!L647="1111",TH!M647="1111")),TH!D647,""),"")</f>
        <v/>
      </c>
      <c r="B647" s="36">
        <f t="shared" si="159"/>
        <v>3</v>
      </c>
      <c r="C647" s="183">
        <f t="shared" si="160"/>
        <v>42447</v>
      </c>
      <c r="D647" s="37" t="s">
        <v>1656</v>
      </c>
      <c r="E647" s="183">
        <v>42447</v>
      </c>
      <c r="F647" s="188" t="s">
        <v>451</v>
      </c>
      <c r="G647" s="829" t="s">
        <v>449</v>
      </c>
      <c r="H647" s="192" t="s">
        <v>445</v>
      </c>
      <c r="I647" s="253">
        <v>3100</v>
      </c>
      <c r="J647" s="253">
        <v>14250</v>
      </c>
      <c r="K647" s="584">
        <f>ROUND(I647*J647,0)</f>
        <v>44175000</v>
      </c>
      <c r="L647" s="585" t="s">
        <v>857</v>
      </c>
      <c r="M647" s="585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>x</v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26">
        <v>1</v>
      </c>
      <c r="AB647" s="576" t="str">
        <f>IF(VLOOKUP(F647,NXT!$C$12:$C$786,1,0)=F647,"","x")</f>
        <v/>
      </c>
      <c r="AD647" s="576"/>
    </row>
    <row r="648" spans="1:30" ht="15.75" customHeight="1">
      <c r="A648" s="827" t="str">
        <f>IF(B648&lt;&gt;"",IF(AND(B648&gt;=_TM1,B648&lt;=_TM2,OR(TH!L648="1111",TH!M648="1111")),TH!D648,""),"")</f>
        <v/>
      </c>
      <c r="B648" s="36">
        <f t="shared" si="159"/>
        <v>3</v>
      </c>
      <c r="C648" s="183">
        <f t="shared" si="160"/>
        <v>42447</v>
      </c>
      <c r="D648" s="37" t="s">
        <v>1656</v>
      </c>
      <c r="E648" s="183">
        <v>42447</v>
      </c>
      <c r="F648" s="188" t="s">
        <v>433</v>
      </c>
      <c r="G648" s="829" t="s">
        <v>449</v>
      </c>
      <c r="H648" s="192" t="s">
        <v>445</v>
      </c>
      <c r="I648" s="253"/>
      <c r="J648" s="253"/>
      <c r="K648" s="584">
        <v>15326350</v>
      </c>
      <c r="L648" s="585" t="s">
        <v>9</v>
      </c>
      <c r="M648" s="585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26">
        <v>1</v>
      </c>
      <c r="AB648" s="576"/>
      <c r="AC648" s="576"/>
      <c r="AD648" s="576"/>
    </row>
    <row r="649" spans="1:30" ht="15.75" customHeight="1">
      <c r="A649" s="827" t="str">
        <f>IF(B649&lt;&gt;"",IF(AND(B649&gt;=_TM1,B649&lt;=_TM2,OR(TH!L649="1111",TH!M649="1111")),TH!D649,""),"")</f>
        <v/>
      </c>
      <c r="B649" s="36">
        <f t="shared" si="159"/>
        <v>3</v>
      </c>
      <c r="C649" s="183">
        <f t="shared" si="160"/>
        <v>42454</v>
      </c>
      <c r="D649" s="37" t="s">
        <v>1657</v>
      </c>
      <c r="E649" s="183">
        <v>42454</v>
      </c>
      <c r="F649" s="188" t="s">
        <v>453</v>
      </c>
      <c r="G649" s="829" t="s">
        <v>452</v>
      </c>
      <c r="H649" s="192" t="s">
        <v>445</v>
      </c>
      <c r="I649" s="253">
        <v>12</v>
      </c>
      <c r="J649" s="253">
        <v>120909</v>
      </c>
      <c r="K649" s="584">
        <f t="shared" ref="K649:K659" si="162">ROUND(I649*J649,0)</f>
        <v>1450908</v>
      </c>
      <c r="L649" s="585" t="s">
        <v>857</v>
      </c>
      <c r="M649" s="585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26">
        <v>2</v>
      </c>
      <c r="AB649" s="576" t="str">
        <f>IF(VLOOKUP(F649,NXT!$C$12:$C$786,1,0)=F649,"","x")</f>
        <v/>
      </c>
      <c r="AC649" s="576"/>
      <c r="AD649" s="576"/>
    </row>
    <row r="650" spans="1:30" ht="15.75" customHeight="1">
      <c r="A650" s="827" t="str">
        <f>IF(B650&lt;&gt;"",IF(AND(B650&gt;=_TM1,B650&lt;=_TM2,OR(TH!L650="1111",TH!M650="1111")),TH!D650,""),"")</f>
        <v/>
      </c>
      <c r="B650" s="36">
        <f t="shared" si="159"/>
        <v>3</v>
      </c>
      <c r="C650" s="183">
        <f t="shared" si="160"/>
        <v>42454</v>
      </c>
      <c r="D650" s="37" t="s">
        <v>1657</v>
      </c>
      <c r="E650" s="183">
        <v>42454</v>
      </c>
      <c r="F650" s="188" t="s">
        <v>454</v>
      </c>
      <c r="G650" s="829" t="s">
        <v>452</v>
      </c>
      <c r="H650" s="192" t="s">
        <v>445</v>
      </c>
      <c r="I650" s="253">
        <v>10</v>
      </c>
      <c r="J650" s="253">
        <v>191723</v>
      </c>
      <c r="K650" s="584">
        <f t="shared" si="162"/>
        <v>1917230</v>
      </c>
      <c r="L650" s="585" t="s">
        <v>857</v>
      </c>
      <c r="M650" s="585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26">
        <v>2</v>
      </c>
      <c r="AB650" s="576" t="str">
        <f>IF(VLOOKUP(F650,NXT!$C$12:$C$786,1,0)=F650,"","x")</f>
        <v/>
      </c>
      <c r="AC650" s="576"/>
      <c r="AD650" s="576"/>
    </row>
    <row r="651" spans="1:30" ht="15.75" customHeight="1">
      <c r="A651" s="827" t="str">
        <f>IF(B651&lt;&gt;"",IF(AND(B651&gt;=_TM1,B651&lt;=_TM2,OR(TH!L651="1111",TH!M651="1111")),TH!D651,""),"")</f>
        <v/>
      </c>
      <c r="B651" s="36">
        <f t="shared" si="159"/>
        <v>3</v>
      </c>
      <c r="C651" s="183">
        <f t="shared" si="160"/>
        <v>42454</v>
      </c>
      <c r="D651" s="37" t="s">
        <v>1657</v>
      </c>
      <c r="E651" s="183">
        <v>42454</v>
      </c>
      <c r="F651" s="188" t="s">
        <v>455</v>
      </c>
      <c r="G651" s="829" t="s">
        <v>452</v>
      </c>
      <c r="H651" s="192" t="s">
        <v>445</v>
      </c>
      <c r="I651" s="253">
        <v>10</v>
      </c>
      <c r="J651" s="253">
        <v>157609</v>
      </c>
      <c r="K651" s="584">
        <f t="shared" si="162"/>
        <v>1576090</v>
      </c>
      <c r="L651" s="585" t="s">
        <v>857</v>
      </c>
      <c r="M651" s="585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26">
        <v>2</v>
      </c>
      <c r="AB651" s="576" t="str">
        <f>IF(VLOOKUP(F651,NXT!$C$12:$C$786,1,0)=F651,"","x")</f>
        <v/>
      </c>
      <c r="AC651" s="576"/>
      <c r="AD651" s="576"/>
    </row>
    <row r="652" spans="1:30" ht="15.75" customHeight="1">
      <c r="A652" s="827" t="str">
        <f>IF(B652&lt;&gt;"",IF(AND(B652&gt;=_TM1,B652&lt;=_TM2,OR(TH!L652="1111",TH!M652="1111")),TH!D652,""),"")</f>
        <v/>
      </c>
      <c r="B652" s="36">
        <f t="shared" si="159"/>
        <v>3</v>
      </c>
      <c r="C652" s="183">
        <f t="shared" si="160"/>
        <v>42454</v>
      </c>
      <c r="D652" s="37" t="s">
        <v>1657</v>
      </c>
      <c r="E652" s="183">
        <v>42454</v>
      </c>
      <c r="F652" s="188" t="s">
        <v>456</v>
      </c>
      <c r="G652" s="829" t="s">
        <v>452</v>
      </c>
      <c r="H652" s="192" t="s">
        <v>445</v>
      </c>
      <c r="I652" s="253">
        <v>10</v>
      </c>
      <c r="J652" s="253">
        <v>138818</v>
      </c>
      <c r="K652" s="584">
        <f t="shared" si="162"/>
        <v>1388180</v>
      </c>
      <c r="L652" s="585" t="s">
        <v>857</v>
      </c>
      <c r="M652" s="585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26">
        <v>2</v>
      </c>
      <c r="AB652" s="576" t="str">
        <f>IF(VLOOKUP(F652,NXT!$C$12:$C$786,1,0)=F652,"","x")</f>
        <v/>
      </c>
    </row>
    <row r="653" spans="1:30" ht="15.75" customHeight="1">
      <c r="A653" s="827" t="str">
        <f>IF(B653&lt;&gt;"",IF(AND(B653&gt;=_TM1,B653&lt;=_TM2,OR(TH!L653="1111",TH!M653="1111")),TH!D653,""),"")</f>
        <v/>
      </c>
      <c r="B653" s="36">
        <f t="shared" si="159"/>
        <v>3</v>
      </c>
      <c r="C653" s="183">
        <f t="shared" si="160"/>
        <v>42454</v>
      </c>
      <c r="D653" s="37" t="s">
        <v>1657</v>
      </c>
      <c r="E653" s="183">
        <v>42454</v>
      </c>
      <c r="F653" s="191" t="s">
        <v>1010</v>
      </c>
      <c r="G653" s="829" t="s">
        <v>452</v>
      </c>
      <c r="H653" s="192" t="s">
        <v>445</v>
      </c>
      <c r="I653" s="253">
        <v>12</v>
      </c>
      <c r="J653" s="253">
        <v>48275</v>
      </c>
      <c r="K653" s="584">
        <f t="shared" si="162"/>
        <v>579300</v>
      </c>
      <c r="L653" s="585" t="s">
        <v>857</v>
      </c>
      <c r="M653" s="585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26">
        <v>2</v>
      </c>
      <c r="AB653" s="576" t="str">
        <f>IF(VLOOKUP(F653,NXT!$C$12:$C$786,1,0)=F653,"","x")</f>
        <v/>
      </c>
    </row>
    <row r="654" spans="1:30" ht="15.75" customHeight="1">
      <c r="A654" s="827" t="str">
        <f>IF(B654&lt;&gt;"",IF(AND(B654&gt;=_TM1,B654&lt;=_TM2,OR(TH!L654="1111",TH!M654="1111")),TH!D654,""),"")</f>
        <v/>
      </c>
      <c r="B654" s="36">
        <f t="shared" si="159"/>
        <v>3</v>
      </c>
      <c r="C654" s="183">
        <f t="shared" si="160"/>
        <v>42454</v>
      </c>
      <c r="D654" s="37" t="s">
        <v>1657</v>
      </c>
      <c r="E654" s="183">
        <v>42454</v>
      </c>
      <c r="F654" s="188" t="s">
        <v>457</v>
      </c>
      <c r="G654" s="829" t="s">
        <v>452</v>
      </c>
      <c r="H654" s="192" t="s">
        <v>445</v>
      </c>
      <c r="I654" s="253">
        <v>10</v>
      </c>
      <c r="J654" s="253">
        <v>96550</v>
      </c>
      <c r="K654" s="584">
        <f t="shared" si="162"/>
        <v>965500</v>
      </c>
      <c r="L654" s="585" t="s">
        <v>857</v>
      </c>
      <c r="M654" s="585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26">
        <v>2</v>
      </c>
      <c r="AB654" s="576" t="str">
        <f>IF(VLOOKUP(F654,NXT!$C$12:$C$786,1,0)=F654,"","x")</f>
        <v/>
      </c>
      <c r="AC654" s="576"/>
      <c r="AD654" s="576"/>
    </row>
    <row r="655" spans="1:30" ht="15.75" customHeight="1">
      <c r="A655" s="827" t="str">
        <f>IF(B655&lt;&gt;"",IF(AND(B655&gt;=_TM1,B655&lt;=_TM2,OR(TH!L655="1111",TH!M655="1111")),TH!D655,""),"")</f>
        <v/>
      </c>
      <c r="B655" s="36">
        <f t="shared" si="159"/>
        <v>3</v>
      </c>
      <c r="C655" s="183">
        <f t="shared" si="160"/>
        <v>42454</v>
      </c>
      <c r="D655" s="37" t="s">
        <v>1657</v>
      </c>
      <c r="E655" s="183">
        <v>42454</v>
      </c>
      <c r="F655" s="188" t="s">
        <v>458</v>
      </c>
      <c r="G655" s="829" t="s">
        <v>452</v>
      </c>
      <c r="H655" s="192" t="s">
        <v>445</v>
      </c>
      <c r="I655" s="253">
        <v>10</v>
      </c>
      <c r="J655" s="253">
        <v>47796</v>
      </c>
      <c r="K655" s="584">
        <f t="shared" si="162"/>
        <v>477960</v>
      </c>
      <c r="L655" s="585" t="s">
        <v>857</v>
      </c>
      <c r="M655" s="585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26">
        <v>2</v>
      </c>
      <c r="AB655" s="576" t="str">
        <f>IF(VLOOKUP(F655,NXT!$C$12:$C$786,1,0)=F655,"","x")</f>
        <v/>
      </c>
      <c r="AC655" s="576"/>
      <c r="AD655" s="576"/>
    </row>
    <row r="656" spans="1:30" ht="15.75" customHeight="1">
      <c r="A656" s="827" t="str">
        <f>IF(B656&lt;&gt;"",IF(AND(B656&gt;=_TM1,B656&lt;=_TM2,OR(TH!L656="1111",TH!M656="1111")),TH!D656,""),"")</f>
        <v/>
      </c>
      <c r="B656" s="36">
        <f t="shared" si="159"/>
        <v>3</v>
      </c>
      <c r="C656" s="183">
        <f t="shared" si="160"/>
        <v>42454</v>
      </c>
      <c r="D656" s="37" t="s">
        <v>1657</v>
      </c>
      <c r="E656" s="183">
        <v>42454</v>
      </c>
      <c r="F656" s="191" t="s">
        <v>1012</v>
      </c>
      <c r="G656" s="829" t="s">
        <v>452</v>
      </c>
      <c r="H656" s="192" t="s">
        <v>445</v>
      </c>
      <c r="I656" s="253">
        <v>10</v>
      </c>
      <c r="J656" s="253">
        <v>62200</v>
      </c>
      <c r="K656" s="584">
        <f t="shared" si="162"/>
        <v>622000</v>
      </c>
      <c r="L656" s="585" t="s">
        <v>857</v>
      </c>
      <c r="M656" s="585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26">
        <v>2</v>
      </c>
      <c r="AB656" s="576" t="str">
        <f>IF(VLOOKUP(F656,NXT!$C$12:$C$786,1,0)=F656,"","x")</f>
        <v/>
      </c>
      <c r="AC656" s="576"/>
      <c r="AD656" s="576"/>
    </row>
    <row r="657" spans="1:30" ht="15.75" customHeight="1">
      <c r="A657" s="827" t="str">
        <f>IF(B657&lt;&gt;"",IF(AND(B657&gt;=_TM1,B657&lt;=_TM2,OR(TH!L657="1111",TH!M657="1111")),TH!D657,""),"")</f>
        <v/>
      </c>
      <c r="B657" s="36">
        <f t="shared" si="159"/>
        <v>3</v>
      </c>
      <c r="C657" s="183">
        <f t="shared" si="160"/>
        <v>42454</v>
      </c>
      <c r="D657" s="37" t="s">
        <v>1657</v>
      </c>
      <c r="E657" s="183">
        <v>42454</v>
      </c>
      <c r="F657" s="188" t="s">
        <v>459</v>
      </c>
      <c r="G657" s="829" t="s">
        <v>452</v>
      </c>
      <c r="H657" s="192" t="s">
        <v>445</v>
      </c>
      <c r="I657" s="253">
        <v>155</v>
      </c>
      <c r="J657" s="253">
        <v>30289</v>
      </c>
      <c r="K657" s="584">
        <f t="shared" si="162"/>
        <v>4694795</v>
      </c>
      <c r="L657" s="585" t="s">
        <v>857</v>
      </c>
      <c r="M657" s="585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26">
        <v>2</v>
      </c>
      <c r="AB657" s="576" t="str">
        <f>IF(VLOOKUP(F657,NXT!$C$12:$C$786,1,0)=F657,"","x")</f>
        <v/>
      </c>
      <c r="AC657" s="576"/>
      <c r="AD657" s="576"/>
    </row>
    <row r="658" spans="1:30" ht="15.75" customHeight="1">
      <c r="A658" s="827" t="str">
        <f>IF(B658&lt;&gt;"",IF(AND(B658&gt;=_TM1,B658&lt;=_TM2,OR(TH!L658="1111",TH!M658="1111")),TH!D658,""),"")</f>
        <v/>
      </c>
      <c r="B658" s="36">
        <f t="shared" si="159"/>
        <v>3</v>
      </c>
      <c r="C658" s="183">
        <f t="shared" si="160"/>
        <v>42454</v>
      </c>
      <c r="D658" s="37" t="s">
        <v>1657</v>
      </c>
      <c r="E658" s="183">
        <v>42454</v>
      </c>
      <c r="F658" s="188" t="s">
        <v>469</v>
      </c>
      <c r="G658" s="829" t="s">
        <v>452</v>
      </c>
      <c r="H658" s="192" t="s">
        <v>445</v>
      </c>
      <c r="I658" s="253">
        <v>9</v>
      </c>
      <c r="J658" s="253">
        <v>58817</v>
      </c>
      <c r="K658" s="584">
        <f t="shared" si="162"/>
        <v>529353</v>
      </c>
      <c r="L658" s="585" t="s">
        <v>857</v>
      </c>
      <c r="M658" s="585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26">
        <v>2</v>
      </c>
      <c r="AB658" s="576" t="str">
        <f>IF(VLOOKUP(F658,NXT!$C$12:$C$786,1,0)=F658,"","x")</f>
        <v/>
      </c>
      <c r="AC658" s="576"/>
      <c r="AD658" s="576"/>
    </row>
    <row r="659" spans="1:30" ht="15.75" customHeight="1">
      <c r="A659" s="827" t="str">
        <f>IF(B659&lt;&gt;"",IF(AND(B659&gt;=_TM1,B659&lt;=_TM2,OR(TH!L659="1111",TH!M659="1111")),TH!D659,""),"")</f>
        <v/>
      </c>
      <c r="B659" s="36">
        <f t="shared" si="159"/>
        <v>3</v>
      </c>
      <c r="C659" s="183">
        <f t="shared" si="160"/>
        <v>42454</v>
      </c>
      <c r="D659" s="37" t="s">
        <v>1657</v>
      </c>
      <c r="E659" s="183">
        <v>42454</v>
      </c>
      <c r="F659" s="191" t="s">
        <v>1014</v>
      </c>
      <c r="G659" s="829" t="s">
        <v>452</v>
      </c>
      <c r="H659" s="192" t="s">
        <v>445</v>
      </c>
      <c r="I659" s="253">
        <v>40</v>
      </c>
      <c r="J659" s="253">
        <v>64322</v>
      </c>
      <c r="K659" s="584">
        <f t="shared" si="162"/>
        <v>2572880</v>
      </c>
      <c r="L659" s="585" t="s">
        <v>857</v>
      </c>
      <c r="M659" s="585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26">
        <v>2</v>
      </c>
      <c r="AB659" s="576" t="str">
        <f>IF(VLOOKUP(F659,NXT!$C$12:$C$786,1,0)=F659,"","x")</f>
        <v/>
      </c>
      <c r="AC659" s="576"/>
      <c r="AD659" s="576"/>
    </row>
    <row r="660" spans="1:30" ht="15.75" customHeight="1">
      <c r="A660" s="827" t="str">
        <f>IF(B660&lt;&gt;"",IF(AND(B660&gt;=_TM1,B660&lt;=_TM2,OR(TH!L660="1111",TH!M660="1111")),TH!D660,""),"")</f>
        <v/>
      </c>
      <c r="B660" s="36">
        <f t="shared" si="159"/>
        <v>3</v>
      </c>
      <c r="C660" s="183">
        <f t="shared" si="160"/>
        <v>42454</v>
      </c>
      <c r="D660" s="37" t="s">
        <v>1657</v>
      </c>
      <c r="E660" s="183">
        <v>42454</v>
      </c>
      <c r="F660" s="188" t="s">
        <v>433</v>
      </c>
      <c r="G660" s="829" t="s">
        <v>452</v>
      </c>
      <c r="H660" s="192" t="s">
        <v>445</v>
      </c>
      <c r="I660" s="253"/>
      <c r="J660" s="253"/>
      <c r="K660" s="584">
        <v>1677420</v>
      </c>
      <c r="L660" s="39" t="s">
        <v>9</v>
      </c>
      <c r="M660" s="585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26">
        <v>2</v>
      </c>
      <c r="AB660" s="576"/>
      <c r="AC660" s="576"/>
      <c r="AD660" s="576"/>
    </row>
    <row r="661" spans="1:30" ht="15.75" customHeight="1">
      <c r="A661" s="827" t="str">
        <f>IF(B661&lt;&gt;"",IF(AND(B661&gt;=_TM1,B661&lt;=_TM2,OR(TH!L661="1111",TH!M661="1111")),TH!D661,""),"")</f>
        <v/>
      </c>
      <c r="B661" s="36">
        <f t="shared" si="159"/>
        <v>3</v>
      </c>
      <c r="C661" s="190">
        <f t="shared" si="160"/>
        <v>42455</v>
      </c>
      <c r="D661" s="37" t="s">
        <v>1658</v>
      </c>
      <c r="E661" s="37">
        <v>42455</v>
      </c>
      <c r="F661" s="191" t="s">
        <v>769</v>
      </c>
      <c r="G661" s="837" t="s">
        <v>964</v>
      </c>
      <c r="H661" s="192" t="s">
        <v>428</v>
      </c>
      <c r="I661" s="253">
        <v>180</v>
      </c>
      <c r="J661" s="253">
        <v>14141</v>
      </c>
      <c r="K661" s="584">
        <f t="shared" ref="K661:K667" si="163">ROUND(I661*J661,0)</f>
        <v>2545380</v>
      </c>
      <c r="L661" s="585" t="s">
        <v>857</v>
      </c>
      <c r="M661" s="585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26">
        <v>1</v>
      </c>
      <c r="AB661" s="576" t="str">
        <f>IF(VLOOKUP(F661,NXT!$C$12:$C$786,1,0)=F661,"","x")</f>
        <v/>
      </c>
    </row>
    <row r="662" spans="1:30" s="576" customFormat="1" ht="15.75" customHeight="1">
      <c r="A662" s="827" t="str">
        <f>IF(B662&lt;&gt;"",IF(AND(B662&gt;=_TM1,B662&lt;=_TM2,OR(TH!L662="1111",TH!M662="1111")),TH!D662,""),"")</f>
        <v/>
      </c>
      <c r="B662" s="36">
        <f t="shared" si="159"/>
        <v>3</v>
      </c>
      <c r="C662" s="190">
        <f t="shared" si="160"/>
        <v>42455</v>
      </c>
      <c r="D662" s="37" t="s">
        <v>1658</v>
      </c>
      <c r="E662" s="37">
        <v>42455</v>
      </c>
      <c r="F662" s="191" t="s">
        <v>770</v>
      </c>
      <c r="G662" s="837" t="s">
        <v>964</v>
      </c>
      <c r="H662" s="192" t="s">
        <v>428</v>
      </c>
      <c r="I662" s="253">
        <v>60</v>
      </c>
      <c r="J662" s="253">
        <v>24907</v>
      </c>
      <c r="K662" s="584">
        <f t="shared" si="163"/>
        <v>1494420</v>
      </c>
      <c r="L662" s="585" t="s">
        <v>857</v>
      </c>
      <c r="M662" s="585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26">
        <v>1</v>
      </c>
      <c r="AB662" s="576" t="str">
        <f>IF(VLOOKUP(F662,NXT!$C$12:$C$786,1,0)=F662,"","x")</f>
        <v/>
      </c>
      <c r="AC662" s="205"/>
      <c r="AD662" s="205"/>
    </row>
    <row r="663" spans="1:30" s="576" customFormat="1" ht="15.75" customHeight="1">
      <c r="A663" s="827" t="str">
        <f>IF(B663&lt;&gt;"",IF(AND(B663&gt;=_TM1,B663&lt;=_TM2,OR(TH!L663="1111",TH!M663="1111")),TH!D663,""),"")</f>
        <v/>
      </c>
      <c r="B663" s="36">
        <f t="shared" si="159"/>
        <v>3</v>
      </c>
      <c r="C663" s="190">
        <f t="shared" si="160"/>
        <v>42455</v>
      </c>
      <c r="D663" s="37" t="s">
        <v>1658</v>
      </c>
      <c r="E663" s="37">
        <v>42455</v>
      </c>
      <c r="F663" s="191" t="s">
        <v>771</v>
      </c>
      <c r="G663" s="837" t="s">
        <v>964</v>
      </c>
      <c r="H663" s="192" t="s">
        <v>428</v>
      </c>
      <c r="I663" s="253">
        <v>200</v>
      </c>
      <c r="J663" s="253">
        <v>11518</v>
      </c>
      <c r="K663" s="584">
        <f t="shared" si="163"/>
        <v>2303600</v>
      </c>
      <c r="L663" s="585" t="s">
        <v>857</v>
      </c>
      <c r="M663" s="585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26">
        <v>1</v>
      </c>
      <c r="AB663" s="576" t="str">
        <f>IF(VLOOKUP(F663,NXT!$C$12:$C$786,1,0)=F663,"","x")</f>
        <v/>
      </c>
      <c r="AC663" s="205"/>
      <c r="AD663" s="205"/>
    </row>
    <row r="664" spans="1:30" s="576" customFormat="1" ht="15.75" customHeight="1">
      <c r="A664" s="827" t="str">
        <f>IF(B664&lt;&gt;"",IF(AND(B664&gt;=_TM1,B664&lt;=_TM2,OR(TH!L664="1111",TH!M664="1111")),TH!D664,""),"")</f>
        <v/>
      </c>
      <c r="B664" s="36">
        <f t="shared" si="159"/>
        <v>3</v>
      </c>
      <c r="C664" s="190">
        <f t="shared" si="160"/>
        <v>42455</v>
      </c>
      <c r="D664" s="37" t="s">
        <v>1658</v>
      </c>
      <c r="E664" s="37">
        <v>42455</v>
      </c>
      <c r="F664" s="191" t="s">
        <v>772</v>
      </c>
      <c r="G664" s="837" t="s">
        <v>964</v>
      </c>
      <c r="H664" s="192" t="s">
        <v>428</v>
      </c>
      <c r="I664" s="253">
        <v>180</v>
      </c>
      <c r="J664" s="253">
        <v>6513</v>
      </c>
      <c r="K664" s="584">
        <f t="shared" si="163"/>
        <v>1172340</v>
      </c>
      <c r="L664" s="585" t="s">
        <v>857</v>
      </c>
      <c r="M664" s="585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26">
        <v>1</v>
      </c>
      <c r="AB664" s="576" t="str">
        <f>IF(VLOOKUP(F664,NXT!$C$12:$C$786,1,0)=F664,"","x")</f>
        <v/>
      </c>
      <c r="AC664" s="205"/>
      <c r="AD664" s="205"/>
    </row>
    <row r="665" spans="1:30" s="576" customFormat="1" ht="15.75" customHeight="1">
      <c r="A665" s="827" t="str">
        <f>IF(B665&lt;&gt;"",IF(AND(B665&gt;=_TM1,B665&lt;=_TM2,OR(TH!L665="1111",TH!M665="1111")),TH!D665,""),"")</f>
        <v/>
      </c>
      <c r="B665" s="36">
        <f t="shared" si="159"/>
        <v>3</v>
      </c>
      <c r="C665" s="190">
        <f t="shared" si="160"/>
        <v>42455</v>
      </c>
      <c r="D665" s="37" t="s">
        <v>1658</v>
      </c>
      <c r="E665" s="37">
        <v>42455</v>
      </c>
      <c r="F665" s="191" t="s">
        <v>732</v>
      </c>
      <c r="G665" s="837" t="s">
        <v>964</v>
      </c>
      <c r="H665" s="192" t="s">
        <v>428</v>
      </c>
      <c r="I665" s="253">
        <v>150</v>
      </c>
      <c r="J665" s="253">
        <v>12444</v>
      </c>
      <c r="K665" s="584">
        <f t="shared" si="163"/>
        <v>1866600</v>
      </c>
      <c r="L665" s="585" t="s">
        <v>857</v>
      </c>
      <c r="M665" s="585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26">
        <v>1</v>
      </c>
      <c r="AB665" s="576" t="str">
        <f>IF(VLOOKUP(F665,NXT!$C$12:$C$786,1,0)=F665,"","x")</f>
        <v/>
      </c>
      <c r="AC665" s="205"/>
      <c r="AD665" s="205"/>
    </row>
    <row r="666" spans="1:30" s="576" customFormat="1" ht="15.75" customHeight="1">
      <c r="A666" s="827" t="str">
        <f>IF(B666&lt;&gt;"",IF(AND(B666&gt;=_TM1,B666&lt;=_TM2,OR(TH!L666="1111",TH!M666="1111")),TH!D666,""),"")</f>
        <v/>
      </c>
      <c r="B666" s="36">
        <f t="shared" si="159"/>
        <v>3</v>
      </c>
      <c r="C666" s="190">
        <f t="shared" si="160"/>
        <v>42455</v>
      </c>
      <c r="D666" s="37" t="s">
        <v>1658</v>
      </c>
      <c r="E666" s="37">
        <v>42455</v>
      </c>
      <c r="F666" s="191" t="s">
        <v>773</v>
      </c>
      <c r="G666" s="837" t="s">
        <v>964</v>
      </c>
      <c r="H666" s="192" t="s">
        <v>428</v>
      </c>
      <c r="I666" s="253">
        <v>75</v>
      </c>
      <c r="J666" s="253">
        <v>26567</v>
      </c>
      <c r="K666" s="584">
        <f t="shared" si="163"/>
        <v>1992525</v>
      </c>
      <c r="L666" s="585" t="s">
        <v>857</v>
      </c>
      <c r="M666" s="585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26">
        <v>1</v>
      </c>
      <c r="AB666" s="576" t="str">
        <f>IF(VLOOKUP(F666,NXT!$C$12:$C$786,1,0)=F666,"","x")</f>
        <v/>
      </c>
      <c r="AC666" s="205"/>
      <c r="AD666" s="205"/>
    </row>
    <row r="667" spans="1:30" s="576" customFormat="1" ht="15.75" customHeight="1">
      <c r="A667" s="827" t="str">
        <f>IF(B667&lt;&gt;"",IF(AND(B667&gt;=_TM1,B667&lt;=_TM2,OR(TH!L667="1111",TH!M667="1111")),TH!D667,""),"")</f>
        <v/>
      </c>
      <c r="B667" s="36">
        <f t="shared" si="159"/>
        <v>3</v>
      </c>
      <c r="C667" s="190">
        <f t="shared" si="160"/>
        <v>42455</v>
      </c>
      <c r="D667" s="37" t="s">
        <v>1658</v>
      </c>
      <c r="E667" s="37">
        <v>42455</v>
      </c>
      <c r="F667" s="191" t="s">
        <v>774</v>
      </c>
      <c r="G667" s="837" t="s">
        <v>964</v>
      </c>
      <c r="H667" s="192" t="s">
        <v>428</v>
      </c>
      <c r="I667" s="253">
        <v>40</v>
      </c>
      <c r="J667" s="253">
        <v>24407</v>
      </c>
      <c r="K667" s="584">
        <f t="shared" si="163"/>
        <v>976280</v>
      </c>
      <c r="L667" s="585" t="s">
        <v>857</v>
      </c>
      <c r="M667" s="585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26">
        <v>1</v>
      </c>
      <c r="AB667" s="576" t="str">
        <f>IF(VLOOKUP(F667,NXT!$C$12:$C$786,1,0)=F667,"","x")</f>
        <v/>
      </c>
      <c r="AC667" s="205"/>
      <c r="AD667" s="205"/>
    </row>
    <row r="668" spans="1:30" s="576" customFormat="1" ht="15.75" customHeight="1">
      <c r="A668" s="827" t="str">
        <f>IF(B668&lt;&gt;"",IF(AND(B668&gt;=_TM1,B668&lt;=_TM2,OR(TH!L668="1111",TH!M668="1111")),TH!D668,""),"")</f>
        <v/>
      </c>
      <c r="B668" s="36">
        <f t="shared" si="159"/>
        <v>3</v>
      </c>
      <c r="C668" s="190">
        <f t="shared" si="160"/>
        <v>42455</v>
      </c>
      <c r="D668" s="37" t="s">
        <v>1658</v>
      </c>
      <c r="E668" s="37">
        <v>42455</v>
      </c>
      <c r="F668" s="191" t="s">
        <v>461</v>
      </c>
      <c r="G668" s="837" t="s">
        <v>964</v>
      </c>
      <c r="H668" s="192" t="s">
        <v>428</v>
      </c>
      <c r="I668" s="253"/>
      <c r="J668" s="253"/>
      <c r="K668" s="584">
        <v>1235115</v>
      </c>
      <c r="L668" s="585" t="s">
        <v>9</v>
      </c>
      <c r="M668" s="585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26">
        <v>1</v>
      </c>
      <c r="AB668" s="205"/>
      <c r="AC668" s="205"/>
      <c r="AD668" s="205"/>
    </row>
    <row r="669" spans="1:30" s="576" customFormat="1" ht="15.75" customHeight="1">
      <c r="A669" s="827" t="str">
        <f>IF(B669&lt;&gt;"",IF(AND(B669&gt;=_TM1,B669&lt;=_TM2,OR(TH!L669="1111",TH!M669="1111")),TH!D669,""),"")</f>
        <v/>
      </c>
      <c r="B669" s="36">
        <f t="shared" ref="B669:B732" si="164">IF(C669&lt;&gt;"",MONTH(C669),"")</f>
        <v>3</v>
      </c>
      <c r="C669" s="190">
        <f t="shared" ref="C669:C732" si="165">E669</f>
        <v>42455</v>
      </c>
      <c r="D669" s="37" t="s">
        <v>1659</v>
      </c>
      <c r="E669" s="37">
        <v>42455</v>
      </c>
      <c r="F669" s="191" t="s">
        <v>463</v>
      </c>
      <c r="G669" s="837" t="s">
        <v>966</v>
      </c>
      <c r="H669" s="192" t="s">
        <v>428</v>
      </c>
      <c r="I669" s="253">
        <v>90</v>
      </c>
      <c r="J669" s="253">
        <v>31393</v>
      </c>
      <c r="K669" s="584">
        <f t="shared" ref="K669:K680" si="166">ROUND(I669*J669,0)</f>
        <v>2825370</v>
      </c>
      <c r="L669" s="585" t="s">
        <v>857</v>
      </c>
      <c r="M669" s="585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26">
        <v>1</v>
      </c>
      <c r="AB669" s="576" t="str">
        <f>IF(VLOOKUP(F669,NXT!$C$12:$C$786,1,0)=F669,"","x")</f>
        <v/>
      </c>
      <c r="AC669" s="205"/>
      <c r="AD669" s="205"/>
    </row>
    <row r="670" spans="1:30" s="576" customFormat="1" ht="15.75" customHeight="1">
      <c r="A670" s="827" t="str">
        <f>IF(B670&lt;&gt;"",IF(AND(B670&gt;=_TM1,B670&lt;=_TM2,OR(TH!L670="1111",TH!M670="1111")),TH!D670,""),"")</f>
        <v/>
      </c>
      <c r="B670" s="36">
        <f t="shared" si="164"/>
        <v>3</v>
      </c>
      <c r="C670" s="190">
        <f t="shared" si="165"/>
        <v>42455</v>
      </c>
      <c r="D670" s="37" t="s">
        <v>1659</v>
      </c>
      <c r="E670" s="37">
        <v>42455</v>
      </c>
      <c r="F670" s="191" t="s">
        <v>674</v>
      </c>
      <c r="G670" s="837" t="s">
        <v>966</v>
      </c>
      <c r="H670" s="192" t="s">
        <v>428</v>
      </c>
      <c r="I670" s="253">
        <v>60</v>
      </c>
      <c r="J670" s="253">
        <v>40511</v>
      </c>
      <c r="K670" s="584">
        <f t="shared" si="166"/>
        <v>2430660</v>
      </c>
      <c r="L670" s="585" t="s">
        <v>857</v>
      </c>
      <c r="M670" s="585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26">
        <v>1</v>
      </c>
      <c r="AB670" s="576" t="str">
        <f>IF(VLOOKUP(F670,NXT!$C$12:$C$786,1,0)=F670,"","x")</f>
        <v/>
      </c>
      <c r="AC670" s="205"/>
      <c r="AD670" s="205"/>
    </row>
    <row r="671" spans="1:30" s="576" customFormat="1" ht="15.75" customHeight="1">
      <c r="A671" s="827" t="str">
        <f>IF(B671&lt;&gt;"",IF(AND(B671&gt;=_TM1,B671&lt;=_TM2,OR(TH!L671="1111",TH!M671="1111")),TH!D671,""),"")</f>
        <v/>
      </c>
      <c r="B671" s="36">
        <f t="shared" si="164"/>
        <v>3</v>
      </c>
      <c r="C671" s="190">
        <f t="shared" si="165"/>
        <v>42455</v>
      </c>
      <c r="D671" s="37" t="s">
        <v>1659</v>
      </c>
      <c r="E671" s="37">
        <v>42455</v>
      </c>
      <c r="F671" s="191" t="s">
        <v>673</v>
      </c>
      <c r="G671" s="837" t="s">
        <v>966</v>
      </c>
      <c r="H671" s="192" t="s">
        <v>428</v>
      </c>
      <c r="I671" s="253">
        <v>64</v>
      </c>
      <c r="J671" s="253">
        <v>36031</v>
      </c>
      <c r="K671" s="584">
        <f t="shared" si="166"/>
        <v>2305984</v>
      </c>
      <c r="L671" s="585" t="s">
        <v>857</v>
      </c>
      <c r="M671" s="585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26">
        <v>1</v>
      </c>
      <c r="AB671" s="576" t="str">
        <f>IF(VLOOKUP(F671,NXT!$C$12:$C$786,1,0)=F671,"","x")</f>
        <v/>
      </c>
      <c r="AC671" s="205"/>
      <c r="AD671" s="205"/>
    </row>
    <row r="672" spans="1:30" s="576" customFormat="1" ht="15.75" customHeight="1">
      <c r="A672" s="827" t="str">
        <f>IF(B672&lt;&gt;"",IF(AND(B672&gt;=_TM1,B672&lt;=_TM2,OR(TH!L672="1111",TH!M672="1111")),TH!D672,""),"")</f>
        <v/>
      </c>
      <c r="B672" s="36">
        <f t="shared" si="164"/>
        <v>3</v>
      </c>
      <c r="C672" s="190">
        <f t="shared" si="165"/>
        <v>42455</v>
      </c>
      <c r="D672" s="37" t="s">
        <v>1659</v>
      </c>
      <c r="E672" s="37">
        <v>42455</v>
      </c>
      <c r="F672" s="191" t="s">
        <v>670</v>
      </c>
      <c r="G672" s="837" t="s">
        <v>966</v>
      </c>
      <c r="H672" s="192" t="s">
        <v>428</v>
      </c>
      <c r="I672" s="253">
        <v>35</v>
      </c>
      <c r="J672" s="253">
        <v>104596</v>
      </c>
      <c r="K672" s="584">
        <f t="shared" si="166"/>
        <v>3660860</v>
      </c>
      <c r="L672" s="585" t="s">
        <v>857</v>
      </c>
      <c r="M672" s="585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26">
        <v>1</v>
      </c>
      <c r="AB672" s="576" t="str">
        <f>IF(VLOOKUP(F672,NXT!$C$12:$C$786,1,0)=F672,"","x")</f>
        <v/>
      </c>
      <c r="AC672" s="205"/>
      <c r="AD672" s="205"/>
    </row>
    <row r="673" spans="1:30" s="576" customFormat="1" ht="15.75" customHeight="1">
      <c r="A673" s="827" t="str">
        <f>IF(B673&lt;&gt;"",IF(AND(B673&gt;=_TM1,B673&lt;=_TM2,OR(TH!L673="1111",TH!M673="1111")),TH!D673,""),"")</f>
        <v/>
      </c>
      <c r="B673" s="36">
        <f t="shared" si="164"/>
        <v>3</v>
      </c>
      <c r="C673" s="190">
        <f t="shared" si="165"/>
        <v>42455</v>
      </c>
      <c r="D673" s="37" t="s">
        <v>1659</v>
      </c>
      <c r="E673" s="37">
        <v>42455</v>
      </c>
      <c r="F673" s="191" t="s">
        <v>672</v>
      </c>
      <c r="G673" s="837" t="s">
        <v>966</v>
      </c>
      <c r="H673" s="192" t="s">
        <v>428</v>
      </c>
      <c r="I673" s="253">
        <v>74</v>
      </c>
      <c r="J673" s="253">
        <v>63635</v>
      </c>
      <c r="K673" s="584">
        <f t="shared" si="166"/>
        <v>4708990</v>
      </c>
      <c r="L673" s="585" t="s">
        <v>857</v>
      </c>
      <c r="M673" s="585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26">
        <v>1</v>
      </c>
      <c r="AB673" s="576" t="str">
        <f>IF(VLOOKUP(F673,NXT!$C$12:$C$786,1,0)=F673,"","x")</f>
        <v/>
      </c>
      <c r="AC673" s="205"/>
      <c r="AD673" s="205"/>
    </row>
    <row r="674" spans="1:30" s="576" customFormat="1" ht="15.75" customHeight="1">
      <c r="A674" s="827" t="str">
        <f>IF(B674&lt;&gt;"",IF(AND(B674&gt;=_TM1,B674&lt;=_TM2,OR(TH!L674="1111",TH!M674="1111")),TH!D674,""),"")</f>
        <v/>
      </c>
      <c r="B674" s="36">
        <f t="shared" si="164"/>
        <v>3</v>
      </c>
      <c r="C674" s="190">
        <f t="shared" si="165"/>
        <v>42455</v>
      </c>
      <c r="D674" s="37" t="s">
        <v>1659</v>
      </c>
      <c r="E674" s="37">
        <v>42455</v>
      </c>
      <c r="F674" s="191" t="s">
        <v>671</v>
      </c>
      <c r="G674" s="837" t="s">
        <v>966</v>
      </c>
      <c r="H674" s="192" t="s">
        <v>428</v>
      </c>
      <c r="I674" s="253">
        <v>45</v>
      </c>
      <c r="J674" s="253">
        <v>110639</v>
      </c>
      <c r="K674" s="584">
        <f t="shared" si="166"/>
        <v>4978755</v>
      </c>
      <c r="L674" s="585" t="s">
        <v>857</v>
      </c>
      <c r="M674" s="585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26">
        <v>1</v>
      </c>
      <c r="AB674" s="576" t="str">
        <f>IF(VLOOKUP(F674,NXT!$C$12:$C$786,1,0)=F674,"","x")</f>
        <v/>
      </c>
      <c r="AC674" s="205"/>
      <c r="AD674" s="205"/>
    </row>
    <row r="675" spans="1:30" s="576" customFormat="1" ht="15.75" customHeight="1">
      <c r="A675" s="827" t="str">
        <f>IF(B675&lt;&gt;"",IF(AND(B675&gt;=_TM1,B675&lt;=_TM2,OR(TH!L675="1111",TH!M675="1111")),TH!D675,""),"")</f>
        <v/>
      </c>
      <c r="B675" s="36">
        <f t="shared" si="164"/>
        <v>3</v>
      </c>
      <c r="C675" s="190">
        <f t="shared" si="165"/>
        <v>42455</v>
      </c>
      <c r="D675" s="37" t="s">
        <v>1659</v>
      </c>
      <c r="E675" s="37">
        <v>42455</v>
      </c>
      <c r="F675" s="191" t="s">
        <v>967</v>
      </c>
      <c r="G675" s="837" t="s">
        <v>966</v>
      </c>
      <c r="H675" s="192" t="s">
        <v>428</v>
      </c>
      <c r="I675" s="253">
        <v>640</v>
      </c>
      <c r="J675" s="253">
        <v>9026</v>
      </c>
      <c r="K675" s="584">
        <f t="shared" si="166"/>
        <v>5776640</v>
      </c>
      <c r="L675" s="585" t="s">
        <v>857</v>
      </c>
      <c r="M675" s="585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26">
        <v>1</v>
      </c>
      <c r="AB675" s="576" t="str">
        <f>IF(VLOOKUP(F675,NXT!$C$12:$C$786,1,0)=F675,"","x")</f>
        <v/>
      </c>
      <c r="AC675" s="205"/>
      <c r="AD675" s="205"/>
    </row>
    <row r="676" spans="1:30" s="576" customFormat="1" ht="15.75" customHeight="1">
      <c r="A676" s="827" t="str">
        <f>IF(B676&lt;&gt;"",IF(AND(B676&gt;=_TM1,B676&lt;=_TM2,OR(TH!L676="1111",TH!M676="1111")),TH!D676,""),"")</f>
        <v/>
      </c>
      <c r="B676" s="36">
        <f t="shared" si="164"/>
        <v>3</v>
      </c>
      <c r="C676" s="190">
        <f t="shared" si="165"/>
        <v>42455</v>
      </c>
      <c r="D676" s="37" t="s">
        <v>1659</v>
      </c>
      <c r="E676" s="37">
        <v>42455</v>
      </c>
      <c r="F676" s="191" t="s">
        <v>968</v>
      </c>
      <c r="G676" s="837" t="s">
        <v>966</v>
      </c>
      <c r="H676" s="192" t="s">
        <v>428</v>
      </c>
      <c r="I676" s="253">
        <v>300</v>
      </c>
      <c r="J676" s="253">
        <v>9699</v>
      </c>
      <c r="K676" s="584">
        <f t="shared" si="166"/>
        <v>2909700</v>
      </c>
      <c r="L676" s="585" t="s">
        <v>857</v>
      </c>
      <c r="M676" s="585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26">
        <v>1</v>
      </c>
      <c r="AB676" s="576" t="str">
        <f>IF(VLOOKUP(F676,NXT!$C$12:$C$786,1,0)=F676,"","x")</f>
        <v/>
      </c>
      <c r="AC676" s="205"/>
      <c r="AD676" s="205"/>
    </row>
    <row r="677" spans="1:30" s="576" customFormat="1" ht="15.75" customHeight="1">
      <c r="A677" s="827" t="str">
        <f>IF(B677&lt;&gt;"",IF(AND(B677&gt;=_TM1,B677&lt;=_TM2,OR(TH!L677="1111",TH!M677="1111")),TH!D677,""),"")</f>
        <v/>
      </c>
      <c r="B677" s="36">
        <f t="shared" si="164"/>
        <v>3</v>
      </c>
      <c r="C677" s="190">
        <f t="shared" si="165"/>
        <v>42455</v>
      </c>
      <c r="D677" s="37" t="s">
        <v>1659</v>
      </c>
      <c r="E677" s="37">
        <v>42455</v>
      </c>
      <c r="F677" s="191" t="s">
        <v>921</v>
      </c>
      <c r="G677" s="837" t="s">
        <v>966</v>
      </c>
      <c r="H677" s="192" t="s">
        <v>428</v>
      </c>
      <c r="I677" s="253">
        <v>1000</v>
      </c>
      <c r="J677" s="253">
        <v>6428</v>
      </c>
      <c r="K677" s="584">
        <f t="shared" si="166"/>
        <v>6428000</v>
      </c>
      <c r="L677" s="585" t="s">
        <v>857</v>
      </c>
      <c r="M677" s="585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26">
        <v>1</v>
      </c>
      <c r="AB677" s="576" t="str">
        <f>IF(VLOOKUP(F677,NXT!$C$12:$C$786,1,0)=F677,"","x")</f>
        <v/>
      </c>
      <c r="AC677" s="205"/>
      <c r="AD677" s="205"/>
    </row>
    <row r="678" spans="1:30" s="576" customFormat="1" ht="15.75" customHeight="1">
      <c r="A678" s="827" t="str">
        <f>IF(B678&lt;&gt;"",IF(AND(B678&gt;=_TM1,B678&lt;=_TM2,OR(TH!L678="1111",TH!M678="1111")),TH!D678,""),"")</f>
        <v/>
      </c>
      <c r="B678" s="36">
        <f t="shared" si="164"/>
        <v>3</v>
      </c>
      <c r="C678" s="190">
        <f t="shared" si="165"/>
        <v>42455</v>
      </c>
      <c r="D678" s="37" t="s">
        <v>1659</v>
      </c>
      <c r="E678" s="37">
        <v>42455</v>
      </c>
      <c r="F678" s="191" t="s">
        <v>637</v>
      </c>
      <c r="G678" s="837" t="s">
        <v>966</v>
      </c>
      <c r="H678" s="192" t="s">
        <v>428</v>
      </c>
      <c r="I678" s="253">
        <v>1050</v>
      </c>
      <c r="J678" s="253">
        <v>5639</v>
      </c>
      <c r="K678" s="584">
        <f t="shared" si="166"/>
        <v>5920950</v>
      </c>
      <c r="L678" s="585" t="s">
        <v>857</v>
      </c>
      <c r="M678" s="585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26">
        <v>1</v>
      </c>
      <c r="AB678" s="576" t="str">
        <f>IF(VLOOKUP(F678,NXT!$C$12:$C$786,1,0)=F678,"","x")</f>
        <v/>
      </c>
      <c r="AC678" s="205"/>
      <c r="AD678" s="205"/>
    </row>
    <row r="679" spans="1:30" s="576" customFormat="1" ht="15.75" customHeight="1">
      <c r="A679" s="827" t="str">
        <f>IF(B679&lt;&gt;"",IF(AND(B679&gt;=_TM1,B679&lt;=_TM2,OR(TH!L679="1111",TH!M679="1111")),TH!D679,""),"")</f>
        <v/>
      </c>
      <c r="B679" s="36">
        <f t="shared" si="164"/>
        <v>3</v>
      </c>
      <c r="C679" s="190">
        <f t="shared" si="165"/>
        <v>42455</v>
      </c>
      <c r="D679" s="37" t="s">
        <v>1659</v>
      </c>
      <c r="E679" s="37">
        <v>42455</v>
      </c>
      <c r="F679" s="191" t="s">
        <v>627</v>
      </c>
      <c r="G679" s="837" t="s">
        <v>966</v>
      </c>
      <c r="H679" s="192" t="s">
        <v>428</v>
      </c>
      <c r="I679" s="253">
        <v>1000</v>
      </c>
      <c r="J679" s="253">
        <v>6209</v>
      </c>
      <c r="K679" s="584">
        <f t="shared" si="166"/>
        <v>6209000</v>
      </c>
      <c r="L679" s="585" t="s">
        <v>857</v>
      </c>
      <c r="M679" s="585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26">
        <v>1</v>
      </c>
      <c r="AB679" s="576" t="str">
        <f>IF(VLOOKUP(F679,NXT!$C$12:$C$786,1,0)=F679,"","x")</f>
        <v/>
      </c>
      <c r="AC679" s="205"/>
      <c r="AD679" s="205"/>
    </row>
    <row r="680" spans="1:30" s="576" customFormat="1" ht="15.75" customHeight="1">
      <c r="A680" s="827" t="str">
        <f>IF(B680&lt;&gt;"",IF(AND(B680&gt;=_TM1,B680&lt;=_TM2,OR(TH!L680="1111",TH!M680="1111")),TH!D680,""),"")</f>
        <v/>
      </c>
      <c r="B680" s="36">
        <f t="shared" si="164"/>
        <v>3</v>
      </c>
      <c r="C680" s="190">
        <f t="shared" si="165"/>
        <v>42455</v>
      </c>
      <c r="D680" s="37" t="s">
        <v>1659</v>
      </c>
      <c r="E680" s="37">
        <v>42455</v>
      </c>
      <c r="F680" s="191" t="s">
        <v>656</v>
      </c>
      <c r="G680" s="837" t="s">
        <v>966</v>
      </c>
      <c r="H680" s="192" t="s">
        <v>428</v>
      </c>
      <c r="I680" s="253">
        <v>1050</v>
      </c>
      <c r="J680" s="253">
        <v>4251</v>
      </c>
      <c r="K680" s="584">
        <f t="shared" si="166"/>
        <v>4463550</v>
      </c>
      <c r="L680" s="585" t="s">
        <v>857</v>
      </c>
      <c r="M680" s="585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26">
        <v>1</v>
      </c>
      <c r="AB680" s="576" t="str">
        <f>IF(VLOOKUP(F680,NXT!$C$12:$C$786,1,0)=F680,"","x")</f>
        <v/>
      </c>
      <c r="AC680" s="205"/>
      <c r="AD680" s="205"/>
    </row>
    <row r="681" spans="1:30" s="576" customFormat="1" ht="15.75" customHeight="1">
      <c r="A681" s="827" t="str">
        <f>IF(B681&lt;&gt;"",IF(AND(B681&gt;=_TM1,B681&lt;=_TM2,OR(TH!L681="1111",TH!M681="1111")),TH!D681,""),"")</f>
        <v/>
      </c>
      <c r="B681" s="36">
        <f t="shared" si="164"/>
        <v>3</v>
      </c>
      <c r="C681" s="190">
        <f t="shared" si="165"/>
        <v>42455</v>
      </c>
      <c r="D681" s="37" t="s">
        <v>1659</v>
      </c>
      <c r="E681" s="37">
        <v>42455</v>
      </c>
      <c r="F681" s="191" t="s">
        <v>461</v>
      </c>
      <c r="G681" s="837" t="s">
        <v>966</v>
      </c>
      <c r="H681" s="192" t="s">
        <v>428</v>
      </c>
      <c r="I681" s="253"/>
      <c r="J681" s="253"/>
      <c r="K681" s="584">
        <v>5261846</v>
      </c>
      <c r="L681" s="585" t="s">
        <v>9</v>
      </c>
      <c r="M681" s="585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26">
        <v>1</v>
      </c>
      <c r="AB681" s="205"/>
      <c r="AC681" s="205"/>
      <c r="AD681" s="205"/>
    </row>
    <row r="682" spans="1:30" s="576" customFormat="1" ht="15.75" customHeight="1">
      <c r="A682" s="827" t="str">
        <f>IF(B682&lt;&gt;"",IF(AND(B682&gt;=_TM1,B682&lt;=_TM2,OR(TH!L682="1111",TH!M682="1111")),TH!D682,""),"")</f>
        <v/>
      </c>
      <c r="B682" s="36">
        <f t="shared" si="164"/>
        <v>3</v>
      </c>
      <c r="C682" s="183">
        <f t="shared" si="165"/>
        <v>42456</v>
      </c>
      <c r="D682" s="37" t="s">
        <v>1660</v>
      </c>
      <c r="E682" s="183">
        <v>42456</v>
      </c>
      <c r="F682" s="188" t="s">
        <v>462</v>
      </c>
      <c r="G682" s="829" t="s">
        <v>460</v>
      </c>
      <c r="H682" s="192" t="s">
        <v>445</v>
      </c>
      <c r="I682" s="253">
        <v>144</v>
      </c>
      <c r="J682" s="253">
        <v>45872</v>
      </c>
      <c r="K682" s="584">
        <f t="shared" ref="K682:K697" si="167">ROUND(I682*J682,0)</f>
        <v>6605568</v>
      </c>
      <c r="L682" s="585" t="s">
        <v>857</v>
      </c>
      <c r="M682" s="585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26">
        <v>2</v>
      </c>
      <c r="AB682" s="576" t="str">
        <f>IF(VLOOKUP(F682,NXT!$C$12:$C$786,1,0)=F682,"","x")</f>
        <v/>
      </c>
    </row>
    <row r="683" spans="1:30" s="576" customFormat="1" ht="15.75" customHeight="1">
      <c r="A683" s="827" t="str">
        <f>IF(B683&lt;&gt;"",IF(AND(B683&gt;=_TM1,B683&lt;=_TM2,OR(TH!L683="1111",TH!M683="1111")),TH!D683,""),"")</f>
        <v/>
      </c>
      <c r="B683" s="36">
        <f t="shared" si="164"/>
        <v>3</v>
      </c>
      <c r="C683" s="183">
        <f t="shared" si="165"/>
        <v>42456</v>
      </c>
      <c r="D683" s="37" t="s">
        <v>1660</v>
      </c>
      <c r="E683" s="183">
        <v>42456</v>
      </c>
      <c r="F683" s="191" t="s">
        <v>463</v>
      </c>
      <c r="G683" s="829" t="s">
        <v>460</v>
      </c>
      <c r="H683" s="192" t="s">
        <v>445</v>
      </c>
      <c r="I683" s="253">
        <v>24</v>
      </c>
      <c r="J683" s="253">
        <v>43337</v>
      </c>
      <c r="K683" s="584">
        <f t="shared" si="167"/>
        <v>1040088</v>
      </c>
      <c r="L683" s="585" t="s">
        <v>857</v>
      </c>
      <c r="M683" s="585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26">
        <v>2</v>
      </c>
      <c r="AB683" s="576" t="str">
        <f>IF(VLOOKUP(F683,NXT!$C$12:$C$786,1,0)=F683,"","x")</f>
        <v/>
      </c>
    </row>
    <row r="684" spans="1:30" s="576" customFormat="1" ht="15.75" customHeight="1">
      <c r="A684" s="827" t="str">
        <f>IF(B684&lt;&gt;"",IF(AND(B684&gt;=_TM1,B684&lt;=_TM2,OR(TH!L684="1111",TH!M684="1111")),TH!D684,""),"")</f>
        <v/>
      </c>
      <c r="B684" s="36">
        <f t="shared" si="164"/>
        <v>3</v>
      </c>
      <c r="C684" s="183">
        <f t="shared" si="165"/>
        <v>42456</v>
      </c>
      <c r="D684" s="37" t="s">
        <v>1660</v>
      </c>
      <c r="E684" s="183">
        <v>42456</v>
      </c>
      <c r="F684" s="188" t="s">
        <v>464</v>
      </c>
      <c r="G684" s="829" t="s">
        <v>460</v>
      </c>
      <c r="H684" s="192" t="s">
        <v>445</v>
      </c>
      <c r="I684" s="253">
        <v>24</v>
      </c>
      <c r="J684" s="253">
        <v>130943</v>
      </c>
      <c r="K684" s="584">
        <f t="shared" si="167"/>
        <v>3142632</v>
      </c>
      <c r="L684" s="585" t="s">
        <v>857</v>
      </c>
      <c r="M684" s="585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26">
        <v>2</v>
      </c>
      <c r="AB684" s="576" t="str">
        <f>IF(VLOOKUP(F684,NXT!$C$12:$C$786,1,0)=F684,"","x")</f>
        <v/>
      </c>
    </row>
    <row r="685" spans="1:30" s="576" customFormat="1" ht="15.75" customHeight="1">
      <c r="A685" s="827" t="str">
        <f>IF(B685&lt;&gt;"",IF(AND(B685&gt;=_TM1,B685&lt;=_TM2,OR(TH!L685="1111",TH!M685="1111")),TH!D685,""),"")</f>
        <v/>
      </c>
      <c r="B685" s="36">
        <f t="shared" si="164"/>
        <v>3</v>
      </c>
      <c r="C685" s="183">
        <f t="shared" si="165"/>
        <v>42456</v>
      </c>
      <c r="D685" s="37" t="s">
        <v>1660</v>
      </c>
      <c r="E685" s="183">
        <v>42456</v>
      </c>
      <c r="F685" s="188" t="s">
        <v>465</v>
      </c>
      <c r="G685" s="829" t="s">
        <v>460</v>
      </c>
      <c r="H685" s="192" t="s">
        <v>445</v>
      </c>
      <c r="I685" s="253">
        <v>24</v>
      </c>
      <c r="J685" s="253">
        <v>40975</v>
      </c>
      <c r="K685" s="584">
        <f t="shared" si="167"/>
        <v>983400</v>
      </c>
      <c r="L685" s="585" t="s">
        <v>857</v>
      </c>
      <c r="M685" s="585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26">
        <v>2</v>
      </c>
      <c r="AB685" s="576" t="str">
        <f>IF(VLOOKUP(F685,NXT!$C$12:$C$786,1,0)=F685,"","x")</f>
        <v/>
      </c>
    </row>
    <row r="686" spans="1:30" s="576" customFormat="1" ht="15.75" customHeight="1">
      <c r="A686" s="827" t="str">
        <f>IF(B686&lt;&gt;"",IF(AND(B686&gt;=_TM1,B686&lt;=_TM2,OR(TH!L686="1111",TH!M686="1111")),TH!D686,""),"")</f>
        <v/>
      </c>
      <c r="B686" s="36">
        <f t="shared" si="164"/>
        <v>3</v>
      </c>
      <c r="C686" s="183">
        <f t="shared" si="165"/>
        <v>42456</v>
      </c>
      <c r="D686" s="37" t="s">
        <v>1660</v>
      </c>
      <c r="E686" s="183">
        <v>42456</v>
      </c>
      <c r="F686" s="188" t="s">
        <v>466</v>
      </c>
      <c r="G686" s="829" t="s">
        <v>460</v>
      </c>
      <c r="H686" s="192" t="s">
        <v>445</v>
      </c>
      <c r="I686" s="253">
        <v>27</v>
      </c>
      <c r="J686" s="253">
        <v>75981</v>
      </c>
      <c r="K686" s="584">
        <f t="shared" si="167"/>
        <v>2051487</v>
      </c>
      <c r="L686" s="585" t="s">
        <v>857</v>
      </c>
      <c r="M686" s="585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26">
        <v>2</v>
      </c>
      <c r="AB686" s="576" t="str">
        <f>IF(VLOOKUP(F686,NXT!$C$12:$C$786,1,0)=F686,"","x")</f>
        <v/>
      </c>
    </row>
    <row r="687" spans="1:30" s="576" customFormat="1" ht="15.75" customHeight="1">
      <c r="A687" s="827" t="str">
        <f>IF(B687&lt;&gt;"",IF(AND(B687&gt;=_TM1,B687&lt;=_TM2,OR(TH!L687="1111",TH!M687="1111")),TH!D687,""),"")</f>
        <v/>
      </c>
      <c r="B687" s="36">
        <f t="shared" si="164"/>
        <v>3</v>
      </c>
      <c r="C687" s="183">
        <f t="shared" si="165"/>
        <v>42456</v>
      </c>
      <c r="D687" s="37" t="s">
        <v>1660</v>
      </c>
      <c r="E687" s="183">
        <v>42456</v>
      </c>
      <c r="F687" s="188" t="s">
        <v>467</v>
      </c>
      <c r="G687" s="829" t="s">
        <v>460</v>
      </c>
      <c r="H687" s="192" t="s">
        <v>445</v>
      </c>
      <c r="I687" s="253">
        <v>8</v>
      </c>
      <c r="J687" s="253">
        <v>31540</v>
      </c>
      <c r="K687" s="584">
        <f t="shared" si="167"/>
        <v>252320</v>
      </c>
      <c r="L687" s="585" t="s">
        <v>857</v>
      </c>
      <c r="M687" s="585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26">
        <v>2</v>
      </c>
      <c r="AB687" s="576" t="str">
        <f>IF(VLOOKUP(F687,NXT!$C$12:$C$786,1,0)=F687,"","x")</f>
        <v/>
      </c>
    </row>
    <row r="688" spans="1:30" s="576" customFormat="1" ht="15.75" customHeight="1">
      <c r="A688" s="827" t="str">
        <f>IF(B688&lt;&gt;"",IF(AND(B688&gt;=_TM1,B688&lt;=_TM2,OR(TH!L688="1111",TH!M688="1111")),TH!D688,""),"")</f>
        <v/>
      </c>
      <c r="B688" s="36">
        <f t="shared" si="164"/>
        <v>3</v>
      </c>
      <c r="C688" s="183">
        <f t="shared" si="165"/>
        <v>42456</v>
      </c>
      <c r="D688" s="37" t="s">
        <v>1660</v>
      </c>
      <c r="E688" s="183">
        <v>42456</v>
      </c>
      <c r="F688" s="188" t="s">
        <v>468</v>
      </c>
      <c r="G688" s="829" t="s">
        <v>460</v>
      </c>
      <c r="H688" s="192" t="s">
        <v>445</v>
      </c>
      <c r="I688" s="253">
        <v>22</v>
      </c>
      <c r="J688" s="253">
        <v>68001</v>
      </c>
      <c r="K688" s="584">
        <f t="shared" si="167"/>
        <v>1496022</v>
      </c>
      <c r="L688" s="585" t="s">
        <v>857</v>
      </c>
      <c r="M688" s="585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26">
        <v>2</v>
      </c>
      <c r="AB688" s="576" t="str">
        <f>IF(VLOOKUP(F688,NXT!$C$12:$C$786,1,0)=F688,"","x")</f>
        <v/>
      </c>
    </row>
    <row r="689" spans="1:30" s="576" customFormat="1" ht="15.75" customHeight="1">
      <c r="A689" s="827" t="str">
        <f>IF(B689&lt;&gt;"",IF(AND(B689&gt;=_TM1,B689&lt;=_TM2,OR(TH!L689="1111",TH!M689="1111")),TH!D689,""),"")</f>
        <v/>
      </c>
      <c r="B689" s="36">
        <f t="shared" si="164"/>
        <v>3</v>
      </c>
      <c r="C689" s="190">
        <f t="shared" si="165"/>
        <v>42456</v>
      </c>
      <c r="D689" s="37" t="s">
        <v>1660</v>
      </c>
      <c r="E689" s="183">
        <v>42456</v>
      </c>
      <c r="F689" s="188" t="s">
        <v>469</v>
      </c>
      <c r="G689" s="829" t="s">
        <v>460</v>
      </c>
      <c r="H689" s="192" t="s">
        <v>445</v>
      </c>
      <c r="I689" s="253">
        <v>9</v>
      </c>
      <c r="J689" s="253">
        <v>59724</v>
      </c>
      <c r="K689" s="584">
        <f t="shared" si="167"/>
        <v>537516</v>
      </c>
      <c r="L689" s="585" t="s">
        <v>857</v>
      </c>
      <c r="M689" s="585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26">
        <v>2</v>
      </c>
      <c r="AB689" s="576" t="str">
        <f>IF(VLOOKUP(F689,NXT!$C$12:$C$786,1,0)=F689,"","x")</f>
        <v/>
      </c>
      <c r="AC689" s="205"/>
      <c r="AD689" s="205"/>
    </row>
    <row r="690" spans="1:30" s="576" customFormat="1" ht="15.75" customHeight="1">
      <c r="A690" s="827" t="str">
        <f>IF(B690&lt;&gt;"",IF(AND(B690&gt;=_TM1,B690&lt;=_TM2,OR(TH!L690="1111",TH!M690="1111")),TH!D690,""),"")</f>
        <v/>
      </c>
      <c r="B690" s="36">
        <f t="shared" si="164"/>
        <v>3</v>
      </c>
      <c r="C690" s="190">
        <f t="shared" si="165"/>
        <v>42456</v>
      </c>
      <c r="D690" s="37" t="s">
        <v>1660</v>
      </c>
      <c r="E690" s="183">
        <v>42456</v>
      </c>
      <c r="F690" s="188" t="s">
        <v>470</v>
      </c>
      <c r="G690" s="829" t="s">
        <v>460</v>
      </c>
      <c r="H690" s="192" t="s">
        <v>445</v>
      </c>
      <c r="I690" s="253">
        <v>10</v>
      </c>
      <c r="J690" s="253">
        <v>94741</v>
      </c>
      <c r="K690" s="584">
        <f t="shared" si="167"/>
        <v>947410</v>
      </c>
      <c r="L690" s="585" t="s">
        <v>857</v>
      </c>
      <c r="M690" s="585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26">
        <v>2</v>
      </c>
      <c r="AB690" s="576" t="str">
        <f>IF(VLOOKUP(F690,NXT!$C$12:$C$786,1,0)=F690,"","x")</f>
        <v/>
      </c>
      <c r="AC690" s="205"/>
      <c r="AD690" s="205"/>
    </row>
    <row r="691" spans="1:30" s="576" customFormat="1" ht="15.75" customHeight="1">
      <c r="A691" s="827" t="str">
        <f>IF(B691&lt;&gt;"",IF(AND(B691&gt;=_TM1,B691&lt;=_TM2,OR(TH!L691="1111",TH!M691="1111")),TH!D691,""),"")</f>
        <v/>
      </c>
      <c r="B691" s="36">
        <f t="shared" si="164"/>
        <v>3</v>
      </c>
      <c r="C691" s="190">
        <f t="shared" si="165"/>
        <v>42456</v>
      </c>
      <c r="D691" s="37" t="s">
        <v>1660</v>
      </c>
      <c r="E691" s="183">
        <v>42456</v>
      </c>
      <c r="F691" s="188" t="s">
        <v>471</v>
      </c>
      <c r="G691" s="829" t="s">
        <v>460</v>
      </c>
      <c r="H691" s="192" t="s">
        <v>445</v>
      </c>
      <c r="I691" s="253">
        <v>10</v>
      </c>
      <c r="J691" s="253">
        <v>53599</v>
      </c>
      <c r="K691" s="584">
        <f t="shared" si="167"/>
        <v>535990</v>
      </c>
      <c r="L691" s="585" t="s">
        <v>857</v>
      </c>
      <c r="M691" s="585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26">
        <v>2</v>
      </c>
      <c r="AB691" s="576" t="str">
        <f>IF(VLOOKUP(F691,NXT!$C$12:$C$786,1,0)=F691,"","x")</f>
        <v/>
      </c>
    </row>
    <row r="692" spans="1:30" s="576" customFormat="1" ht="15.75" customHeight="1">
      <c r="A692" s="827" t="str">
        <f>IF(B692&lt;&gt;"",IF(AND(B692&gt;=_TM1,B692&lt;=_TM2,OR(TH!L692="1111",TH!M692="1111")),TH!D692,""),"")</f>
        <v/>
      </c>
      <c r="B692" s="36">
        <f t="shared" si="164"/>
        <v>3</v>
      </c>
      <c r="C692" s="190">
        <f t="shared" si="165"/>
        <v>42456</v>
      </c>
      <c r="D692" s="37" t="s">
        <v>1660</v>
      </c>
      <c r="E692" s="183">
        <v>42456</v>
      </c>
      <c r="F692" s="188" t="s">
        <v>472</v>
      </c>
      <c r="G692" s="829" t="s">
        <v>460</v>
      </c>
      <c r="H692" s="192" t="s">
        <v>445</v>
      </c>
      <c r="I692" s="253">
        <v>52</v>
      </c>
      <c r="J692" s="253">
        <v>18040</v>
      </c>
      <c r="K692" s="584">
        <f t="shared" si="167"/>
        <v>938080</v>
      </c>
      <c r="L692" s="585" t="s">
        <v>857</v>
      </c>
      <c r="M692" s="585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26">
        <v>2</v>
      </c>
      <c r="AB692" s="576" t="str">
        <f>IF(VLOOKUP(F692,NXT!$C$12:$C$786,1,0)=F692,"","x")</f>
        <v/>
      </c>
    </row>
    <row r="693" spans="1:30" s="576" customFormat="1" ht="15.75" customHeight="1">
      <c r="A693" s="827" t="str">
        <f>IF(B693&lt;&gt;"",IF(AND(B693&gt;=_TM1,B693&lt;=_TM2,OR(TH!L693="1111",TH!M693="1111")),TH!D693,""),"")</f>
        <v/>
      </c>
      <c r="B693" s="36">
        <f t="shared" si="164"/>
        <v>3</v>
      </c>
      <c r="C693" s="190">
        <f t="shared" si="165"/>
        <v>42456</v>
      </c>
      <c r="D693" s="37" t="s">
        <v>1660</v>
      </c>
      <c r="E693" s="183">
        <v>42456</v>
      </c>
      <c r="F693" s="188" t="s">
        <v>473</v>
      </c>
      <c r="G693" s="829" t="s">
        <v>460</v>
      </c>
      <c r="H693" s="192" t="s">
        <v>445</v>
      </c>
      <c r="I693" s="253">
        <v>21</v>
      </c>
      <c r="J693" s="253">
        <v>18714</v>
      </c>
      <c r="K693" s="584">
        <f t="shared" si="167"/>
        <v>392994</v>
      </c>
      <c r="L693" s="585" t="s">
        <v>857</v>
      </c>
      <c r="M693" s="585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26">
        <v>2</v>
      </c>
      <c r="AB693" s="576" t="str">
        <f>IF(VLOOKUP(F693,NXT!$C$12:$C$786,1,0)=F693,"","x")</f>
        <v/>
      </c>
    </row>
    <row r="694" spans="1:30" s="576" customFormat="1" ht="15.75" customHeight="1">
      <c r="A694" s="827" t="str">
        <f>IF(B694&lt;&gt;"",IF(AND(B694&gt;=_TM1,B694&lt;=_TM2,OR(TH!L694="1111",TH!M694="1111")),TH!D694,""),"")</f>
        <v/>
      </c>
      <c r="B694" s="36">
        <f t="shared" si="164"/>
        <v>3</v>
      </c>
      <c r="C694" s="190">
        <f t="shared" si="165"/>
        <v>42456</v>
      </c>
      <c r="D694" s="37" t="s">
        <v>1660</v>
      </c>
      <c r="E694" s="183">
        <v>42456</v>
      </c>
      <c r="F694" s="188" t="s">
        <v>474</v>
      </c>
      <c r="G694" s="829" t="s">
        <v>460</v>
      </c>
      <c r="H694" s="192" t="s">
        <v>445</v>
      </c>
      <c r="I694" s="253">
        <v>13</v>
      </c>
      <c r="J694" s="253">
        <v>28854</v>
      </c>
      <c r="K694" s="584">
        <f t="shared" si="167"/>
        <v>375102</v>
      </c>
      <c r="L694" s="585" t="s">
        <v>857</v>
      </c>
      <c r="M694" s="585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26">
        <v>2</v>
      </c>
      <c r="AB694" s="576" t="str">
        <f>IF(VLOOKUP(F694,NXT!$C$12:$C$786,1,0)=F694,"","x")</f>
        <v/>
      </c>
    </row>
    <row r="695" spans="1:30" s="576" customFormat="1" ht="15.75" customHeight="1">
      <c r="A695" s="827" t="str">
        <f>IF(B695&lt;&gt;"",IF(AND(B695&gt;=_TM1,B695&lt;=_TM2,OR(TH!L695="1111",TH!M695="1111")),TH!D695,""),"")</f>
        <v/>
      </c>
      <c r="B695" s="36">
        <f t="shared" si="164"/>
        <v>3</v>
      </c>
      <c r="C695" s="190">
        <f t="shared" si="165"/>
        <v>42456</v>
      </c>
      <c r="D695" s="37" t="s">
        <v>1660</v>
      </c>
      <c r="E695" s="183">
        <v>42456</v>
      </c>
      <c r="F695" s="188" t="s">
        <v>475</v>
      </c>
      <c r="G695" s="829" t="s">
        <v>460</v>
      </c>
      <c r="H695" s="192" t="s">
        <v>445</v>
      </c>
      <c r="I695" s="253">
        <v>10</v>
      </c>
      <c r="J695" s="253">
        <v>84170</v>
      </c>
      <c r="K695" s="584">
        <f t="shared" si="167"/>
        <v>841700</v>
      </c>
      <c r="L695" s="585" t="s">
        <v>857</v>
      </c>
      <c r="M695" s="585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26">
        <v>2</v>
      </c>
      <c r="AB695" s="576" t="str">
        <f>IF(VLOOKUP(F695,NXT!$C$12:$C$786,1,0)=F695,"","x")</f>
        <v/>
      </c>
      <c r="AC695" s="205"/>
      <c r="AD695" s="205"/>
    </row>
    <row r="696" spans="1:30" s="576" customFormat="1" ht="15.75" customHeight="1">
      <c r="A696" s="827" t="str">
        <f>IF(B696&lt;&gt;"",IF(AND(B696&gt;=_TM1,B696&lt;=_TM2,OR(TH!L696="1111",TH!M696="1111")),TH!D696,""),"")</f>
        <v/>
      </c>
      <c r="B696" s="36">
        <f t="shared" si="164"/>
        <v>3</v>
      </c>
      <c r="C696" s="190">
        <f t="shared" si="165"/>
        <v>42456</v>
      </c>
      <c r="D696" s="37" t="s">
        <v>1660</v>
      </c>
      <c r="E696" s="183">
        <v>42456</v>
      </c>
      <c r="F696" s="188" t="s">
        <v>476</v>
      </c>
      <c r="G696" s="829" t="s">
        <v>460</v>
      </c>
      <c r="H696" s="192" t="s">
        <v>445</v>
      </c>
      <c r="I696" s="253">
        <v>12</v>
      </c>
      <c r="J696" s="253">
        <v>38630</v>
      </c>
      <c r="K696" s="584">
        <f t="shared" si="167"/>
        <v>463560</v>
      </c>
      <c r="L696" s="585" t="s">
        <v>857</v>
      </c>
      <c r="M696" s="585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26">
        <v>2</v>
      </c>
      <c r="AB696" s="576" t="str">
        <f>IF(VLOOKUP(F696,NXT!$C$12:$C$786,1,0)=F696,"","x")</f>
        <v/>
      </c>
      <c r="AC696" s="205"/>
      <c r="AD696" s="205"/>
    </row>
    <row r="697" spans="1:30" s="576" customFormat="1" ht="15.75" customHeight="1">
      <c r="A697" s="827" t="str">
        <f>IF(B697&lt;&gt;"",IF(AND(B697&gt;=_TM1,B697&lt;=_TM2,OR(TH!L697="1111",TH!M697="1111")),TH!D697,""),"")</f>
        <v/>
      </c>
      <c r="B697" s="36">
        <f t="shared" si="164"/>
        <v>3</v>
      </c>
      <c r="C697" s="190">
        <f t="shared" si="165"/>
        <v>42456</v>
      </c>
      <c r="D697" s="37" t="s">
        <v>1660</v>
      </c>
      <c r="E697" s="183">
        <v>42456</v>
      </c>
      <c r="F697" s="188" t="s">
        <v>477</v>
      </c>
      <c r="G697" s="829" t="s">
        <v>460</v>
      </c>
      <c r="H697" s="192" t="s">
        <v>445</v>
      </c>
      <c r="I697" s="253">
        <v>350</v>
      </c>
      <c r="J697" s="253">
        <v>61738</v>
      </c>
      <c r="K697" s="584">
        <f t="shared" si="167"/>
        <v>21608300</v>
      </c>
      <c r="L697" s="585" t="s">
        <v>857</v>
      </c>
      <c r="M697" s="585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26">
        <v>2</v>
      </c>
      <c r="AB697" s="576" t="str">
        <f>IF(VLOOKUP(F697,NXT!$C$12:$C$786,1,0)=F697,"","x")</f>
        <v/>
      </c>
      <c r="AC697" s="205"/>
      <c r="AD697" s="205"/>
    </row>
    <row r="698" spans="1:30" s="576" customFormat="1" ht="15.75" customHeight="1">
      <c r="A698" s="827" t="str">
        <f>IF(B698&lt;&gt;"",IF(AND(B698&gt;=_TM1,B698&lt;=_TM2,OR(TH!L698="1111",TH!M698="1111")),TH!D698,""),"")</f>
        <v/>
      </c>
      <c r="B698" s="36">
        <f t="shared" si="164"/>
        <v>3</v>
      </c>
      <c r="C698" s="190">
        <f t="shared" si="165"/>
        <v>42456</v>
      </c>
      <c r="D698" s="37" t="s">
        <v>1660</v>
      </c>
      <c r="E698" s="183">
        <v>42456</v>
      </c>
      <c r="F698" s="188" t="s">
        <v>461</v>
      </c>
      <c r="G698" s="829" t="s">
        <v>460</v>
      </c>
      <c r="H698" s="192" t="s">
        <v>445</v>
      </c>
      <c r="I698" s="253"/>
      <c r="J698" s="253"/>
      <c r="K698" s="584">
        <v>4221217</v>
      </c>
      <c r="L698" s="39" t="s">
        <v>9</v>
      </c>
      <c r="M698" s="585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26">
        <v>2</v>
      </c>
      <c r="AB698" s="205"/>
      <c r="AC698" s="205"/>
      <c r="AD698" s="205"/>
    </row>
    <row r="699" spans="1:30" s="576" customFormat="1" ht="15.75" customHeight="1">
      <c r="A699" s="827" t="str">
        <f>IF(B699&lt;&gt;"",IF(AND(B699&gt;=_TM1,B699&lt;=_TM2,OR(TH!L699="1111",TH!M699="1111")),TH!D699,""),"")</f>
        <v/>
      </c>
      <c r="B699" s="36">
        <f t="shared" si="164"/>
        <v>3</v>
      </c>
      <c r="C699" s="190">
        <f t="shared" si="165"/>
        <v>42458</v>
      </c>
      <c r="D699" s="37" t="s">
        <v>1661</v>
      </c>
      <c r="E699" s="190">
        <v>42458</v>
      </c>
      <c r="F699" s="191" t="s">
        <v>731</v>
      </c>
      <c r="G699" s="833" t="s">
        <v>965</v>
      </c>
      <c r="H699" s="192" t="s">
        <v>428</v>
      </c>
      <c r="I699" s="253">
        <v>500</v>
      </c>
      <c r="J699" s="253">
        <v>4828</v>
      </c>
      <c r="K699" s="584">
        <f>ROUND(I699*J699,0)</f>
        <v>2414000</v>
      </c>
      <c r="L699" s="585" t="s">
        <v>857</v>
      </c>
      <c r="M699" s="585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26">
        <v>1</v>
      </c>
      <c r="AB699" s="576" t="str">
        <f>IF(VLOOKUP(F699,NXT!$C$12:$C$786,1,0)=F699,"","x")</f>
        <v/>
      </c>
      <c r="AC699" s="205"/>
      <c r="AD699" s="205"/>
    </row>
    <row r="700" spans="1:30" s="576" customFormat="1" ht="15.75" customHeight="1">
      <c r="A700" s="827" t="str">
        <f>IF(B700&lt;&gt;"",IF(AND(B700&gt;=_TM1,B700&lt;=_TM2,OR(TH!L700="1111",TH!M700="1111")),TH!D700,""),"")</f>
        <v/>
      </c>
      <c r="B700" s="36">
        <f t="shared" si="164"/>
        <v>3</v>
      </c>
      <c r="C700" s="190">
        <f t="shared" si="165"/>
        <v>42458</v>
      </c>
      <c r="D700" s="37" t="s">
        <v>1661</v>
      </c>
      <c r="E700" s="190">
        <v>42458</v>
      </c>
      <c r="F700" s="191" t="s">
        <v>461</v>
      </c>
      <c r="G700" s="833" t="s">
        <v>965</v>
      </c>
      <c r="H700" s="192" t="s">
        <v>428</v>
      </c>
      <c r="I700" s="253"/>
      <c r="J700" s="253"/>
      <c r="K700" s="584">
        <v>241400</v>
      </c>
      <c r="L700" s="585" t="s">
        <v>9</v>
      </c>
      <c r="M700" s="585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26">
        <v>1</v>
      </c>
      <c r="AB700" s="205"/>
      <c r="AC700" s="205"/>
      <c r="AD700" s="205"/>
    </row>
    <row r="701" spans="1:30" s="576" customFormat="1" ht="15.75" customHeight="1">
      <c r="A701" s="827" t="str">
        <f>IF(B701&lt;&gt;"",IF(AND(B701&gt;=_TM1,B701&lt;=_TM2,OR(TH!L701="1111",TH!M701="1111")),TH!D701,""),"")</f>
        <v/>
      </c>
      <c r="B701" s="36">
        <f t="shared" si="164"/>
        <v>4</v>
      </c>
      <c r="C701" s="190">
        <f t="shared" si="165"/>
        <v>42463</v>
      </c>
      <c r="D701" s="37" t="s">
        <v>1630</v>
      </c>
      <c r="E701" s="190">
        <v>42463</v>
      </c>
      <c r="F701" s="188" t="s">
        <v>451</v>
      </c>
      <c r="G701" s="829" t="s">
        <v>478</v>
      </c>
      <c r="H701" s="192" t="s">
        <v>445</v>
      </c>
      <c r="I701" s="253">
        <v>2817</v>
      </c>
      <c r="J701" s="253">
        <v>14550</v>
      </c>
      <c r="K701" s="584">
        <f>ROUND(I701*J701,0)</f>
        <v>40987350</v>
      </c>
      <c r="L701" s="585" t="s">
        <v>857</v>
      </c>
      <c r="M701" s="585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>x</v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26">
        <v>2</v>
      </c>
      <c r="AB701" s="576" t="str">
        <f>IF(VLOOKUP(F701,NXT!$C$12:$C$786,1,0)=F701,"","x")</f>
        <v/>
      </c>
      <c r="AC701" s="205"/>
      <c r="AD701" s="205"/>
    </row>
    <row r="702" spans="1:30" s="576" customFormat="1" ht="15.75" customHeight="1">
      <c r="A702" s="827" t="str">
        <f>IF(B702&lt;&gt;"",IF(AND(B702&gt;=_TM1,B702&lt;=_TM2,OR(TH!L702="1111",TH!M702="1111")),TH!D702,""),"")</f>
        <v/>
      </c>
      <c r="B702" s="36">
        <f t="shared" si="164"/>
        <v>4</v>
      </c>
      <c r="C702" s="190">
        <f t="shared" si="165"/>
        <v>42463</v>
      </c>
      <c r="D702" s="37" t="s">
        <v>1630</v>
      </c>
      <c r="E702" s="190">
        <v>42463</v>
      </c>
      <c r="F702" s="188" t="s">
        <v>479</v>
      </c>
      <c r="G702" s="829" t="s">
        <v>478</v>
      </c>
      <c r="H702" s="192" t="s">
        <v>445</v>
      </c>
      <c r="I702" s="253">
        <v>300</v>
      </c>
      <c r="J702" s="253">
        <v>7628</v>
      </c>
      <c r="K702" s="584">
        <f>ROUND(I702*J702,0)</f>
        <v>2288400</v>
      </c>
      <c r="L702" s="585" t="s">
        <v>857</v>
      </c>
      <c r="M702" s="585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26">
        <v>2</v>
      </c>
      <c r="AB702" s="576" t="str">
        <f>IF(VLOOKUP(F702,NXT!$C$12:$C$786,1,0)=F702,"","x")</f>
        <v/>
      </c>
      <c r="AC702" s="205"/>
      <c r="AD702" s="205"/>
    </row>
    <row r="703" spans="1:30" s="576" customFormat="1" ht="15.75" customHeight="1">
      <c r="A703" s="827" t="str">
        <f>IF(B703&lt;&gt;"",IF(AND(B703&gt;=_TM1,B703&lt;=_TM2,OR(TH!L703="1111",TH!M703="1111")),TH!D703,""),"")</f>
        <v/>
      </c>
      <c r="B703" s="36">
        <f t="shared" si="164"/>
        <v>4</v>
      </c>
      <c r="C703" s="190">
        <f t="shared" si="165"/>
        <v>42463</v>
      </c>
      <c r="D703" s="37" t="s">
        <v>1630</v>
      </c>
      <c r="E703" s="190">
        <v>42463</v>
      </c>
      <c r="F703" s="188" t="s">
        <v>447</v>
      </c>
      <c r="G703" s="829" t="s">
        <v>478</v>
      </c>
      <c r="H703" s="192" t="s">
        <v>445</v>
      </c>
      <c r="I703" s="253"/>
      <c r="J703" s="253"/>
      <c r="K703" s="584">
        <v>4327575</v>
      </c>
      <c r="L703" s="585" t="s">
        <v>9</v>
      </c>
      <c r="M703" s="585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26">
        <v>2</v>
      </c>
      <c r="AB703" s="205"/>
      <c r="AC703" s="205"/>
      <c r="AD703" s="205"/>
    </row>
    <row r="704" spans="1:30" s="576" customFormat="1" ht="15.75" customHeight="1">
      <c r="A704" s="827" t="str">
        <f>IF(B704&lt;&gt;"",IF(AND(B704&gt;=_TM1,B704&lt;=_TM2,OR(TH!L704="1111",TH!M704="1111")),TH!D704,""),"")</f>
        <v/>
      </c>
      <c r="B704" s="36">
        <f t="shared" si="164"/>
        <v>4</v>
      </c>
      <c r="C704" s="183">
        <f t="shared" si="165"/>
        <v>42464</v>
      </c>
      <c r="D704" s="37" t="s">
        <v>1631</v>
      </c>
      <c r="E704" s="183">
        <v>42464</v>
      </c>
      <c r="F704" s="188" t="s">
        <v>432</v>
      </c>
      <c r="G704" s="829" t="s">
        <v>434</v>
      </c>
      <c r="H704" s="192" t="s">
        <v>428</v>
      </c>
      <c r="I704" s="253">
        <v>180</v>
      </c>
      <c r="J704" s="253">
        <v>16181</v>
      </c>
      <c r="K704" s="584">
        <f>ROUND(I704*J704,0)</f>
        <v>2912580</v>
      </c>
      <c r="L704" s="585" t="s">
        <v>857</v>
      </c>
      <c r="M704" s="585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26">
        <v>2</v>
      </c>
      <c r="AB704" s="576" t="str">
        <f>IF(VLOOKUP(F704,NXT!$C$12:$C$786,1,0)=F704,"","x")</f>
        <v/>
      </c>
    </row>
    <row r="705" spans="1:30" s="576" customFormat="1" ht="15.75" customHeight="1">
      <c r="A705" s="827" t="str">
        <f>IF(B705&lt;&gt;"",IF(AND(B705&gt;=_TM1,B705&lt;=_TM2,OR(TH!L705="1111",TH!M705="1111")),TH!D705,""),"")</f>
        <v/>
      </c>
      <c r="B705" s="36">
        <f t="shared" si="164"/>
        <v>4</v>
      </c>
      <c r="C705" s="183">
        <f t="shared" si="165"/>
        <v>42464</v>
      </c>
      <c r="D705" s="37" t="s">
        <v>1631</v>
      </c>
      <c r="E705" s="183">
        <v>42464</v>
      </c>
      <c r="F705" s="191" t="s">
        <v>1014</v>
      </c>
      <c r="G705" s="829" t="s">
        <v>434</v>
      </c>
      <c r="H705" s="192" t="s">
        <v>428</v>
      </c>
      <c r="I705" s="253">
        <v>40</v>
      </c>
      <c r="J705" s="253">
        <v>63479</v>
      </c>
      <c r="K705" s="584">
        <f>ROUND(I705*J705,0)</f>
        <v>2539160</v>
      </c>
      <c r="L705" s="585" t="s">
        <v>857</v>
      </c>
      <c r="M705" s="585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26">
        <v>2</v>
      </c>
      <c r="AB705" s="576" t="str">
        <f>IF(VLOOKUP(F705,NXT!$C$12:$C$786,1,0)=F705,"","x")</f>
        <v/>
      </c>
    </row>
    <row r="706" spans="1:30" s="576" customFormat="1" ht="15.75" customHeight="1">
      <c r="A706" s="827" t="str">
        <f>IF(B706&lt;&gt;"",IF(AND(B706&gt;=_TM1,B706&lt;=_TM2,OR(TH!L706="1111",TH!M706="1111")),TH!D706,""),"")</f>
        <v/>
      </c>
      <c r="B706" s="36">
        <f t="shared" si="164"/>
        <v>4</v>
      </c>
      <c r="C706" s="183">
        <f t="shared" si="165"/>
        <v>42464</v>
      </c>
      <c r="D706" s="37" t="s">
        <v>1631</v>
      </c>
      <c r="E706" s="183">
        <v>42464</v>
      </c>
      <c r="F706" s="188" t="s">
        <v>433</v>
      </c>
      <c r="G706" s="829" t="s">
        <v>434</v>
      </c>
      <c r="H706" s="192" t="s">
        <v>428</v>
      </c>
      <c r="I706" s="253"/>
      <c r="J706" s="253"/>
      <c r="K706" s="584">
        <v>545174</v>
      </c>
      <c r="L706" s="585" t="s">
        <v>9</v>
      </c>
      <c r="M706" s="585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26">
        <v>2</v>
      </c>
      <c r="AB706" s="205"/>
      <c r="AC706" s="205"/>
    </row>
    <row r="707" spans="1:30" s="576" customFormat="1" ht="15.75" customHeight="1">
      <c r="A707" s="827" t="str">
        <f>IF(B707&lt;&gt;"",IF(AND(B707&gt;=_TM1,B707&lt;=_TM2,OR(TH!L707="1111",TH!M707="1111")),TH!D707,""),"")</f>
        <v/>
      </c>
      <c r="B707" s="36">
        <f t="shared" si="164"/>
        <v>4</v>
      </c>
      <c r="C707" s="190">
        <f t="shared" si="165"/>
        <v>42480</v>
      </c>
      <c r="D707" s="37" t="s">
        <v>1632</v>
      </c>
      <c r="E707" s="190">
        <v>42480</v>
      </c>
      <c r="F707" s="191" t="s">
        <v>1178</v>
      </c>
      <c r="G707" s="829" t="s">
        <v>480</v>
      </c>
      <c r="H707" s="192" t="s">
        <v>445</v>
      </c>
      <c r="I707" s="253">
        <v>1000</v>
      </c>
      <c r="J707" s="253">
        <v>30875</v>
      </c>
      <c r="K707" s="584">
        <f>ROUND(I707*J707,0)</f>
        <v>30875000</v>
      </c>
      <c r="L707" s="585" t="s">
        <v>857</v>
      </c>
      <c r="M707" s="585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26">
        <v>2</v>
      </c>
      <c r="AB707" s="576" t="str">
        <f>IF(VLOOKUP(F707,NXT!$C$12:$C$786,1,0)=F707,"","x")</f>
        <v/>
      </c>
      <c r="AC707" s="205"/>
      <c r="AD707" s="205"/>
    </row>
    <row r="708" spans="1:30" s="576" customFormat="1" ht="15.75" customHeight="1">
      <c r="A708" s="827" t="str">
        <f>IF(B708&lt;&gt;"",IF(AND(B708&gt;=_TM1,B708&lt;=_TM2,OR(TH!L708="1111",TH!M708="1111")),TH!D708,""),"")</f>
        <v/>
      </c>
      <c r="B708" s="36">
        <f t="shared" si="164"/>
        <v>4</v>
      </c>
      <c r="C708" s="190">
        <f t="shared" si="165"/>
        <v>42480</v>
      </c>
      <c r="D708" s="37" t="s">
        <v>1632</v>
      </c>
      <c r="E708" s="190">
        <v>42480</v>
      </c>
      <c r="F708" s="191" t="s">
        <v>1179</v>
      </c>
      <c r="G708" s="829" t="s">
        <v>480</v>
      </c>
      <c r="H708" s="192" t="s">
        <v>445</v>
      </c>
      <c r="I708" s="253">
        <v>1100</v>
      </c>
      <c r="J708" s="253">
        <v>31155</v>
      </c>
      <c r="K708" s="584">
        <f>ROUND(I708*J708,0)</f>
        <v>34270500</v>
      </c>
      <c r="L708" s="585" t="s">
        <v>857</v>
      </c>
      <c r="M708" s="585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26">
        <v>2</v>
      </c>
      <c r="AB708" s="576" t="str">
        <f>IF(VLOOKUP(F708,NXT!$C$12:$C$786,1,0)=F708,"","x")</f>
        <v/>
      </c>
      <c r="AC708" s="205"/>
      <c r="AD708" s="205"/>
    </row>
    <row r="709" spans="1:30" s="576" customFormat="1" ht="15.75" customHeight="1">
      <c r="A709" s="827" t="str">
        <f>IF(B709&lt;&gt;"",IF(AND(B709&gt;=_TM1,B709&lt;=_TM2,OR(TH!L709="1111",TH!M709="1111")),TH!D709,""),"")</f>
        <v/>
      </c>
      <c r="B709" s="36">
        <f t="shared" si="164"/>
        <v>4</v>
      </c>
      <c r="C709" s="190">
        <f t="shared" si="165"/>
        <v>42480</v>
      </c>
      <c r="D709" s="37" t="s">
        <v>1632</v>
      </c>
      <c r="E709" s="190">
        <v>42480</v>
      </c>
      <c r="F709" s="188" t="s">
        <v>451</v>
      </c>
      <c r="G709" s="829" t="s">
        <v>480</v>
      </c>
      <c r="H709" s="192" t="s">
        <v>445</v>
      </c>
      <c r="I709" s="253">
        <v>3500</v>
      </c>
      <c r="J709" s="253">
        <v>14250</v>
      </c>
      <c r="K709" s="584">
        <f>ROUND(I709*J709,0)</f>
        <v>49875000</v>
      </c>
      <c r="L709" s="585" t="s">
        <v>857</v>
      </c>
      <c r="M709" s="585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>x</v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26">
        <v>2</v>
      </c>
      <c r="AB709" s="576" t="str">
        <f>IF(VLOOKUP(F709,NXT!$C$12:$C$786,1,0)=F709,"","x")</f>
        <v/>
      </c>
      <c r="AC709" s="205"/>
      <c r="AD709" s="205"/>
    </row>
    <row r="710" spans="1:30" s="576" customFormat="1" ht="15.75" customHeight="1">
      <c r="A710" s="827" t="str">
        <f>IF(B710&lt;&gt;"",IF(AND(B710&gt;=_TM1,B710&lt;=_TM2,OR(TH!L710="1111",TH!M710="1111")),TH!D710,""),"")</f>
        <v/>
      </c>
      <c r="B710" s="36">
        <f t="shared" si="164"/>
        <v>4</v>
      </c>
      <c r="C710" s="190">
        <f t="shared" si="165"/>
        <v>42480</v>
      </c>
      <c r="D710" s="37" t="s">
        <v>1632</v>
      </c>
      <c r="E710" s="190">
        <v>42480</v>
      </c>
      <c r="F710" s="188" t="s">
        <v>450</v>
      </c>
      <c r="G710" s="829" t="s">
        <v>480</v>
      </c>
      <c r="H710" s="192" t="s">
        <v>445</v>
      </c>
      <c r="I710" s="253">
        <v>3200</v>
      </c>
      <c r="J710" s="253">
        <v>15675</v>
      </c>
      <c r="K710" s="584">
        <f>ROUND(I710*J710,0)</f>
        <v>50160000</v>
      </c>
      <c r="L710" s="585" t="s">
        <v>857</v>
      </c>
      <c r="M710" s="585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26">
        <v>2</v>
      </c>
      <c r="AB710" s="576" t="str">
        <f>IF(VLOOKUP(F710,NXT!$C$12:$C$786,1,0)=F710,"","x")</f>
        <v/>
      </c>
      <c r="AC710" s="205"/>
      <c r="AD710" s="205"/>
    </row>
    <row r="711" spans="1:30" s="576" customFormat="1" ht="15.75" customHeight="1">
      <c r="A711" s="827" t="str">
        <f>IF(B711&lt;&gt;"",IF(AND(B711&gt;=_TM1,B711&lt;=_TM2,OR(TH!L711="1111",TH!M711="1111")),TH!D711,""),"")</f>
        <v/>
      </c>
      <c r="B711" s="36">
        <f t="shared" si="164"/>
        <v>4</v>
      </c>
      <c r="C711" s="190">
        <f t="shared" si="165"/>
        <v>42480</v>
      </c>
      <c r="D711" s="37" t="s">
        <v>1632</v>
      </c>
      <c r="E711" s="190">
        <v>42480</v>
      </c>
      <c r="F711" s="188" t="s">
        <v>447</v>
      </c>
      <c r="G711" s="829" t="s">
        <v>480</v>
      </c>
      <c r="H711" s="192" t="s">
        <v>445</v>
      </c>
      <c r="I711" s="253"/>
      <c r="J711" s="253"/>
      <c r="K711" s="584">
        <v>16518050</v>
      </c>
      <c r="L711" s="39" t="s">
        <v>9</v>
      </c>
      <c r="M711" s="585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26">
        <v>2</v>
      </c>
      <c r="AB711" s="205"/>
      <c r="AC711" s="205"/>
      <c r="AD711" s="205"/>
    </row>
    <row r="712" spans="1:30" s="576" customFormat="1" ht="15.75" customHeight="1">
      <c r="A712" s="827" t="str">
        <f>IF(B712&lt;&gt;"",IF(AND(B712&gt;=_TM1,B712&lt;=_TM2,OR(TH!L712="1111",TH!M712="1111")),TH!D712,""),"")</f>
        <v/>
      </c>
      <c r="B712" s="36">
        <f t="shared" si="164"/>
        <v>4</v>
      </c>
      <c r="C712" s="190">
        <f t="shared" si="165"/>
        <v>42485</v>
      </c>
      <c r="D712" s="37" t="s">
        <v>1633</v>
      </c>
      <c r="E712" s="190">
        <v>42485</v>
      </c>
      <c r="F712" s="191" t="s">
        <v>495</v>
      </c>
      <c r="G712" s="829" t="s">
        <v>481</v>
      </c>
      <c r="H712" s="192" t="s">
        <v>445</v>
      </c>
      <c r="I712" s="253">
        <v>126</v>
      </c>
      <c r="J712" s="253">
        <v>7800</v>
      </c>
      <c r="K712" s="584">
        <f t="shared" ref="K712:K743" si="168">ROUND(I712*J712,0)</f>
        <v>982800</v>
      </c>
      <c r="L712" s="585" t="s">
        <v>857</v>
      </c>
      <c r="M712" s="585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26">
        <v>2</v>
      </c>
      <c r="AB712" s="576" t="str">
        <f>IF(VLOOKUP(F712,NXT!$C$12:$C$786,1,0)=F712,"","x")</f>
        <v/>
      </c>
      <c r="AC712" s="205"/>
      <c r="AD712" s="205"/>
    </row>
    <row r="713" spans="1:30" s="576" customFormat="1" ht="15.75" customHeight="1">
      <c r="A713" s="827" t="str">
        <f>IF(B713&lt;&gt;"",IF(AND(B713&gt;=_TM1,B713&lt;=_TM2,OR(TH!L713="1111",TH!M713="1111")),TH!D713,""),"")</f>
        <v/>
      </c>
      <c r="B713" s="36">
        <f t="shared" si="164"/>
        <v>4</v>
      </c>
      <c r="C713" s="190">
        <f t="shared" si="165"/>
        <v>42485</v>
      </c>
      <c r="D713" s="37" t="s">
        <v>1633</v>
      </c>
      <c r="E713" s="190">
        <v>42485</v>
      </c>
      <c r="F713" s="191" t="s">
        <v>496</v>
      </c>
      <c r="G713" s="829" t="s">
        <v>481</v>
      </c>
      <c r="H713" s="192" t="s">
        <v>445</v>
      </c>
      <c r="I713" s="253">
        <v>90</v>
      </c>
      <c r="J713" s="253">
        <v>16751</v>
      </c>
      <c r="K713" s="584">
        <f t="shared" si="168"/>
        <v>1507590</v>
      </c>
      <c r="L713" s="585" t="s">
        <v>857</v>
      </c>
      <c r="M713" s="585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26">
        <v>2</v>
      </c>
      <c r="AB713" s="576" t="str">
        <f>IF(VLOOKUP(F713,NXT!$C$12:$C$786,1,0)=F713,"","x")</f>
        <v/>
      </c>
    </row>
    <row r="714" spans="1:30" s="576" customFormat="1" ht="15.75" customHeight="1">
      <c r="A714" s="827" t="str">
        <f>IF(B714&lt;&gt;"",IF(AND(B714&gt;=_TM1,B714&lt;=_TM2,OR(TH!L714="1111",TH!M714="1111")),TH!D714,""),"")</f>
        <v/>
      </c>
      <c r="B714" s="36">
        <f t="shared" si="164"/>
        <v>4</v>
      </c>
      <c r="C714" s="190">
        <f t="shared" si="165"/>
        <v>42485</v>
      </c>
      <c r="D714" s="37" t="s">
        <v>1633</v>
      </c>
      <c r="E714" s="190">
        <v>42485</v>
      </c>
      <c r="F714" s="191" t="s">
        <v>497</v>
      </c>
      <c r="G714" s="829" t="s">
        <v>481</v>
      </c>
      <c r="H714" s="192" t="s">
        <v>445</v>
      </c>
      <c r="I714" s="253">
        <v>72</v>
      </c>
      <c r="J714" s="253">
        <v>33403</v>
      </c>
      <c r="K714" s="584">
        <f t="shared" si="168"/>
        <v>2405016</v>
      </c>
      <c r="L714" s="585" t="s">
        <v>857</v>
      </c>
      <c r="M714" s="585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26">
        <v>2</v>
      </c>
      <c r="AB714" s="576" t="str">
        <f>IF(VLOOKUP(F714,NXT!$C$12:$C$786,1,0)=F714,"","x")</f>
        <v/>
      </c>
    </row>
    <row r="715" spans="1:30" s="576" customFormat="1" ht="15.75" customHeight="1">
      <c r="A715" s="827" t="str">
        <f>IF(B715&lt;&gt;"",IF(AND(B715&gt;=_TM1,B715&lt;=_TM2,OR(TH!L715="1111",TH!M715="1111")),TH!D715,""),"")</f>
        <v/>
      </c>
      <c r="B715" s="36">
        <f t="shared" si="164"/>
        <v>4</v>
      </c>
      <c r="C715" s="190">
        <f t="shared" si="165"/>
        <v>42485</v>
      </c>
      <c r="D715" s="37" t="s">
        <v>1633</v>
      </c>
      <c r="E715" s="190">
        <v>42485</v>
      </c>
      <c r="F715" s="191" t="s">
        <v>498</v>
      </c>
      <c r="G715" s="829" t="s">
        <v>481</v>
      </c>
      <c r="H715" s="192" t="s">
        <v>445</v>
      </c>
      <c r="I715" s="253">
        <v>72</v>
      </c>
      <c r="J715" s="253">
        <v>21476</v>
      </c>
      <c r="K715" s="584">
        <f t="shared" si="168"/>
        <v>1546272</v>
      </c>
      <c r="L715" s="585" t="s">
        <v>857</v>
      </c>
      <c r="M715" s="585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26">
        <v>2</v>
      </c>
      <c r="AB715" s="576" t="str">
        <f>IF(VLOOKUP(F715,NXT!$C$12:$C$786,1,0)=F715,"","x")</f>
        <v/>
      </c>
    </row>
    <row r="716" spans="1:30" s="576" customFormat="1" ht="15.75" customHeight="1">
      <c r="A716" s="827" t="str">
        <f>IF(B716&lt;&gt;"",IF(AND(B716&gt;=_TM1,B716&lt;=_TM2,OR(TH!L716="1111",TH!M716="1111")),TH!D716,""),"")</f>
        <v/>
      </c>
      <c r="B716" s="36">
        <f t="shared" si="164"/>
        <v>4</v>
      </c>
      <c r="C716" s="190">
        <f t="shared" si="165"/>
        <v>42485</v>
      </c>
      <c r="D716" s="37" t="s">
        <v>1633</v>
      </c>
      <c r="E716" s="190">
        <v>42485</v>
      </c>
      <c r="F716" s="191" t="s">
        <v>499</v>
      </c>
      <c r="G716" s="829" t="s">
        <v>481</v>
      </c>
      <c r="H716" s="192" t="s">
        <v>445</v>
      </c>
      <c r="I716" s="253">
        <v>27</v>
      </c>
      <c r="J716" s="253">
        <v>32995</v>
      </c>
      <c r="K716" s="584">
        <f t="shared" si="168"/>
        <v>890865</v>
      </c>
      <c r="L716" s="585" t="s">
        <v>857</v>
      </c>
      <c r="M716" s="585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26">
        <v>2</v>
      </c>
      <c r="AB716" s="576" t="str">
        <f>IF(VLOOKUP(F716,NXT!$C$12:$C$786,1,0)=F716,"","x")</f>
        <v/>
      </c>
      <c r="AC716" s="205"/>
      <c r="AD716" s="205"/>
    </row>
    <row r="717" spans="1:30" s="576" customFormat="1" ht="15.75" customHeight="1">
      <c r="A717" s="827" t="str">
        <f>IF(B717&lt;&gt;"",IF(AND(B717&gt;=_TM1,B717&lt;=_TM2,OR(TH!L717="1111",TH!M717="1111")),TH!D717,""),"")</f>
        <v/>
      </c>
      <c r="B717" s="36">
        <f t="shared" si="164"/>
        <v>4</v>
      </c>
      <c r="C717" s="190">
        <f t="shared" si="165"/>
        <v>42485</v>
      </c>
      <c r="D717" s="37" t="s">
        <v>1633</v>
      </c>
      <c r="E717" s="190">
        <v>42485</v>
      </c>
      <c r="F717" s="191" t="s">
        <v>500</v>
      </c>
      <c r="G717" s="829" t="s">
        <v>481</v>
      </c>
      <c r="H717" s="192" t="s">
        <v>445</v>
      </c>
      <c r="I717" s="253">
        <v>36</v>
      </c>
      <c r="J717" s="253">
        <v>21319</v>
      </c>
      <c r="K717" s="584">
        <f t="shared" si="168"/>
        <v>767484</v>
      </c>
      <c r="L717" s="585" t="s">
        <v>857</v>
      </c>
      <c r="M717" s="585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26">
        <v>2</v>
      </c>
      <c r="AB717" s="576" t="str">
        <f>IF(VLOOKUP(F717,NXT!$C$12:$C$786,1,0)=F717,"","x")</f>
        <v/>
      </c>
    </row>
    <row r="718" spans="1:30" s="576" customFormat="1" ht="15.75" customHeight="1">
      <c r="A718" s="827" t="str">
        <f>IF(B718&lt;&gt;"",IF(AND(B718&gt;=_TM1,B718&lt;=_TM2,OR(TH!L718="1111",TH!M718="1111")),TH!D718,""),"")</f>
        <v/>
      </c>
      <c r="B718" s="36">
        <f t="shared" si="164"/>
        <v>4</v>
      </c>
      <c r="C718" s="190">
        <f t="shared" si="165"/>
        <v>42485</v>
      </c>
      <c r="D718" s="37" t="s">
        <v>1633</v>
      </c>
      <c r="E718" s="190">
        <v>42485</v>
      </c>
      <c r="F718" s="191" t="s">
        <v>501</v>
      </c>
      <c r="G718" s="829" t="s">
        <v>481</v>
      </c>
      <c r="H718" s="192" t="s">
        <v>445</v>
      </c>
      <c r="I718" s="253">
        <v>30</v>
      </c>
      <c r="J718" s="253">
        <v>31357</v>
      </c>
      <c r="K718" s="584">
        <f t="shared" si="168"/>
        <v>940710</v>
      </c>
      <c r="L718" s="585" t="s">
        <v>857</v>
      </c>
      <c r="M718" s="585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26">
        <v>2</v>
      </c>
      <c r="AB718" s="576" t="str">
        <f>IF(VLOOKUP(F718,NXT!$C$12:$C$786,1,0)=F718,"","x")</f>
        <v/>
      </c>
    </row>
    <row r="719" spans="1:30" s="576" customFormat="1" ht="15.75" customHeight="1">
      <c r="A719" s="827" t="str">
        <f>IF(B719&lt;&gt;"",IF(AND(B719&gt;=_TM1,B719&lt;=_TM2,OR(TH!L719="1111",TH!M719="1111")),TH!D719,""),"")</f>
        <v/>
      </c>
      <c r="B719" s="36">
        <f t="shared" si="164"/>
        <v>4</v>
      </c>
      <c r="C719" s="190">
        <f t="shared" si="165"/>
        <v>42485</v>
      </c>
      <c r="D719" s="37" t="s">
        <v>1633</v>
      </c>
      <c r="E719" s="190">
        <v>42485</v>
      </c>
      <c r="F719" s="191" t="s">
        <v>502</v>
      </c>
      <c r="G719" s="829" t="s">
        <v>481</v>
      </c>
      <c r="H719" s="192" t="s">
        <v>445</v>
      </c>
      <c r="I719" s="253">
        <v>24</v>
      </c>
      <c r="J719" s="253">
        <v>93789</v>
      </c>
      <c r="K719" s="584">
        <f t="shared" si="168"/>
        <v>2250936</v>
      </c>
      <c r="L719" s="585" t="s">
        <v>857</v>
      </c>
      <c r="M719" s="585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26">
        <v>2</v>
      </c>
      <c r="AB719" s="576" t="str">
        <f>IF(VLOOKUP(F719,NXT!$C$12:$C$786,1,0)=F719,"","x")</f>
        <v/>
      </c>
    </row>
    <row r="720" spans="1:30" s="576" customFormat="1" ht="15.75" customHeight="1">
      <c r="A720" s="827" t="str">
        <f>IF(B720&lt;&gt;"",IF(AND(B720&gt;=_TM1,B720&lt;=_TM2,OR(TH!L720="1111",TH!M720="1111")),TH!D720,""),"")</f>
        <v/>
      </c>
      <c r="B720" s="36">
        <f t="shared" si="164"/>
        <v>4</v>
      </c>
      <c r="C720" s="190">
        <f t="shared" si="165"/>
        <v>42485</v>
      </c>
      <c r="D720" s="37" t="s">
        <v>1633</v>
      </c>
      <c r="E720" s="190">
        <v>42485</v>
      </c>
      <c r="F720" s="191" t="s">
        <v>503</v>
      </c>
      <c r="G720" s="829" t="s">
        <v>481</v>
      </c>
      <c r="H720" s="192" t="s">
        <v>445</v>
      </c>
      <c r="I720" s="253">
        <v>48</v>
      </c>
      <c r="J720" s="253">
        <v>24323</v>
      </c>
      <c r="K720" s="584">
        <f t="shared" si="168"/>
        <v>1167504</v>
      </c>
      <c r="L720" s="585" t="s">
        <v>857</v>
      </c>
      <c r="M720" s="585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26">
        <v>2</v>
      </c>
      <c r="AB720" s="576" t="str">
        <f>IF(VLOOKUP(F720,NXT!$C$12:$C$786,1,0)=F720,"","x")</f>
        <v/>
      </c>
    </row>
    <row r="721" spans="1:30" s="576" customFormat="1" ht="15.75" customHeight="1">
      <c r="A721" s="827" t="str">
        <f>IF(B721&lt;&gt;"",IF(AND(B721&gt;=_TM1,B721&lt;=_TM2,OR(TH!L721="1111",TH!M721="1111")),TH!D721,""),"")</f>
        <v/>
      </c>
      <c r="B721" s="36">
        <f t="shared" si="164"/>
        <v>4</v>
      </c>
      <c r="C721" s="190">
        <f t="shared" si="165"/>
        <v>42485</v>
      </c>
      <c r="D721" s="37" t="s">
        <v>1633</v>
      </c>
      <c r="E721" s="190">
        <v>42485</v>
      </c>
      <c r="F721" s="191" t="s">
        <v>482</v>
      </c>
      <c r="G721" s="829" t="s">
        <v>481</v>
      </c>
      <c r="H721" s="192" t="s">
        <v>445</v>
      </c>
      <c r="I721" s="253">
        <v>9</v>
      </c>
      <c r="J721" s="253">
        <v>54953</v>
      </c>
      <c r="K721" s="584">
        <f t="shared" si="168"/>
        <v>494577</v>
      </c>
      <c r="L721" s="585" t="s">
        <v>857</v>
      </c>
      <c r="M721" s="585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26">
        <v>2</v>
      </c>
      <c r="AB721" s="576" t="str">
        <f>IF(VLOOKUP(F721,NXT!$C$12:$C$786,1,0)=F721,"","x")</f>
        <v/>
      </c>
    </row>
    <row r="722" spans="1:30" s="576" customFormat="1" ht="15.75" customHeight="1">
      <c r="A722" s="827" t="str">
        <f>IF(B722&lt;&gt;"",IF(AND(B722&gt;=_TM1,B722&lt;=_TM2,OR(TH!L722="1111",TH!M722="1111")),TH!D722,""),"")</f>
        <v/>
      </c>
      <c r="B722" s="36">
        <f t="shared" si="164"/>
        <v>4</v>
      </c>
      <c r="C722" s="190">
        <f t="shared" si="165"/>
        <v>42485</v>
      </c>
      <c r="D722" s="37" t="s">
        <v>1633</v>
      </c>
      <c r="E722" s="190">
        <v>42485</v>
      </c>
      <c r="F722" s="191" t="s">
        <v>483</v>
      </c>
      <c r="G722" s="829" t="s">
        <v>481</v>
      </c>
      <c r="H722" s="192" t="s">
        <v>445</v>
      </c>
      <c r="I722" s="253">
        <v>18</v>
      </c>
      <c r="J722" s="253">
        <v>50167</v>
      </c>
      <c r="K722" s="584">
        <f t="shared" si="168"/>
        <v>903006</v>
      </c>
      <c r="L722" s="585" t="s">
        <v>857</v>
      </c>
      <c r="M722" s="585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26">
        <v>2</v>
      </c>
      <c r="AB722" s="576" t="str">
        <f>IF(VLOOKUP(F722,NXT!$C$12:$C$786,1,0)=F722,"","x")</f>
        <v/>
      </c>
    </row>
    <row r="723" spans="1:30" s="576" customFormat="1" ht="15.75" customHeight="1">
      <c r="A723" s="827" t="str">
        <f>IF(B723&lt;&gt;"",IF(AND(B723&gt;=_TM1,B723&lt;=_TM2,OR(TH!L723="1111",TH!M723="1111")),TH!D723,""),"")</f>
        <v/>
      </c>
      <c r="B723" s="36">
        <f t="shared" si="164"/>
        <v>4</v>
      </c>
      <c r="C723" s="190">
        <f t="shared" si="165"/>
        <v>42485</v>
      </c>
      <c r="D723" s="37" t="s">
        <v>1633</v>
      </c>
      <c r="E723" s="190">
        <v>42485</v>
      </c>
      <c r="F723" s="191" t="s">
        <v>484</v>
      </c>
      <c r="G723" s="829" t="s">
        <v>481</v>
      </c>
      <c r="H723" s="192" t="s">
        <v>445</v>
      </c>
      <c r="I723" s="253">
        <v>9</v>
      </c>
      <c r="J723" s="253">
        <v>22563</v>
      </c>
      <c r="K723" s="584">
        <f t="shared" si="168"/>
        <v>203067</v>
      </c>
      <c r="L723" s="585" t="s">
        <v>857</v>
      </c>
      <c r="M723" s="585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26">
        <v>2</v>
      </c>
      <c r="AB723" s="576" t="str">
        <f>IF(VLOOKUP(F723,NXT!$C$12:$C$786,1,0)=F723,"","x")</f>
        <v/>
      </c>
      <c r="AC723" s="205"/>
      <c r="AD723" s="205"/>
    </row>
    <row r="724" spans="1:30" ht="15.75" customHeight="1">
      <c r="A724" s="827" t="str">
        <f>IF(B724&lt;&gt;"",IF(AND(B724&gt;=_TM1,B724&lt;=_TM2,OR(TH!L724="1111",TH!M724="1111")),TH!D724,""),"")</f>
        <v/>
      </c>
      <c r="B724" s="36">
        <f t="shared" si="164"/>
        <v>4</v>
      </c>
      <c r="C724" s="190">
        <f t="shared" si="165"/>
        <v>42485</v>
      </c>
      <c r="D724" s="37" t="s">
        <v>1633</v>
      </c>
      <c r="E724" s="190">
        <v>42485</v>
      </c>
      <c r="F724" s="191" t="s">
        <v>467</v>
      </c>
      <c r="G724" s="829" t="s">
        <v>481</v>
      </c>
      <c r="H724" s="192" t="s">
        <v>445</v>
      </c>
      <c r="I724" s="253">
        <v>114</v>
      </c>
      <c r="J724" s="253">
        <v>19075</v>
      </c>
      <c r="K724" s="584">
        <f t="shared" si="168"/>
        <v>2174550</v>
      </c>
      <c r="L724" s="585" t="s">
        <v>857</v>
      </c>
      <c r="M724" s="585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26">
        <v>2</v>
      </c>
      <c r="AB724" s="576" t="str">
        <f>IF(VLOOKUP(F724,NXT!$C$12:$C$786,1,0)=F724,"","x")</f>
        <v/>
      </c>
    </row>
    <row r="725" spans="1:30" ht="15.75" customHeight="1">
      <c r="A725" s="827" t="str">
        <f>IF(B725&lt;&gt;"",IF(AND(B725&gt;=_TM1,B725&lt;=_TM2,OR(TH!L725="1111",TH!M725="1111")),TH!D725,""),"")</f>
        <v/>
      </c>
      <c r="B725" s="36">
        <f t="shared" si="164"/>
        <v>4</v>
      </c>
      <c r="C725" s="190">
        <f t="shared" si="165"/>
        <v>42485</v>
      </c>
      <c r="D725" s="37" t="s">
        <v>1633</v>
      </c>
      <c r="E725" s="190">
        <v>42485</v>
      </c>
      <c r="F725" s="191" t="s">
        <v>485</v>
      </c>
      <c r="G725" s="829" t="s">
        <v>481</v>
      </c>
      <c r="H725" s="192" t="s">
        <v>445</v>
      </c>
      <c r="I725" s="253">
        <v>26</v>
      </c>
      <c r="J725" s="253">
        <v>26363</v>
      </c>
      <c r="K725" s="584">
        <f t="shared" si="168"/>
        <v>685438</v>
      </c>
      <c r="L725" s="585" t="s">
        <v>857</v>
      </c>
      <c r="M725" s="585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26">
        <v>2</v>
      </c>
      <c r="AB725" s="576" t="str">
        <f>IF(VLOOKUP(F725,NXT!$C$12:$C$786,1,0)=F725,"","x")</f>
        <v/>
      </c>
    </row>
    <row r="726" spans="1:30" ht="15.75" customHeight="1">
      <c r="A726" s="827" t="str">
        <f>IF(B726&lt;&gt;"",IF(AND(B726&gt;=_TM1,B726&lt;=_TM2,OR(TH!L726="1111",TH!M726="1111")),TH!D726,""),"")</f>
        <v/>
      </c>
      <c r="B726" s="36">
        <f t="shared" si="164"/>
        <v>4</v>
      </c>
      <c r="C726" s="190">
        <f t="shared" si="165"/>
        <v>42485</v>
      </c>
      <c r="D726" s="37" t="s">
        <v>1633</v>
      </c>
      <c r="E726" s="190">
        <v>42485</v>
      </c>
      <c r="F726" s="191" t="s">
        <v>486</v>
      </c>
      <c r="G726" s="829" t="s">
        <v>481</v>
      </c>
      <c r="H726" s="192" t="s">
        <v>445</v>
      </c>
      <c r="I726" s="253">
        <v>45</v>
      </c>
      <c r="J726" s="253">
        <v>11449</v>
      </c>
      <c r="K726" s="584">
        <f t="shared" si="168"/>
        <v>515205</v>
      </c>
      <c r="L726" s="585" t="s">
        <v>857</v>
      </c>
      <c r="M726" s="585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26">
        <v>2</v>
      </c>
      <c r="AB726" s="576" t="str">
        <f>IF(VLOOKUP(F726,NXT!$C$12:$C$786,1,0)=F726,"","x")</f>
        <v/>
      </c>
    </row>
    <row r="727" spans="1:30" ht="15.75" customHeight="1">
      <c r="A727" s="827" t="str">
        <f>IF(B727&lt;&gt;"",IF(AND(B727&gt;=_TM1,B727&lt;=_TM2,OR(TH!L727="1111",TH!M727="1111")),TH!D727,""),"")</f>
        <v/>
      </c>
      <c r="B727" s="36">
        <f t="shared" si="164"/>
        <v>4</v>
      </c>
      <c r="C727" s="190">
        <f t="shared" si="165"/>
        <v>42485</v>
      </c>
      <c r="D727" s="37" t="s">
        <v>1633</v>
      </c>
      <c r="E727" s="190">
        <v>42485</v>
      </c>
      <c r="F727" s="191" t="s">
        <v>487</v>
      </c>
      <c r="G727" s="829" t="s">
        <v>481</v>
      </c>
      <c r="H727" s="192" t="s">
        <v>445</v>
      </c>
      <c r="I727" s="253">
        <v>42</v>
      </c>
      <c r="J727" s="253">
        <v>41371</v>
      </c>
      <c r="K727" s="584">
        <f t="shared" si="168"/>
        <v>1737582</v>
      </c>
      <c r="L727" s="585" t="s">
        <v>857</v>
      </c>
      <c r="M727" s="585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26">
        <v>2</v>
      </c>
      <c r="AB727" s="576" t="str">
        <f>IF(VLOOKUP(F727,NXT!$C$12:$C$786,1,0)=F727,"","x")</f>
        <v/>
      </c>
    </row>
    <row r="728" spans="1:30" ht="15.75" customHeight="1">
      <c r="A728" s="827" t="str">
        <f>IF(B728&lt;&gt;"",IF(AND(B728&gt;=_TM1,B728&lt;=_TM2,OR(TH!L728="1111",TH!M728="1111")),TH!D728,""),"")</f>
        <v/>
      </c>
      <c r="B728" s="36">
        <f t="shared" si="164"/>
        <v>4</v>
      </c>
      <c r="C728" s="190">
        <f t="shared" si="165"/>
        <v>42485</v>
      </c>
      <c r="D728" s="37" t="s">
        <v>1633</v>
      </c>
      <c r="E728" s="190">
        <v>42485</v>
      </c>
      <c r="F728" s="191" t="s">
        <v>488</v>
      </c>
      <c r="G728" s="829" t="s">
        <v>481</v>
      </c>
      <c r="H728" s="192" t="s">
        <v>445</v>
      </c>
      <c r="I728" s="253">
        <v>42</v>
      </c>
      <c r="J728" s="253">
        <v>52589</v>
      </c>
      <c r="K728" s="584">
        <f t="shared" si="168"/>
        <v>2208738</v>
      </c>
      <c r="L728" s="585" t="s">
        <v>857</v>
      </c>
      <c r="M728" s="585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26">
        <v>2</v>
      </c>
      <c r="AB728" s="576" t="str">
        <f>IF(VLOOKUP(F728,NXT!$C$12:$C$786,1,0)=F728,"","x")</f>
        <v/>
      </c>
    </row>
    <row r="729" spans="1:30" s="576" customFormat="1" ht="15.75" customHeight="1">
      <c r="A729" s="827" t="str">
        <f>IF(B729&lt;&gt;"",IF(AND(B729&gt;=_TM1,B729&lt;=_TM2,OR(TH!L729="1111",TH!M729="1111")),TH!D729,""),"")</f>
        <v/>
      </c>
      <c r="B729" s="36">
        <f t="shared" si="164"/>
        <v>4</v>
      </c>
      <c r="C729" s="190">
        <f t="shared" si="165"/>
        <v>42485</v>
      </c>
      <c r="D729" s="37" t="s">
        <v>1633</v>
      </c>
      <c r="E729" s="190">
        <v>42485</v>
      </c>
      <c r="F729" s="191" t="s">
        <v>489</v>
      </c>
      <c r="G729" s="829" t="s">
        <v>481</v>
      </c>
      <c r="H729" s="192" t="s">
        <v>445</v>
      </c>
      <c r="I729" s="253">
        <v>42</v>
      </c>
      <c r="J729" s="253">
        <v>35553</v>
      </c>
      <c r="K729" s="584">
        <f t="shared" si="168"/>
        <v>1493226</v>
      </c>
      <c r="L729" s="585" t="s">
        <v>857</v>
      </c>
      <c r="M729" s="585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26">
        <v>2</v>
      </c>
      <c r="AB729" s="576" t="str">
        <f>IF(VLOOKUP(F729,NXT!$C$12:$C$786,1,0)=F729,"","x")</f>
        <v/>
      </c>
      <c r="AC729" s="205"/>
      <c r="AD729" s="205"/>
    </row>
    <row r="730" spans="1:30" s="576" customFormat="1" ht="15.75" customHeight="1">
      <c r="A730" s="827" t="str">
        <f>IF(B730&lt;&gt;"",IF(AND(B730&gt;=_TM1,B730&lt;=_TM2,OR(TH!L730="1111",TH!M730="1111")),TH!D730,""),"")</f>
        <v/>
      </c>
      <c r="B730" s="36">
        <f t="shared" si="164"/>
        <v>4</v>
      </c>
      <c r="C730" s="190">
        <f t="shared" si="165"/>
        <v>42485</v>
      </c>
      <c r="D730" s="37" t="s">
        <v>1633</v>
      </c>
      <c r="E730" s="190">
        <v>42485</v>
      </c>
      <c r="F730" s="191" t="s">
        <v>490</v>
      </c>
      <c r="G730" s="829" t="s">
        <v>481</v>
      </c>
      <c r="H730" s="192" t="s">
        <v>445</v>
      </c>
      <c r="I730" s="253">
        <v>4</v>
      </c>
      <c r="J730" s="253">
        <v>153503</v>
      </c>
      <c r="K730" s="584">
        <f t="shared" si="168"/>
        <v>614012</v>
      </c>
      <c r="L730" s="585" t="s">
        <v>857</v>
      </c>
      <c r="M730" s="585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26">
        <v>2</v>
      </c>
      <c r="AB730" s="576" t="str">
        <f>IF(VLOOKUP(F730,NXT!$C$12:$C$786,1,0)=F730,"","x")</f>
        <v/>
      </c>
      <c r="AC730" s="205"/>
      <c r="AD730" s="205"/>
    </row>
    <row r="731" spans="1:30" s="576" customFormat="1" ht="15.75" customHeight="1">
      <c r="A731" s="827" t="str">
        <f>IF(B731&lt;&gt;"",IF(AND(B731&gt;=_TM1,B731&lt;=_TM2,OR(TH!L731="1111",TH!M731="1111")),TH!D731,""),"")</f>
        <v/>
      </c>
      <c r="B731" s="36">
        <f t="shared" si="164"/>
        <v>4</v>
      </c>
      <c r="C731" s="190">
        <f t="shared" si="165"/>
        <v>42485</v>
      </c>
      <c r="D731" s="37" t="s">
        <v>1633</v>
      </c>
      <c r="E731" s="190">
        <v>42485</v>
      </c>
      <c r="F731" s="191" t="s">
        <v>491</v>
      </c>
      <c r="G731" s="829" t="s">
        <v>481</v>
      </c>
      <c r="H731" s="192" t="s">
        <v>445</v>
      </c>
      <c r="I731" s="253">
        <v>6</v>
      </c>
      <c r="J731" s="253">
        <v>98645</v>
      </c>
      <c r="K731" s="584">
        <f t="shared" si="168"/>
        <v>591870</v>
      </c>
      <c r="L731" s="585" t="s">
        <v>857</v>
      </c>
      <c r="M731" s="585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26">
        <v>2</v>
      </c>
      <c r="AB731" s="576" t="str">
        <f>IF(VLOOKUP(F731,NXT!$C$12:$C$786,1,0)=F731,"","x")</f>
        <v/>
      </c>
      <c r="AC731" s="205"/>
      <c r="AD731" s="205"/>
    </row>
    <row r="732" spans="1:30" s="576" customFormat="1" ht="15.75" customHeight="1">
      <c r="A732" s="827" t="str">
        <f>IF(B732&lt;&gt;"",IF(AND(B732&gt;=_TM1,B732&lt;=_TM2,OR(TH!L732="1111",TH!M732="1111")),TH!D732,""),"")</f>
        <v/>
      </c>
      <c r="B732" s="36">
        <f t="shared" si="164"/>
        <v>4</v>
      </c>
      <c r="C732" s="190">
        <f t="shared" si="165"/>
        <v>42485</v>
      </c>
      <c r="D732" s="37" t="s">
        <v>1633</v>
      </c>
      <c r="E732" s="190">
        <v>42485</v>
      </c>
      <c r="F732" s="191" t="s">
        <v>492</v>
      </c>
      <c r="G732" s="829" t="s">
        <v>481</v>
      </c>
      <c r="H732" s="192" t="s">
        <v>445</v>
      </c>
      <c r="I732" s="253">
        <v>12</v>
      </c>
      <c r="J732" s="253">
        <v>38124</v>
      </c>
      <c r="K732" s="584">
        <f t="shared" si="168"/>
        <v>457488</v>
      </c>
      <c r="L732" s="585" t="s">
        <v>857</v>
      </c>
      <c r="M732" s="585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26">
        <v>2</v>
      </c>
      <c r="AB732" s="576" t="str">
        <f>IF(VLOOKUP(F732,NXT!$C$12:$C$786,1,0)=F732,"","x")</f>
        <v/>
      </c>
      <c r="AC732" s="205"/>
      <c r="AD732" s="205"/>
    </row>
    <row r="733" spans="1:30" s="576" customFormat="1" ht="15.75" customHeight="1">
      <c r="A733" s="827" t="str">
        <f>IF(B733&lt;&gt;"",IF(AND(B733&gt;=_TM1,B733&lt;=_TM2,OR(TH!L733="1111",TH!M733="1111")),TH!D733,""),"")</f>
        <v/>
      </c>
      <c r="B733" s="36">
        <f t="shared" ref="B733:B796" si="169">IF(C733&lt;&gt;"",MONTH(C733),"")</f>
        <v>4</v>
      </c>
      <c r="C733" s="190">
        <f t="shared" ref="C733:C796" si="170">E733</f>
        <v>42485</v>
      </c>
      <c r="D733" s="37" t="s">
        <v>1633</v>
      </c>
      <c r="E733" s="190">
        <v>42485</v>
      </c>
      <c r="F733" s="191" t="s">
        <v>493</v>
      </c>
      <c r="G733" s="829" t="s">
        <v>481</v>
      </c>
      <c r="H733" s="192" t="s">
        <v>445</v>
      </c>
      <c r="I733" s="253">
        <v>16</v>
      </c>
      <c r="J733" s="253">
        <v>52285</v>
      </c>
      <c r="K733" s="584">
        <f t="shared" si="168"/>
        <v>836560</v>
      </c>
      <c r="L733" s="585" t="s">
        <v>857</v>
      </c>
      <c r="M733" s="585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26">
        <v>2</v>
      </c>
      <c r="AB733" s="576" t="str">
        <f>IF(VLOOKUP(F733,NXT!$C$12:$C$786,1,0)=F733,"","x")</f>
        <v/>
      </c>
    </row>
    <row r="734" spans="1:30" s="576" customFormat="1" ht="15.75" customHeight="1">
      <c r="A734" s="827" t="str">
        <f>IF(B734&lt;&gt;"",IF(AND(B734&gt;=_TM1,B734&lt;=_TM2,OR(TH!L734="1111",TH!M734="1111")),TH!D734,""),"")</f>
        <v/>
      </c>
      <c r="B734" s="36">
        <f t="shared" si="169"/>
        <v>4</v>
      </c>
      <c r="C734" s="190">
        <f t="shared" si="170"/>
        <v>42485</v>
      </c>
      <c r="D734" s="37" t="s">
        <v>1633</v>
      </c>
      <c r="E734" s="190">
        <v>42485</v>
      </c>
      <c r="F734" s="191" t="s">
        <v>494</v>
      </c>
      <c r="G734" s="829" t="s">
        <v>481</v>
      </c>
      <c r="H734" s="192" t="s">
        <v>445</v>
      </c>
      <c r="I734" s="253">
        <v>16</v>
      </c>
      <c r="J734" s="253">
        <v>67288</v>
      </c>
      <c r="K734" s="584">
        <f t="shared" si="168"/>
        <v>1076608</v>
      </c>
      <c r="L734" s="585" t="s">
        <v>857</v>
      </c>
      <c r="M734" s="585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26">
        <v>2</v>
      </c>
      <c r="AB734" s="576" t="str">
        <f>IF(VLOOKUP(F734,NXT!$C$12:$C$786,1,0)=F734,"","x")</f>
        <v/>
      </c>
    </row>
    <row r="735" spans="1:30" s="576" customFormat="1" ht="15.75" customHeight="1">
      <c r="A735" s="827" t="str">
        <f>IF(B735&lt;&gt;"",IF(AND(B735&gt;=_TM1,B735&lt;=_TM2,OR(TH!L735="1111",TH!M735="1111")),TH!D735,""),"")</f>
        <v/>
      </c>
      <c r="B735" s="36">
        <f t="shared" si="169"/>
        <v>4</v>
      </c>
      <c r="C735" s="190">
        <f t="shared" si="170"/>
        <v>42485</v>
      </c>
      <c r="D735" s="37" t="s">
        <v>1633</v>
      </c>
      <c r="E735" s="190">
        <v>42485</v>
      </c>
      <c r="F735" s="191" t="s">
        <v>493</v>
      </c>
      <c r="G735" s="829" t="s">
        <v>481</v>
      </c>
      <c r="H735" s="192" t="s">
        <v>445</v>
      </c>
      <c r="I735" s="253">
        <v>12</v>
      </c>
      <c r="J735" s="253">
        <v>52285</v>
      </c>
      <c r="K735" s="584">
        <f t="shared" si="168"/>
        <v>627420</v>
      </c>
      <c r="L735" s="585" t="s">
        <v>857</v>
      </c>
      <c r="M735" s="585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26">
        <v>2</v>
      </c>
      <c r="AB735" s="576" t="str">
        <f>IF(VLOOKUP(F735,NXT!$C$12:$C$786,1,0)=F735,"","x")</f>
        <v/>
      </c>
      <c r="AC735" s="205"/>
      <c r="AD735" s="205"/>
    </row>
    <row r="736" spans="1:30" s="576" customFormat="1" ht="15.75" customHeight="1">
      <c r="A736" s="827" t="str">
        <f>IF(B736&lt;&gt;"",IF(AND(B736&gt;=_TM1,B736&lt;=_TM2,OR(TH!L736="1111",TH!M736="1111")),TH!D736,""),"")</f>
        <v/>
      </c>
      <c r="B736" s="36">
        <f t="shared" si="169"/>
        <v>4</v>
      </c>
      <c r="C736" s="190">
        <f t="shared" si="170"/>
        <v>42485</v>
      </c>
      <c r="D736" s="37" t="s">
        <v>1633</v>
      </c>
      <c r="E736" s="190">
        <v>42485</v>
      </c>
      <c r="F736" s="191" t="s">
        <v>504</v>
      </c>
      <c r="G736" s="829" t="s">
        <v>481</v>
      </c>
      <c r="H736" s="192" t="s">
        <v>445</v>
      </c>
      <c r="I736" s="253">
        <v>5</v>
      </c>
      <c r="J736" s="253">
        <v>100939</v>
      </c>
      <c r="K736" s="584">
        <f t="shared" si="168"/>
        <v>504695</v>
      </c>
      <c r="L736" s="585" t="s">
        <v>857</v>
      </c>
      <c r="M736" s="585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26">
        <v>2</v>
      </c>
      <c r="AB736" s="576" t="str">
        <f>IF(VLOOKUP(F736,NXT!$C$12:$C$786,1,0)=F736,"","x")</f>
        <v/>
      </c>
      <c r="AC736" s="205"/>
      <c r="AD736" s="205"/>
    </row>
    <row r="737" spans="1:30" s="576" customFormat="1" ht="15.75" customHeight="1">
      <c r="A737" s="827" t="str">
        <f>IF(B737&lt;&gt;"",IF(AND(B737&gt;=_TM1,B737&lt;=_TM2,OR(TH!L737="1111",TH!M737="1111")),TH!D737,""),"")</f>
        <v/>
      </c>
      <c r="B737" s="36">
        <f t="shared" si="169"/>
        <v>4</v>
      </c>
      <c r="C737" s="190">
        <f t="shared" si="170"/>
        <v>42485</v>
      </c>
      <c r="D737" s="37" t="s">
        <v>1633</v>
      </c>
      <c r="E737" s="190">
        <v>42485</v>
      </c>
      <c r="F737" s="191" t="s">
        <v>505</v>
      </c>
      <c r="G737" s="829" t="s">
        <v>481</v>
      </c>
      <c r="H737" s="192" t="s">
        <v>445</v>
      </c>
      <c r="I737" s="253">
        <v>10</v>
      </c>
      <c r="J737" s="253">
        <v>39302</v>
      </c>
      <c r="K737" s="584">
        <f t="shared" si="168"/>
        <v>393020</v>
      </c>
      <c r="L737" s="585" t="s">
        <v>857</v>
      </c>
      <c r="M737" s="585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26">
        <v>2</v>
      </c>
      <c r="AB737" s="576" t="str">
        <f>IF(VLOOKUP(F737,NXT!$C$12:$C$786,1,0)=F737,"","x")</f>
        <v/>
      </c>
      <c r="AC737" s="205"/>
      <c r="AD737" s="205"/>
    </row>
    <row r="738" spans="1:30" s="576" customFormat="1" ht="15.75" customHeight="1">
      <c r="A738" s="827" t="str">
        <f>IF(B738&lt;&gt;"",IF(AND(B738&gt;=_TM1,B738&lt;=_TM2,OR(TH!L738="1111",TH!M738="1111")),TH!D738,""),"")</f>
        <v/>
      </c>
      <c r="B738" s="36">
        <f t="shared" si="169"/>
        <v>4</v>
      </c>
      <c r="C738" s="190">
        <f t="shared" si="170"/>
        <v>42485</v>
      </c>
      <c r="D738" s="37" t="s">
        <v>1633</v>
      </c>
      <c r="E738" s="190">
        <v>42485</v>
      </c>
      <c r="F738" s="191" t="s">
        <v>506</v>
      </c>
      <c r="G738" s="829" t="s">
        <v>481</v>
      </c>
      <c r="H738" s="192" t="s">
        <v>445</v>
      </c>
      <c r="I738" s="253">
        <v>7</v>
      </c>
      <c r="J738" s="253">
        <v>162529</v>
      </c>
      <c r="K738" s="584">
        <f t="shared" si="168"/>
        <v>1137703</v>
      </c>
      <c r="L738" s="585" t="s">
        <v>857</v>
      </c>
      <c r="M738" s="585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26">
        <v>2</v>
      </c>
      <c r="AB738" s="576" t="str">
        <f>IF(VLOOKUP(F738,NXT!$C$12:$C$786,1,0)=F738,"","x")</f>
        <v/>
      </c>
      <c r="AC738" s="205"/>
      <c r="AD738" s="205"/>
    </row>
    <row r="739" spans="1:30" s="576" customFormat="1" ht="15.75" customHeight="1">
      <c r="A739" s="827" t="str">
        <f>IF(B739&lt;&gt;"",IF(AND(B739&gt;=_TM1,B739&lt;=_TM2,OR(TH!L739="1111",TH!M739="1111")),TH!D739,""),"")</f>
        <v/>
      </c>
      <c r="B739" s="36">
        <f t="shared" si="169"/>
        <v>4</v>
      </c>
      <c r="C739" s="190">
        <f t="shared" si="170"/>
        <v>42485</v>
      </c>
      <c r="D739" s="37" t="s">
        <v>1633</v>
      </c>
      <c r="E739" s="190">
        <v>42485</v>
      </c>
      <c r="F739" s="191" t="s">
        <v>507</v>
      </c>
      <c r="G739" s="829" t="s">
        <v>481</v>
      </c>
      <c r="H739" s="192" t="s">
        <v>445</v>
      </c>
      <c r="I739" s="253">
        <v>8</v>
      </c>
      <c r="J739" s="253">
        <v>89927</v>
      </c>
      <c r="K739" s="584">
        <f t="shared" si="168"/>
        <v>719416</v>
      </c>
      <c r="L739" s="585" t="s">
        <v>857</v>
      </c>
      <c r="M739" s="585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26">
        <v>2</v>
      </c>
      <c r="AB739" s="576" t="str">
        <f>IF(VLOOKUP(F739,NXT!$C$12:$C$786,1,0)=F739,"","x")</f>
        <v/>
      </c>
      <c r="AC739" s="205"/>
      <c r="AD739" s="205"/>
    </row>
    <row r="740" spans="1:30" s="576" customFormat="1" ht="15.75" customHeight="1">
      <c r="A740" s="827" t="str">
        <f>IF(B740&lt;&gt;"",IF(AND(B740&gt;=_TM1,B740&lt;=_TM2,OR(TH!L740="1111",TH!M740="1111")),TH!D740,""),"")</f>
        <v/>
      </c>
      <c r="B740" s="36">
        <f t="shared" si="169"/>
        <v>4</v>
      </c>
      <c r="C740" s="190">
        <f t="shared" si="170"/>
        <v>42485</v>
      </c>
      <c r="D740" s="37" t="s">
        <v>1633</v>
      </c>
      <c r="E740" s="190">
        <v>42485</v>
      </c>
      <c r="F740" s="191" t="s">
        <v>508</v>
      </c>
      <c r="G740" s="829" t="s">
        <v>481</v>
      </c>
      <c r="H740" s="192" t="s">
        <v>445</v>
      </c>
      <c r="I740" s="253">
        <v>8</v>
      </c>
      <c r="J740" s="253">
        <v>85322</v>
      </c>
      <c r="K740" s="584">
        <f t="shared" si="168"/>
        <v>682576</v>
      </c>
      <c r="L740" s="585" t="s">
        <v>857</v>
      </c>
      <c r="M740" s="585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26">
        <v>2</v>
      </c>
      <c r="AB740" s="576" t="str">
        <f>IF(VLOOKUP(F740,NXT!$C$12:$C$786,1,0)=F740,"","x")</f>
        <v/>
      </c>
      <c r="AC740" s="205"/>
      <c r="AD740" s="205"/>
    </row>
    <row r="741" spans="1:30" s="576" customFormat="1" ht="15.75" customHeight="1">
      <c r="A741" s="827" t="str">
        <f>IF(B741&lt;&gt;"",IF(AND(B741&gt;=_TM1,B741&lt;=_TM2,OR(TH!L741="1111",TH!M741="1111")),TH!D741,""),"")</f>
        <v/>
      </c>
      <c r="B741" s="36">
        <f t="shared" si="169"/>
        <v>4</v>
      </c>
      <c r="C741" s="190">
        <f t="shared" si="170"/>
        <v>42485</v>
      </c>
      <c r="D741" s="37" t="s">
        <v>1633</v>
      </c>
      <c r="E741" s="190">
        <v>42485</v>
      </c>
      <c r="F741" s="191" t="s">
        <v>509</v>
      </c>
      <c r="G741" s="829" t="s">
        <v>481</v>
      </c>
      <c r="H741" s="192" t="s">
        <v>445</v>
      </c>
      <c r="I741" s="253">
        <v>8</v>
      </c>
      <c r="J741" s="253">
        <v>96382</v>
      </c>
      <c r="K741" s="584">
        <f t="shared" si="168"/>
        <v>771056</v>
      </c>
      <c r="L741" s="585" t="s">
        <v>857</v>
      </c>
      <c r="M741" s="585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26">
        <v>2</v>
      </c>
      <c r="AB741" s="576" t="str">
        <f>IF(VLOOKUP(F741,NXT!$C$12:$C$786,1,0)=F741,"","x")</f>
        <v/>
      </c>
      <c r="AC741" s="205"/>
      <c r="AD741" s="205"/>
    </row>
    <row r="742" spans="1:30" s="576" customFormat="1" ht="15.75" customHeight="1">
      <c r="A742" s="827" t="str">
        <f>IF(B742&lt;&gt;"",IF(AND(B742&gt;=_TM1,B742&lt;=_TM2,OR(TH!L742="1111",TH!M742="1111")),TH!D742,""),"")</f>
        <v/>
      </c>
      <c r="B742" s="36">
        <f t="shared" si="169"/>
        <v>4</v>
      </c>
      <c r="C742" s="190">
        <f t="shared" si="170"/>
        <v>42485</v>
      </c>
      <c r="D742" s="37" t="s">
        <v>1633</v>
      </c>
      <c r="E742" s="190">
        <v>42485</v>
      </c>
      <c r="F742" s="191" t="s">
        <v>510</v>
      </c>
      <c r="G742" s="829" t="s">
        <v>481</v>
      </c>
      <c r="H742" s="192" t="s">
        <v>445</v>
      </c>
      <c r="I742" s="253">
        <v>5</v>
      </c>
      <c r="J742" s="253">
        <v>57599</v>
      </c>
      <c r="K742" s="584">
        <f t="shared" si="168"/>
        <v>287995</v>
      </c>
      <c r="L742" s="585" t="s">
        <v>857</v>
      </c>
      <c r="M742" s="585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26">
        <v>2</v>
      </c>
      <c r="AB742" s="576" t="str">
        <f>IF(VLOOKUP(F742,NXT!$C$12:$C$786,1,0)=F742,"","x")</f>
        <v/>
      </c>
      <c r="AC742" s="205"/>
      <c r="AD742" s="205"/>
    </row>
    <row r="743" spans="1:30" s="576" customFormat="1" ht="15.75" customHeight="1">
      <c r="A743" s="827" t="str">
        <f>IF(B743&lt;&gt;"",IF(AND(B743&gt;=_TM1,B743&lt;=_TM2,OR(TH!L743="1111",TH!M743="1111")),TH!D743,""),"")</f>
        <v/>
      </c>
      <c r="B743" s="36">
        <f t="shared" si="169"/>
        <v>4</v>
      </c>
      <c r="C743" s="190">
        <f t="shared" si="170"/>
        <v>42485</v>
      </c>
      <c r="D743" s="37" t="s">
        <v>1633</v>
      </c>
      <c r="E743" s="190">
        <v>42485</v>
      </c>
      <c r="F743" s="191" t="s">
        <v>464</v>
      </c>
      <c r="G743" s="829" t="s">
        <v>481</v>
      </c>
      <c r="H743" s="192" t="s">
        <v>445</v>
      </c>
      <c r="I743" s="253">
        <v>5</v>
      </c>
      <c r="J743" s="253">
        <v>137835</v>
      </c>
      <c r="K743" s="584">
        <f t="shared" si="168"/>
        <v>689175</v>
      </c>
      <c r="L743" s="585" t="s">
        <v>857</v>
      </c>
      <c r="M743" s="585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26">
        <v>2</v>
      </c>
      <c r="AB743" s="576" t="str">
        <f>IF(VLOOKUP(F743,NXT!$C$12:$C$786,1,0)=F743,"","x")</f>
        <v/>
      </c>
      <c r="AC743" s="205"/>
      <c r="AD743" s="205"/>
    </row>
    <row r="744" spans="1:30" s="576" customFormat="1" ht="15.75" customHeight="1">
      <c r="A744" s="827" t="str">
        <f>IF(B744&lt;&gt;"",IF(AND(B744&gt;=_TM1,B744&lt;=_TM2,OR(TH!L744="1111",TH!M744="1111")),TH!D744,""),"")</f>
        <v/>
      </c>
      <c r="B744" s="36">
        <f t="shared" si="169"/>
        <v>4</v>
      </c>
      <c r="C744" s="190">
        <f t="shared" si="170"/>
        <v>42485</v>
      </c>
      <c r="D744" s="37" t="s">
        <v>1633</v>
      </c>
      <c r="E744" s="190">
        <v>42485</v>
      </c>
      <c r="F744" s="191" t="s">
        <v>485</v>
      </c>
      <c r="G744" s="829" t="s">
        <v>481</v>
      </c>
      <c r="H744" s="192" t="s">
        <v>445</v>
      </c>
      <c r="I744" s="253">
        <v>5</v>
      </c>
      <c r="J744" s="253">
        <v>43591</v>
      </c>
      <c r="K744" s="584">
        <f t="shared" ref="K744:K775" si="171">ROUND(I744*J744,0)</f>
        <v>217955</v>
      </c>
      <c r="L744" s="585" t="s">
        <v>857</v>
      </c>
      <c r="M744" s="585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26">
        <v>2</v>
      </c>
      <c r="AB744" s="576" t="str">
        <f>IF(VLOOKUP(F744,NXT!$C$12:$C$786,1,0)=F744,"","x")</f>
        <v/>
      </c>
      <c r="AC744" s="205"/>
      <c r="AD744" s="205"/>
    </row>
    <row r="745" spans="1:30" s="576" customFormat="1" ht="15.75" customHeight="1">
      <c r="A745" s="827" t="str">
        <f>IF(B745&lt;&gt;"",IF(AND(B745&gt;=_TM1,B745&lt;=_TM2,OR(TH!L745="1111",TH!M745="1111")),TH!D745,""),"")</f>
        <v/>
      </c>
      <c r="B745" s="36">
        <f t="shared" si="169"/>
        <v>4</v>
      </c>
      <c r="C745" s="190">
        <f t="shared" si="170"/>
        <v>42485</v>
      </c>
      <c r="D745" s="37" t="s">
        <v>1633</v>
      </c>
      <c r="E745" s="190">
        <v>42485</v>
      </c>
      <c r="F745" s="191" t="s">
        <v>466</v>
      </c>
      <c r="G745" s="829" t="s">
        <v>481</v>
      </c>
      <c r="H745" s="192" t="s">
        <v>445</v>
      </c>
      <c r="I745" s="253">
        <v>18</v>
      </c>
      <c r="J745" s="253">
        <v>79980</v>
      </c>
      <c r="K745" s="584">
        <f t="shared" si="171"/>
        <v>1439640</v>
      </c>
      <c r="L745" s="585" t="s">
        <v>857</v>
      </c>
      <c r="M745" s="585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26">
        <v>2</v>
      </c>
      <c r="AB745" s="576" t="str">
        <f>IF(VLOOKUP(F745,NXT!$C$12:$C$786,1,0)=F745,"","x")</f>
        <v/>
      </c>
      <c r="AC745" s="205"/>
      <c r="AD745" s="205"/>
    </row>
    <row r="746" spans="1:30" s="576" customFormat="1" ht="15.75" customHeight="1">
      <c r="A746" s="827" t="str">
        <f>IF(B746&lt;&gt;"",IF(AND(B746&gt;=_TM1,B746&lt;=_TM2,OR(TH!L746="1111",TH!M746="1111")),TH!D746,""),"")</f>
        <v/>
      </c>
      <c r="B746" s="36">
        <f t="shared" si="169"/>
        <v>4</v>
      </c>
      <c r="C746" s="190">
        <f t="shared" si="170"/>
        <v>42485</v>
      </c>
      <c r="D746" s="37" t="s">
        <v>1633</v>
      </c>
      <c r="E746" s="190">
        <v>42485</v>
      </c>
      <c r="F746" s="191" t="s">
        <v>511</v>
      </c>
      <c r="G746" s="829" t="s">
        <v>481</v>
      </c>
      <c r="H746" s="192" t="s">
        <v>445</v>
      </c>
      <c r="I746" s="253">
        <v>54</v>
      </c>
      <c r="J746" s="253">
        <v>28844</v>
      </c>
      <c r="K746" s="584">
        <f t="shared" si="171"/>
        <v>1557576</v>
      </c>
      <c r="L746" s="585" t="s">
        <v>857</v>
      </c>
      <c r="M746" s="585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26">
        <v>2</v>
      </c>
      <c r="AB746" s="576" t="str">
        <f>IF(VLOOKUP(F746,NXT!$C$12:$C$786,1,0)=F746,"","x")</f>
        <v/>
      </c>
      <c r="AC746" s="205"/>
      <c r="AD746" s="205"/>
    </row>
    <row r="747" spans="1:30" ht="15.75" customHeight="1">
      <c r="A747" s="827" t="str">
        <f>IF(B747&lt;&gt;"",IF(AND(B747&gt;=_TM1,B747&lt;=_TM2,OR(TH!L747="1111",TH!M747="1111")),TH!D747,""),"")</f>
        <v/>
      </c>
      <c r="B747" s="36">
        <f t="shared" si="169"/>
        <v>4</v>
      </c>
      <c r="C747" s="190">
        <f t="shared" si="170"/>
        <v>42485</v>
      </c>
      <c r="D747" s="37" t="s">
        <v>1633</v>
      </c>
      <c r="E747" s="190">
        <v>42485</v>
      </c>
      <c r="F747" s="191" t="s">
        <v>468</v>
      </c>
      <c r="G747" s="829" t="s">
        <v>481</v>
      </c>
      <c r="H747" s="192" t="s">
        <v>445</v>
      </c>
      <c r="I747" s="253">
        <v>17</v>
      </c>
      <c r="J747" s="253">
        <v>71581</v>
      </c>
      <c r="K747" s="584">
        <f t="shared" si="171"/>
        <v>1216877</v>
      </c>
      <c r="L747" s="585" t="s">
        <v>857</v>
      </c>
      <c r="M747" s="585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26">
        <v>2</v>
      </c>
      <c r="AB747" s="576" t="str">
        <f>IF(VLOOKUP(F747,NXT!$C$12:$C$786,1,0)=F747,"","x")</f>
        <v/>
      </c>
      <c r="AC747" s="576"/>
      <c r="AD747" s="576"/>
    </row>
    <row r="748" spans="1:30" ht="15.75" customHeight="1">
      <c r="A748" s="827" t="str">
        <f>IF(B748&lt;&gt;"",IF(AND(B748&gt;=_TM1,B748&lt;=_TM2,OR(TH!L748="1111",TH!M748="1111")),TH!D748,""),"")</f>
        <v/>
      </c>
      <c r="B748" s="36">
        <f t="shared" si="169"/>
        <v>4</v>
      </c>
      <c r="C748" s="190">
        <f t="shared" si="170"/>
        <v>42485</v>
      </c>
      <c r="D748" s="37" t="s">
        <v>1633</v>
      </c>
      <c r="E748" s="190">
        <v>42485</v>
      </c>
      <c r="F748" s="191" t="s">
        <v>469</v>
      </c>
      <c r="G748" s="829" t="s">
        <v>481</v>
      </c>
      <c r="H748" s="192" t="s">
        <v>445</v>
      </c>
      <c r="I748" s="253">
        <v>8</v>
      </c>
      <c r="J748" s="253">
        <v>58346</v>
      </c>
      <c r="K748" s="584">
        <f t="shared" si="171"/>
        <v>466768</v>
      </c>
      <c r="L748" s="585" t="s">
        <v>857</v>
      </c>
      <c r="M748" s="585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26">
        <v>2</v>
      </c>
      <c r="AB748" s="576" t="str">
        <f>IF(VLOOKUP(F748,NXT!$C$12:$C$786,1,0)=F748,"","x")</f>
        <v/>
      </c>
      <c r="AC748" s="576"/>
      <c r="AD748" s="576"/>
    </row>
    <row r="749" spans="1:30" ht="15.75" customHeight="1">
      <c r="A749" s="827" t="str">
        <f>IF(B749&lt;&gt;"",IF(AND(B749&gt;=_TM1,B749&lt;=_TM2,OR(TH!L749="1111",TH!M749="1111")),TH!D749,""),"")</f>
        <v/>
      </c>
      <c r="B749" s="36">
        <f t="shared" si="169"/>
        <v>4</v>
      </c>
      <c r="C749" s="190">
        <f t="shared" si="170"/>
        <v>42485</v>
      </c>
      <c r="D749" s="37" t="s">
        <v>1633</v>
      </c>
      <c r="E749" s="190">
        <v>42485</v>
      </c>
      <c r="F749" s="191" t="s">
        <v>470</v>
      </c>
      <c r="G749" s="829" t="s">
        <v>481</v>
      </c>
      <c r="H749" s="192" t="s">
        <v>445</v>
      </c>
      <c r="I749" s="253">
        <v>12</v>
      </c>
      <c r="J749" s="253">
        <v>92556</v>
      </c>
      <c r="K749" s="584">
        <f t="shared" si="171"/>
        <v>1110672</v>
      </c>
      <c r="L749" s="585" t="s">
        <v>857</v>
      </c>
      <c r="M749" s="585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26">
        <v>2</v>
      </c>
      <c r="AB749" s="576" t="str">
        <f>IF(VLOOKUP(F749,NXT!$C$12:$C$786,1,0)=F749,"","x")</f>
        <v/>
      </c>
    </row>
    <row r="750" spans="1:30" ht="15.75" customHeight="1">
      <c r="A750" s="827" t="str">
        <f>IF(B750&lt;&gt;"",IF(AND(B750&gt;=_TM1,B750&lt;=_TM2,OR(TH!L750="1111",TH!M750="1111")),TH!D750,""),"")</f>
        <v/>
      </c>
      <c r="B750" s="36">
        <f t="shared" si="169"/>
        <v>4</v>
      </c>
      <c r="C750" s="190">
        <f t="shared" si="170"/>
        <v>42485</v>
      </c>
      <c r="D750" s="37" t="s">
        <v>1633</v>
      </c>
      <c r="E750" s="190">
        <v>42485</v>
      </c>
      <c r="F750" s="191" t="s">
        <v>471</v>
      </c>
      <c r="G750" s="829" t="s">
        <v>481</v>
      </c>
      <c r="H750" s="192" t="s">
        <v>445</v>
      </c>
      <c r="I750" s="253">
        <v>12</v>
      </c>
      <c r="J750" s="253">
        <v>52362</v>
      </c>
      <c r="K750" s="584">
        <f t="shared" si="171"/>
        <v>628344</v>
      </c>
      <c r="L750" s="585" t="s">
        <v>857</v>
      </c>
      <c r="M750" s="585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26">
        <v>2</v>
      </c>
      <c r="AB750" s="576" t="str">
        <f>IF(VLOOKUP(F750,NXT!$C$12:$C$786,1,0)=F750,"","x")</f>
        <v/>
      </c>
    </row>
    <row r="751" spans="1:30" ht="15.75" customHeight="1">
      <c r="A751" s="827" t="str">
        <f>IF(B751&lt;&gt;"",IF(AND(B751&gt;=_TM1,B751&lt;=_TM2,OR(TH!L751="1111",TH!M751="1111")),TH!D751,""),"")</f>
        <v/>
      </c>
      <c r="B751" s="36">
        <f t="shared" si="169"/>
        <v>4</v>
      </c>
      <c r="C751" s="190">
        <f t="shared" si="170"/>
        <v>42485</v>
      </c>
      <c r="D751" s="37" t="s">
        <v>1633</v>
      </c>
      <c r="E751" s="190">
        <v>42485</v>
      </c>
      <c r="F751" s="191" t="s">
        <v>512</v>
      </c>
      <c r="G751" s="829" t="s">
        <v>481</v>
      </c>
      <c r="H751" s="192" t="s">
        <v>445</v>
      </c>
      <c r="I751" s="253">
        <v>56</v>
      </c>
      <c r="J751" s="253">
        <v>18141</v>
      </c>
      <c r="K751" s="584">
        <f t="shared" si="171"/>
        <v>1015896</v>
      </c>
      <c r="L751" s="585" t="s">
        <v>857</v>
      </c>
      <c r="M751" s="585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26">
        <v>2</v>
      </c>
      <c r="AB751" s="576" t="str">
        <f>IF(VLOOKUP(F751,NXT!$C$12:$C$786,1,0)=F751,"","x")</f>
        <v/>
      </c>
    </row>
    <row r="752" spans="1:30" ht="15.75" customHeight="1">
      <c r="A752" s="827" t="str">
        <f>IF(B752&lt;&gt;"",IF(AND(B752&gt;=_TM1,B752&lt;=_TM2,OR(TH!L752="1111",TH!M752="1111")),TH!D752,""),"")</f>
        <v/>
      </c>
      <c r="B752" s="36">
        <f t="shared" si="169"/>
        <v>4</v>
      </c>
      <c r="C752" s="190">
        <f t="shared" si="170"/>
        <v>42485</v>
      </c>
      <c r="D752" s="37" t="s">
        <v>1633</v>
      </c>
      <c r="E752" s="190">
        <v>42485</v>
      </c>
      <c r="F752" s="191" t="s">
        <v>513</v>
      </c>
      <c r="G752" s="829" t="s">
        <v>481</v>
      </c>
      <c r="H752" s="192" t="s">
        <v>445</v>
      </c>
      <c r="I752" s="253">
        <v>48</v>
      </c>
      <c r="J752" s="253">
        <v>18806</v>
      </c>
      <c r="K752" s="584">
        <f t="shared" si="171"/>
        <v>902688</v>
      </c>
      <c r="L752" s="585" t="s">
        <v>857</v>
      </c>
      <c r="M752" s="585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26">
        <v>2</v>
      </c>
      <c r="AB752" s="576" t="str">
        <f>IF(VLOOKUP(F752,NXT!$C$12:$C$786,1,0)=F752,"","x")</f>
        <v/>
      </c>
    </row>
    <row r="753" spans="1:30" ht="15.75" customHeight="1">
      <c r="A753" s="827" t="str">
        <f>IF(B753&lt;&gt;"",IF(AND(B753&gt;=_TM1,B753&lt;=_TM2,OR(TH!L753="1111",TH!M753="1111")),TH!D753,""),"")</f>
        <v/>
      </c>
      <c r="B753" s="36">
        <f t="shared" si="169"/>
        <v>4</v>
      </c>
      <c r="C753" s="190">
        <f t="shared" si="170"/>
        <v>42485</v>
      </c>
      <c r="D753" s="37" t="s">
        <v>1633</v>
      </c>
      <c r="E753" s="190">
        <v>42485</v>
      </c>
      <c r="F753" s="191" t="s">
        <v>514</v>
      </c>
      <c r="G753" s="829" t="s">
        <v>481</v>
      </c>
      <c r="H753" s="192" t="s">
        <v>445</v>
      </c>
      <c r="I753" s="253">
        <v>15</v>
      </c>
      <c r="J753" s="253">
        <v>28428</v>
      </c>
      <c r="K753" s="584">
        <f t="shared" si="171"/>
        <v>426420</v>
      </c>
      <c r="L753" s="585" t="s">
        <v>857</v>
      </c>
      <c r="M753" s="585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26">
        <v>2</v>
      </c>
      <c r="AB753" s="576" t="str">
        <f>IF(VLOOKUP(F753,NXT!$C$12:$C$786,1,0)=F753,"","x")</f>
        <v/>
      </c>
    </row>
    <row r="754" spans="1:30" ht="15.75" customHeight="1">
      <c r="A754" s="827" t="str">
        <f>IF(B754&lt;&gt;"",IF(AND(B754&gt;=_TM1,B754&lt;=_TM2,OR(TH!L754="1111",TH!M754="1111")),TH!D754,""),"")</f>
        <v/>
      </c>
      <c r="B754" s="36">
        <f t="shared" si="169"/>
        <v>4</v>
      </c>
      <c r="C754" s="190">
        <f t="shared" si="170"/>
        <v>42485</v>
      </c>
      <c r="D754" s="37" t="s">
        <v>1633</v>
      </c>
      <c r="E754" s="190">
        <v>42485</v>
      </c>
      <c r="F754" s="191" t="s">
        <v>515</v>
      </c>
      <c r="G754" s="829" t="s">
        <v>481</v>
      </c>
      <c r="H754" s="192" t="s">
        <v>445</v>
      </c>
      <c r="I754" s="253">
        <v>8</v>
      </c>
      <c r="J754" s="253">
        <v>77721</v>
      </c>
      <c r="K754" s="584">
        <f t="shared" si="171"/>
        <v>621768</v>
      </c>
      <c r="L754" s="585" t="s">
        <v>857</v>
      </c>
      <c r="M754" s="585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26">
        <v>2</v>
      </c>
      <c r="AB754" s="576" t="str">
        <f>IF(VLOOKUP(F754,NXT!$C$12:$C$786,1,0)=F754,"","x")</f>
        <v/>
      </c>
    </row>
    <row r="755" spans="1:30" ht="15.75" customHeight="1">
      <c r="A755" s="827" t="str">
        <f>IF(B755&lt;&gt;"",IF(AND(B755&gt;=_TM1,B755&lt;=_TM2,OR(TH!L755="1111",TH!M755="1111")),TH!D755,""),"")</f>
        <v/>
      </c>
      <c r="B755" s="36">
        <f t="shared" si="169"/>
        <v>4</v>
      </c>
      <c r="C755" s="190">
        <f t="shared" si="170"/>
        <v>42485</v>
      </c>
      <c r="D755" s="37" t="s">
        <v>1633</v>
      </c>
      <c r="E755" s="190">
        <v>42485</v>
      </c>
      <c r="F755" s="191" t="s">
        <v>516</v>
      </c>
      <c r="G755" s="829" t="s">
        <v>481</v>
      </c>
      <c r="H755" s="192" t="s">
        <v>445</v>
      </c>
      <c r="I755" s="253">
        <v>12</v>
      </c>
      <c r="J755" s="253">
        <v>51951</v>
      </c>
      <c r="K755" s="584">
        <f t="shared" si="171"/>
        <v>623412</v>
      </c>
      <c r="L755" s="585" t="s">
        <v>857</v>
      </c>
      <c r="M755" s="585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26">
        <v>2</v>
      </c>
      <c r="AB755" s="576" t="str">
        <f>IF(VLOOKUP(F755,NXT!$C$12:$C$786,1,0)=F755,"","x")</f>
        <v/>
      </c>
      <c r="AC755" s="576"/>
      <c r="AD755" s="576"/>
    </row>
    <row r="756" spans="1:30" ht="15.75" customHeight="1">
      <c r="A756" s="827" t="str">
        <f>IF(B756&lt;&gt;"",IF(AND(B756&gt;=_TM1,B756&lt;=_TM2,OR(TH!L756="1111",TH!M756="1111")),TH!D756,""),"")</f>
        <v/>
      </c>
      <c r="B756" s="36">
        <f t="shared" si="169"/>
        <v>4</v>
      </c>
      <c r="C756" s="190">
        <f t="shared" si="170"/>
        <v>42485</v>
      </c>
      <c r="D756" s="37" t="s">
        <v>1633</v>
      </c>
      <c r="E756" s="190">
        <v>42485</v>
      </c>
      <c r="F756" s="191" t="s">
        <v>517</v>
      </c>
      <c r="G756" s="829" t="s">
        <v>481</v>
      </c>
      <c r="H756" s="192" t="s">
        <v>445</v>
      </c>
      <c r="I756" s="253">
        <v>36</v>
      </c>
      <c r="J756" s="253">
        <v>16870</v>
      </c>
      <c r="K756" s="584">
        <f t="shared" si="171"/>
        <v>607320</v>
      </c>
      <c r="L756" s="585" t="s">
        <v>857</v>
      </c>
      <c r="M756" s="585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26">
        <v>2</v>
      </c>
      <c r="AB756" s="576" t="str">
        <f>IF(VLOOKUP(F756,NXT!$C$12:$C$786,1,0)=F756,"","x")</f>
        <v/>
      </c>
      <c r="AC756" s="576"/>
      <c r="AD756" s="576"/>
    </row>
    <row r="757" spans="1:30" ht="15.75" customHeight="1">
      <c r="A757" s="827" t="str">
        <f>IF(B757&lt;&gt;"",IF(AND(B757&gt;=_TM1,B757&lt;=_TM2,OR(TH!L757="1111",TH!M757="1111")),TH!D757,""),"")</f>
        <v/>
      </c>
      <c r="B757" s="36">
        <f t="shared" si="169"/>
        <v>4</v>
      </c>
      <c r="C757" s="190">
        <f t="shared" si="170"/>
        <v>42485</v>
      </c>
      <c r="D757" s="37" t="s">
        <v>1633</v>
      </c>
      <c r="E757" s="190">
        <v>42485</v>
      </c>
      <c r="F757" s="191" t="s">
        <v>493</v>
      </c>
      <c r="G757" s="829" t="s">
        <v>481</v>
      </c>
      <c r="H757" s="192" t="s">
        <v>445</v>
      </c>
      <c r="I757" s="253">
        <v>32</v>
      </c>
      <c r="J757" s="253">
        <v>52285</v>
      </c>
      <c r="K757" s="584">
        <f t="shared" si="171"/>
        <v>1673120</v>
      </c>
      <c r="L757" s="585" t="s">
        <v>857</v>
      </c>
      <c r="M757" s="585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26">
        <v>2</v>
      </c>
      <c r="AB757" s="576" t="str">
        <f>IF(VLOOKUP(F757,NXT!$C$12:$C$786,1,0)=F757,"","x")</f>
        <v/>
      </c>
      <c r="AC757" s="576"/>
      <c r="AD757" s="576"/>
    </row>
    <row r="758" spans="1:30" ht="15.75" customHeight="1">
      <c r="A758" s="827" t="str">
        <f>IF(B758&lt;&gt;"",IF(AND(B758&gt;=_TM1,B758&lt;=_TM2,OR(TH!L758="1111",TH!M758="1111")),TH!D758,""),"")</f>
        <v/>
      </c>
      <c r="B758" s="36">
        <f t="shared" si="169"/>
        <v>4</v>
      </c>
      <c r="C758" s="190">
        <f t="shared" si="170"/>
        <v>42485</v>
      </c>
      <c r="D758" s="37" t="s">
        <v>1633</v>
      </c>
      <c r="E758" s="190">
        <v>42485</v>
      </c>
      <c r="F758" s="191" t="s">
        <v>515</v>
      </c>
      <c r="G758" s="829" t="s">
        <v>481</v>
      </c>
      <c r="H758" s="192" t="s">
        <v>445</v>
      </c>
      <c r="I758" s="253">
        <v>6</v>
      </c>
      <c r="J758" s="253">
        <v>77721</v>
      </c>
      <c r="K758" s="584">
        <f t="shared" si="171"/>
        <v>466326</v>
      </c>
      <c r="L758" s="585" t="s">
        <v>857</v>
      </c>
      <c r="M758" s="585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26">
        <v>2</v>
      </c>
      <c r="AB758" s="576" t="str">
        <f>IF(VLOOKUP(F758,NXT!$C$12:$C$786,1,0)=F758,"","x")</f>
        <v/>
      </c>
    </row>
    <row r="759" spans="1:30" ht="15.75" customHeight="1">
      <c r="A759" s="827" t="str">
        <f>IF(B759&lt;&gt;"",IF(AND(B759&gt;=_TM1,B759&lt;=_TM2,OR(TH!L759="1111",TH!M759="1111")),TH!D759,""),"")</f>
        <v/>
      </c>
      <c r="B759" s="36">
        <f t="shared" si="169"/>
        <v>4</v>
      </c>
      <c r="C759" s="190">
        <f t="shared" si="170"/>
        <v>42485</v>
      </c>
      <c r="D759" s="37" t="s">
        <v>1633</v>
      </c>
      <c r="E759" s="190">
        <v>42485</v>
      </c>
      <c r="F759" s="191" t="s">
        <v>518</v>
      </c>
      <c r="G759" s="829" t="s">
        <v>481</v>
      </c>
      <c r="H759" s="192" t="s">
        <v>445</v>
      </c>
      <c r="I759" s="253">
        <v>10</v>
      </c>
      <c r="J759" s="253">
        <v>47956</v>
      </c>
      <c r="K759" s="584">
        <f t="shared" si="171"/>
        <v>479560</v>
      </c>
      <c r="L759" s="585" t="s">
        <v>857</v>
      </c>
      <c r="M759" s="585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26">
        <v>2</v>
      </c>
      <c r="AB759" s="576" t="str">
        <f>IF(VLOOKUP(F759,NXT!$C$12:$C$786,1,0)=F759,"","x")</f>
        <v/>
      </c>
    </row>
    <row r="760" spans="1:30" ht="15.75" customHeight="1">
      <c r="A760" s="827" t="str">
        <f>IF(B760&lt;&gt;"",IF(AND(B760&gt;=_TM1,B760&lt;=_TM2,OR(TH!L760="1111",TH!M760="1111")),TH!D760,""),"")</f>
        <v/>
      </c>
      <c r="B760" s="36">
        <f t="shared" si="169"/>
        <v>4</v>
      </c>
      <c r="C760" s="190">
        <f t="shared" si="170"/>
        <v>42485</v>
      </c>
      <c r="D760" s="37" t="s">
        <v>1633</v>
      </c>
      <c r="E760" s="190">
        <v>42485</v>
      </c>
      <c r="F760" s="191" t="s">
        <v>519</v>
      </c>
      <c r="G760" s="829" t="s">
        <v>481</v>
      </c>
      <c r="H760" s="192" t="s">
        <v>445</v>
      </c>
      <c r="I760" s="253">
        <v>12</v>
      </c>
      <c r="J760" s="253">
        <v>24216</v>
      </c>
      <c r="K760" s="584">
        <f t="shared" si="171"/>
        <v>290592</v>
      </c>
      <c r="L760" s="585" t="s">
        <v>857</v>
      </c>
      <c r="M760" s="585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26">
        <v>2</v>
      </c>
      <c r="AB760" s="576" t="str">
        <f>IF(VLOOKUP(F760,NXT!$C$12:$C$786,1,0)=F760,"","x")</f>
        <v/>
      </c>
    </row>
    <row r="761" spans="1:30" ht="15.75" customHeight="1">
      <c r="A761" s="827" t="str">
        <f>IF(B761&lt;&gt;"",IF(AND(B761&gt;=_TM1,B761&lt;=_TM2,OR(TH!L761="1111",TH!M761="1111")),TH!D761,""),"")</f>
        <v/>
      </c>
      <c r="B761" s="36">
        <f t="shared" si="169"/>
        <v>4</v>
      </c>
      <c r="C761" s="190">
        <f t="shared" si="170"/>
        <v>42485</v>
      </c>
      <c r="D761" s="37" t="s">
        <v>1633</v>
      </c>
      <c r="E761" s="190">
        <v>42485</v>
      </c>
      <c r="F761" s="191" t="s">
        <v>520</v>
      </c>
      <c r="G761" s="829" t="s">
        <v>481</v>
      </c>
      <c r="H761" s="192" t="s">
        <v>445</v>
      </c>
      <c r="I761" s="253">
        <v>12</v>
      </c>
      <c r="J761" s="253">
        <v>15680</v>
      </c>
      <c r="K761" s="584">
        <f t="shared" si="171"/>
        <v>188160</v>
      </c>
      <c r="L761" s="585" t="s">
        <v>857</v>
      </c>
      <c r="M761" s="585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26">
        <v>2</v>
      </c>
      <c r="AB761" s="576" t="str">
        <f>IF(VLOOKUP(F761,NXT!$C$12:$C$786,1,0)=F761,"","x")</f>
        <v/>
      </c>
    </row>
    <row r="762" spans="1:30" ht="15.75" customHeight="1">
      <c r="A762" s="827" t="str">
        <f>IF(B762&lt;&gt;"",IF(AND(B762&gt;=_TM1,B762&lt;=_TM2,OR(TH!L762="1111",TH!M762="1111")),TH!D762,""),"")</f>
        <v/>
      </c>
      <c r="B762" s="36">
        <f t="shared" si="169"/>
        <v>4</v>
      </c>
      <c r="C762" s="190">
        <f t="shared" si="170"/>
        <v>42485</v>
      </c>
      <c r="D762" s="37" t="s">
        <v>1633</v>
      </c>
      <c r="E762" s="190">
        <v>42485</v>
      </c>
      <c r="F762" s="191" t="s">
        <v>521</v>
      </c>
      <c r="G762" s="829" t="s">
        <v>481</v>
      </c>
      <c r="H762" s="192" t="s">
        <v>445</v>
      </c>
      <c r="I762" s="253">
        <v>7</v>
      </c>
      <c r="J762" s="253">
        <v>40073</v>
      </c>
      <c r="K762" s="584">
        <f t="shared" si="171"/>
        <v>280511</v>
      </c>
      <c r="L762" s="585" t="s">
        <v>857</v>
      </c>
      <c r="M762" s="585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26">
        <v>2</v>
      </c>
      <c r="AB762" s="576" t="str">
        <f>IF(VLOOKUP(F762,NXT!$C$12:$C$786,1,0)=F762,"","x")</f>
        <v/>
      </c>
    </row>
    <row r="763" spans="1:30" ht="15.75" customHeight="1">
      <c r="A763" s="827" t="str">
        <f>IF(B763&lt;&gt;"",IF(AND(B763&gt;=_TM1,B763&lt;=_TM2,OR(TH!L763="1111",TH!M763="1111")),TH!D763,""),"")</f>
        <v/>
      </c>
      <c r="B763" s="36">
        <f t="shared" si="169"/>
        <v>4</v>
      </c>
      <c r="C763" s="190">
        <f t="shared" si="170"/>
        <v>42485</v>
      </c>
      <c r="D763" s="37" t="s">
        <v>1633</v>
      </c>
      <c r="E763" s="190">
        <v>42485</v>
      </c>
      <c r="F763" s="191" t="s">
        <v>522</v>
      </c>
      <c r="G763" s="829" t="s">
        <v>481</v>
      </c>
      <c r="H763" s="192" t="s">
        <v>445</v>
      </c>
      <c r="I763" s="253">
        <v>7</v>
      </c>
      <c r="J763" s="253">
        <v>22423</v>
      </c>
      <c r="K763" s="584">
        <f t="shared" si="171"/>
        <v>156961</v>
      </c>
      <c r="L763" s="585" t="s">
        <v>857</v>
      </c>
      <c r="M763" s="585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26">
        <v>2</v>
      </c>
      <c r="AB763" s="576" t="str">
        <f>IF(VLOOKUP(F763,NXT!$C$12:$C$786,1,0)=F763,"","x")</f>
        <v/>
      </c>
    </row>
    <row r="764" spans="1:30" ht="15.75" customHeight="1">
      <c r="A764" s="827" t="str">
        <f>IF(B764&lt;&gt;"",IF(AND(B764&gt;=_TM1,B764&lt;=_TM2,OR(TH!L764="1111",TH!M764="1111")),TH!D764,""),"")</f>
        <v/>
      </c>
      <c r="B764" s="36">
        <f t="shared" si="169"/>
        <v>4</v>
      </c>
      <c r="C764" s="190">
        <f t="shared" si="170"/>
        <v>42485</v>
      </c>
      <c r="D764" s="37" t="s">
        <v>1633</v>
      </c>
      <c r="E764" s="190">
        <v>42485</v>
      </c>
      <c r="F764" s="191" t="s">
        <v>523</v>
      </c>
      <c r="G764" s="829" t="s">
        <v>481</v>
      </c>
      <c r="H764" s="192" t="s">
        <v>445</v>
      </c>
      <c r="I764" s="253">
        <v>32</v>
      </c>
      <c r="J764" s="253">
        <v>28012</v>
      </c>
      <c r="K764" s="584">
        <f t="shared" si="171"/>
        <v>896384</v>
      </c>
      <c r="L764" s="585" t="s">
        <v>857</v>
      </c>
      <c r="M764" s="585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26">
        <v>2</v>
      </c>
      <c r="AB764" s="576" t="str">
        <f>IF(VLOOKUP(F764,NXT!$C$12:$C$786,1,0)=F764,"","x")</f>
        <v/>
      </c>
    </row>
    <row r="765" spans="1:30" ht="15.75" customHeight="1">
      <c r="A765" s="827" t="str">
        <f>IF(B765&lt;&gt;"",IF(AND(B765&gt;=_TM1,B765&lt;=_TM2,OR(TH!L765="1111",TH!M765="1111")),TH!D765,""),"")</f>
        <v/>
      </c>
      <c r="B765" s="36">
        <f t="shared" si="169"/>
        <v>4</v>
      </c>
      <c r="C765" s="190">
        <f t="shared" si="170"/>
        <v>42485</v>
      </c>
      <c r="D765" s="37" t="s">
        <v>1633</v>
      </c>
      <c r="E765" s="190">
        <v>42485</v>
      </c>
      <c r="F765" s="191" t="s">
        <v>524</v>
      </c>
      <c r="G765" s="829" t="s">
        <v>481</v>
      </c>
      <c r="H765" s="192" t="s">
        <v>445</v>
      </c>
      <c r="I765" s="253">
        <v>10</v>
      </c>
      <c r="J765" s="253">
        <v>44247</v>
      </c>
      <c r="K765" s="584">
        <f t="shared" si="171"/>
        <v>442470</v>
      </c>
      <c r="L765" s="585" t="s">
        <v>857</v>
      </c>
      <c r="M765" s="585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26">
        <v>2</v>
      </c>
      <c r="AB765" s="576" t="str">
        <f>IF(VLOOKUP(F765,NXT!$C$12:$C$786,1,0)=F765,"","x")</f>
        <v/>
      </c>
    </row>
    <row r="766" spans="1:30" ht="15.75" customHeight="1">
      <c r="A766" s="827" t="str">
        <f>IF(B766&lt;&gt;"",IF(AND(B766&gt;=_TM1,B766&lt;=_TM2,OR(TH!L766="1111",TH!M766="1111")),TH!D766,""),"")</f>
        <v/>
      </c>
      <c r="B766" s="36">
        <f t="shared" si="169"/>
        <v>4</v>
      </c>
      <c r="C766" s="190">
        <f t="shared" si="170"/>
        <v>42485</v>
      </c>
      <c r="D766" s="37" t="s">
        <v>1633</v>
      </c>
      <c r="E766" s="190">
        <v>42485</v>
      </c>
      <c r="F766" s="191" t="s">
        <v>525</v>
      </c>
      <c r="G766" s="829" t="s">
        <v>481</v>
      </c>
      <c r="H766" s="192" t="s">
        <v>445</v>
      </c>
      <c r="I766" s="253">
        <v>36</v>
      </c>
      <c r="J766" s="253">
        <v>16775</v>
      </c>
      <c r="K766" s="584">
        <f t="shared" si="171"/>
        <v>603900</v>
      </c>
      <c r="L766" s="585" t="s">
        <v>857</v>
      </c>
      <c r="M766" s="585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26">
        <v>2</v>
      </c>
      <c r="AB766" s="576" t="str">
        <f>IF(VLOOKUP(F766,NXT!$C$12:$C$786,1,0)=F766,"","x")</f>
        <v/>
      </c>
    </row>
    <row r="767" spans="1:30" ht="15.75" customHeight="1">
      <c r="A767" s="827" t="str">
        <f>IF(B767&lt;&gt;"",IF(AND(B767&gt;=_TM1,B767&lt;=_TM2,OR(TH!L767="1111",TH!M767="1111")),TH!D767,""),"")</f>
        <v/>
      </c>
      <c r="B767" s="36">
        <f t="shared" si="169"/>
        <v>4</v>
      </c>
      <c r="C767" s="190">
        <f t="shared" si="170"/>
        <v>42485</v>
      </c>
      <c r="D767" s="37" t="s">
        <v>1633</v>
      </c>
      <c r="E767" s="190">
        <v>42485</v>
      </c>
      <c r="F767" s="191" t="s">
        <v>526</v>
      </c>
      <c r="G767" s="829" t="s">
        <v>481</v>
      </c>
      <c r="H767" s="192" t="s">
        <v>445</v>
      </c>
      <c r="I767" s="253">
        <v>12</v>
      </c>
      <c r="J767" s="253">
        <v>43318</v>
      </c>
      <c r="K767" s="584">
        <f t="shared" si="171"/>
        <v>519816</v>
      </c>
      <c r="L767" s="585" t="s">
        <v>857</v>
      </c>
      <c r="M767" s="585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26">
        <v>2</v>
      </c>
      <c r="AB767" s="576" t="str">
        <f>IF(VLOOKUP(F767,NXT!$C$12:$C$786,1,0)=F767,"","x")</f>
        <v/>
      </c>
    </row>
    <row r="768" spans="1:30" ht="15.75" customHeight="1">
      <c r="A768" s="827" t="str">
        <f>IF(B768&lt;&gt;"",IF(AND(B768&gt;=_TM1,B768&lt;=_TM2,OR(TH!L768="1111",TH!M768="1111")),TH!D768,""),"")</f>
        <v/>
      </c>
      <c r="B768" s="36">
        <f t="shared" si="169"/>
        <v>4</v>
      </c>
      <c r="C768" s="190">
        <f t="shared" si="170"/>
        <v>42485</v>
      </c>
      <c r="D768" s="37" t="s">
        <v>1633</v>
      </c>
      <c r="E768" s="190">
        <v>42485</v>
      </c>
      <c r="F768" s="191" t="s">
        <v>525</v>
      </c>
      <c r="G768" s="829" t="s">
        <v>481</v>
      </c>
      <c r="H768" s="192" t="s">
        <v>445</v>
      </c>
      <c r="I768" s="253">
        <v>216</v>
      </c>
      <c r="J768" s="253">
        <v>16775</v>
      </c>
      <c r="K768" s="584">
        <f t="shared" si="171"/>
        <v>3623400</v>
      </c>
      <c r="L768" s="585" t="s">
        <v>857</v>
      </c>
      <c r="M768" s="585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26">
        <v>2</v>
      </c>
      <c r="AB768" s="576" t="str">
        <f>IF(VLOOKUP(F768,NXT!$C$12:$C$786,1,0)=F768,"","x")</f>
        <v/>
      </c>
    </row>
    <row r="769" spans="1:30" ht="15.75" customHeight="1">
      <c r="A769" s="827" t="str">
        <f>IF(B769&lt;&gt;"",IF(AND(B769&gt;=_TM1,B769&lt;=_TM2,OR(TH!L769="1111",TH!M769="1111")),TH!D769,""),"")</f>
        <v/>
      </c>
      <c r="B769" s="36">
        <f t="shared" si="169"/>
        <v>4</v>
      </c>
      <c r="C769" s="190">
        <f t="shared" si="170"/>
        <v>42485</v>
      </c>
      <c r="D769" s="37" t="s">
        <v>1633</v>
      </c>
      <c r="E769" s="190">
        <v>42485</v>
      </c>
      <c r="F769" s="191" t="s">
        <v>527</v>
      </c>
      <c r="G769" s="829" t="s">
        <v>481</v>
      </c>
      <c r="H769" s="192" t="s">
        <v>445</v>
      </c>
      <c r="I769" s="253">
        <v>16</v>
      </c>
      <c r="J769" s="253">
        <v>73033</v>
      </c>
      <c r="K769" s="584">
        <f t="shared" si="171"/>
        <v>1168528</v>
      </c>
      <c r="L769" s="585" t="s">
        <v>857</v>
      </c>
      <c r="M769" s="585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26">
        <v>2</v>
      </c>
      <c r="AB769" s="576" t="str">
        <f>IF(VLOOKUP(F769,NXT!$C$12:$C$786,1,0)=F769,"","x")</f>
        <v/>
      </c>
    </row>
    <row r="770" spans="1:30" ht="15.75" customHeight="1">
      <c r="A770" s="827" t="str">
        <f>IF(B770&lt;&gt;"",IF(AND(B770&gt;=_TM1,B770&lt;=_TM2,OR(TH!L770="1111",TH!M770="1111")),TH!D770,""),"")</f>
        <v/>
      </c>
      <c r="B770" s="36">
        <f t="shared" si="169"/>
        <v>4</v>
      </c>
      <c r="C770" s="190">
        <f t="shared" si="170"/>
        <v>42485</v>
      </c>
      <c r="D770" s="37" t="s">
        <v>1633</v>
      </c>
      <c r="E770" s="190">
        <v>42485</v>
      </c>
      <c r="F770" s="191" t="s">
        <v>528</v>
      </c>
      <c r="G770" s="829" t="s">
        <v>481</v>
      </c>
      <c r="H770" s="192" t="s">
        <v>445</v>
      </c>
      <c r="I770" s="253">
        <v>10</v>
      </c>
      <c r="J770" s="253">
        <v>19073</v>
      </c>
      <c r="K770" s="584">
        <f t="shared" si="171"/>
        <v>190730</v>
      </c>
      <c r="L770" s="585" t="s">
        <v>857</v>
      </c>
      <c r="M770" s="585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26">
        <v>2</v>
      </c>
      <c r="AB770" s="576" t="str">
        <f>IF(VLOOKUP(F770,NXT!$C$12:$C$786,1,0)=F770,"","x")</f>
        <v/>
      </c>
    </row>
    <row r="771" spans="1:30" ht="15.75" customHeight="1">
      <c r="A771" s="827" t="str">
        <f>IF(B771&lt;&gt;"",IF(AND(B771&gt;=_TM1,B771&lt;=_TM2,OR(TH!L771="1111",TH!M771="1111")),TH!D771,""),"")</f>
        <v/>
      </c>
      <c r="B771" s="36">
        <f t="shared" si="169"/>
        <v>4</v>
      </c>
      <c r="C771" s="190">
        <f t="shared" si="170"/>
        <v>42485</v>
      </c>
      <c r="D771" s="37" t="s">
        <v>1633</v>
      </c>
      <c r="E771" s="190">
        <v>42485</v>
      </c>
      <c r="F771" s="191" t="s">
        <v>529</v>
      </c>
      <c r="G771" s="829" t="s">
        <v>481</v>
      </c>
      <c r="H771" s="192" t="s">
        <v>445</v>
      </c>
      <c r="I771" s="253">
        <v>10</v>
      </c>
      <c r="J771" s="253">
        <v>16692</v>
      </c>
      <c r="K771" s="584">
        <f t="shared" si="171"/>
        <v>166920</v>
      </c>
      <c r="L771" s="585" t="s">
        <v>857</v>
      </c>
      <c r="M771" s="585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26">
        <v>2</v>
      </c>
      <c r="AB771" s="576" t="str">
        <f>IF(VLOOKUP(F771,NXT!$C$12:$C$786,1,0)=F771,"","x")</f>
        <v/>
      </c>
    </row>
    <row r="772" spans="1:30" ht="15.75" customHeight="1">
      <c r="A772" s="827" t="str">
        <f>IF(B772&lt;&gt;"",IF(AND(B772&gt;=_TM1,B772&lt;=_TM2,OR(TH!L772="1111",TH!M772="1111")),TH!D772,""),"")</f>
        <v/>
      </c>
      <c r="B772" s="36">
        <f t="shared" si="169"/>
        <v>4</v>
      </c>
      <c r="C772" s="190">
        <f t="shared" si="170"/>
        <v>42485</v>
      </c>
      <c r="D772" s="37" t="s">
        <v>1633</v>
      </c>
      <c r="E772" s="190">
        <v>42485</v>
      </c>
      <c r="F772" s="191" t="s">
        <v>530</v>
      </c>
      <c r="G772" s="829" t="s">
        <v>481</v>
      </c>
      <c r="H772" s="192" t="s">
        <v>445</v>
      </c>
      <c r="I772" s="253">
        <v>10</v>
      </c>
      <c r="J772" s="253">
        <v>11431</v>
      </c>
      <c r="K772" s="584">
        <f t="shared" si="171"/>
        <v>114310</v>
      </c>
      <c r="L772" s="585" t="s">
        <v>857</v>
      </c>
      <c r="M772" s="585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26">
        <v>2</v>
      </c>
      <c r="AB772" s="576" t="str">
        <f>IF(VLOOKUP(F772,NXT!$C$12:$C$786,1,0)=F772,"","x")</f>
        <v/>
      </c>
    </row>
    <row r="773" spans="1:30" ht="15.75" customHeight="1">
      <c r="A773" s="827" t="str">
        <f>IF(B773&lt;&gt;"",IF(AND(B773&gt;=_TM1,B773&lt;=_TM2,OR(TH!L773="1111",TH!M773="1111")),TH!D773,""),"")</f>
        <v/>
      </c>
      <c r="B773" s="36">
        <f t="shared" si="169"/>
        <v>4</v>
      </c>
      <c r="C773" s="190">
        <f t="shared" si="170"/>
        <v>42485</v>
      </c>
      <c r="D773" s="37" t="s">
        <v>1633</v>
      </c>
      <c r="E773" s="190">
        <v>42485</v>
      </c>
      <c r="F773" s="191" t="s">
        <v>531</v>
      </c>
      <c r="G773" s="829" t="s">
        <v>481</v>
      </c>
      <c r="H773" s="192" t="s">
        <v>445</v>
      </c>
      <c r="I773" s="253">
        <v>10</v>
      </c>
      <c r="J773" s="253">
        <v>6970</v>
      </c>
      <c r="K773" s="584">
        <f t="shared" si="171"/>
        <v>69700</v>
      </c>
      <c r="L773" s="585" t="s">
        <v>857</v>
      </c>
      <c r="M773" s="585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26">
        <v>2</v>
      </c>
      <c r="AB773" s="576" t="str">
        <f>IF(VLOOKUP(F773,NXT!$C$12:$C$786,1,0)=F773,"","x")</f>
        <v/>
      </c>
    </row>
    <row r="774" spans="1:30" ht="15.75" customHeight="1">
      <c r="A774" s="827" t="str">
        <f>IF(B774&lt;&gt;"",IF(AND(B774&gt;=_TM1,B774&lt;=_TM2,OR(TH!L774="1111",TH!M774="1111")),TH!D774,""),"")</f>
        <v/>
      </c>
      <c r="B774" s="36">
        <f t="shared" si="169"/>
        <v>4</v>
      </c>
      <c r="C774" s="190">
        <f t="shared" si="170"/>
        <v>42485</v>
      </c>
      <c r="D774" s="37" t="s">
        <v>1633</v>
      </c>
      <c r="E774" s="190">
        <v>42485</v>
      </c>
      <c r="F774" s="191" t="s">
        <v>532</v>
      </c>
      <c r="G774" s="829" t="s">
        <v>481</v>
      </c>
      <c r="H774" s="192" t="s">
        <v>445</v>
      </c>
      <c r="I774" s="253">
        <v>8</v>
      </c>
      <c r="J774" s="253">
        <v>50210</v>
      </c>
      <c r="K774" s="584">
        <f t="shared" si="171"/>
        <v>401680</v>
      </c>
      <c r="L774" s="585" t="s">
        <v>857</v>
      </c>
      <c r="M774" s="585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26">
        <v>2</v>
      </c>
      <c r="AB774" s="576" t="str">
        <f>IF(VLOOKUP(F774,NXT!$C$12:$C$786,1,0)=F774,"","x")</f>
        <v/>
      </c>
    </row>
    <row r="775" spans="1:30" ht="15.75" customHeight="1">
      <c r="A775" s="827" t="str">
        <f>IF(B775&lt;&gt;"",IF(AND(B775&gt;=_TM1,B775&lt;=_TM2,OR(TH!L775="1111",TH!M775="1111")),TH!D775,""),"")</f>
        <v/>
      </c>
      <c r="B775" s="36">
        <f t="shared" si="169"/>
        <v>4</v>
      </c>
      <c r="C775" s="190">
        <f t="shared" si="170"/>
        <v>42485</v>
      </c>
      <c r="D775" s="37" t="s">
        <v>1633</v>
      </c>
      <c r="E775" s="190">
        <v>42485</v>
      </c>
      <c r="F775" s="191" t="s">
        <v>525</v>
      </c>
      <c r="G775" s="829" t="s">
        <v>481</v>
      </c>
      <c r="H775" s="192" t="s">
        <v>445</v>
      </c>
      <c r="I775" s="253">
        <v>78</v>
      </c>
      <c r="J775" s="253">
        <v>16775</v>
      </c>
      <c r="K775" s="584">
        <f t="shared" si="171"/>
        <v>1308450</v>
      </c>
      <c r="L775" s="585" t="s">
        <v>857</v>
      </c>
      <c r="M775" s="585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26">
        <v>2</v>
      </c>
      <c r="AB775" s="576" t="str">
        <f>IF(VLOOKUP(F775,NXT!$C$12:$C$786,1,0)=F775,"","x")</f>
        <v/>
      </c>
    </row>
    <row r="776" spans="1:30" ht="15.75" customHeight="1">
      <c r="A776" s="827" t="str">
        <f>IF(B776&lt;&gt;"",IF(AND(B776&gt;=_TM1,B776&lt;=_TM2,OR(TH!L776="1111",TH!M776="1111")),TH!D776,""),"")</f>
        <v/>
      </c>
      <c r="B776" s="36">
        <f t="shared" si="169"/>
        <v>4</v>
      </c>
      <c r="C776" s="190">
        <f t="shared" si="170"/>
        <v>42485</v>
      </c>
      <c r="D776" s="37" t="s">
        <v>1633</v>
      </c>
      <c r="E776" s="190">
        <v>42485</v>
      </c>
      <c r="F776" s="191" t="s">
        <v>533</v>
      </c>
      <c r="G776" s="829" t="s">
        <v>481</v>
      </c>
      <c r="H776" s="192" t="s">
        <v>445</v>
      </c>
      <c r="I776" s="253">
        <v>12</v>
      </c>
      <c r="J776" s="253">
        <v>59493</v>
      </c>
      <c r="K776" s="584">
        <f t="shared" ref="K776:K807" si="172">ROUND(I776*J776,0)</f>
        <v>713916</v>
      </c>
      <c r="L776" s="585" t="s">
        <v>857</v>
      </c>
      <c r="M776" s="585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26">
        <v>2</v>
      </c>
      <c r="AB776" s="576" t="str">
        <f>IF(VLOOKUP(F776,NXT!$C$12:$C$786,1,0)=F776,"","x")</f>
        <v/>
      </c>
    </row>
    <row r="777" spans="1:30" ht="15.75" customHeight="1">
      <c r="A777" s="827" t="str">
        <f>IF(B777&lt;&gt;"",IF(AND(B777&gt;=_TM1,B777&lt;=_TM2,OR(TH!L777="1111",TH!M777="1111")),TH!D777,""),"")</f>
        <v/>
      </c>
      <c r="B777" s="36">
        <f t="shared" si="169"/>
        <v>4</v>
      </c>
      <c r="C777" s="190">
        <f t="shared" si="170"/>
        <v>42485</v>
      </c>
      <c r="D777" s="37" t="s">
        <v>1633</v>
      </c>
      <c r="E777" s="190">
        <v>42485</v>
      </c>
      <c r="F777" s="191" t="s">
        <v>534</v>
      </c>
      <c r="G777" s="829" t="s">
        <v>481</v>
      </c>
      <c r="H777" s="192" t="s">
        <v>445</v>
      </c>
      <c r="I777" s="253">
        <v>12</v>
      </c>
      <c r="J777" s="253">
        <v>88678</v>
      </c>
      <c r="K777" s="584">
        <f t="shared" si="172"/>
        <v>1064136</v>
      </c>
      <c r="L777" s="585" t="s">
        <v>857</v>
      </c>
      <c r="M777" s="585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26">
        <v>2</v>
      </c>
      <c r="AB777" s="576" t="str">
        <f>IF(VLOOKUP(F777,NXT!$C$12:$C$786,1,0)=F777,"","x")</f>
        <v/>
      </c>
    </row>
    <row r="778" spans="1:30" ht="15.75" customHeight="1">
      <c r="A778" s="827" t="str">
        <f>IF(B778&lt;&gt;"",IF(AND(B778&gt;=_TM1,B778&lt;=_TM2,OR(TH!L778="1111",TH!M778="1111")),TH!D778,""),"")</f>
        <v/>
      </c>
      <c r="B778" s="36">
        <f t="shared" si="169"/>
        <v>4</v>
      </c>
      <c r="C778" s="190">
        <f t="shared" si="170"/>
        <v>42485</v>
      </c>
      <c r="D778" s="37" t="s">
        <v>1633</v>
      </c>
      <c r="E778" s="190">
        <v>42485</v>
      </c>
      <c r="F778" s="191" t="s">
        <v>535</v>
      </c>
      <c r="G778" s="829" t="s">
        <v>481</v>
      </c>
      <c r="H778" s="192" t="s">
        <v>445</v>
      </c>
      <c r="I778" s="253">
        <v>8</v>
      </c>
      <c r="J778" s="253">
        <v>49097</v>
      </c>
      <c r="K778" s="584">
        <f t="shared" si="172"/>
        <v>392776</v>
      </c>
      <c r="L778" s="585" t="s">
        <v>857</v>
      </c>
      <c r="M778" s="585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26">
        <v>2</v>
      </c>
      <c r="AB778" s="576" t="str">
        <f>IF(VLOOKUP(F778,NXT!$C$12:$C$786,1,0)=F778,"","x")</f>
        <v/>
      </c>
    </row>
    <row r="779" spans="1:30" ht="15.75" customHeight="1">
      <c r="A779" s="827" t="str">
        <f>IF(B779&lt;&gt;"",IF(AND(B779&gt;=_TM1,B779&lt;=_TM2,OR(TH!L779="1111",TH!M779="1111")),TH!D779,""),"")</f>
        <v/>
      </c>
      <c r="B779" s="36">
        <f t="shared" si="169"/>
        <v>4</v>
      </c>
      <c r="C779" s="190">
        <f t="shared" si="170"/>
        <v>42485</v>
      </c>
      <c r="D779" s="37" t="s">
        <v>1633</v>
      </c>
      <c r="E779" s="190">
        <v>42485</v>
      </c>
      <c r="F779" s="191" t="s">
        <v>501</v>
      </c>
      <c r="G779" s="829" t="s">
        <v>481</v>
      </c>
      <c r="H779" s="192" t="s">
        <v>445</v>
      </c>
      <c r="I779" s="253">
        <v>50</v>
      </c>
      <c r="J779" s="253">
        <v>46912</v>
      </c>
      <c r="K779" s="584">
        <f t="shared" si="172"/>
        <v>2345600</v>
      </c>
      <c r="L779" s="585" t="s">
        <v>857</v>
      </c>
      <c r="M779" s="585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26">
        <v>2</v>
      </c>
      <c r="AB779" s="576" t="str">
        <f>IF(VLOOKUP(F779,NXT!$C$12:$C$786,1,0)=F779,"","x")</f>
        <v/>
      </c>
    </row>
    <row r="780" spans="1:30" ht="15.75" customHeight="1">
      <c r="A780" s="827" t="str">
        <f>IF(B780&lt;&gt;"",IF(AND(B780&gt;=_TM1,B780&lt;=_TM2,OR(TH!L780="1111",TH!M780="1111")),TH!D780,""),"")</f>
        <v/>
      </c>
      <c r="B780" s="36">
        <f t="shared" si="169"/>
        <v>4</v>
      </c>
      <c r="C780" s="190">
        <f t="shared" si="170"/>
        <v>42485</v>
      </c>
      <c r="D780" s="37" t="s">
        <v>1633</v>
      </c>
      <c r="E780" s="190">
        <v>42485</v>
      </c>
      <c r="F780" s="191" t="s">
        <v>536</v>
      </c>
      <c r="G780" s="829" t="s">
        <v>481</v>
      </c>
      <c r="H780" s="192" t="s">
        <v>445</v>
      </c>
      <c r="I780" s="253">
        <v>50</v>
      </c>
      <c r="J780" s="253">
        <v>57074</v>
      </c>
      <c r="K780" s="584">
        <f t="shared" si="172"/>
        <v>2853700</v>
      </c>
      <c r="L780" s="585" t="s">
        <v>857</v>
      </c>
      <c r="M780" s="585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26">
        <v>2</v>
      </c>
      <c r="AB780" s="576" t="str">
        <f>IF(VLOOKUP(F780,NXT!$C$12:$C$786,1,0)=F780,"","x")</f>
        <v/>
      </c>
    </row>
    <row r="781" spans="1:30" ht="15.75" customHeight="1">
      <c r="A781" s="827" t="str">
        <f>IF(B781&lt;&gt;"",IF(AND(B781&gt;=_TM1,B781&lt;=_TM2,OR(TH!L781="1111",TH!M781="1111")),TH!D781,""),"")</f>
        <v/>
      </c>
      <c r="B781" s="36">
        <f t="shared" si="169"/>
        <v>4</v>
      </c>
      <c r="C781" s="190">
        <f t="shared" si="170"/>
        <v>42485</v>
      </c>
      <c r="D781" s="37" t="s">
        <v>1633</v>
      </c>
      <c r="E781" s="190">
        <v>42485</v>
      </c>
      <c r="F781" s="191" t="s">
        <v>537</v>
      </c>
      <c r="G781" s="829" t="s">
        <v>481</v>
      </c>
      <c r="H781" s="192" t="s">
        <v>445</v>
      </c>
      <c r="I781" s="253">
        <v>36</v>
      </c>
      <c r="J781" s="253">
        <v>30043</v>
      </c>
      <c r="K781" s="584">
        <f t="shared" si="172"/>
        <v>1081548</v>
      </c>
      <c r="L781" s="585" t="s">
        <v>857</v>
      </c>
      <c r="M781" s="585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26">
        <v>2</v>
      </c>
      <c r="AB781" s="576" t="str">
        <f>IF(VLOOKUP(F781,NXT!$C$12:$C$786,1,0)=F781,"","x")</f>
        <v/>
      </c>
      <c r="AC781" s="576"/>
      <c r="AD781" s="576"/>
    </row>
    <row r="782" spans="1:30" ht="15.75" customHeight="1">
      <c r="A782" s="827" t="str">
        <f>IF(B782&lt;&gt;"",IF(AND(B782&gt;=_TM1,B782&lt;=_TM2,OR(TH!L782="1111",TH!M782="1111")),TH!D782,""),"")</f>
        <v/>
      </c>
      <c r="B782" s="36">
        <f t="shared" si="169"/>
        <v>4</v>
      </c>
      <c r="C782" s="190">
        <f t="shared" si="170"/>
        <v>42485</v>
      </c>
      <c r="D782" s="37" t="s">
        <v>1633</v>
      </c>
      <c r="E782" s="190">
        <v>42485</v>
      </c>
      <c r="F782" s="191" t="s">
        <v>538</v>
      </c>
      <c r="G782" s="829" t="s">
        <v>481</v>
      </c>
      <c r="H782" s="192" t="s">
        <v>445</v>
      </c>
      <c r="I782" s="253">
        <v>36</v>
      </c>
      <c r="J782" s="253">
        <v>67731</v>
      </c>
      <c r="K782" s="584">
        <f t="shared" si="172"/>
        <v>2438316</v>
      </c>
      <c r="L782" s="585" t="s">
        <v>857</v>
      </c>
      <c r="M782" s="585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26">
        <v>2</v>
      </c>
      <c r="AB782" s="576" t="str">
        <f>IF(VLOOKUP(F782,NXT!$C$12:$C$786,1,0)=F782,"","x")</f>
        <v/>
      </c>
      <c r="AC782" s="576"/>
    </row>
    <row r="783" spans="1:30" ht="15.75" customHeight="1">
      <c r="A783" s="827" t="str">
        <f>IF(B783&lt;&gt;"",IF(AND(B783&gt;=_TM1,B783&lt;=_TM2,OR(TH!L783="1111",TH!M783="1111")),TH!D783,""),"")</f>
        <v/>
      </c>
      <c r="B783" s="36">
        <f t="shared" si="169"/>
        <v>4</v>
      </c>
      <c r="C783" s="190">
        <f t="shared" si="170"/>
        <v>42485</v>
      </c>
      <c r="D783" s="37" t="s">
        <v>1633</v>
      </c>
      <c r="E783" s="190">
        <v>42485</v>
      </c>
      <c r="F783" s="191" t="s">
        <v>539</v>
      </c>
      <c r="G783" s="829" t="s">
        <v>481</v>
      </c>
      <c r="H783" s="192" t="s">
        <v>445</v>
      </c>
      <c r="I783" s="253">
        <v>20</v>
      </c>
      <c r="J783" s="253">
        <v>121856</v>
      </c>
      <c r="K783" s="584">
        <f t="shared" si="172"/>
        <v>2437120</v>
      </c>
      <c r="L783" s="585" t="s">
        <v>857</v>
      </c>
      <c r="M783" s="585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26">
        <v>2</v>
      </c>
      <c r="AB783" s="576" t="str">
        <f>IF(VLOOKUP(F783,NXT!$C$12:$C$786,1,0)=F783,"","x")</f>
        <v/>
      </c>
      <c r="AC783" s="576"/>
      <c r="AD783" s="576"/>
    </row>
    <row r="784" spans="1:30" ht="15.75" customHeight="1">
      <c r="A784" s="827" t="str">
        <f>IF(B784&lt;&gt;"",IF(AND(B784&gt;=_TM1,B784&lt;=_TM2,OR(TH!L784="1111",TH!M784="1111")),TH!D784,""),"")</f>
        <v/>
      </c>
      <c r="B784" s="36">
        <f t="shared" si="169"/>
        <v>4</v>
      </c>
      <c r="C784" s="190">
        <f t="shared" si="170"/>
        <v>42485</v>
      </c>
      <c r="D784" s="37" t="s">
        <v>1633</v>
      </c>
      <c r="E784" s="190">
        <v>42485</v>
      </c>
      <c r="F784" s="191" t="s">
        <v>540</v>
      </c>
      <c r="G784" s="829" t="s">
        <v>481</v>
      </c>
      <c r="H784" s="192" t="s">
        <v>445</v>
      </c>
      <c r="I784" s="253">
        <v>12</v>
      </c>
      <c r="J784" s="253">
        <v>65819</v>
      </c>
      <c r="K784" s="584">
        <f t="shared" si="172"/>
        <v>789828</v>
      </c>
      <c r="L784" s="585" t="s">
        <v>857</v>
      </c>
      <c r="M784" s="585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26">
        <v>2</v>
      </c>
      <c r="AB784" s="576" t="str">
        <f>IF(VLOOKUP(F784,NXT!$C$12:$C$786,1,0)=F784,"","x")</f>
        <v/>
      </c>
    </row>
    <row r="785" spans="1:30" ht="15.75" customHeight="1">
      <c r="A785" s="827" t="str">
        <f>IF(B785&lt;&gt;"",IF(AND(B785&gt;=_TM1,B785&lt;=_TM2,OR(TH!L785="1111",TH!M785="1111")),TH!D785,""),"")</f>
        <v/>
      </c>
      <c r="B785" s="36">
        <f t="shared" si="169"/>
        <v>4</v>
      </c>
      <c r="C785" s="190">
        <f t="shared" si="170"/>
        <v>42485</v>
      </c>
      <c r="D785" s="37" t="s">
        <v>1633</v>
      </c>
      <c r="E785" s="190">
        <v>42485</v>
      </c>
      <c r="F785" s="191" t="s">
        <v>541</v>
      </c>
      <c r="G785" s="829" t="s">
        <v>481</v>
      </c>
      <c r="H785" s="192" t="s">
        <v>445</v>
      </c>
      <c r="I785" s="253">
        <v>60</v>
      </c>
      <c r="J785" s="253">
        <v>46705</v>
      </c>
      <c r="K785" s="584">
        <f t="shared" si="172"/>
        <v>2802300</v>
      </c>
      <c r="L785" s="585" t="s">
        <v>857</v>
      </c>
      <c r="M785" s="585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26">
        <v>2</v>
      </c>
      <c r="AB785" s="576" t="str">
        <f>IF(VLOOKUP(F785,NXT!$C$12:$C$786,1,0)=F785,"","x")</f>
        <v/>
      </c>
    </row>
    <row r="786" spans="1:30" ht="15.75" customHeight="1">
      <c r="A786" s="827" t="str">
        <f>IF(B786&lt;&gt;"",IF(AND(B786&gt;=_TM1,B786&lt;=_TM2,OR(TH!L786="1111",TH!M786="1111")),TH!D786,""),"")</f>
        <v/>
      </c>
      <c r="B786" s="36">
        <f t="shared" si="169"/>
        <v>4</v>
      </c>
      <c r="C786" s="190">
        <f t="shared" si="170"/>
        <v>42485</v>
      </c>
      <c r="D786" s="37" t="s">
        <v>1633</v>
      </c>
      <c r="E786" s="190">
        <v>42485</v>
      </c>
      <c r="F786" s="191" t="s">
        <v>533</v>
      </c>
      <c r="G786" s="829" t="s">
        <v>481</v>
      </c>
      <c r="H786" s="192" t="s">
        <v>445</v>
      </c>
      <c r="I786" s="253">
        <v>12</v>
      </c>
      <c r="J786" s="253">
        <v>59493</v>
      </c>
      <c r="K786" s="584">
        <f t="shared" si="172"/>
        <v>713916</v>
      </c>
      <c r="L786" s="585" t="s">
        <v>857</v>
      </c>
      <c r="M786" s="585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26">
        <v>2</v>
      </c>
      <c r="AB786" s="576" t="str">
        <f>IF(VLOOKUP(F786,NXT!$C$12:$C$786,1,0)=F786,"","x")</f>
        <v/>
      </c>
    </row>
    <row r="787" spans="1:30" ht="15.75" customHeight="1">
      <c r="A787" s="827" t="str">
        <f>IF(B787&lt;&gt;"",IF(AND(B787&gt;=_TM1,B787&lt;=_TM2,OR(TH!L787="1111",TH!M787="1111")),TH!D787,""),"")</f>
        <v/>
      </c>
      <c r="B787" s="36">
        <f t="shared" si="169"/>
        <v>4</v>
      </c>
      <c r="C787" s="190">
        <f t="shared" si="170"/>
        <v>42485</v>
      </c>
      <c r="D787" s="37" t="s">
        <v>1633</v>
      </c>
      <c r="E787" s="190">
        <v>42485</v>
      </c>
      <c r="F787" s="191" t="s">
        <v>537</v>
      </c>
      <c r="G787" s="829" t="s">
        <v>481</v>
      </c>
      <c r="H787" s="192" t="s">
        <v>445</v>
      </c>
      <c r="I787" s="253">
        <v>50</v>
      </c>
      <c r="J787" s="253">
        <v>30043</v>
      </c>
      <c r="K787" s="584">
        <f t="shared" si="172"/>
        <v>1502150</v>
      </c>
      <c r="L787" s="585" t="s">
        <v>857</v>
      </c>
      <c r="M787" s="585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26">
        <v>2</v>
      </c>
      <c r="AB787" s="576" t="str">
        <f>IF(VLOOKUP(F787,NXT!$C$12:$C$786,1,0)=F787,"","x")</f>
        <v/>
      </c>
      <c r="AC787" s="576"/>
      <c r="AD787" s="576"/>
    </row>
    <row r="788" spans="1:30" ht="15.75" customHeight="1">
      <c r="A788" s="827" t="str">
        <f>IF(B788&lt;&gt;"",IF(AND(B788&gt;=_TM1,B788&lt;=_TM2,OR(TH!L788="1111",TH!M788="1111")),TH!D788,""),"")</f>
        <v/>
      </c>
      <c r="B788" s="36">
        <f t="shared" si="169"/>
        <v>4</v>
      </c>
      <c r="C788" s="190">
        <f t="shared" si="170"/>
        <v>42485</v>
      </c>
      <c r="D788" s="37" t="s">
        <v>1633</v>
      </c>
      <c r="E788" s="190">
        <v>42485</v>
      </c>
      <c r="F788" s="191" t="s">
        <v>538</v>
      </c>
      <c r="G788" s="829" t="s">
        <v>481</v>
      </c>
      <c r="H788" s="192" t="s">
        <v>445</v>
      </c>
      <c r="I788" s="253">
        <v>40</v>
      </c>
      <c r="J788" s="253">
        <v>67731</v>
      </c>
      <c r="K788" s="584">
        <f t="shared" si="172"/>
        <v>2709240</v>
      </c>
      <c r="L788" s="585" t="s">
        <v>857</v>
      </c>
      <c r="M788" s="585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26">
        <v>2</v>
      </c>
      <c r="AB788" s="576" t="str">
        <f>IF(VLOOKUP(F788,NXT!$C$12:$C$786,1,0)=F788,"","x")</f>
        <v/>
      </c>
    </row>
    <row r="789" spans="1:30" ht="15.75" customHeight="1">
      <c r="A789" s="827" t="str">
        <f>IF(B789&lt;&gt;"",IF(AND(B789&gt;=_TM1,B789&lt;=_TM2,OR(TH!L789="1111",TH!M789="1111")),TH!D789,""),"")</f>
        <v/>
      </c>
      <c r="B789" s="36">
        <f t="shared" si="169"/>
        <v>4</v>
      </c>
      <c r="C789" s="190">
        <f t="shared" si="170"/>
        <v>42485</v>
      </c>
      <c r="D789" s="37" t="s">
        <v>1633</v>
      </c>
      <c r="E789" s="190">
        <v>42485</v>
      </c>
      <c r="F789" s="191" t="s">
        <v>539</v>
      </c>
      <c r="G789" s="829" t="s">
        <v>481</v>
      </c>
      <c r="H789" s="192" t="s">
        <v>445</v>
      </c>
      <c r="I789" s="253">
        <v>20</v>
      </c>
      <c r="J789" s="253">
        <v>121856</v>
      </c>
      <c r="K789" s="584">
        <f t="shared" si="172"/>
        <v>2437120</v>
      </c>
      <c r="L789" s="585" t="s">
        <v>857</v>
      </c>
      <c r="M789" s="585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26">
        <v>2</v>
      </c>
      <c r="AB789" s="576" t="str">
        <f>IF(VLOOKUP(F789,NXT!$C$12:$C$786,1,0)=F789,"","x")</f>
        <v/>
      </c>
    </row>
    <row r="790" spans="1:30" ht="15.75" customHeight="1">
      <c r="A790" s="827" t="str">
        <f>IF(B790&lt;&gt;"",IF(AND(B790&gt;=_TM1,B790&lt;=_TM2,OR(TH!L790="1111",TH!M790="1111")),TH!D790,""),"")</f>
        <v/>
      </c>
      <c r="B790" s="36">
        <f t="shared" si="169"/>
        <v>4</v>
      </c>
      <c r="C790" s="190">
        <f t="shared" si="170"/>
        <v>42485</v>
      </c>
      <c r="D790" s="37" t="s">
        <v>1633</v>
      </c>
      <c r="E790" s="190">
        <v>42485</v>
      </c>
      <c r="F790" s="191" t="s">
        <v>540</v>
      </c>
      <c r="G790" s="829" t="s">
        <v>481</v>
      </c>
      <c r="H790" s="192" t="s">
        <v>445</v>
      </c>
      <c r="I790" s="253">
        <v>12</v>
      </c>
      <c r="J790" s="253">
        <v>65819</v>
      </c>
      <c r="K790" s="584">
        <f t="shared" si="172"/>
        <v>789828</v>
      </c>
      <c r="L790" s="585" t="s">
        <v>857</v>
      </c>
      <c r="M790" s="585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26">
        <v>2</v>
      </c>
      <c r="AB790" s="576" t="str">
        <f>IF(VLOOKUP(F790,NXT!$C$12:$C$786,1,0)=F790,"","x")</f>
        <v/>
      </c>
    </row>
    <row r="791" spans="1:30" ht="15.75" customHeight="1">
      <c r="A791" s="827" t="str">
        <f>IF(B791&lt;&gt;"",IF(AND(B791&gt;=_TM1,B791&lt;=_TM2,OR(TH!L791="1111",TH!M791="1111")),TH!D791,""),"")</f>
        <v/>
      </c>
      <c r="B791" s="36">
        <f t="shared" si="169"/>
        <v>4</v>
      </c>
      <c r="C791" s="190">
        <f t="shared" si="170"/>
        <v>42485</v>
      </c>
      <c r="D791" s="37" t="s">
        <v>1633</v>
      </c>
      <c r="E791" s="190">
        <v>42485</v>
      </c>
      <c r="F791" s="191" t="s">
        <v>542</v>
      </c>
      <c r="G791" s="829" t="s">
        <v>481</v>
      </c>
      <c r="H791" s="192" t="s">
        <v>445</v>
      </c>
      <c r="I791" s="253">
        <v>146</v>
      </c>
      <c r="J791" s="253">
        <v>40107</v>
      </c>
      <c r="K791" s="584">
        <f t="shared" si="172"/>
        <v>5855622</v>
      </c>
      <c r="L791" s="585" t="s">
        <v>857</v>
      </c>
      <c r="M791" s="585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26">
        <v>2</v>
      </c>
      <c r="AB791" s="576" t="str">
        <f>IF(VLOOKUP(F791,NXT!$C$12:$C$786,1,0)=F791,"","x")</f>
        <v/>
      </c>
    </row>
    <row r="792" spans="1:30" ht="15.75" customHeight="1">
      <c r="A792" s="827" t="str">
        <f>IF(B792&lt;&gt;"",IF(AND(B792&gt;=_TM1,B792&lt;=_TM2,OR(TH!L792="1111",TH!M792="1111")),TH!D792,""),"")</f>
        <v/>
      </c>
      <c r="B792" s="36">
        <f t="shared" si="169"/>
        <v>4</v>
      </c>
      <c r="C792" s="190">
        <f t="shared" si="170"/>
        <v>42485</v>
      </c>
      <c r="D792" s="37" t="s">
        <v>1633</v>
      </c>
      <c r="E792" s="190">
        <v>42485</v>
      </c>
      <c r="F792" s="191" t="s">
        <v>698</v>
      </c>
      <c r="G792" s="829" t="s">
        <v>481</v>
      </c>
      <c r="H792" s="192" t="s">
        <v>445</v>
      </c>
      <c r="I792" s="253">
        <v>15</v>
      </c>
      <c r="J792" s="253">
        <v>74189</v>
      </c>
      <c r="K792" s="584">
        <f t="shared" si="172"/>
        <v>1112835</v>
      </c>
      <c r="L792" s="585" t="s">
        <v>857</v>
      </c>
      <c r="M792" s="585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26">
        <v>2</v>
      </c>
      <c r="AB792" s="576" t="str">
        <f>IF(VLOOKUP(F792,NXT!$C$12:$C$786,1,0)=F792,"","x")</f>
        <v/>
      </c>
    </row>
    <row r="793" spans="1:30" ht="15.75" customHeight="1">
      <c r="A793" s="827" t="str">
        <f>IF(B793&lt;&gt;"",IF(AND(B793&gt;=_TM1,B793&lt;=_TM2,OR(TH!L793="1111",TH!M793="1111")),TH!D793,""),"")</f>
        <v/>
      </c>
      <c r="B793" s="36">
        <f t="shared" si="169"/>
        <v>4</v>
      </c>
      <c r="C793" s="190">
        <f t="shared" si="170"/>
        <v>42485</v>
      </c>
      <c r="D793" s="37" t="s">
        <v>1633</v>
      </c>
      <c r="E793" s="190">
        <v>42485</v>
      </c>
      <c r="F793" s="191" t="s">
        <v>543</v>
      </c>
      <c r="G793" s="829" t="s">
        <v>481</v>
      </c>
      <c r="H793" s="192" t="s">
        <v>445</v>
      </c>
      <c r="I793" s="253">
        <v>20</v>
      </c>
      <c r="J793" s="253">
        <v>45720</v>
      </c>
      <c r="K793" s="584">
        <f t="shared" si="172"/>
        <v>914400</v>
      </c>
      <c r="L793" s="585" t="s">
        <v>857</v>
      </c>
      <c r="M793" s="585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26">
        <v>2</v>
      </c>
      <c r="AB793" s="576" t="str">
        <f>IF(VLOOKUP(F793,NXT!$C$12:$C$786,1,0)=F793,"","x")</f>
        <v/>
      </c>
    </row>
    <row r="794" spans="1:30" ht="15.75" customHeight="1">
      <c r="A794" s="827" t="str">
        <f>IF(B794&lt;&gt;"",IF(AND(B794&gt;=_TM1,B794&lt;=_TM2,OR(TH!L794="1111",TH!M794="1111")),TH!D794,""),"")</f>
        <v/>
      </c>
      <c r="B794" s="36">
        <f t="shared" si="169"/>
        <v>4</v>
      </c>
      <c r="C794" s="190">
        <f t="shared" si="170"/>
        <v>42485</v>
      </c>
      <c r="D794" s="37" t="s">
        <v>1633</v>
      </c>
      <c r="E794" s="190">
        <v>42485</v>
      </c>
      <c r="F794" s="191" t="s">
        <v>544</v>
      </c>
      <c r="G794" s="829" t="s">
        <v>481</v>
      </c>
      <c r="H794" s="192" t="s">
        <v>445</v>
      </c>
      <c r="I794" s="253">
        <v>32</v>
      </c>
      <c r="J794" s="253">
        <v>45055</v>
      </c>
      <c r="K794" s="584">
        <f t="shared" si="172"/>
        <v>1441760</v>
      </c>
      <c r="L794" s="585" t="s">
        <v>857</v>
      </c>
      <c r="M794" s="585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26">
        <v>2</v>
      </c>
      <c r="AB794" s="576" t="str">
        <f>IF(VLOOKUP(F794,NXT!$C$12:$C$786,1,0)=F794,"","x")</f>
        <v/>
      </c>
    </row>
    <row r="795" spans="1:30" ht="15.75" customHeight="1">
      <c r="A795" s="827" t="str">
        <f>IF(B795&lt;&gt;"",IF(AND(B795&gt;=_TM1,B795&lt;=_TM2,OR(TH!L795="1111",TH!M795="1111")),TH!D795,""),"")</f>
        <v/>
      </c>
      <c r="B795" s="36">
        <f t="shared" si="169"/>
        <v>4</v>
      </c>
      <c r="C795" s="190">
        <f t="shared" si="170"/>
        <v>42485</v>
      </c>
      <c r="D795" s="37" t="s">
        <v>1633</v>
      </c>
      <c r="E795" s="190">
        <v>42485</v>
      </c>
      <c r="F795" s="191" t="s">
        <v>545</v>
      </c>
      <c r="G795" s="829" t="s">
        <v>481</v>
      </c>
      <c r="H795" s="192" t="s">
        <v>445</v>
      </c>
      <c r="I795" s="253">
        <v>80</v>
      </c>
      <c r="J795" s="253">
        <v>43262</v>
      </c>
      <c r="K795" s="584">
        <f t="shared" si="172"/>
        <v>3460960</v>
      </c>
      <c r="L795" s="585" t="s">
        <v>857</v>
      </c>
      <c r="M795" s="585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26">
        <v>2</v>
      </c>
      <c r="AB795" s="576" t="str">
        <f>IF(VLOOKUP(F795,NXT!$C$12:$C$786,1,0)=F795,"","x")</f>
        <v/>
      </c>
    </row>
    <row r="796" spans="1:30" ht="15.75" customHeight="1">
      <c r="A796" s="827" t="str">
        <f>IF(B796&lt;&gt;"",IF(AND(B796&gt;=_TM1,B796&lt;=_TM2,OR(TH!L796="1111",TH!M796="1111")),TH!D796,""),"")</f>
        <v/>
      </c>
      <c r="B796" s="36">
        <f t="shared" si="169"/>
        <v>4</v>
      </c>
      <c r="C796" s="190">
        <f t="shared" si="170"/>
        <v>42485</v>
      </c>
      <c r="D796" s="37" t="s">
        <v>1633</v>
      </c>
      <c r="E796" s="190">
        <v>42485</v>
      </c>
      <c r="F796" s="191" t="s">
        <v>546</v>
      </c>
      <c r="G796" s="829" t="s">
        <v>481</v>
      </c>
      <c r="H796" s="192" t="s">
        <v>445</v>
      </c>
      <c r="I796" s="253">
        <v>20</v>
      </c>
      <c r="J796" s="253">
        <v>37383</v>
      </c>
      <c r="K796" s="584">
        <f t="shared" si="172"/>
        <v>747660</v>
      </c>
      <c r="L796" s="585" t="s">
        <v>857</v>
      </c>
      <c r="M796" s="585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26">
        <v>2</v>
      </c>
      <c r="AB796" s="576" t="str">
        <f>IF(VLOOKUP(F796,NXT!$C$12:$C$786,1,0)=F796,"","x")</f>
        <v/>
      </c>
    </row>
    <row r="797" spans="1:30" ht="15.75" customHeight="1">
      <c r="A797" s="827" t="str">
        <f>IF(B797&lt;&gt;"",IF(AND(B797&gt;=_TM1,B797&lt;=_TM2,OR(TH!L797="1111",TH!M797="1111")),TH!D797,""),"")</f>
        <v/>
      </c>
      <c r="B797" s="36">
        <f t="shared" ref="B797:B860" si="173">IF(C797&lt;&gt;"",MONTH(C797),"")</f>
        <v>4</v>
      </c>
      <c r="C797" s="190">
        <f t="shared" ref="C797:C860" si="174">E797</f>
        <v>42485</v>
      </c>
      <c r="D797" s="37" t="s">
        <v>1633</v>
      </c>
      <c r="E797" s="190">
        <v>42485</v>
      </c>
      <c r="F797" s="191" t="s">
        <v>547</v>
      </c>
      <c r="G797" s="829" t="s">
        <v>481</v>
      </c>
      <c r="H797" s="192" t="s">
        <v>445</v>
      </c>
      <c r="I797" s="253">
        <v>36</v>
      </c>
      <c r="J797" s="253">
        <v>16584</v>
      </c>
      <c r="K797" s="584">
        <f t="shared" si="172"/>
        <v>597024</v>
      </c>
      <c r="L797" s="585" t="s">
        <v>857</v>
      </c>
      <c r="M797" s="585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26">
        <v>2</v>
      </c>
      <c r="AB797" s="576" t="str">
        <f>IF(VLOOKUP(F797,NXT!$C$12:$C$786,1,0)=F797,"","x")</f>
        <v/>
      </c>
    </row>
    <row r="798" spans="1:30" ht="15.75" customHeight="1">
      <c r="A798" s="827" t="str">
        <f>IF(B798&lt;&gt;"",IF(AND(B798&gt;=_TM1,B798&lt;=_TM2,OR(TH!L798="1111",TH!M798="1111")),TH!D798,""),"")</f>
        <v/>
      </c>
      <c r="B798" s="36">
        <f t="shared" si="173"/>
        <v>4</v>
      </c>
      <c r="C798" s="190">
        <f t="shared" si="174"/>
        <v>42485</v>
      </c>
      <c r="D798" s="37" t="s">
        <v>1633</v>
      </c>
      <c r="E798" s="190">
        <v>42485</v>
      </c>
      <c r="F798" s="191" t="s">
        <v>525</v>
      </c>
      <c r="G798" s="829" t="s">
        <v>481</v>
      </c>
      <c r="H798" s="192" t="s">
        <v>445</v>
      </c>
      <c r="I798" s="253">
        <v>108</v>
      </c>
      <c r="J798" s="253">
        <v>16775</v>
      </c>
      <c r="K798" s="584">
        <f t="shared" si="172"/>
        <v>1811700</v>
      </c>
      <c r="L798" s="585" t="s">
        <v>857</v>
      </c>
      <c r="M798" s="585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26">
        <v>2</v>
      </c>
      <c r="AB798" s="576" t="str">
        <f>IF(VLOOKUP(F798,NXT!$C$12:$C$786,1,0)=F798,"","x")</f>
        <v/>
      </c>
    </row>
    <row r="799" spans="1:30" ht="15.75" customHeight="1">
      <c r="A799" s="827" t="str">
        <f>IF(B799&lt;&gt;"",IF(AND(B799&gt;=_TM1,B799&lt;=_TM2,OR(TH!L799="1111",TH!M799="1111")),TH!D799,""),"")</f>
        <v/>
      </c>
      <c r="B799" s="36">
        <f t="shared" si="173"/>
        <v>4</v>
      </c>
      <c r="C799" s="190">
        <f t="shared" si="174"/>
        <v>42485</v>
      </c>
      <c r="D799" s="37" t="s">
        <v>1633</v>
      </c>
      <c r="E799" s="190">
        <v>42485</v>
      </c>
      <c r="F799" s="191" t="s">
        <v>548</v>
      </c>
      <c r="G799" s="829" t="s">
        <v>481</v>
      </c>
      <c r="H799" s="192" t="s">
        <v>445</v>
      </c>
      <c r="I799" s="253">
        <v>54</v>
      </c>
      <c r="J799" s="253">
        <v>17591</v>
      </c>
      <c r="K799" s="584">
        <f t="shared" si="172"/>
        <v>949914</v>
      </c>
      <c r="L799" s="585" t="s">
        <v>857</v>
      </c>
      <c r="M799" s="585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26">
        <v>2</v>
      </c>
      <c r="AB799" s="576" t="str">
        <f>IF(VLOOKUP(F799,NXT!$C$12:$C$786,1,0)=F799,"","x")</f>
        <v/>
      </c>
      <c r="AC799" s="576"/>
      <c r="AD799" s="576"/>
    </row>
    <row r="800" spans="1:30" ht="15.75" customHeight="1">
      <c r="A800" s="827" t="str">
        <f>IF(B800&lt;&gt;"",IF(AND(B800&gt;=_TM1,B800&lt;=_TM2,OR(TH!L800="1111",TH!M800="1111")),TH!D800,""),"")</f>
        <v/>
      </c>
      <c r="B800" s="36">
        <f t="shared" si="173"/>
        <v>4</v>
      </c>
      <c r="C800" s="190">
        <f t="shared" si="174"/>
        <v>42485</v>
      </c>
      <c r="D800" s="37" t="s">
        <v>1633</v>
      </c>
      <c r="E800" s="190">
        <v>42485</v>
      </c>
      <c r="F800" s="191" t="s">
        <v>549</v>
      </c>
      <c r="G800" s="829" t="s">
        <v>481</v>
      </c>
      <c r="H800" s="192" t="s">
        <v>445</v>
      </c>
      <c r="I800" s="253">
        <v>22</v>
      </c>
      <c r="J800" s="253">
        <v>42056</v>
      </c>
      <c r="K800" s="584">
        <f t="shared" si="172"/>
        <v>925232</v>
      </c>
      <c r="L800" s="585" t="s">
        <v>857</v>
      </c>
      <c r="M800" s="585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26">
        <v>2</v>
      </c>
      <c r="AB800" s="576" t="str">
        <f>IF(VLOOKUP(F800,NXT!$C$12:$C$786,1,0)=F800,"","x")</f>
        <v/>
      </c>
      <c r="AC800" s="576"/>
      <c r="AD800" s="576"/>
    </row>
    <row r="801" spans="1:30" ht="15.75" customHeight="1">
      <c r="A801" s="827" t="str">
        <f>IF(B801&lt;&gt;"",IF(AND(B801&gt;=_TM1,B801&lt;=_TM2,OR(TH!L801="1111",TH!M801="1111")),TH!D801,""),"")</f>
        <v/>
      </c>
      <c r="B801" s="36">
        <f t="shared" si="173"/>
        <v>4</v>
      </c>
      <c r="C801" s="190">
        <f t="shared" si="174"/>
        <v>42485</v>
      </c>
      <c r="D801" s="37" t="s">
        <v>1633</v>
      </c>
      <c r="E801" s="190">
        <v>42485</v>
      </c>
      <c r="F801" s="191" t="s">
        <v>550</v>
      </c>
      <c r="G801" s="829" t="s">
        <v>481</v>
      </c>
      <c r="H801" s="192" t="s">
        <v>445</v>
      </c>
      <c r="I801" s="253">
        <v>16</v>
      </c>
      <c r="J801" s="253">
        <v>23940</v>
      </c>
      <c r="K801" s="584">
        <f t="shared" si="172"/>
        <v>383040</v>
      </c>
      <c r="L801" s="585" t="s">
        <v>857</v>
      </c>
      <c r="M801" s="585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26">
        <v>2</v>
      </c>
      <c r="AB801" s="576" t="str">
        <f>IF(VLOOKUP(F801,NXT!$C$12:$C$786,1,0)=F801,"","x")</f>
        <v/>
      </c>
      <c r="AD801" s="576"/>
    </row>
    <row r="802" spans="1:30" ht="15.75" customHeight="1">
      <c r="A802" s="827" t="str">
        <f>IF(B802&lt;&gt;"",IF(AND(B802&gt;=_TM1,B802&lt;=_TM2,OR(TH!L802="1111",TH!M802="1111")),TH!D802,""),"")</f>
        <v/>
      </c>
      <c r="B802" s="36">
        <f t="shared" si="173"/>
        <v>4</v>
      </c>
      <c r="C802" s="190">
        <f t="shared" si="174"/>
        <v>42485</v>
      </c>
      <c r="D802" s="37" t="s">
        <v>1633</v>
      </c>
      <c r="E802" s="190">
        <v>42485</v>
      </c>
      <c r="F802" s="191" t="s">
        <v>551</v>
      </c>
      <c r="G802" s="829" t="s">
        <v>481</v>
      </c>
      <c r="H802" s="192" t="s">
        <v>445</v>
      </c>
      <c r="I802" s="253">
        <v>6</v>
      </c>
      <c r="J802" s="253">
        <v>29327</v>
      </c>
      <c r="K802" s="584">
        <f t="shared" si="172"/>
        <v>175962</v>
      </c>
      <c r="L802" s="585" t="s">
        <v>857</v>
      </c>
      <c r="M802" s="585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26">
        <v>2</v>
      </c>
      <c r="AB802" s="576" t="str">
        <f>IF(VLOOKUP(F802,NXT!$C$12:$C$786,1,0)=F802,"","x")</f>
        <v/>
      </c>
    </row>
    <row r="803" spans="1:30" ht="15.75" customHeight="1">
      <c r="A803" s="827" t="str">
        <f>IF(B803&lt;&gt;"",IF(AND(B803&gt;=_TM1,B803&lt;=_TM2,OR(TH!L803="1111",TH!M803="1111")),TH!D803,""),"")</f>
        <v/>
      </c>
      <c r="B803" s="36">
        <f t="shared" si="173"/>
        <v>4</v>
      </c>
      <c r="C803" s="190">
        <f t="shared" si="174"/>
        <v>42485</v>
      </c>
      <c r="D803" s="37" t="s">
        <v>1633</v>
      </c>
      <c r="E803" s="190">
        <v>42485</v>
      </c>
      <c r="F803" s="191" t="s">
        <v>552</v>
      </c>
      <c r="G803" s="829" t="s">
        <v>481</v>
      </c>
      <c r="H803" s="192" t="s">
        <v>445</v>
      </c>
      <c r="I803" s="253">
        <v>36</v>
      </c>
      <c r="J803" s="253">
        <v>32901</v>
      </c>
      <c r="K803" s="584">
        <f t="shared" si="172"/>
        <v>1184436</v>
      </c>
      <c r="L803" s="585" t="s">
        <v>857</v>
      </c>
      <c r="M803" s="585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26">
        <v>2</v>
      </c>
      <c r="AB803" s="576" t="str">
        <f>IF(VLOOKUP(F803,NXT!$C$12:$C$786,1,0)=F803,"","x")</f>
        <v/>
      </c>
    </row>
    <row r="804" spans="1:30" ht="15.75" customHeight="1">
      <c r="A804" s="827" t="str">
        <f>IF(B804&lt;&gt;"",IF(AND(B804&gt;=_TM1,B804&lt;=_TM2,OR(TH!L804="1111",TH!M804="1111")),TH!D804,""),"")</f>
        <v/>
      </c>
      <c r="B804" s="36">
        <f t="shared" si="173"/>
        <v>4</v>
      </c>
      <c r="C804" s="190">
        <f t="shared" si="174"/>
        <v>42485</v>
      </c>
      <c r="D804" s="37" t="s">
        <v>1633</v>
      </c>
      <c r="E804" s="190">
        <v>42485</v>
      </c>
      <c r="F804" s="191" t="s">
        <v>553</v>
      </c>
      <c r="G804" s="829" t="s">
        <v>481</v>
      </c>
      <c r="H804" s="192" t="s">
        <v>445</v>
      </c>
      <c r="I804" s="253">
        <v>36</v>
      </c>
      <c r="J804" s="253">
        <v>37225</v>
      </c>
      <c r="K804" s="584">
        <f t="shared" si="172"/>
        <v>1340100</v>
      </c>
      <c r="L804" s="585" t="s">
        <v>857</v>
      </c>
      <c r="M804" s="585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26">
        <v>2</v>
      </c>
      <c r="AB804" s="576" t="str">
        <f>IF(VLOOKUP(F804,NXT!$C$12:$C$786,1,0)=F804,"","x")</f>
        <v/>
      </c>
    </row>
    <row r="805" spans="1:30" ht="15.75" customHeight="1">
      <c r="A805" s="827" t="str">
        <f>IF(B805&lt;&gt;"",IF(AND(B805&gt;=_TM1,B805&lt;=_TM2,OR(TH!L805="1111",TH!M805="1111")),TH!D805,""),"")</f>
        <v/>
      </c>
      <c r="B805" s="36">
        <f t="shared" si="173"/>
        <v>4</v>
      </c>
      <c r="C805" s="190">
        <f t="shared" si="174"/>
        <v>42485</v>
      </c>
      <c r="D805" s="37" t="s">
        <v>1633</v>
      </c>
      <c r="E805" s="190">
        <v>42485</v>
      </c>
      <c r="F805" s="191" t="s">
        <v>554</v>
      </c>
      <c r="G805" s="829" t="s">
        <v>481</v>
      </c>
      <c r="H805" s="192" t="s">
        <v>445</v>
      </c>
      <c r="I805" s="253">
        <v>36</v>
      </c>
      <c r="J805" s="253">
        <v>16469</v>
      </c>
      <c r="K805" s="584">
        <f t="shared" si="172"/>
        <v>592884</v>
      </c>
      <c r="L805" s="585" t="s">
        <v>857</v>
      </c>
      <c r="M805" s="585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26">
        <v>2</v>
      </c>
      <c r="AB805" s="576" t="str">
        <f>IF(VLOOKUP(F805,NXT!$C$12:$C$786,1,0)=F805,"","x")</f>
        <v/>
      </c>
    </row>
    <row r="806" spans="1:30" ht="15.75" customHeight="1">
      <c r="A806" s="827" t="str">
        <f>IF(B806&lt;&gt;"",IF(AND(B806&gt;=_TM1,B806&lt;=_TM2,OR(TH!L806="1111",TH!M806="1111")),TH!D806,""),"")</f>
        <v/>
      </c>
      <c r="B806" s="36">
        <f t="shared" si="173"/>
        <v>4</v>
      </c>
      <c r="C806" s="190">
        <f t="shared" si="174"/>
        <v>42485</v>
      </c>
      <c r="D806" s="37" t="s">
        <v>1633</v>
      </c>
      <c r="E806" s="190">
        <v>42485</v>
      </c>
      <c r="F806" s="191" t="s">
        <v>525</v>
      </c>
      <c r="G806" s="829" t="s">
        <v>481</v>
      </c>
      <c r="H806" s="192" t="s">
        <v>445</v>
      </c>
      <c r="I806" s="253">
        <v>18</v>
      </c>
      <c r="J806" s="253">
        <v>16775</v>
      </c>
      <c r="K806" s="584">
        <f t="shared" si="172"/>
        <v>301950</v>
      </c>
      <c r="L806" s="585" t="s">
        <v>857</v>
      </c>
      <c r="M806" s="585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26">
        <v>2</v>
      </c>
      <c r="AB806" s="576" t="str">
        <f>IF(VLOOKUP(F806,NXT!$C$12:$C$786,1,0)=F806,"","x")</f>
        <v/>
      </c>
    </row>
    <row r="807" spans="1:30" ht="15.75" customHeight="1">
      <c r="A807" s="827" t="str">
        <f>IF(B807&lt;&gt;"",IF(AND(B807&gt;=_TM1,B807&lt;=_TM2,OR(TH!L807="1111",TH!M807="1111")),TH!D807,""),"")</f>
        <v/>
      </c>
      <c r="B807" s="36">
        <f t="shared" si="173"/>
        <v>4</v>
      </c>
      <c r="C807" s="190">
        <f t="shared" si="174"/>
        <v>42485</v>
      </c>
      <c r="D807" s="37" t="s">
        <v>1633</v>
      </c>
      <c r="E807" s="190">
        <v>42485</v>
      </c>
      <c r="F807" s="191" t="s">
        <v>555</v>
      </c>
      <c r="G807" s="829" t="s">
        <v>481</v>
      </c>
      <c r="H807" s="192" t="s">
        <v>445</v>
      </c>
      <c r="I807" s="253">
        <v>36</v>
      </c>
      <c r="J807" s="253">
        <v>19429</v>
      </c>
      <c r="K807" s="584">
        <f t="shared" si="172"/>
        <v>699444</v>
      </c>
      <c r="L807" s="585" t="s">
        <v>857</v>
      </c>
      <c r="M807" s="585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26">
        <v>2</v>
      </c>
      <c r="AB807" s="576" t="str">
        <f>IF(VLOOKUP(F807,NXT!$C$12:$C$786,1,0)=F807,"","x")</f>
        <v/>
      </c>
    </row>
    <row r="808" spans="1:30" ht="15.75" customHeight="1">
      <c r="A808" s="827" t="str">
        <f>IF(B808&lt;&gt;"",IF(AND(B808&gt;=_TM1,B808&lt;=_TM2,OR(TH!L808="1111",TH!M808="1111")),TH!D808,""),"")</f>
        <v/>
      </c>
      <c r="B808" s="36">
        <f t="shared" si="173"/>
        <v>4</v>
      </c>
      <c r="C808" s="190">
        <f t="shared" si="174"/>
        <v>42485</v>
      </c>
      <c r="D808" s="37" t="s">
        <v>1633</v>
      </c>
      <c r="E808" s="190">
        <v>42485</v>
      </c>
      <c r="F808" s="191" t="s">
        <v>556</v>
      </c>
      <c r="G808" s="829" t="s">
        <v>481</v>
      </c>
      <c r="H808" s="192" t="s">
        <v>445</v>
      </c>
      <c r="I808" s="253">
        <v>12</v>
      </c>
      <c r="J808" s="253">
        <v>20597</v>
      </c>
      <c r="K808" s="584">
        <f t="shared" ref="K808:K832" si="175">ROUND(I808*J808,0)</f>
        <v>247164</v>
      </c>
      <c r="L808" s="585" t="s">
        <v>857</v>
      </c>
      <c r="M808" s="585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26">
        <v>2</v>
      </c>
      <c r="AB808" s="576" t="str">
        <f>IF(VLOOKUP(F808,NXT!$C$12:$C$786,1,0)=F808,"","x")</f>
        <v/>
      </c>
    </row>
    <row r="809" spans="1:30" ht="15.75" customHeight="1">
      <c r="A809" s="827" t="str">
        <f>IF(B809&lt;&gt;"",IF(AND(B809&gt;=_TM1,B809&lt;=_TM2,OR(TH!L809="1111",TH!M809="1111")),TH!D809,""),"")</f>
        <v/>
      </c>
      <c r="B809" s="36">
        <f t="shared" si="173"/>
        <v>4</v>
      </c>
      <c r="C809" s="190">
        <f t="shared" si="174"/>
        <v>42485</v>
      </c>
      <c r="D809" s="37" t="s">
        <v>1633</v>
      </c>
      <c r="E809" s="190">
        <v>42485</v>
      </c>
      <c r="F809" s="191" t="s">
        <v>557</v>
      </c>
      <c r="G809" s="829" t="s">
        <v>481</v>
      </c>
      <c r="H809" s="192" t="s">
        <v>445</v>
      </c>
      <c r="I809" s="253">
        <v>48</v>
      </c>
      <c r="J809" s="253">
        <v>43240</v>
      </c>
      <c r="K809" s="584">
        <f t="shared" si="175"/>
        <v>2075520</v>
      </c>
      <c r="L809" s="585" t="s">
        <v>857</v>
      </c>
      <c r="M809" s="585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26">
        <v>2</v>
      </c>
      <c r="AB809" s="576" t="str">
        <f>IF(VLOOKUP(F809,NXT!$C$12:$C$786,1,0)=F809,"","x")</f>
        <v/>
      </c>
    </row>
    <row r="810" spans="1:30" ht="15.75" customHeight="1">
      <c r="A810" s="827" t="str">
        <f>IF(B810&lt;&gt;"",IF(AND(B810&gt;=_TM1,B810&lt;=_TM2,OR(TH!L810="1111",TH!M810="1111")),TH!D810,""),"")</f>
        <v/>
      </c>
      <c r="B810" s="36">
        <f t="shared" si="173"/>
        <v>4</v>
      </c>
      <c r="C810" s="190">
        <f t="shared" si="174"/>
        <v>42485</v>
      </c>
      <c r="D810" s="37" t="s">
        <v>1633</v>
      </c>
      <c r="E810" s="190">
        <v>42485</v>
      </c>
      <c r="F810" s="191" t="s">
        <v>558</v>
      </c>
      <c r="G810" s="829" t="s">
        <v>481</v>
      </c>
      <c r="H810" s="192" t="s">
        <v>445</v>
      </c>
      <c r="I810" s="253">
        <v>12</v>
      </c>
      <c r="J810" s="253">
        <v>32770</v>
      </c>
      <c r="K810" s="584">
        <f t="shared" si="175"/>
        <v>393240</v>
      </c>
      <c r="L810" s="585" t="s">
        <v>857</v>
      </c>
      <c r="M810" s="585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26">
        <v>2</v>
      </c>
      <c r="AB810" s="576" t="str">
        <f>IF(VLOOKUP(F810,NXT!$C$12:$C$786,1,0)=F810,"","x")</f>
        <v/>
      </c>
    </row>
    <row r="811" spans="1:30" ht="15.75" customHeight="1">
      <c r="A811" s="827" t="str">
        <f>IF(B811&lt;&gt;"",IF(AND(B811&gt;=_TM1,B811&lt;=_TM2,OR(TH!L811="1111",TH!M811="1111")),TH!D811,""),"")</f>
        <v/>
      </c>
      <c r="B811" s="36">
        <f t="shared" si="173"/>
        <v>4</v>
      </c>
      <c r="C811" s="190">
        <f t="shared" si="174"/>
        <v>42485</v>
      </c>
      <c r="D811" s="37" t="s">
        <v>1633</v>
      </c>
      <c r="E811" s="190">
        <v>42485</v>
      </c>
      <c r="F811" s="191" t="s">
        <v>552</v>
      </c>
      <c r="G811" s="829" t="s">
        <v>481</v>
      </c>
      <c r="H811" s="192" t="s">
        <v>445</v>
      </c>
      <c r="I811" s="253">
        <v>12</v>
      </c>
      <c r="J811" s="253">
        <v>36365</v>
      </c>
      <c r="K811" s="584">
        <f t="shared" si="175"/>
        <v>436380</v>
      </c>
      <c r="L811" s="585" t="s">
        <v>857</v>
      </c>
      <c r="M811" s="585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26">
        <v>2</v>
      </c>
      <c r="AB811" s="576" t="str">
        <f>IF(VLOOKUP(F811,NXT!$C$12:$C$786,1,0)=F811,"","x")</f>
        <v/>
      </c>
    </row>
    <row r="812" spans="1:30" ht="15.75" customHeight="1">
      <c r="A812" s="827" t="str">
        <f>IF(B812&lt;&gt;"",IF(AND(B812&gt;=_TM1,B812&lt;=_TM2,OR(TH!L812="1111",TH!M812="1111")),TH!D812,""),"")</f>
        <v/>
      </c>
      <c r="B812" s="36">
        <f t="shared" si="173"/>
        <v>4</v>
      </c>
      <c r="C812" s="190">
        <f t="shared" si="174"/>
        <v>42485</v>
      </c>
      <c r="D812" s="37" t="s">
        <v>1633</v>
      </c>
      <c r="E812" s="190">
        <v>42485</v>
      </c>
      <c r="F812" s="191" t="s">
        <v>559</v>
      </c>
      <c r="G812" s="829" t="s">
        <v>481</v>
      </c>
      <c r="H812" s="192" t="s">
        <v>445</v>
      </c>
      <c r="I812" s="253">
        <v>24</v>
      </c>
      <c r="J812" s="253">
        <v>45874</v>
      </c>
      <c r="K812" s="584">
        <f t="shared" si="175"/>
        <v>1100976</v>
      </c>
      <c r="L812" s="585" t="s">
        <v>857</v>
      </c>
      <c r="M812" s="585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26">
        <v>2</v>
      </c>
      <c r="AB812" s="576" t="str">
        <f>IF(VLOOKUP(F812,NXT!$C$12:$C$786,1,0)=F812,"","x")</f>
        <v/>
      </c>
    </row>
    <row r="813" spans="1:30" ht="15.75" customHeight="1">
      <c r="A813" s="827" t="str">
        <f>IF(B813&lt;&gt;"",IF(AND(B813&gt;=_TM1,B813&lt;=_TM2,OR(TH!L813="1111",TH!M813="1111")),TH!D813,""),"")</f>
        <v/>
      </c>
      <c r="B813" s="36">
        <f t="shared" si="173"/>
        <v>4</v>
      </c>
      <c r="C813" s="190">
        <f t="shared" si="174"/>
        <v>42485</v>
      </c>
      <c r="D813" s="37" t="s">
        <v>1633</v>
      </c>
      <c r="E813" s="190">
        <v>42485</v>
      </c>
      <c r="F813" s="191" t="s">
        <v>560</v>
      </c>
      <c r="G813" s="829" t="s">
        <v>481</v>
      </c>
      <c r="H813" s="192" t="s">
        <v>445</v>
      </c>
      <c r="I813" s="253">
        <v>12</v>
      </c>
      <c r="J813" s="253">
        <v>35369</v>
      </c>
      <c r="K813" s="584">
        <f t="shared" si="175"/>
        <v>424428</v>
      </c>
      <c r="L813" s="585" t="s">
        <v>857</v>
      </c>
      <c r="M813" s="585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26">
        <v>2</v>
      </c>
      <c r="AB813" s="576" t="str">
        <f>IF(VLOOKUP(F813,NXT!$C$12:$C$786,1,0)=F813,"","x")</f>
        <v/>
      </c>
    </row>
    <row r="814" spans="1:30" ht="15.75" customHeight="1">
      <c r="A814" s="827" t="str">
        <f>IF(B814&lt;&gt;"",IF(AND(B814&gt;=_TM1,B814&lt;=_TM2,OR(TH!L814="1111",TH!M814="1111")),TH!D814,""),"")</f>
        <v/>
      </c>
      <c r="B814" s="36">
        <f t="shared" si="173"/>
        <v>4</v>
      </c>
      <c r="C814" s="190">
        <f t="shared" si="174"/>
        <v>42485</v>
      </c>
      <c r="D814" s="37" t="s">
        <v>1633</v>
      </c>
      <c r="E814" s="190">
        <v>42485</v>
      </c>
      <c r="F814" s="191" t="s">
        <v>561</v>
      </c>
      <c r="G814" s="829" t="s">
        <v>481</v>
      </c>
      <c r="H814" s="192" t="s">
        <v>445</v>
      </c>
      <c r="I814" s="253">
        <v>24</v>
      </c>
      <c r="J814" s="253">
        <v>9230</v>
      </c>
      <c r="K814" s="584">
        <f t="shared" si="175"/>
        <v>221520</v>
      </c>
      <c r="L814" s="585" t="s">
        <v>857</v>
      </c>
      <c r="M814" s="585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26">
        <v>2</v>
      </c>
      <c r="AB814" s="576" t="str">
        <f>IF(VLOOKUP(F814,NXT!$C$12:$C$786,1,0)=F814,"","x")</f>
        <v/>
      </c>
    </row>
    <row r="815" spans="1:30" ht="15.75" customHeight="1">
      <c r="A815" s="827" t="str">
        <f>IF(B815&lt;&gt;"",IF(AND(B815&gt;=_TM1,B815&lt;=_TM2,OR(TH!L815="1111",TH!M815="1111")),TH!D815,""),"")</f>
        <v/>
      </c>
      <c r="B815" s="36">
        <f t="shared" si="173"/>
        <v>4</v>
      </c>
      <c r="C815" s="190">
        <f t="shared" si="174"/>
        <v>42485</v>
      </c>
      <c r="D815" s="37" t="s">
        <v>1633</v>
      </c>
      <c r="E815" s="190">
        <v>42485</v>
      </c>
      <c r="F815" s="191" t="s">
        <v>562</v>
      </c>
      <c r="G815" s="829" t="s">
        <v>481</v>
      </c>
      <c r="H815" s="192" t="s">
        <v>445</v>
      </c>
      <c r="I815" s="253">
        <v>72</v>
      </c>
      <c r="J815" s="253">
        <v>12654</v>
      </c>
      <c r="K815" s="584">
        <f t="shared" si="175"/>
        <v>911088</v>
      </c>
      <c r="L815" s="585" t="s">
        <v>857</v>
      </c>
      <c r="M815" s="585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26">
        <v>2</v>
      </c>
      <c r="AB815" s="576" t="str">
        <f>IF(VLOOKUP(F815,NXT!$C$12:$C$786,1,0)=F815,"","x")</f>
        <v/>
      </c>
    </row>
    <row r="816" spans="1:30" ht="15.75" customHeight="1">
      <c r="A816" s="827" t="str">
        <f>IF(B816&lt;&gt;"",IF(AND(B816&gt;=_TM1,B816&lt;=_TM2,OR(TH!L816="1111",TH!M816="1111")),TH!D816,""),"")</f>
        <v/>
      </c>
      <c r="B816" s="36">
        <f t="shared" si="173"/>
        <v>4</v>
      </c>
      <c r="C816" s="190">
        <f t="shared" si="174"/>
        <v>42485</v>
      </c>
      <c r="D816" s="37" t="s">
        <v>1633</v>
      </c>
      <c r="E816" s="190">
        <v>42485</v>
      </c>
      <c r="F816" s="191" t="s">
        <v>563</v>
      </c>
      <c r="G816" s="829" t="s">
        <v>481</v>
      </c>
      <c r="H816" s="192" t="s">
        <v>445</v>
      </c>
      <c r="I816" s="253">
        <v>24</v>
      </c>
      <c r="J816" s="253">
        <v>8491</v>
      </c>
      <c r="K816" s="584">
        <f t="shared" si="175"/>
        <v>203784</v>
      </c>
      <c r="L816" s="585" t="s">
        <v>857</v>
      </c>
      <c r="M816" s="585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26">
        <v>2</v>
      </c>
      <c r="AB816" s="576" t="str">
        <f>IF(VLOOKUP(F816,NXT!$C$12:$C$786,1,0)=F816,"","x")</f>
        <v/>
      </c>
    </row>
    <row r="817" spans="1:30" ht="15.75" customHeight="1">
      <c r="A817" s="827" t="str">
        <f>IF(B817&lt;&gt;"",IF(AND(B817&gt;=_TM1,B817&lt;=_TM2,OR(TH!L817="1111",TH!M817="1111")),TH!D817,""),"")</f>
        <v/>
      </c>
      <c r="B817" s="36">
        <f t="shared" si="173"/>
        <v>4</v>
      </c>
      <c r="C817" s="190">
        <f t="shared" si="174"/>
        <v>42485</v>
      </c>
      <c r="D817" s="37" t="s">
        <v>1633</v>
      </c>
      <c r="E817" s="190">
        <v>42485</v>
      </c>
      <c r="F817" s="191" t="s">
        <v>564</v>
      </c>
      <c r="G817" s="829" t="s">
        <v>481</v>
      </c>
      <c r="H817" s="192" t="s">
        <v>445</v>
      </c>
      <c r="I817" s="253">
        <v>112</v>
      </c>
      <c r="J817" s="253">
        <v>7972</v>
      </c>
      <c r="K817" s="584">
        <f t="shared" si="175"/>
        <v>892864</v>
      </c>
      <c r="L817" s="585" t="s">
        <v>857</v>
      </c>
      <c r="M817" s="585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26">
        <v>2</v>
      </c>
      <c r="AB817" s="576" t="str">
        <f>IF(VLOOKUP(F817,NXT!$C$12:$C$786,1,0)=F817,"","x")</f>
        <v/>
      </c>
    </row>
    <row r="818" spans="1:30" ht="15.75" customHeight="1">
      <c r="A818" s="827" t="str">
        <f>IF(B818&lt;&gt;"",IF(AND(B818&gt;=_TM1,B818&lt;=_TM2,OR(TH!L818="1111",TH!M818="1111")),TH!D818,""),"")</f>
        <v/>
      </c>
      <c r="B818" s="36">
        <f t="shared" si="173"/>
        <v>4</v>
      </c>
      <c r="C818" s="190">
        <f t="shared" si="174"/>
        <v>42485</v>
      </c>
      <c r="D818" s="37" t="s">
        <v>1633</v>
      </c>
      <c r="E818" s="190">
        <v>42485</v>
      </c>
      <c r="F818" s="191" t="s">
        <v>565</v>
      </c>
      <c r="G818" s="829" t="s">
        <v>481</v>
      </c>
      <c r="H818" s="192" t="s">
        <v>445</v>
      </c>
      <c r="I818" s="253">
        <v>24</v>
      </c>
      <c r="J818" s="253">
        <v>9336</v>
      </c>
      <c r="K818" s="584">
        <f t="shared" si="175"/>
        <v>224064</v>
      </c>
      <c r="L818" s="585" t="s">
        <v>857</v>
      </c>
      <c r="M818" s="585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26">
        <v>2</v>
      </c>
      <c r="AB818" s="576" t="str">
        <f>IF(VLOOKUP(F818,NXT!$C$12:$C$786,1,0)=F818,"","x")</f>
        <v/>
      </c>
    </row>
    <row r="819" spans="1:30" ht="15.75" customHeight="1">
      <c r="A819" s="827" t="str">
        <f>IF(B819&lt;&gt;"",IF(AND(B819&gt;=_TM1,B819&lt;=_TM2,OR(TH!L819="1111",TH!M819="1111")),TH!D819,""),"")</f>
        <v/>
      </c>
      <c r="B819" s="36">
        <f t="shared" si="173"/>
        <v>4</v>
      </c>
      <c r="C819" s="190">
        <f t="shared" si="174"/>
        <v>42485</v>
      </c>
      <c r="D819" s="37" t="s">
        <v>1633</v>
      </c>
      <c r="E819" s="190">
        <v>42485</v>
      </c>
      <c r="F819" s="191" t="s">
        <v>566</v>
      </c>
      <c r="G819" s="829" t="s">
        <v>481</v>
      </c>
      <c r="H819" s="192" t="s">
        <v>445</v>
      </c>
      <c r="I819" s="253">
        <v>33</v>
      </c>
      <c r="J819" s="253">
        <v>5960</v>
      </c>
      <c r="K819" s="584">
        <f t="shared" si="175"/>
        <v>196680</v>
      </c>
      <c r="L819" s="585" t="s">
        <v>857</v>
      </c>
      <c r="M819" s="585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26">
        <v>2</v>
      </c>
      <c r="AB819" s="576" t="str">
        <f>IF(VLOOKUP(F819,NXT!$C$12:$C$786,1,0)=F819,"","x")</f>
        <v/>
      </c>
    </row>
    <row r="820" spans="1:30" ht="15.75" customHeight="1">
      <c r="A820" s="827" t="str">
        <f>IF(B820&lt;&gt;"",IF(AND(B820&gt;=_TM1,B820&lt;=_TM2,OR(TH!L820="1111",TH!M820="1111")),TH!D820,""),"")</f>
        <v/>
      </c>
      <c r="B820" s="36">
        <f t="shared" si="173"/>
        <v>4</v>
      </c>
      <c r="C820" s="190">
        <f t="shared" si="174"/>
        <v>42485</v>
      </c>
      <c r="D820" s="37" t="s">
        <v>1633</v>
      </c>
      <c r="E820" s="190">
        <v>42485</v>
      </c>
      <c r="F820" s="191" t="s">
        <v>567</v>
      </c>
      <c r="G820" s="829" t="s">
        <v>481</v>
      </c>
      <c r="H820" s="192" t="s">
        <v>445</v>
      </c>
      <c r="I820" s="253">
        <v>50</v>
      </c>
      <c r="J820" s="253">
        <v>9160</v>
      </c>
      <c r="K820" s="584">
        <f t="shared" si="175"/>
        <v>458000</v>
      </c>
      <c r="L820" s="585" t="s">
        <v>857</v>
      </c>
      <c r="M820" s="585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26">
        <v>2</v>
      </c>
      <c r="AB820" s="576" t="str">
        <f>IF(VLOOKUP(F820,NXT!$C$12:$C$786,1,0)=F820,"","x")</f>
        <v/>
      </c>
    </row>
    <row r="821" spans="1:30" ht="15.75" customHeight="1">
      <c r="A821" s="827" t="str">
        <f>IF(B821&lt;&gt;"",IF(AND(B821&gt;=_TM1,B821&lt;=_TM2,OR(TH!L821="1111",TH!M821="1111")),TH!D821,""),"")</f>
        <v/>
      </c>
      <c r="B821" s="36">
        <f t="shared" si="173"/>
        <v>4</v>
      </c>
      <c r="C821" s="190">
        <f t="shared" si="174"/>
        <v>42485</v>
      </c>
      <c r="D821" s="37" t="s">
        <v>1633</v>
      </c>
      <c r="E821" s="190">
        <v>42485</v>
      </c>
      <c r="F821" s="191" t="s">
        <v>568</v>
      </c>
      <c r="G821" s="829" t="s">
        <v>481</v>
      </c>
      <c r="H821" s="192" t="s">
        <v>445</v>
      </c>
      <c r="I821" s="253">
        <v>24</v>
      </c>
      <c r="J821" s="253">
        <v>8909</v>
      </c>
      <c r="K821" s="584">
        <f t="shared" si="175"/>
        <v>213816</v>
      </c>
      <c r="L821" s="585" t="s">
        <v>857</v>
      </c>
      <c r="M821" s="585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26">
        <v>2</v>
      </c>
      <c r="AB821" s="576" t="str">
        <f>IF(VLOOKUP(F821,NXT!$C$12:$C$786,1,0)=F821,"","x")</f>
        <v/>
      </c>
    </row>
    <row r="822" spans="1:30" ht="15.75" customHeight="1">
      <c r="A822" s="827" t="str">
        <f>IF(B822&lt;&gt;"",IF(AND(B822&gt;=_TM1,B822&lt;=_TM2,OR(TH!L822="1111",TH!M822="1111")),TH!D822,""),"")</f>
        <v/>
      </c>
      <c r="B822" s="36">
        <f t="shared" si="173"/>
        <v>4</v>
      </c>
      <c r="C822" s="190">
        <f t="shared" si="174"/>
        <v>42485</v>
      </c>
      <c r="D822" s="37" t="s">
        <v>1633</v>
      </c>
      <c r="E822" s="190">
        <v>42485</v>
      </c>
      <c r="F822" s="191" t="s">
        <v>569</v>
      </c>
      <c r="G822" s="829" t="s">
        <v>481</v>
      </c>
      <c r="H822" s="192" t="s">
        <v>445</v>
      </c>
      <c r="I822" s="253">
        <v>24</v>
      </c>
      <c r="J822" s="253">
        <v>8715</v>
      </c>
      <c r="K822" s="584">
        <f t="shared" si="175"/>
        <v>209160</v>
      </c>
      <c r="L822" s="585" t="s">
        <v>857</v>
      </c>
      <c r="M822" s="585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26">
        <v>2</v>
      </c>
      <c r="AB822" s="576" t="str">
        <f>IF(VLOOKUP(F822,NXT!$C$12:$C$786,1,0)=F822,"","x")</f>
        <v/>
      </c>
    </row>
    <row r="823" spans="1:30" ht="15.75" customHeight="1">
      <c r="A823" s="827" t="str">
        <f>IF(B823&lt;&gt;"",IF(AND(B823&gt;=_TM1,B823&lt;=_TM2,OR(TH!L823="1111",TH!M823="1111")),TH!D823,""),"")</f>
        <v/>
      </c>
      <c r="B823" s="36">
        <f t="shared" si="173"/>
        <v>4</v>
      </c>
      <c r="C823" s="190">
        <f t="shared" si="174"/>
        <v>42485</v>
      </c>
      <c r="D823" s="37" t="s">
        <v>1633</v>
      </c>
      <c r="E823" s="190">
        <v>42485</v>
      </c>
      <c r="F823" s="191" t="s">
        <v>570</v>
      </c>
      <c r="G823" s="829" t="s">
        <v>481</v>
      </c>
      <c r="H823" s="192" t="s">
        <v>445</v>
      </c>
      <c r="I823" s="253">
        <v>12</v>
      </c>
      <c r="J823" s="253">
        <v>11404</v>
      </c>
      <c r="K823" s="584">
        <f t="shared" si="175"/>
        <v>136848</v>
      </c>
      <c r="L823" s="585" t="s">
        <v>857</v>
      </c>
      <c r="M823" s="585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26">
        <v>2</v>
      </c>
      <c r="AB823" s="576" t="str">
        <f>IF(VLOOKUP(F823,NXT!$C$12:$C$786,1,0)=F823,"","x")</f>
        <v/>
      </c>
      <c r="AC823" s="576"/>
    </row>
    <row r="824" spans="1:30" ht="15.75" customHeight="1">
      <c r="A824" s="827" t="str">
        <f>IF(B824&lt;&gt;"",IF(AND(B824&gt;=_TM1,B824&lt;=_TM2,OR(TH!L824="1111",TH!M824="1111")),TH!D824,""),"")</f>
        <v/>
      </c>
      <c r="B824" s="36">
        <f t="shared" si="173"/>
        <v>4</v>
      </c>
      <c r="C824" s="190">
        <f t="shared" si="174"/>
        <v>42485</v>
      </c>
      <c r="D824" s="37" t="s">
        <v>1633</v>
      </c>
      <c r="E824" s="190">
        <v>42485</v>
      </c>
      <c r="F824" s="191" t="s">
        <v>571</v>
      </c>
      <c r="G824" s="829" t="s">
        <v>481</v>
      </c>
      <c r="H824" s="192" t="s">
        <v>445</v>
      </c>
      <c r="I824" s="253">
        <v>5</v>
      </c>
      <c r="J824" s="253">
        <v>27084</v>
      </c>
      <c r="K824" s="584">
        <f t="shared" si="175"/>
        <v>135420</v>
      </c>
      <c r="L824" s="585" t="s">
        <v>857</v>
      </c>
      <c r="M824" s="585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26">
        <v>2</v>
      </c>
      <c r="AB824" s="576" t="str">
        <f>IF(VLOOKUP(F824,NXT!$C$12:$C$786,1,0)=F824,"","x")</f>
        <v/>
      </c>
      <c r="AC824" s="576"/>
      <c r="AD824" s="576"/>
    </row>
    <row r="825" spans="1:30" ht="15.75" customHeight="1">
      <c r="A825" s="827" t="str">
        <f>IF(B825&lt;&gt;"",IF(AND(B825&gt;=_TM1,B825&lt;=_TM2,OR(TH!L825="1111",TH!M825="1111")),TH!D825,""),"")</f>
        <v/>
      </c>
      <c r="B825" s="36">
        <f t="shared" si="173"/>
        <v>4</v>
      </c>
      <c r="C825" s="190">
        <f t="shared" si="174"/>
        <v>42485</v>
      </c>
      <c r="D825" s="37" t="s">
        <v>1633</v>
      </c>
      <c r="E825" s="190">
        <v>42485</v>
      </c>
      <c r="F825" s="191" t="s">
        <v>572</v>
      </c>
      <c r="G825" s="829" t="s">
        <v>481</v>
      </c>
      <c r="H825" s="192" t="s">
        <v>445</v>
      </c>
      <c r="I825" s="253">
        <v>500</v>
      </c>
      <c r="J825" s="253">
        <v>11562</v>
      </c>
      <c r="K825" s="584">
        <f t="shared" si="175"/>
        <v>5781000</v>
      </c>
      <c r="L825" s="585" t="s">
        <v>857</v>
      </c>
      <c r="M825" s="585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26">
        <v>2</v>
      </c>
      <c r="AB825" s="576" t="str">
        <f>IF(VLOOKUP(F825,NXT!$C$12:$C$786,1,0)=F825,"","x")</f>
        <v/>
      </c>
      <c r="AD825" s="576"/>
    </row>
    <row r="826" spans="1:30" ht="15.75" customHeight="1">
      <c r="A826" s="827" t="str">
        <f>IF(B826&lt;&gt;"",IF(AND(B826&gt;=_TM1,B826&lt;=_TM2,OR(TH!L826="1111",TH!M826="1111")),TH!D826,""),"")</f>
        <v/>
      </c>
      <c r="B826" s="36">
        <f t="shared" si="173"/>
        <v>4</v>
      </c>
      <c r="C826" s="190">
        <f t="shared" si="174"/>
        <v>42485</v>
      </c>
      <c r="D826" s="37" t="s">
        <v>1633</v>
      </c>
      <c r="E826" s="190">
        <v>42485</v>
      </c>
      <c r="F826" s="191" t="s">
        <v>573</v>
      </c>
      <c r="G826" s="829" t="s">
        <v>481</v>
      </c>
      <c r="H826" s="192" t="s">
        <v>445</v>
      </c>
      <c r="I826" s="253">
        <v>40</v>
      </c>
      <c r="J826" s="253">
        <v>142144</v>
      </c>
      <c r="K826" s="584">
        <f t="shared" si="175"/>
        <v>5685760</v>
      </c>
      <c r="L826" s="585" t="s">
        <v>857</v>
      </c>
      <c r="M826" s="585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26">
        <v>2</v>
      </c>
      <c r="AB826" s="576" t="str">
        <f>IF(VLOOKUP(F826,NXT!$C$12:$C$786,1,0)=F826,"","x")</f>
        <v/>
      </c>
      <c r="AC826" s="576"/>
      <c r="AD826" s="576"/>
    </row>
    <row r="827" spans="1:30" ht="15.75" customHeight="1">
      <c r="A827" s="827" t="str">
        <f>IF(B827&lt;&gt;"",IF(AND(B827&gt;=_TM1,B827&lt;=_TM2,OR(TH!L827="1111",TH!M827="1111")),TH!D827,""),"")</f>
        <v/>
      </c>
      <c r="B827" s="36">
        <f t="shared" si="173"/>
        <v>4</v>
      </c>
      <c r="C827" s="190">
        <f t="shared" si="174"/>
        <v>42485</v>
      </c>
      <c r="D827" s="37" t="s">
        <v>1633</v>
      </c>
      <c r="E827" s="190">
        <v>42485</v>
      </c>
      <c r="F827" s="191" t="s">
        <v>574</v>
      </c>
      <c r="G827" s="829" t="s">
        <v>481</v>
      </c>
      <c r="H827" s="192" t="s">
        <v>445</v>
      </c>
      <c r="I827" s="253">
        <v>6</v>
      </c>
      <c r="J827" s="253">
        <v>177056</v>
      </c>
      <c r="K827" s="584">
        <f t="shared" si="175"/>
        <v>1062336</v>
      </c>
      <c r="L827" s="585" t="s">
        <v>857</v>
      </c>
      <c r="M827" s="585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26">
        <v>2</v>
      </c>
      <c r="AB827" s="576" t="str">
        <f>IF(VLOOKUP(F827,NXT!$C$12:$C$786,1,0)=F827,"","x")</f>
        <v/>
      </c>
      <c r="AC827" s="576"/>
      <c r="AD827" s="576"/>
    </row>
    <row r="828" spans="1:30" ht="15.75" customHeight="1">
      <c r="A828" s="827" t="str">
        <f>IF(B828&lt;&gt;"",IF(AND(B828&gt;=_TM1,B828&lt;=_TM2,OR(TH!L828="1111",TH!M828="1111")),TH!D828,""),"")</f>
        <v/>
      </c>
      <c r="B828" s="36">
        <f t="shared" si="173"/>
        <v>4</v>
      </c>
      <c r="C828" s="190">
        <f t="shared" si="174"/>
        <v>42485</v>
      </c>
      <c r="D828" s="37" t="s">
        <v>1633</v>
      </c>
      <c r="E828" s="190">
        <v>42485</v>
      </c>
      <c r="F828" s="191" t="s">
        <v>575</v>
      </c>
      <c r="G828" s="829" t="s">
        <v>481</v>
      </c>
      <c r="H828" s="192" t="s">
        <v>445</v>
      </c>
      <c r="I828" s="253">
        <v>40</v>
      </c>
      <c r="J828" s="253">
        <v>50792</v>
      </c>
      <c r="K828" s="584">
        <f t="shared" si="175"/>
        <v>2031680</v>
      </c>
      <c r="L828" s="585" t="s">
        <v>857</v>
      </c>
      <c r="M828" s="585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26">
        <v>2</v>
      </c>
      <c r="AB828" s="576" t="str">
        <f>IF(VLOOKUP(F828,NXT!$C$12:$C$786,1,0)=F828,"","x")</f>
        <v/>
      </c>
      <c r="AD828" s="576"/>
    </row>
    <row r="829" spans="1:30" ht="15.75" customHeight="1">
      <c r="A829" s="827" t="str">
        <f>IF(B829&lt;&gt;"",IF(AND(B829&gt;=_TM1,B829&lt;=_TM2,OR(TH!L829="1111",TH!M829="1111")),TH!D829,""),"")</f>
        <v/>
      </c>
      <c r="B829" s="36">
        <f t="shared" si="173"/>
        <v>4</v>
      </c>
      <c r="C829" s="190">
        <f t="shared" si="174"/>
        <v>42485</v>
      </c>
      <c r="D829" s="37" t="s">
        <v>1633</v>
      </c>
      <c r="E829" s="190">
        <v>42485</v>
      </c>
      <c r="F829" s="191" t="s">
        <v>576</v>
      </c>
      <c r="G829" s="829" t="s">
        <v>481</v>
      </c>
      <c r="H829" s="192" t="s">
        <v>445</v>
      </c>
      <c r="I829" s="253">
        <v>94</v>
      </c>
      <c r="J829" s="253">
        <v>50135</v>
      </c>
      <c r="K829" s="584">
        <f t="shared" si="175"/>
        <v>4712690</v>
      </c>
      <c r="L829" s="585" t="s">
        <v>857</v>
      </c>
      <c r="M829" s="585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26">
        <v>2</v>
      </c>
      <c r="AB829" s="576" t="str">
        <f>IF(VLOOKUP(F829,NXT!$C$12:$C$786,1,0)=F829,"","x")</f>
        <v/>
      </c>
      <c r="AC829" s="576"/>
      <c r="AD829" s="576"/>
    </row>
    <row r="830" spans="1:30" ht="15.75" customHeight="1">
      <c r="A830" s="827" t="str">
        <f>IF(B830&lt;&gt;"",IF(AND(B830&gt;=_TM1,B830&lt;=_TM2,OR(TH!L830="1111",TH!M830="1111")),TH!D830,""),"")</f>
        <v/>
      </c>
      <c r="B830" s="36">
        <f t="shared" si="173"/>
        <v>4</v>
      </c>
      <c r="C830" s="190">
        <f t="shared" si="174"/>
        <v>42485</v>
      </c>
      <c r="D830" s="37" t="s">
        <v>1633</v>
      </c>
      <c r="E830" s="190">
        <v>42485</v>
      </c>
      <c r="F830" s="191" t="s">
        <v>577</v>
      </c>
      <c r="G830" s="829" t="s">
        <v>481</v>
      </c>
      <c r="H830" s="192" t="s">
        <v>445</v>
      </c>
      <c r="I830" s="253">
        <v>30</v>
      </c>
      <c r="J830" s="253">
        <v>61919</v>
      </c>
      <c r="K830" s="584">
        <f t="shared" si="175"/>
        <v>1857570</v>
      </c>
      <c r="L830" s="585" t="s">
        <v>857</v>
      </c>
      <c r="M830" s="585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26">
        <v>2</v>
      </c>
      <c r="AB830" s="576" t="str">
        <f>IF(VLOOKUP(F830,NXT!$C$12:$C$786,1,0)=F830,"","x")</f>
        <v/>
      </c>
      <c r="AC830" s="576"/>
      <c r="AD830" s="576"/>
    </row>
    <row r="831" spans="1:30" ht="15.75" customHeight="1">
      <c r="A831" s="827" t="str">
        <f>IF(B831&lt;&gt;"",IF(AND(B831&gt;=_TM1,B831&lt;=_TM2,OR(TH!L831="1111",TH!M831="1111")),TH!D831,""),"")</f>
        <v/>
      </c>
      <c r="B831" s="36">
        <f t="shared" si="173"/>
        <v>4</v>
      </c>
      <c r="C831" s="190">
        <f t="shared" si="174"/>
        <v>42485</v>
      </c>
      <c r="D831" s="37" t="s">
        <v>1633</v>
      </c>
      <c r="E831" s="190">
        <v>42485</v>
      </c>
      <c r="F831" s="191" t="s">
        <v>463</v>
      </c>
      <c r="G831" s="829" t="s">
        <v>481</v>
      </c>
      <c r="H831" s="192" t="s">
        <v>445</v>
      </c>
      <c r="I831" s="253">
        <v>24</v>
      </c>
      <c r="J831" s="253">
        <v>43337</v>
      </c>
      <c r="K831" s="584">
        <f t="shared" si="175"/>
        <v>1040088</v>
      </c>
      <c r="L831" s="585" t="s">
        <v>857</v>
      </c>
      <c r="M831" s="585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26">
        <v>2</v>
      </c>
      <c r="AB831" s="576" t="str">
        <f>IF(VLOOKUP(F831,NXT!$C$12:$C$786,1,0)=F831,"","x")</f>
        <v/>
      </c>
      <c r="AC831" s="576"/>
      <c r="AD831" s="576"/>
    </row>
    <row r="832" spans="1:30" ht="15.75" customHeight="1">
      <c r="A832" s="827" t="str">
        <f>IF(B832&lt;&gt;"",IF(AND(B832&gt;=_TM1,B832&lt;=_TM2,OR(TH!L832="1111",TH!M832="1111")),TH!D832,""),"")</f>
        <v/>
      </c>
      <c r="B832" s="36">
        <f t="shared" si="173"/>
        <v>4</v>
      </c>
      <c r="C832" s="190">
        <f t="shared" si="174"/>
        <v>42485</v>
      </c>
      <c r="D832" s="37" t="s">
        <v>1633</v>
      </c>
      <c r="E832" s="190">
        <v>42485</v>
      </c>
      <c r="F832" s="191" t="s">
        <v>672</v>
      </c>
      <c r="G832" s="829" t="s">
        <v>481</v>
      </c>
      <c r="H832" s="192" t="s">
        <v>445</v>
      </c>
      <c r="I832" s="253">
        <v>6</v>
      </c>
      <c r="J832" s="253">
        <v>38168</v>
      </c>
      <c r="K832" s="584">
        <f t="shared" si="175"/>
        <v>229008</v>
      </c>
      <c r="L832" s="585" t="s">
        <v>857</v>
      </c>
      <c r="M832" s="585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26">
        <v>2</v>
      </c>
      <c r="AB832" s="576" t="str">
        <f>IF(VLOOKUP(F832,NXT!$C$12:$C$786,1,0)=F832,"","x")</f>
        <v/>
      </c>
      <c r="AC832" s="576"/>
      <c r="AD832" s="576"/>
    </row>
    <row r="833" spans="1:30" ht="15.75" customHeight="1">
      <c r="A833" s="827" t="str">
        <f>IF(B833&lt;&gt;"",IF(AND(B833&gt;=_TM1,B833&lt;=_TM2,OR(TH!L833="1111",TH!M833="1111")),TH!D833,""),"")</f>
        <v/>
      </c>
      <c r="B833" s="36">
        <f t="shared" si="173"/>
        <v>4</v>
      </c>
      <c r="C833" s="190">
        <f t="shared" si="174"/>
        <v>42485</v>
      </c>
      <c r="D833" s="37" t="s">
        <v>1633</v>
      </c>
      <c r="E833" s="190">
        <v>42485</v>
      </c>
      <c r="F833" s="191" t="s">
        <v>461</v>
      </c>
      <c r="G833" s="829" t="s">
        <v>481</v>
      </c>
      <c r="H833" s="192" t="s">
        <v>445</v>
      </c>
      <c r="I833" s="253"/>
      <c r="J833" s="253"/>
      <c r="K833" s="584">
        <v>13458852</v>
      </c>
      <c r="L833" s="39" t="s">
        <v>9</v>
      </c>
      <c r="M833" s="585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26">
        <v>2</v>
      </c>
      <c r="AB833" s="576"/>
      <c r="AD833" s="576"/>
    </row>
    <row r="834" spans="1:30" ht="15.75" customHeight="1">
      <c r="A834" s="827" t="str">
        <f>IF(B834&lt;&gt;"",IF(AND(B834&gt;=_TM1,B834&lt;=_TM2,OR(TH!L834="1111",TH!M834="1111")),TH!D834,""),"")</f>
        <v/>
      </c>
      <c r="B834" s="36">
        <f t="shared" si="173"/>
        <v>5</v>
      </c>
      <c r="C834" s="190">
        <f t="shared" si="174"/>
        <v>42502</v>
      </c>
      <c r="D834" s="37" t="s">
        <v>1634</v>
      </c>
      <c r="E834" s="190">
        <v>42502</v>
      </c>
      <c r="F834" s="191" t="s">
        <v>479</v>
      </c>
      <c r="G834" s="829" t="s">
        <v>856</v>
      </c>
      <c r="H834" s="192" t="s">
        <v>445</v>
      </c>
      <c r="I834" s="253">
        <v>380</v>
      </c>
      <c r="J834" s="775">
        <v>7628.5</v>
      </c>
      <c r="K834" s="584">
        <f t="shared" ref="K834:K840" si="176">ROUND(I834*J834,0)</f>
        <v>2898830</v>
      </c>
      <c r="L834" s="585" t="s">
        <v>857</v>
      </c>
      <c r="M834" s="585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26">
        <v>2</v>
      </c>
      <c r="AB834" s="576" t="str">
        <f>IF(VLOOKUP(F834,NXT!$C$12:$C$786,1,0)=F834,"","x")</f>
        <v/>
      </c>
      <c r="AC834" s="576"/>
      <c r="AD834" s="576"/>
    </row>
    <row r="835" spans="1:30" ht="15.75" customHeight="1">
      <c r="A835" s="827" t="str">
        <f>IF(B835&lt;&gt;"",IF(AND(B835&gt;=_TM1,B835&lt;=_TM2,OR(TH!L835="1111",TH!M835="1111")),TH!D835,""),"")</f>
        <v/>
      </c>
      <c r="B835" s="36">
        <f t="shared" si="173"/>
        <v>5</v>
      </c>
      <c r="C835" s="190">
        <f t="shared" si="174"/>
        <v>42502</v>
      </c>
      <c r="D835" s="37" t="s">
        <v>1634</v>
      </c>
      <c r="E835" s="190">
        <v>42502</v>
      </c>
      <c r="F835" s="191" t="s">
        <v>696</v>
      </c>
      <c r="G835" s="829" t="s">
        <v>856</v>
      </c>
      <c r="H835" s="192" t="s">
        <v>445</v>
      </c>
      <c r="I835" s="253">
        <v>1000</v>
      </c>
      <c r="J835" s="775">
        <v>11115</v>
      </c>
      <c r="K835" s="584">
        <f t="shared" si="176"/>
        <v>11115000</v>
      </c>
      <c r="L835" s="585" t="s">
        <v>857</v>
      </c>
      <c r="M835" s="585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26">
        <v>2</v>
      </c>
      <c r="AB835" s="576" t="str">
        <f>IF(VLOOKUP(F835,NXT!$C$12:$C$786,1,0)=F835,"","x")</f>
        <v/>
      </c>
      <c r="AC835" s="576"/>
      <c r="AD835" s="576"/>
    </row>
    <row r="836" spans="1:30" ht="15.75" customHeight="1">
      <c r="A836" s="827" t="str">
        <f>IF(B836&lt;&gt;"",IF(AND(B836&gt;=_TM1,B836&lt;=_TM2,OR(TH!L836="1111",TH!M836="1111")),TH!D836,""),"")</f>
        <v/>
      </c>
      <c r="B836" s="36">
        <f t="shared" si="173"/>
        <v>5</v>
      </c>
      <c r="C836" s="190">
        <f t="shared" si="174"/>
        <v>42502</v>
      </c>
      <c r="D836" s="37" t="s">
        <v>1634</v>
      </c>
      <c r="E836" s="190">
        <v>42502</v>
      </c>
      <c r="F836" s="191" t="s">
        <v>1301</v>
      </c>
      <c r="G836" s="829" t="s">
        <v>856</v>
      </c>
      <c r="H836" s="192" t="s">
        <v>445</v>
      </c>
      <c r="I836" s="253">
        <v>1000</v>
      </c>
      <c r="J836" s="775">
        <v>507.3</v>
      </c>
      <c r="K836" s="584">
        <f t="shared" si="176"/>
        <v>507300</v>
      </c>
      <c r="L836" s="585" t="s">
        <v>857</v>
      </c>
      <c r="M836" s="585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26">
        <v>2</v>
      </c>
      <c r="AB836" s="576" t="str">
        <f>IF(VLOOKUP(F836,NXT!$C$12:$C$786,1,0)=F836,"","x")</f>
        <v/>
      </c>
      <c r="AC836" s="576"/>
      <c r="AD836" s="576"/>
    </row>
    <row r="837" spans="1:30" ht="15.75" customHeight="1">
      <c r="A837" s="827" t="str">
        <f>IF(B837&lt;&gt;"",IF(AND(B837&gt;=_TM1,B837&lt;=_TM2,OR(TH!L837="1111",TH!M837="1111")),TH!D837,""),"")</f>
        <v/>
      </c>
      <c r="B837" s="36">
        <f t="shared" si="173"/>
        <v>5</v>
      </c>
      <c r="C837" s="190">
        <f t="shared" si="174"/>
        <v>42502</v>
      </c>
      <c r="D837" s="37" t="s">
        <v>1634</v>
      </c>
      <c r="E837" s="190">
        <v>42502</v>
      </c>
      <c r="F837" s="191" t="s">
        <v>1178</v>
      </c>
      <c r="G837" s="829" t="s">
        <v>856</v>
      </c>
      <c r="H837" s="192" t="s">
        <v>445</v>
      </c>
      <c r="I837" s="253">
        <v>1250</v>
      </c>
      <c r="J837" s="775">
        <v>30875</v>
      </c>
      <c r="K837" s="584">
        <f t="shared" si="176"/>
        <v>38593750</v>
      </c>
      <c r="L837" s="585" t="s">
        <v>857</v>
      </c>
      <c r="M837" s="585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26">
        <v>2</v>
      </c>
      <c r="AB837" s="576" t="str">
        <f>IF(VLOOKUP(F837,NXT!$C$12:$C$786,1,0)=F837,"","x")</f>
        <v/>
      </c>
      <c r="AD837" s="576"/>
    </row>
    <row r="838" spans="1:30" ht="15.75" customHeight="1">
      <c r="A838" s="827" t="str">
        <f>IF(B838&lt;&gt;"",IF(AND(B838&gt;=_TM1,B838&lt;=_TM2,OR(TH!L838="1111",TH!M838="1111")),TH!D838,""),"")</f>
        <v/>
      </c>
      <c r="B838" s="36">
        <f t="shared" si="173"/>
        <v>5</v>
      </c>
      <c r="C838" s="190">
        <f t="shared" si="174"/>
        <v>42502</v>
      </c>
      <c r="D838" s="37" t="s">
        <v>1634</v>
      </c>
      <c r="E838" s="190">
        <v>42502</v>
      </c>
      <c r="F838" s="191" t="s">
        <v>1179</v>
      </c>
      <c r="G838" s="829" t="s">
        <v>856</v>
      </c>
      <c r="H838" s="192" t="s">
        <v>445</v>
      </c>
      <c r="I838" s="253">
        <v>1300</v>
      </c>
      <c r="J838" s="253">
        <v>30115</v>
      </c>
      <c r="K838" s="584">
        <f t="shared" si="176"/>
        <v>39149500</v>
      </c>
      <c r="L838" s="585" t="s">
        <v>857</v>
      </c>
      <c r="M838" s="585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26">
        <v>2</v>
      </c>
      <c r="AB838" s="576" t="str">
        <f>IF(VLOOKUP(F838,NXT!$C$12:$C$786,1,0)=F838,"","x")</f>
        <v/>
      </c>
      <c r="AD838" s="576"/>
    </row>
    <row r="839" spans="1:30" ht="15.75" customHeight="1">
      <c r="A839" s="827" t="str">
        <f>IF(B839&lt;&gt;"",IF(AND(B839&gt;=_TM1,B839&lt;=_TM2,OR(TH!L839="1111",TH!M839="1111")),TH!D839,""),"")</f>
        <v/>
      </c>
      <c r="B839" s="36">
        <f t="shared" si="173"/>
        <v>5</v>
      </c>
      <c r="C839" s="190">
        <f t="shared" si="174"/>
        <v>42502</v>
      </c>
      <c r="D839" s="37" t="s">
        <v>1634</v>
      </c>
      <c r="E839" s="190">
        <v>42502</v>
      </c>
      <c r="F839" s="188" t="s">
        <v>451</v>
      </c>
      <c r="G839" s="829" t="s">
        <v>856</v>
      </c>
      <c r="H839" s="192" t="s">
        <v>445</v>
      </c>
      <c r="I839" s="253">
        <v>3900</v>
      </c>
      <c r="J839" s="253">
        <v>14250</v>
      </c>
      <c r="K839" s="584">
        <f t="shared" si="176"/>
        <v>55575000</v>
      </c>
      <c r="L839" s="585" t="s">
        <v>857</v>
      </c>
      <c r="M839" s="585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>x</v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26">
        <v>2</v>
      </c>
      <c r="AB839" s="576" t="str">
        <f>IF(VLOOKUP(F839,NXT!$C$12:$C$786,1,0)=F839,"","x")</f>
        <v/>
      </c>
      <c r="AC839" s="576"/>
      <c r="AD839" s="576"/>
    </row>
    <row r="840" spans="1:30" ht="15.75" customHeight="1">
      <c r="A840" s="827" t="str">
        <f>IF(B840&lt;&gt;"",IF(AND(B840&gt;=_TM1,B840&lt;=_TM2,OR(TH!L840="1111",TH!M840="1111")),TH!D840,""),"")</f>
        <v/>
      </c>
      <c r="B840" s="36">
        <f t="shared" si="173"/>
        <v>5</v>
      </c>
      <c r="C840" s="190">
        <f t="shared" si="174"/>
        <v>42502</v>
      </c>
      <c r="D840" s="37" t="s">
        <v>1634</v>
      </c>
      <c r="E840" s="190">
        <v>42502</v>
      </c>
      <c r="F840" s="188" t="s">
        <v>450</v>
      </c>
      <c r="G840" s="829" t="s">
        <v>856</v>
      </c>
      <c r="H840" s="192" t="s">
        <v>445</v>
      </c>
      <c r="I840" s="253">
        <v>3500</v>
      </c>
      <c r="J840" s="775">
        <v>15675</v>
      </c>
      <c r="K840" s="584">
        <f t="shared" si="176"/>
        <v>54862500</v>
      </c>
      <c r="L840" s="585" t="s">
        <v>857</v>
      </c>
      <c r="M840" s="585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26">
        <v>2</v>
      </c>
      <c r="AB840" s="576" t="str">
        <f>IF(VLOOKUP(F840,NXT!$C$12:$C$786,1,0)=F840,"","x")</f>
        <v/>
      </c>
      <c r="AC840" s="576"/>
      <c r="AD840" s="576"/>
    </row>
    <row r="841" spans="1:30" ht="15.75" customHeight="1">
      <c r="A841" s="827" t="str">
        <f>IF(B841&lt;&gt;"",IF(AND(B841&gt;=_TM1,B841&lt;=_TM2,OR(TH!L841="1111",TH!M841="1111")),TH!D841,""),"")</f>
        <v/>
      </c>
      <c r="B841" s="36">
        <f t="shared" si="173"/>
        <v>5</v>
      </c>
      <c r="C841" s="190">
        <f t="shared" si="174"/>
        <v>42502</v>
      </c>
      <c r="D841" s="37" t="s">
        <v>1634</v>
      </c>
      <c r="E841" s="190">
        <v>42502</v>
      </c>
      <c r="F841" s="191" t="s">
        <v>461</v>
      </c>
      <c r="G841" s="829" t="s">
        <v>856</v>
      </c>
      <c r="H841" s="192" t="s">
        <v>445</v>
      </c>
      <c r="I841" s="253"/>
      <c r="J841" s="253"/>
      <c r="K841" s="584">
        <v>20270188</v>
      </c>
      <c r="L841" s="39" t="s">
        <v>9</v>
      </c>
      <c r="M841" s="585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26">
        <v>2</v>
      </c>
      <c r="AB841" s="576"/>
      <c r="AD841" s="576"/>
    </row>
    <row r="842" spans="1:30" ht="15.75" customHeight="1">
      <c r="A842" s="827" t="str">
        <f>IF(B842&lt;&gt;"",IF(AND(B842&gt;=_TM1,B842&lt;=_TM2,OR(TH!L842="1111",TH!M842="1111")),TH!D842,""),"")</f>
        <v/>
      </c>
      <c r="B842" s="36">
        <f t="shared" si="173"/>
        <v>5</v>
      </c>
      <c r="C842" s="190">
        <f t="shared" si="174"/>
        <v>42505</v>
      </c>
      <c r="D842" s="37" t="s">
        <v>1635</v>
      </c>
      <c r="E842" s="190">
        <v>42505</v>
      </c>
      <c r="F842" s="188" t="s">
        <v>525</v>
      </c>
      <c r="G842" s="829" t="s">
        <v>855</v>
      </c>
      <c r="H842" s="192" t="s">
        <v>445</v>
      </c>
      <c r="I842" s="253">
        <v>36</v>
      </c>
      <c r="J842" s="253">
        <v>16775.099999999999</v>
      </c>
      <c r="K842" s="584">
        <f t="shared" ref="K842:K873" si="177">ROUND(I842*J842,0)</f>
        <v>603904</v>
      </c>
      <c r="L842" s="585" t="s">
        <v>857</v>
      </c>
      <c r="M842" s="585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26">
        <v>2</v>
      </c>
      <c r="AB842" s="576" t="str">
        <f>IF(VLOOKUP(F842,NXT!$C$12:$C$786,1,0)=F842,"","x")</f>
        <v/>
      </c>
    </row>
    <row r="843" spans="1:30" ht="15.75" customHeight="1">
      <c r="A843" s="827" t="str">
        <f>IF(B843&lt;&gt;"",IF(AND(B843&gt;=_TM1,B843&lt;=_TM2,OR(TH!L843="1111",TH!M843="1111")),TH!D843,""),"")</f>
        <v/>
      </c>
      <c r="B843" s="36">
        <f t="shared" si="173"/>
        <v>5</v>
      </c>
      <c r="C843" s="190">
        <f t="shared" si="174"/>
        <v>42505</v>
      </c>
      <c r="D843" s="37" t="s">
        <v>1635</v>
      </c>
      <c r="E843" s="190">
        <v>42505</v>
      </c>
      <c r="F843" s="188" t="s">
        <v>525</v>
      </c>
      <c r="G843" s="829" t="s">
        <v>855</v>
      </c>
      <c r="H843" s="192" t="s">
        <v>445</v>
      </c>
      <c r="I843" s="767">
        <v>54</v>
      </c>
      <c r="J843" s="253">
        <v>16775.099999999999</v>
      </c>
      <c r="K843" s="584">
        <f t="shared" si="177"/>
        <v>905855</v>
      </c>
      <c r="L843" s="585" t="s">
        <v>857</v>
      </c>
      <c r="M843" s="585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26">
        <v>2</v>
      </c>
      <c r="AB843" s="576" t="str">
        <f>IF(VLOOKUP(F843,NXT!$C$12:$C$786,1,0)=F843,"","x")</f>
        <v/>
      </c>
    </row>
    <row r="844" spans="1:30" ht="15.75" customHeight="1">
      <c r="A844" s="827" t="str">
        <f>IF(B844&lt;&gt;"",IF(AND(B844&gt;=_TM1,B844&lt;=_TM2,OR(TH!L844="1111",TH!M844="1111")),TH!D844,""),"")</f>
        <v/>
      </c>
      <c r="B844" s="36">
        <f t="shared" si="173"/>
        <v>5</v>
      </c>
      <c r="C844" s="190">
        <f t="shared" si="174"/>
        <v>42505</v>
      </c>
      <c r="D844" s="37" t="s">
        <v>1635</v>
      </c>
      <c r="E844" s="190">
        <v>42505</v>
      </c>
      <c r="F844" s="188" t="s">
        <v>549</v>
      </c>
      <c r="G844" s="829" t="s">
        <v>855</v>
      </c>
      <c r="H844" s="192" t="s">
        <v>445</v>
      </c>
      <c r="I844" s="767">
        <v>16</v>
      </c>
      <c r="J844" s="253">
        <v>44169.3</v>
      </c>
      <c r="K844" s="584">
        <f t="shared" si="177"/>
        <v>706709</v>
      </c>
      <c r="L844" s="585" t="s">
        <v>857</v>
      </c>
      <c r="M844" s="585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26">
        <v>2</v>
      </c>
      <c r="AB844" s="576" t="str">
        <f>IF(VLOOKUP(F844,NXT!$C$12:$C$786,1,0)=F844,"","x")</f>
        <v/>
      </c>
    </row>
    <row r="845" spans="1:30" ht="15.75" customHeight="1">
      <c r="A845" s="827" t="str">
        <f>IF(B845&lt;&gt;"",IF(AND(B845&gt;=_TM1,B845&lt;=_TM2,OR(TH!L845="1111",TH!M845="1111")),TH!D845,""),"")</f>
        <v/>
      </c>
      <c r="B845" s="36">
        <f t="shared" si="173"/>
        <v>5</v>
      </c>
      <c r="C845" s="190">
        <f t="shared" si="174"/>
        <v>42505</v>
      </c>
      <c r="D845" s="37" t="s">
        <v>1635</v>
      </c>
      <c r="E845" s="190">
        <v>42505</v>
      </c>
      <c r="F845" s="188" t="s">
        <v>551</v>
      </c>
      <c r="G845" s="829" t="s">
        <v>855</v>
      </c>
      <c r="H845" s="192" t="s">
        <v>445</v>
      </c>
      <c r="I845" s="253">
        <v>10</v>
      </c>
      <c r="J845" s="253">
        <v>29326.5</v>
      </c>
      <c r="K845" s="584">
        <f t="shared" si="177"/>
        <v>293265</v>
      </c>
      <c r="L845" s="585" t="s">
        <v>857</v>
      </c>
      <c r="M845" s="585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26">
        <v>2</v>
      </c>
      <c r="AB845" s="576" t="str">
        <f>IF(VLOOKUP(F845,NXT!$C$12:$C$786,1,0)=F845,"","x")</f>
        <v/>
      </c>
    </row>
    <row r="846" spans="1:30" ht="15.75" customHeight="1">
      <c r="A846" s="827" t="str">
        <f>IF(B846&lt;&gt;"",IF(AND(B846&gt;=_TM1,B846&lt;=_TM2,OR(TH!L846="1111",TH!M846="1111")),TH!D846,""),"")</f>
        <v/>
      </c>
      <c r="B846" s="36">
        <f t="shared" si="173"/>
        <v>5</v>
      </c>
      <c r="C846" s="190">
        <f t="shared" si="174"/>
        <v>42505</v>
      </c>
      <c r="D846" s="37" t="s">
        <v>1635</v>
      </c>
      <c r="E846" s="190">
        <v>42505</v>
      </c>
      <c r="F846" s="191" t="s">
        <v>511</v>
      </c>
      <c r="G846" s="829" t="s">
        <v>855</v>
      </c>
      <c r="H846" s="192" t="s">
        <v>445</v>
      </c>
      <c r="I846" s="253">
        <v>12</v>
      </c>
      <c r="J846" s="253">
        <v>31880.1</v>
      </c>
      <c r="K846" s="584">
        <f t="shared" si="177"/>
        <v>382561</v>
      </c>
      <c r="L846" s="585" t="s">
        <v>857</v>
      </c>
      <c r="M846" s="585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26">
        <v>2</v>
      </c>
      <c r="AB846" s="576" t="str">
        <f>IF(VLOOKUP(F846,NXT!$C$12:$C$786,1,0)=F846,"","x")</f>
        <v/>
      </c>
    </row>
    <row r="847" spans="1:30" ht="15.75" customHeight="1">
      <c r="A847" s="827" t="str">
        <f>IF(B847&lt;&gt;"",IF(AND(B847&gt;=_TM1,B847&lt;=_TM2,OR(TH!L847="1111",TH!M847="1111")),TH!D847,""),"")</f>
        <v/>
      </c>
      <c r="B847" s="36">
        <f t="shared" si="173"/>
        <v>5</v>
      </c>
      <c r="C847" s="190">
        <f t="shared" si="174"/>
        <v>42505</v>
      </c>
      <c r="D847" s="37" t="s">
        <v>1635</v>
      </c>
      <c r="E847" s="190">
        <v>42505</v>
      </c>
      <c r="F847" s="191" t="s">
        <v>511</v>
      </c>
      <c r="G847" s="829" t="s">
        <v>855</v>
      </c>
      <c r="H847" s="192" t="s">
        <v>445</v>
      </c>
      <c r="I847" s="253">
        <v>48</v>
      </c>
      <c r="J847" s="253">
        <v>28843.9</v>
      </c>
      <c r="K847" s="584">
        <f t="shared" si="177"/>
        <v>1384507</v>
      </c>
      <c r="L847" s="585" t="s">
        <v>857</v>
      </c>
      <c r="M847" s="585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26">
        <v>2</v>
      </c>
      <c r="AB847" s="576" t="str">
        <f>IF(VLOOKUP(F847,NXT!$C$12:$C$786,1,0)=F847,"","x")</f>
        <v/>
      </c>
    </row>
    <row r="848" spans="1:30" ht="15.75" customHeight="1">
      <c r="A848" s="827" t="str">
        <f>IF(B848&lt;&gt;"",IF(AND(B848&gt;=_TM1,B848&lt;=_TM2,OR(TH!L848="1111",TH!M848="1111")),TH!D848,""),"")</f>
        <v/>
      </c>
      <c r="B848" s="36">
        <f t="shared" si="173"/>
        <v>5</v>
      </c>
      <c r="C848" s="190">
        <f t="shared" si="174"/>
        <v>42505</v>
      </c>
      <c r="D848" s="37" t="s">
        <v>1635</v>
      </c>
      <c r="E848" s="190">
        <v>42505</v>
      </c>
      <c r="F848" s="40" t="s">
        <v>552</v>
      </c>
      <c r="G848" s="829" t="s">
        <v>855</v>
      </c>
      <c r="H848" s="192" t="s">
        <v>445</v>
      </c>
      <c r="I848" s="253">
        <v>36</v>
      </c>
      <c r="J848" s="253">
        <v>32901.35</v>
      </c>
      <c r="K848" s="584">
        <f t="shared" si="177"/>
        <v>1184449</v>
      </c>
      <c r="L848" s="585" t="s">
        <v>857</v>
      </c>
      <c r="M848" s="585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26">
        <v>2</v>
      </c>
      <c r="AB848" s="576" t="str">
        <f>IF(VLOOKUP(F848,NXT!$C$12:$C$786,1,0)=F848,"","x")</f>
        <v/>
      </c>
    </row>
    <row r="849" spans="1:28" ht="15.75" customHeight="1">
      <c r="A849" s="827" t="str">
        <f>IF(B849&lt;&gt;"",IF(AND(B849&gt;=_TM1,B849&lt;=_TM2,OR(TH!L849="1111",TH!M849="1111")),TH!D849,""),"")</f>
        <v/>
      </c>
      <c r="B849" s="36">
        <f t="shared" si="173"/>
        <v>5</v>
      </c>
      <c r="C849" s="190">
        <f t="shared" si="174"/>
        <v>42505</v>
      </c>
      <c r="D849" s="37" t="s">
        <v>1635</v>
      </c>
      <c r="E849" s="190">
        <v>42505</v>
      </c>
      <c r="F849" s="188" t="s">
        <v>553</v>
      </c>
      <c r="G849" s="829" t="s">
        <v>855</v>
      </c>
      <c r="H849" s="192" t="s">
        <v>445</v>
      </c>
      <c r="I849" s="253">
        <v>48</v>
      </c>
      <c r="J849" s="253">
        <v>37190.6</v>
      </c>
      <c r="K849" s="584">
        <f t="shared" si="177"/>
        <v>1785149</v>
      </c>
      <c r="L849" s="585" t="s">
        <v>857</v>
      </c>
      <c r="M849" s="585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26">
        <v>2</v>
      </c>
      <c r="AB849" s="576" t="str">
        <f>IF(VLOOKUP(F849,NXT!$C$12:$C$786,1,0)=F849,"","x")</f>
        <v/>
      </c>
    </row>
    <row r="850" spans="1:28" ht="15.75" customHeight="1">
      <c r="A850" s="827" t="str">
        <f>IF(B850&lt;&gt;"",IF(AND(B850&gt;=_TM1,B850&lt;=_TM2,OR(TH!L850="1111",TH!M850="1111")),TH!D850,""),"")</f>
        <v/>
      </c>
      <c r="B850" s="36">
        <f t="shared" si="173"/>
        <v>5</v>
      </c>
      <c r="C850" s="190">
        <f t="shared" si="174"/>
        <v>42505</v>
      </c>
      <c r="D850" s="37" t="s">
        <v>1635</v>
      </c>
      <c r="E850" s="190">
        <v>42505</v>
      </c>
      <c r="F850" s="786" t="s">
        <v>552</v>
      </c>
      <c r="G850" s="829" t="s">
        <v>855</v>
      </c>
      <c r="H850" s="192" t="s">
        <v>445</v>
      </c>
      <c r="I850" s="253">
        <v>12</v>
      </c>
      <c r="J850" s="253">
        <v>36365.050000000003</v>
      </c>
      <c r="K850" s="584">
        <f t="shared" si="177"/>
        <v>436381</v>
      </c>
      <c r="L850" s="585" t="s">
        <v>857</v>
      </c>
      <c r="M850" s="585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26">
        <v>2</v>
      </c>
      <c r="AB850" s="576" t="str">
        <f>IF(VLOOKUP(F850,NXT!$C$12:$C$786,1,0)=F850,"","x")</f>
        <v/>
      </c>
    </row>
    <row r="851" spans="1:28" ht="15.75" customHeight="1">
      <c r="A851" s="827" t="str">
        <f>IF(B851&lt;&gt;"",IF(AND(B851&gt;=_TM1,B851&lt;=_TM2,OR(TH!L851="1111",TH!M851="1111")),TH!D851,""),"")</f>
        <v/>
      </c>
      <c r="B851" s="36">
        <f t="shared" si="173"/>
        <v>5</v>
      </c>
      <c r="C851" s="190">
        <f t="shared" si="174"/>
        <v>42505</v>
      </c>
      <c r="D851" s="37" t="s">
        <v>1635</v>
      </c>
      <c r="E851" s="190">
        <v>42505</v>
      </c>
      <c r="F851" s="188" t="s">
        <v>560</v>
      </c>
      <c r="G851" s="829" t="s">
        <v>855</v>
      </c>
      <c r="H851" s="192" t="s">
        <v>445</v>
      </c>
      <c r="I851" s="253">
        <v>24</v>
      </c>
      <c r="J851" s="253">
        <v>35369.449999999997</v>
      </c>
      <c r="K851" s="584">
        <f t="shared" si="177"/>
        <v>848867</v>
      </c>
      <c r="L851" s="585" t="s">
        <v>857</v>
      </c>
      <c r="M851" s="585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26">
        <v>2</v>
      </c>
      <c r="AB851" s="576" t="str">
        <f>IF(VLOOKUP(F851,NXT!$C$12:$C$786,1,0)=F851,"","x")</f>
        <v/>
      </c>
    </row>
    <row r="852" spans="1:28" ht="15.75" customHeight="1">
      <c r="A852" s="827" t="str">
        <f>IF(B852&lt;&gt;"",IF(AND(B852&gt;=_TM1,B852&lt;=_TM2,OR(TH!L852="1111",TH!M852="1111")),TH!D852,""),"")</f>
        <v/>
      </c>
      <c r="B852" s="36">
        <f t="shared" si="173"/>
        <v>5</v>
      </c>
      <c r="C852" s="190">
        <f t="shared" si="174"/>
        <v>42505</v>
      </c>
      <c r="D852" s="37" t="s">
        <v>1635</v>
      </c>
      <c r="E852" s="190">
        <v>42505</v>
      </c>
      <c r="F852" s="188" t="s">
        <v>699</v>
      </c>
      <c r="G852" s="829" t="s">
        <v>855</v>
      </c>
      <c r="H852" s="192" t="s">
        <v>445</v>
      </c>
      <c r="I852" s="253">
        <v>12</v>
      </c>
      <c r="J852" s="253">
        <v>14380.15</v>
      </c>
      <c r="K852" s="584">
        <f t="shared" si="177"/>
        <v>172562</v>
      </c>
      <c r="L852" s="585" t="s">
        <v>857</v>
      </c>
      <c r="M852" s="585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26">
        <v>2</v>
      </c>
      <c r="AB852" s="576" t="str">
        <f>IF(VLOOKUP(F852,NXT!$C$12:$C$786,1,0)=F852,"","x")</f>
        <v/>
      </c>
    </row>
    <row r="853" spans="1:28" ht="15.75" customHeight="1">
      <c r="A853" s="827" t="str">
        <f>IF(B853&lt;&gt;"",IF(AND(B853&gt;=_TM1,B853&lt;=_TM2,OR(TH!L853="1111",TH!M853="1111")),TH!D853,""),"")</f>
        <v/>
      </c>
      <c r="B853" s="36">
        <f t="shared" si="173"/>
        <v>5</v>
      </c>
      <c r="C853" s="190">
        <f t="shared" si="174"/>
        <v>42505</v>
      </c>
      <c r="D853" s="37" t="s">
        <v>1635</v>
      </c>
      <c r="E853" s="190">
        <v>42505</v>
      </c>
      <c r="F853" s="40" t="s">
        <v>699</v>
      </c>
      <c r="G853" s="829" t="s">
        <v>855</v>
      </c>
      <c r="H853" s="192" t="s">
        <v>445</v>
      </c>
      <c r="I853" s="253">
        <v>24</v>
      </c>
      <c r="J853" s="253">
        <v>14380.15</v>
      </c>
      <c r="K853" s="584">
        <f t="shared" si="177"/>
        <v>345124</v>
      </c>
      <c r="L853" s="585" t="s">
        <v>857</v>
      </c>
      <c r="M853" s="585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26">
        <v>2</v>
      </c>
      <c r="AB853" s="576" t="str">
        <f>IF(VLOOKUP(F853,NXT!$C$12:$C$786,1,0)=F853,"","x")</f>
        <v/>
      </c>
    </row>
    <row r="854" spans="1:28" ht="15.75" customHeight="1">
      <c r="A854" s="827" t="str">
        <f>IF(B854&lt;&gt;"",IF(AND(B854&gt;=_TM1,B854&lt;=_TM2,OR(TH!L854="1111",TH!M854="1111")),TH!D854,""),"")</f>
        <v/>
      </c>
      <c r="B854" s="36">
        <f t="shared" si="173"/>
        <v>5</v>
      </c>
      <c r="C854" s="190">
        <f t="shared" si="174"/>
        <v>42505</v>
      </c>
      <c r="D854" s="37" t="s">
        <v>1635</v>
      </c>
      <c r="E854" s="190">
        <v>42505</v>
      </c>
      <c r="F854" s="40" t="s">
        <v>550</v>
      </c>
      <c r="G854" s="829" t="s">
        <v>855</v>
      </c>
      <c r="H854" s="192" t="s">
        <v>445</v>
      </c>
      <c r="I854" s="253">
        <v>10</v>
      </c>
      <c r="J854" s="253">
        <v>23940</v>
      </c>
      <c r="K854" s="584">
        <f t="shared" si="177"/>
        <v>239400</v>
      </c>
      <c r="L854" s="585" t="s">
        <v>857</v>
      </c>
      <c r="M854" s="585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26">
        <v>2</v>
      </c>
      <c r="AB854" s="576" t="str">
        <f>IF(VLOOKUP(F854,NXT!$C$12:$C$786,1,0)=F854,"","x")</f>
        <v/>
      </c>
    </row>
    <row r="855" spans="1:28" ht="15.75" customHeight="1">
      <c r="A855" s="827" t="str">
        <f>IF(B855&lt;&gt;"",IF(AND(B855&gt;=_TM1,B855&lt;=_TM2,OR(TH!L855="1111",TH!M855="1111")),TH!D855,""),"")</f>
        <v/>
      </c>
      <c r="B855" s="36">
        <f t="shared" si="173"/>
        <v>5</v>
      </c>
      <c r="C855" s="190">
        <f t="shared" si="174"/>
        <v>42505</v>
      </c>
      <c r="D855" s="37" t="s">
        <v>1635</v>
      </c>
      <c r="E855" s="190">
        <v>42505</v>
      </c>
      <c r="F855" s="188" t="s">
        <v>525</v>
      </c>
      <c r="G855" s="829" t="s">
        <v>855</v>
      </c>
      <c r="H855" s="192" t="s">
        <v>445</v>
      </c>
      <c r="I855" s="253">
        <v>34</v>
      </c>
      <c r="J855" s="253">
        <v>16775.099999999999</v>
      </c>
      <c r="K855" s="584">
        <f t="shared" si="177"/>
        <v>570353</v>
      </c>
      <c r="L855" s="585" t="s">
        <v>857</v>
      </c>
      <c r="M855" s="585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26">
        <v>2</v>
      </c>
      <c r="AB855" s="576" t="str">
        <f>IF(VLOOKUP(F855,NXT!$C$12:$C$786,1,0)=F855,"","x")</f>
        <v/>
      </c>
    </row>
    <row r="856" spans="1:28" ht="15.75" customHeight="1">
      <c r="A856" s="827" t="str">
        <f>IF(B856&lt;&gt;"",IF(AND(B856&gt;=_TM1,B856&lt;=_TM2,OR(TH!L856="1111",TH!M856="1111")),TH!D856,""),"")</f>
        <v/>
      </c>
      <c r="B856" s="36">
        <f t="shared" si="173"/>
        <v>5</v>
      </c>
      <c r="C856" s="190">
        <f t="shared" si="174"/>
        <v>42505</v>
      </c>
      <c r="D856" s="37" t="s">
        <v>1635</v>
      </c>
      <c r="E856" s="190">
        <v>42505</v>
      </c>
      <c r="F856" s="191" t="s">
        <v>700</v>
      </c>
      <c r="G856" s="829" t="s">
        <v>855</v>
      </c>
      <c r="H856" s="192" t="s">
        <v>445</v>
      </c>
      <c r="I856" s="253">
        <v>24</v>
      </c>
      <c r="J856" s="253">
        <v>19758.099999999999</v>
      </c>
      <c r="K856" s="584">
        <f t="shared" si="177"/>
        <v>474194</v>
      </c>
      <c r="L856" s="585" t="s">
        <v>857</v>
      </c>
      <c r="M856" s="585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26">
        <v>2</v>
      </c>
      <c r="AB856" s="576" t="str">
        <f>IF(VLOOKUP(F856,NXT!$C$12:$C$786,1,0)=F856,"","x")</f>
        <v/>
      </c>
    </row>
    <row r="857" spans="1:28" ht="15.75" customHeight="1">
      <c r="A857" s="827" t="str">
        <f>IF(B857&lt;&gt;"",IF(AND(B857&gt;=_TM1,B857&lt;=_TM2,OR(TH!L857="1111",TH!M857="1111")),TH!D857,""),"")</f>
        <v/>
      </c>
      <c r="B857" s="36">
        <f t="shared" si="173"/>
        <v>5</v>
      </c>
      <c r="C857" s="190">
        <f t="shared" si="174"/>
        <v>42505</v>
      </c>
      <c r="D857" s="37" t="s">
        <v>1635</v>
      </c>
      <c r="E857" s="190">
        <v>42505</v>
      </c>
      <c r="F857" s="191" t="s">
        <v>556</v>
      </c>
      <c r="G857" s="829" t="s">
        <v>855</v>
      </c>
      <c r="H857" s="192" t="s">
        <v>445</v>
      </c>
      <c r="I857" s="253">
        <v>12</v>
      </c>
      <c r="J857" s="253">
        <v>21084.3</v>
      </c>
      <c r="K857" s="584">
        <f t="shared" si="177"/>
        <v>253012</v>
      </c>
      <c r="L857" s="585" t="s">
        <v>857</v>
      </c>
      <c r="M857" s="585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26">
        <v>2</v>
      </c>
      <c r="AB857" s="576" t="str">
        <f>IF(VLOOKUP(F857,NXT!$C$12:$C$786,1,0)=F857,"","x")</f>
        <v/>
      </c>
    </row>
    <row r="858" spans="1:28" ht="15.75" customHeight="1">
      <c r="A858" s="827" t="str">
        <f>IF(B858&lt;&gt;"",IF(AND(B858&gt;=_TM1,B858&lt;=_TM2,OR(TH!L858="1111",TH!M858="1111")),TH!D858,""),"")</f>
        <v/>
      </c>
      <c r="B858" s="36">
        <f t="shared" si="173"/>
        <v>5</v>
      </c>
      <c r="C858" s="190">
        <f t="shared" si="174"/>
        <v>42505</v>
      </c>
      <c r="D858" s="37" t="s">
        <v>1635</v>
      </c>
      <c r="E858" s="190">
        <v>42505</v>
      </c>
      <c r="F858" s="188" t="s">
        <v>701</v>
      </c>
      <c r="G858" s="829" t="s">
        <v>855</v>
      </c>
      <c r="H858" s="192" t="s">
        <v>445</v>
      </c>
      <c r="I858" s="253">
        <v>4</v>
      </c>
      <c r="J858" s="253">
        <v>29852.799999999999</v>
      </c>
      <c r="K858" s="584">
        <f t="shared" si="177"/>
        <v>119411</v>
      </c>
      <c r="L858" s="585" t="s">
        <v>857</v>
      </c>
      <c r="M858" s="585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26">
        <v>2</v>
      </c>
      <c r="AB858" s="576" t="str">
        <f>IF(VLOOKUP(F858,NXT!$C$12:$C$786,1,0)=F858,"","x")</f>
        <v/>
      </c>
    </row>
    <row r="859" spans="1:28" ht="15.75" customHeight="1">
      <c r="A859" s="827" t="str">
        <f>IF(B859&lt;&gt;"",IF(AND(B859&gt;=_TM1,B859&lt;=_TM2,OR(TH!L859="1111",TH!M859="1111")),TH!D859,""),"")</f>
        <v/>
      </c>
      <c r="B859" s="36">
        <f t="shared" si="173"/>
        <v>5</v>
      </c>
      <c r="C859" s="190">
        <f t="shared" si="174"/>
        <v>42505</v>
      </c>
      <c r="D859" s="37" t="s">
        <v>1635</v>
      </c>
      <c r="E859" s="190">
        <v>42505</v>
      </c>
      <c r="F859" s="191" t="s">
        <v>561</v>
      </c>
      <c r="G859" s="829" t="s">
        <v>855</v>
      </c>
      <c r="H859" s="192" t="s">
        <v>445</v>
      </c>
      <c r="I859" s="253">
        <v>48</v>
      </c>
      <c r="J859" s="253">
        <v>9230.2000000000007</v>
      </c>
      <c r="K859" s="584">
        <f t="shared" si="177"/>
        <v>443050</v>
      </c>
      <c r="L859" s="585" t="s">
        <v>857</v>
      </c>
      <c r="M859" s="585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26">
        <v>2</v>
      </c>
      <c r="AB859" s="576" t="str">
        <f>IF(VLOOKUP(F859,NXT!$C$12:$C$786,1,0)=F859,"","x")</f>
        <v/>
      </c>
    </row>
    <row r="860" spans="1:28" ht="15.75" customHeight="1">
      <c r="A860" s="827" t="str">
        <f>IF(B860&lt;&gt;"",IF(AND(B860&gt;=_TM1,B860&lt;=_TM2,OR(TH!L860="1111",TH!M860="1111")),TH!D860,""),"")</f>
        <v/>
      </c>
      <c r="B860" s="36">
        <f t="shared" si="173"/>
        <v>5</v>
      </c>
      <c r="C860" s="190">
        <f t="shared" si="174"/>
        <v>42505</v>
      </c>
      <c r="D860" s="37" t="s">
        <v>1635</v>
      </c>
      <c r="E860" s="190">
        <v>42505</v>
      </c>
      <c r="F860" s="191" t="s">
        <v>557</v>
      </c>
      <c r="G860" s="829" t="s">
        <v>855</v>
      </c>
      <c r="H860" s="192" t="s">
        <v>445</v>
      </c>
      <c r="I860" s="253">
        <v>24</v>
      </c>
      <c r="J860" s="253">
        <v>45505</v>
      </c>
      <c r="K860" s="584">
        <f t="shared" si="177"/>
        <v>1092120</v>
      </c>
      <c r="L860" s="585" t="s">
        <v>857</v>
      </c>
      <c r="M860" s="585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26">
        <v>2</v>
      </c>
      <c r="AB860" s="576" t="str">
        <f>IF(VLOOKUP(F860,NXT!$C$12:$C$786,1,0)=F860,"","x")</f>
        <v/>
      </c>
    </row>
    <row r="861" spans="1:28" ht="15.75" customHeight="1">
      <c r="A861" s="827" t="str">
        <f>IF(B861&lt;&gt;"",IF(AND(B861&gt;=_TM1,B861&lt;=_TM2,OR(TH!L861="1111",TH!M861="1111")),TH!D861,""),"")</f>
        <v/>
      </c>
      <c r="B861" s="36">
        <f t="shared" ref="B861:B905" si="178">IF(C861&lt;&gt;"",MONTH(C861),"")</f>
        <v>5</v>
      </c>
      <c r="C861" s="190">
        <f t="shared" ref="C861:C905" si="179">E861</f>
        <v>42505</v>
      </c>
      <c r="D861" s="37" t="s">
        <v>1635</v>
      </c>
      <c r="E861" s="190">
        <v>42505</v>
      </c>
      <c r="F861" s="191" t="s">
        <v>559</v>
      </c>
      <c r="G861" s="829" t="s">
        <v>855</v>
      </c>
      <c r="H861" s="192" t="s">
        <v>445</v>
      </c>
      <c r="I861" s="253">
        <v>24</v>
      </c>
      <c r="J861" s="253">
        <v>45873.599999999999</v>
      </c>
      <c r="K861" s="584">
        <f t="shared" si="177"/>
        <v>1100966</v>
      </c>
      <c r="L861" s="585" t="s">
        <v>857</v>
      </c>
      <c r="M861" s="585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26">
        <v>2</v>
      </c>
      <c r="AB861" s="576" t="str">
        <f>IF(VLOOKUP(F861,NXT!$C$12:$C$786,1,0)=F861,"","x")</f>
        <v/>
      </c>
    </row>
    <row r="862" spans="1:28" ht="15.75" customHeight="1">
      <c r="A862" s="827" t="str">
        <f>IF(B862&lt;&gt;"",IF(AND(B862&gt;=_TM1,B862&lt;=_TM2,OR(TH!L862="1111",TH!M862="1111")),TH!D862,""),"")</f>
        <v/>
      </c>
      <c r="B862" s="36">
        <f t="shared" si="178"/>
        <v>5</v>
      </c>
      <c r="C862" s="190">
        <f t="shared" si="179"/>
        <v>42505</v>
      </c>
      <c r="D862" s="37" t="s">
        <v>1635</v>
      </c>
      <c r="E862" s="190">
        <v>42505</v>
      </c>
      <c r="F862" s="191" t="s">
        <v>706</v>
      </c>
      <c r="G862" s="829" t="s">
        <v>855</v>
      </c>
      <c r="H862" s="192" t="s">
        <v>445</v>
      </c>
      <c r="I862" s="253">
        <v>12</v>
      </c>
      <c r="J862" s="253">
        <v>14160.7</v>
      </c>
      <c r="K862" s="584">
        <f t="shared" si="177"/>
        <v>169928</v>
      </c>
      <c r="L862" s="585" t="s">
        <v>857</v>
      </c>
      <c r="M862" s="585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26">
        <v>2</v>
      </c>
      <c r="AB862" s="576" t="str">
        <f>IF(VLOOKUP(F862,NXT!$C$12:$C$786,1,0)=F862,"","x")</f>
        <v/>
      </c>
    </row>
    <row r="863" spans="1:28" ht="15.75" customHeight="1">
      <c r="A863" s="827" t="str">
        <f>IF(B863&lt;&gt;"",IF(AND(B863&gt;=_TM1,B863&lt;=_TM2,OR(TH!L863="1111",TH!M863="1111")),TH!D863,""),"")</f>
        <v/>
      </c>
      <c r="B863" s="36">
        <f t="shared" si="178"/>
        <v>5</v>
      </c>
      <c r="C863" s="190">
        <f t="shared" si="179"/>
        <v>42505</v>
      </c>
      <c r="D863" s="37" t="s">
        <v>1635</v>
      </c>
      <c r="E863" s="190">
        <v>42505</v>
      </c>
      <c r="F863" s="191" t="s">
        <v>547</v>
      </c>
      <c r="G863" s="829" t="s">
        <v>855</v>
      </c>
      <c r="H863" s="192" t="s">
        <v>445</v>
      </c>
      <c r="I863" s="253">
        <v>36</v>
      </c>
      <c r="J863" s="253">
        <v>16584.150000000001</v>
      </c>
      <c r="K863" s="584">
        <f t="shared" si="177"/>
        <v>597029</v>
      </c>
      <c r="L863" s="585" t="s">
        <v>857</v>
      </c>
      <c r="M863" s="585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26">
        <v>2</v>
      </c>
      <c r="AB863" s="576" t="str">
        <f>IF(VLOOKUP(F863,NXT!$C$12:$C$786,1,0)=F863,"","x")</f>
        <v/>
      </c>
    </row>
    <row r="864" spans="1:28" ht="15.75" customHeight="1">
      <c r="A864" s="827" t="str">
        <f>IF(B864&lt;&gt;"",IF(AND(B864&gt;=_TM1,B864&lt;=_TM2,OR(TH!L864="1111",TH!M864="1111")),TH!D864,""),"")</f>
        <v/>
      </c>
      <c r="B864" s="36">
        <f t="shared" si="178"/>
        <v>5</v>
      </c>
      <c r="C864" s="190">
        <f t="shared" si="179"/>
        <v>42505</v>
      </c>
      <c r="D864" s="37" t="s">
        <v>1635</v>
      </c>
      <c r="E864" s="190">
        <v>42505</v>
      </c>
      <c r="F864" s="191" t="s">
        <v>711</v>
      </c>
      <c r="G864" s="829" t="s">
        <v>855</v>
      </c>
      <c r="H864" s="192" t="s">
        <v>445</v>
      </c>
      <c r="I864" s="253">
        <v>24</v>
      </c>
      <c r="J864" s="253">
        <v>17395.45</v>
      </c>
      <c r="K864" s="584">
        <f t="shared" si="177"/>
        <v>417491</v>
      </c>
      <c r="L864" s="585" t="s">
        <v>857</v>
      </c>
      <c r="M864" s="585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26">
        <v>2</v>
      </c>
      <c r="AB864" s="576" t="str">
        <f>IF(VLOOKUP(F864,NXT!$C$12:$C$786,1,0)=F864,"","x")</f>
        <v/>
      </c>
    </row>
    <row r="865" spans="1:28" ht="15.75" customHeight="1">
      <c r="A865" s="827" t="str">
        <f>IF(B865&lt;&gt;"",IF(AND(B865&gt;=_TM1,B865&lt;=_TM2,OR(TH!L865="1111",TH!M865="1111")),TH!D865,""),"")</f>
        <v/>
      </c>
      <c r="B865" s="36">
        <f t="shared" si="178"/>
        <v>5</v>
      </c>
      <c r="C865" s="190">
        <f t="shared" si="179"/>
        <v>42505</v>
      </c>
      <c r="D865" s="37" t="s">
        <v>1635</v>
      </c>
      <c r="E865" s="190">
        <v>42505</v>
      </c>
      <c r="F865" s="191" t="s">
        <v>712</v>
      </c>
      <c r="G865" s="829" t="s">
        <v>855</v>
      </c>
      <c r="H865" s="192" t="s">
        <v>445</v>
      </c>
      <c r="I865" s="253">
        <v>12</v>
      </c>
      <c r="J865" s="253">
        <v>21128</v>
      </c>
      <c r="K865" s="584">
        <f t="shared" si="177"/>
        <v>253536</v>
      </c>
      <c r="L865" s="585" t="s">
        <v>857</v>
      </c>
      <c r="M865" s="585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26">
        <v>2</v>
      </c>
      <c r="AB865" s="576" t="str">
        <f>IF(VLOOKUP(F865,NXT!$C$12:$C$786,1,0)=F865,"","x")</f>
        <v/>
      </c>
    </row>
    <row r="866" spans="1:28" ht="15.75" customHeight="1">
      <c r="A866" s="827" t="str">
        <f>IF(B866&lt;&gt;"",IF(AND(B866&gt;=_TM1,B866&lt;=_TM2,OR(TH!L866="1111",TH!M866="1111")),TH!D866,""),"")</f>
        <v/>
      </c>
      <c r="B866" s="36">
        <f t="shared" si="178"/>
        <v>5</v>
      </c>
      <c r="C866" s="190">
        <f t="shared" si="179"/>
        <v>42505</v>
      </c>
      <c r="D866" s="37" t="s">
        <v>1635</v>
      </c>
      <c r="E866" s="190">
        <v>42505</v>
      </c>
      <c r="F866" s="191" t="s">
        <v>562</v>
      </c>
      <c r="G866" s="829" t="s">
        <v>855</v>
      </c>
      <c r="H866" s="192" t="s">
        <v>445</v>
      </c>
      <c r="I866" s="254">
        <v>72</v>
      </c>
      <c r="J866" s="254">
        <v>12654</v>
      </c>
      <c r="K866" s="584">
        <f t="shared" si="177"/>
        <v>911088</v>
      </c>
      <c r="L866" s="585" t="s">
        <v>857</v>
      </c>
      <c r="M866" s="585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26">
        <v>2</v>
      </c>
      <c r="AB866" s="576" t="str">
        <f>IF(VLOOKUP(F866,NXT!$C$12:$C$786,1,0)=F866,"","x")</f>
        <v/>
      </c>
    </row>
    <row r="867" spans="1:28" ht="15.75" customHeight="1">
      <c r="A867" s="827" t="str">
        <f>IF(B867&lt;&gt;"",IF(AND(B867&gt;=_TM1,B867&lt;=_TM2,OR(TH!L867="1111",TH!M867="1111")),TH!D867,""),"")</f>
        <v/>
      </c>
      <c r="B867" s="36">
        <f t="shared" si="178"/>
        <v>5</v>
      </c>
      <c r="C867" s="190">
        <f t="shared" si="179"/>
        <v>42505</v>
      </c>
      <c r="D867" s="37" t="s">
        <v>1635</v>
      </c>
      <c r="E867" s="190">
        <v>42505</v>
      </c>
      <c r="F867" s="191" t="s">
        <v>713</v>
      </c>
      <c r="G867" s="829" t="s">
        <v>855</v>
      </c>
      <c r="H867" s="192" t="s">
        <v>445</v>
      </c>
      <c r="I867" s="253">
        <v>24</v>
      </c>
      <c r="J867" s="253">
        <v>8923.35</v>
      </c>
      <c r="K867" s="584">
        <f t="shared" si="177"/>
        <v>214160</v>
      </c>
      <c r="L867" s="585" t="s">
        <v>857</v>
      </c>
      <c r="M867" s="585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26">
        <v>2</v>
      </c>
      <c r="AB867" s="576" t="str">
        <f>IF(VLOOKUP(F867,NXT!$C$12:$C$786,1,0)=F867,"","x")</f>
        <v/>
      </c>
    </row>
    <row r="868" spans="1:28" ht="15.75" customHeight="1">
      <c r="A868" s="827" t="str">
        <f>IF(B868&lt;&gt;"",IF(AND(B868&gt;=_TM1,B868&lt;=_TM2,OR(TH!L868="1111",TH!M868="1111")),TH!D868,""),"")</f>
        <v/>
      </c>
      <c r="B868" s="36">
        <f t="shared" si="178"/>
        <v>5</v>
      </c>
      <c r="C868" s="190">
        <f t="shared" si="179"/>
        <v>42505</v>
      </c>
      <c r="D868" s="37" t="s">
        <v>1635</v>
      </c>
      <c r="E868" s="190">
        <v>42505</v>
      </c>
      <c r="F868" s="191" t="s">
        <v>714</v>
      </c>
      <c r="G868" s="829" t="s">
        <v>855</v>
      </c>
      <c r="H868" s="192" t="s">
        <v>445</v>
      </c>
      <c r="I868" s="253">
        <v>10</v>
      </c>
      <c r="J868" s="253">
        <v>43187.95</v>
      </c>
      <c r="K868" s="584">
        <f t="shared" si="177"/>
        <v>431880</v>
      </c>
      <c r="L868" s="585" t="s">
        <v>857</v>
      </c>
      <c r="M868" s="585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26">
        <v>2</v>
      </c>
      <c r="AB868" s="576" t="str">
        <f>IF(VLOOKUP(F868,NXT!$C$12:$C$786,1,0)=F868,"","x")</f>
        <v/>
      </c>
    </row>
    <row r="869" spans="1:28" ht="15.75" customHeight="1">
      <c r="A869" s="827" t="str">
        <f>IF(B869&lt;&gt;"",IF(AND(B869&gt;=_TM1,B869&lt;=_TM2,OR(TH!L869="1111",TH!M869="1111")),TH!D869,""),"")</f>
        <v/>
      </c>
      <c r="B869" s="36">
        <f t="shared" si="178"/>
        <v>5</v>
      </c>
      <c r="C869" s="190">
        <f t="shared" si="179"/>
        <v>42505</v>
      </c>
      <c r="D869" s="37" t="s">
        <v>1635</v>
      </c>
      <c r="E869" s="190">
        <v>42505</v>
      </c>
      <c r="F869" s="191" t="s">
        <v>714</v>
      </c>
      <c r="G869" s="829" t="s">
        <v>855</v>
      </c>
      <c r="H869" s="192" t="s">
        <v>445</v>
      </c>
      <c r="I869" s="253">
        <v>10</v>
      </c>
      <c r="J869" s="253">
        <v>43187.95</v>
      </c>
      <c r="K869" s="584">
        <f t="shared" si="177"/>
        <v>431880</v>
      </c>
      <c r="L869" s="585" t="s">
        <v>857</v>
      </c>
      <c r="M869" s="585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26">
        <v>2</v>
      </c>
      <c r="AB869" s="576" t="str">
        <f>IF(VLOOKUP(F869,NXT!$C$12:$C$786,1,0)=F869,"","x")</f>
        <v/>
      </c>
    </row>
    <row r="870" spans="1:28" ht="15.75" customHeight="1">
      <c r="A870" s="827" t="str">
        <f>IF(B870&lt;&gt;"",IF(AND(B870&gt;=_TM1,B870&lt;=_TM2,OR(TH!L870="1111",TH!M870="1111")),TH!D870,""),"")</f>
        <v/>
      </c>
      <c r="B870" s="36">
        <f t="shared" si="178"/>
        <v>5</v>
      </c>
      <c r="C870" s="190">
        <f t="shared" si="179"/>
        <v>42505</v>
      </c>
      <c r="D870" s="37" t="s">
        <v>1635</v>
      </c>
      <c r="E870" s="190">
        <v>42505</v>
      </c>
      <c r="F870" s="191" t="s">
        <v>525</v>
      </c>
      <c r="G870" s="829" t="s">
        <v>855</v>
      </c>
      <c r="H870" s="192" t="s">
        <v>445</v>
      </c>
      <c r="I870" s="253">
        <v>32</v>
      </c>
      <c r="J870" s="253">
        <v>16775.099999999999</v>
      </c>
      <c r="K870" s="584">
        <f t="shared" si="177"/>
        <v>536803</v>
      </c>
      <c r="L870" s="585" t="s">
        <v>857</v>
      </c>
      <c r="M870" s="585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26">
        <v>2</v>
      </c>
      <c r="AB870" s="576" t="str">
        <f>IF(VLOOKUP(F870,NXT!$C$12:$C$786,1,0)=F870,"","x")</f>
        <v/>
      </c>
    </row>
    <row r="871" spans="1:28" ht="15.75" customHeight="1">
      <c r="A871" s="827" t="str">
        <f>IF(B871&lt;&gt;"",IF(AND(B871&gt;=_TM1,B871&lt;=_TM2,OR(TH!L871="1111",TH!M871="1111")),TH!D871,""),"")</f>
        <v/>
      </c>
      <c r="B871" s="36">
        <f t="shared" si="178"/>
        <v>5</v>
      </c>
      <c r="C871" s="190">
        <f t="shared" si="179"/>
        <v>42505</v>
      </c>
      <c r="D871" s="37" t="s">
        <v>1635</v>
      </c>
      <c r="E871" s="190">
        <v>42505</v>
      </c>
      <c r="F871" s="40" t="s">
        <v>715</v>
      </c>
      <c r="G871" s="829" t="s">
        <v>855</v>
      </c>
      <c r="H871" s="192" t="s">
        <v>445</v>
      </c>
      <c r="I871" s="253">
        <v>8</v>
      </c>
      <c r="J871" s="253">
        <v>48550.7</v>
      </c>
      <c r="K871" s="584">
        <f t="shared" si="177"/>
        <v>388406</v>
      </c>
      <c r="L871" s="585" t="s">
        <v>857</v>
      </c>
      <c r="M871" s="585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26">
        <v>2</v>
      </c>
      <c r="AB871" s="576" t="str">
        <f>IF(VLOOKUP(F871,NXT!$C$12:$C$786,1,0)=F871,"","x")</f>
        <v/>
      </c>
    </row>
    <row r="872" spans="1:28" ht="15.75" customHeight="1">
      <c r="A872" s="827" t="str">
        <f>IF(B872&lt;&gt;"",IF(AND(B872&gt;=_TM1,B872&lt;=_TM2,OR(TH!L872="1111",TH!M872="1111")),TH!D872,""),"")</f>
        <v/>
      </c>
      <c r="B872" s="36">
        <f t="shared" si="178"/>
        <v>5</v>
      </c>
      <c r="C872" s="190">
        <f t="shared" si="179"/>
        <v>42505</v>
      </c>
      <c r="D872" s="37" t="s">
        <v>1635</v>
      </c>
      <c r="E872" s="190">
        <v>42505</v>
      </c>
      <c r="F872" s="40" t="s">
        <v>716</v>
      </c>
      <c r="G872" s="829" t="s">
        <v>855</v>
      </c>
      <c r="H872" s="192" t="s">
        <v>445</v>
      </c>
      <c r="I872" s="253">
        <v>12</v>
      </c>
      <c r="J872" s="253">
        <v>22634.7</v>
      </c>
      <c r="K872" s="584">
        <f t="shared" si="177"/>
        <v>271616</v>
      </c>
      <c r="L872" s="585" t="s">
        <v>857</v>
      </c>
      <c r="M872" s="585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26">
        <v>2</v>
      </c>
      <c r="AB872" s="576" t="str">
        <f>IF(VLOOKUP(F872,NXT!$C$12:$C$786,1,0)=F872,"","x")</f>
        <v/>
      </c>
    </row>
    <row r="873" spans="1:28" ht="15.75" customHeight="1">
      <c r="A873" s="827" t="str">
        <f>IF(B873&lt;&gt;"",IF(AND(B873&gt;=_TM1,B873&lt;=_TM2,OR(TH!L873="1111",TH!M873="1111")),TH!D873,""),"")</f>
        <v/>
      </c>
      <c r="B873" s="36">
        <f t="shared" si="178"/>
        <v>5</v>
      </c>
      <c r="C873" s="190">
        <f t="shared" si="179"/>
        <v>42505</v>
      </c>
      <c r="D873" s="37" t="s">
        <v>1635</v>
      </c>
      <c r="E873" s="190">
        <v>42505</v>
      </c>
      <c r="F873" s="40" t="s">
        <v>717</v>
      </c>
      <c r="G873" s="829" t="s">
        <v>855</v>
      </c>
      <c r="H873" s="192" t="s">
        <v>445</v>
      </c>
      <c r="I873" s="253">
        <v>12</v>
      </c>
      <c r="J873" s="253">
        <v>40358.85</v>
      </c>
      <c r="K873" s="584">
        <f t="shared" si="177"/>
        <v>484306</v>
      </c>
      <c r="L873" s="585" t="s">
        <v>857</v>
      </c>
      <c r="M873" s="585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26">
        <v>2</v>
      </c>
      <c r="AB873" s="576" t="str">
        <f>IF(VLOOKUP(F873,NXT!$C$12:$C$786,1,0)=F873,"","x")</f>
        <v/>
      </c>
    </row>
    <row r="874" spans="1:28" ht="15.75" customHeight="1">
      <c r="A874" s="827" t="str">
        <f>IF(B874&lt;&gt;"",IF(AND(B874&gt;=_TM1,B874&lt;=_TM2,OR(TH!L874="1111",TH!M874="1111")),TH!D874,""),"")</f>
        <v/>
      </c>
      <c r="B874" s="36">
        <f t="shared" si="178"/>
        <v>5</v>
      </c>
      <c r="C874" s="190">
        <f t="shared" si="179"/>
        <v>42505</v>
      </c>
      <c r="D874" s="37" t="s">
        <v>1635</v>
      </c>
      <c r="E874" s="190">
        <v>42505</v>
      </c>
      <c r="F874" s="40" t="s">
        <v>718</v>
      </c>
      <c r="G874" s="829" t="s">
        <v>855</v>
      </c>
      <c r="H874" s="192" t="s">
        <v>445</v>
      </c>
      <c r="I874" s="253">
        <v>10</v>
      </c>
      <c r="J874" s="253">
        <v>43590.75</v>
      </c>
      <c r="K874" s="584">
        <f t="shared" ref="K874:K905" si="180">ROUND(I874*J874,0)</f>
        <v>435908</v>
      </c>
      <c r="L874" s="585" t="s">
        <v>857</v>
      </c>
      <c r="M874" s="585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26">
        <v>2</v>
      </c>
      <c r="AB874" s="576" t="str">
        <f>IF(VLOOKUP(F874,NXT!$C$12:$C$786,1,0)=F874,"","x")</f>
        <v/>
      </c>
    </row>
    <row r="875" spans="1:28" ht="15.75" customHeight="1">
      <c r="A875" s="827" t="str">
        <f>IF(B875&lt;&gt;"",IF(AND(B875&gt;=_TM1,B875&lt;=_TM2,OR(TH!L875="1111",TH!M875="1111")),TH!D875,""),"")</f>
        <v/>
      </c>
      <c r="B875" s="36">
        <f t="shared" si="178"/>
        <v>5</v>
      </c>
      <c r="C875" s="190">
        <f t="shared" si="179"/>
        <v>42505</v>
      </c>
      <c r="D875" s="37" t="s">
        <v>1635</v>
      </c>
      <c r="E875" s="190">
        <v>42505</v>
      </c>
      <c r="F875" s="40" t="s">
        <v>719</v>
      </c>
      <c r="G875" s="829" t="s">
        <v>855</v>
      </c>
      <c r="H875" s="192" t="s">
        <v>445</v>
      </c>
      <c r="I875" s="253">
        <v>12</v>
      </c>
      <c r="J875" s="253">
        <v>39800.25</v>
      </c>
      <c r="K875" s="584">
        <f t="shared" si="180"/>
        <v>477603</v>
      </c>
      <c r="L875" s="585" t="s">
        <v>857</v>
      </c>
      <c r="M875" s="585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26">
        <v>2</v>
      </c>
      <c r="AB875" s="576" t="str">
        <f>IF(VLOOKUP(F875,NXT!$C$12:$C$786,1,0)=F875,"","x")</f>
        <v/>
      </c>
    </row>
    <row r="876" spans="1:28" ht="15.75" customHeight="1">
      <c r="A876" s="827" t="str">
        <f>IF(B876&lt;&gt;"",IF(AND(B876&gt;=_TM1,B876&lt;=_TM2,OR(TH!L876="1111",TH!M876="1111")),TH!D876,""),"")</f>
        <v/>
      </c>
      <c r="B876" s="36">
        <f t="shared" si="178"/>
        <v>5</v>
      </c>
      <c r="C876" s="190">
        <f t="shared" si="179"/>
        <v>42505</v>
      </c>
      <c r="D876" s="37" t="s">
        <v>1635</v>
      </c>
      <c r="E876" s="190">
        <v>42505</v>
      </c>
      <c r="F876" s="40" t="s">
        <v>710</v>
      </c>
      <c r="G876" s="829" t="s">
        <v>855</v>
      </c>
      <c r="H876" s="192" t="s">
        <v>445</v>
      </c>
      <c r="I876" s="253">
        <v>16</v>
      </c>
      <c r="J876" s="253">
        <v>69825</v>
      </c>
      <c r="K876" s="584">
        <f t="shared" si="180"/>
        <v>1117200</v>
      </c>
      <c r="L876" s="585" t="s">
        <v>857</v>
      </c>
      <c r="M876" s="585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26">
        <v>2</v>
      </c>
      <c r="AB876" s="576" t="str">
        <f>IF(VLOOKUP(F876,NXT!$C$12:$C$786,1,0)=F876,"","x")</f>
        <v/>
      </c>
    </row>
    <row r="877" spans="1:28" ht="15.75" customHeight="1">
      <c r="A877" s="827" t="str">
        <f>IF(B877&lt;&gt;"",IF(AND(B877&gt;=_TM1,B877&lt;=_TM2,OR(TH!L877="1111",TH!M877="1111")),TH!D877,""),"")</f>
        <v/>
      </c>
      <c r="B877" s="36">
        <f t="shared" si="178"/>
        <v>5</v>
      </c>
      <c r="C877" s="190">
        <f t="shared" si="179"/>
        <v>42505</v>
      </c>
      <c r="D877" s="37" t="s">
        <v>1635</v>
      </c>
      <c r="E877" s="190">
        <v>42505</v>
      </c>
      <c r="F877" s="40" t="s">
        <v>720</v>
      </c>
      <c r="G877" s="829" t="s">
        <v>855</v>
      </c>
      <c r="H877" s="192" t="s">
        <v>445</v>
      </c>
      <c r="I877" s="253">
        <v>20</v>
      </c>
      <c r="J877" s="253">
        <v>74993</v>
      </c>
      <c r="K877" s="584">
        <f t="shared" si="180"/>
        <v>1499860</v>
      </c>
      <c r="L877" s="585" t="s">
        <v>857</v>
      </c>
      <c r="M877" s="585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26">
        <v>2</v>
      </c>
      <c r="AB877" s="576" t="str">
        <f>IF(VLOOKUP(F877,NXT!$C$12:$C$786,1,0)=F877,"","x")</f>
        <v/>
      </c>
    </row>
    <row r="878" spans="1:28" ht="15.75" customHeight="1">
      <c r="A878" s="827" t="str">
        <f>IF(B878&lt;&gt;"",IF(AND(B878&gt;=_TM1,B878&lt;=_TM2,OR(TH!L878="1111",TH!M878="1111")),TH!D878,""),"")</f>
        <v/>
      </c>
      <c r="B878" s="36">
        <f t="shared" si="178"/>
        <v>5</v>
      </c>
      <c r="C878" s="190">
        <f t="shared" si="179"/>
        <v>42505</v>
      </c>
      <c r="D878" s="37" t="s">
        <v>1635</v>
      </c>
      <c r="E878" s="190">
        <v>42505</v>
      </c>
      <c r="F878" s="40" t="s">
        <v>521</v>
      </c>
      <c r="G878" s="829" t="s">
        <v>855</v>
      </c>
      <c r="H878" s="192" t="s">
        <v>445</v>
      </c>
      <c r="I878" s="253">
        <v>12</v>
      </c>
      <c r="J878" s="253">
        <v>40072.9</v>
      </c>
      <c r="K878" s="584">
        <f t="shared" si="180"/>
        <v>480875</v>
      </c>
      <c r="L878" s="585" t="s">
        <v>857</v>
      </c>
      <c r="M878" s="585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26">
        <v>2</v>
      </c>
      <c r="AB878" s="576" t="str">
        <f>IF(VLOOKUP(F878,NXT!$C$12:$C$786,1,0)=F878,"","x")</f>
        <v/>
      </c>
    </row>
    <row r="879" spans="1:28" ht="15.75" customHeight="1">
      <c r="A879" s="827" t="str">
        <f>IF(B879&lt;&gt;"",IF(AND(B879&gt;=_TM1,B879&lt;=_TM2,OR(TH!L879="1111",TH!M879="1111")),TH!D879,""),"")</f>
        <v/>
      </c>
      <c r="B879" s="36">
        <f t="shared" si="178"/>
        <v>5</v>
      </c>
      <c r="C879" s="190">
        <f t="shared" si="179"/>
        <v>42505</v>
      </c>
      <c r="D879" s="37" t="s">
        <v>1635</v>
      </c>
      <c r="E879" s="190">
        <v>42505</v>
      </c>
      <c r="F879" s="40" t="s">
        <v>721</v>
      </c>
      <c r="G879" s="829" t="s">
        <v>855</v>
      </c>
      <c r="H879" s="192" t="s">
        <v>445</v>
      </c>
      <c r="I879" s="253">
        <v>12</v>
      </c>
      <c r="J879" s="253">
        <v>26599.05</v>
      </c>
      <c r="K879" s="584">
        <f t="shared" si="180"/>
        <v>319189</v>
      </c>
      <c r="L879" s="585" t="s">
        <v>857</v>
      </c>
      <c r="M879" s="585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26">
        <v>2</v>
      </c>
      <c r="AB879" s="576" t="str">
        <f>IF(VLOOKUP(F879,NXT!$C$12:$C$786,1,0)=F879,"","x")</f>
        <v/>
      </c>
    </row>
    <row r="880" spans="1:28" ht="15.75" customHeight="1">
      <c r="A880" s="827" t="str">
        <f>IF(B880&lt;&gt;"",IF(AND(B880&gt;=_TM1,B880&lt;=_TM2,OR(TH!L880="1111",TH!M880="1111")),TH!D880,""),"")</f>
        <v/>
      </c>
      <c r="B880" s="36">
        <f t="shared" si="178"/>
        <v>5</v>
      </c>
      <c r="C880" s="190">
        <f t="shared" si="179"/>
        <v>42505</v>
      </c>
      <c r="D880" s="37" t="s">
        <v>1635</v>
      </c>
      <c r="E880" s="190">
        <v>42505</v>
      </c>
      <c r="F880" s="40" t="s">
        <v>888</v>
      </c>
      <c r="G880" s="829" t="s">
        <v>855</v>
      </c>
      <c r="H880" s="192" t="s">
        <v>445</v>
      </c>
      <c r="I880" s="253">
        <v>24</v>
      </c>
      <c r="J880" s="253">
        <v>19972.8</v>
      </c>
      <c r="K880" s="584">
        <f t="shared" si="180"/>
        <v>479347</v>
      </c>
      <c r="L880" s="585" t="s">
        <v>857</v>
      </c>
      <c r="M880" s="585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26">
        <v>2</v>
      </c>
      <c r="AB880" s="576" t="str">
        <f>IF(VLOOKUP(F880,NXT!$C$12:$C$786,1,0)=F880,"","x")</f>
        <v/>
      </c>
    </row>
    <row r="881" spans="1:28" ht="15.75" customHeight="1">
      <c r="A881" s="827" t="str">
        <f>IF(B881&lt;&gt;"",IF(AND(B881&gt;=_TM1,B881&lt;=_TM2,OR(TH!L881="1111",TH!M881="1111")),TH!D881,""),"")</f>
        <v/>
      </c>
      <c r="B881" s="36">
        <f t="shared" si="178"/>
        <v>5</v>
      </c>
      <c r="C881" s="190">
        <f t="shared" si="179"/>
        <v>42505</v>
      </c>
      <c r="D881" s="37" t="s">
        <v>1635</v>
      </c>
      <c r="E881" s="190">
        <v>42505</v>
      </c>
      <c r="F881" s="40" t="s">
        <v>525</v>
      </c>
      <c r="G881" s="829" t="s">
        <v>855</v>
      </c>
      <c r="H881" s="192" t="s">
        <v>445</v>
      </c>
      <c r="I881" s="253">
        <v>30</v>
      </c>
      <c r="J881" s="253">
        <v>16775.099999999999</v>
      </c>
      <c r="K881" s="584">
        <f t="shared" si="180"/>
        <v>503253</v>
      </c>
      <c r="L881" s="585" t="s">
        <v>857</v>
      </c>
      <c r="M881" s="585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26">
        <v>2</v>
      </c>
      <c r="AB881" s="576" t="str">
        <f>IF(VLOOKUP(F881,NXT!$C$12:$C$786,1,0)=F881,"","x")</f>
        <v/>
      </c>
    </row>
    <row r="882" spans="1:28" ht="15.75" customHeight="1">
      <c r="A882" s="827" t="str">
        <f>IF(B882&lt;&gt;"",IF(AND(B882&gt;=_TM1,B882&lt;=_TM2,OR(TH!L882="1111",TH!M882="1111")),TH!D882,""),"")</f>
        <v/>
      </c>
      <c r="B882" s="36">
        <f t="shared" si="178"/>
        <v>5</v>
      </c>
      <c r="C882" s="190">
        <f t="shared" si="179"/>
        <v>42505</v>
      </c>
      <c r="D882" s="37" t="s">
        <v>1635</v>
      </c>
      <c r="E882" s="190">
        <v>42505</v>
      </c>
      <c r="F882" s="40" t="s">
        <v>722</v>
      </c>
      <c r="G882" s="829" t="s">
        <v>855</v>
      </c>
      <c r="H882" s="192" t="s">
        <v>445</v>
      </c>
      <c r="I882" s="253">
        <v>8</v>
      </c>
      <c r="J882" s="253">
        <v>48016.800000000003</v>
      </c>
      <c r="K882" s="584">
        <f t="shared" si="180"/>
        <v>384134</v>
      </c>
      <c r="L882" s="585" t="s">
        <v>857</v>
      </c>
      <c r="M882" s="585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26">
        <v>2</v>
      </c>
      <c r="AB882" s="576" t="str">
        <f>IF(VLOOKUP(F882,NXT!$C$12:$C$786,1,0)=F882,"","x")</f>
        <v/>
      </c>
    </row>
    <row r="883" spans="1:28" ht="15.75" customHeight="1">
      <c r="A883" s="827" t="str">
        <f>IF(B883&lt;&gt;"",IF(AND(B883&gt;=_TM1,B883&lt;=_TM2,OR(TH!L883="1111",TH!M883="1111")),TH!D883,""),"")</f>
        <v/>
      </c>
      <c r="B883" s="36">
        <f t="shared" si="178"/>
        <v>5</v>
      </c>
      <c r="C883" s="190">
        <f t="shared" si="179"/>
        <v>42505</v>
      </c>
      <c r="D883" s="37" t="s">
        <v>1635</v>
      </c>
      <c r="E883" s="190">
        <v>42505</v>
      </c>
      <c r="F883" s="40" t="s">
        <v>464</v>
      </c>
      <c r="G883" s="829" t="s">
        <v>855</v>
      </c>
      <c r="H883" s="192" t="s">
        <v>445</v>
      </c>
      <c r="I883" s="253">
        <v>7</v>
      </c>
      <c r="J883" s="253">
        <v>137834.54999999999</v>
      </c>
      <c r="K883" s="584">
        <f t="shared" si="180"/>
        <v>964842</v>
      </c>
      <c r="L883" s="585" t="s">
        <v>857</v>
      </c>
      <c r="M883" s="585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26">
        <v>2</v>
      </c>
      <c r="AB883" s="576" t="str">
        <f>IF(VLOOKUP(F883,NXT!$C$12:$C$786,1,0)=F883,"","x")</f>
        <v/>
      </c>
    </row>
    <row r="884" spans="1:28" ht="15.75" customHeight="1">
      <c r="A884" s="827" t="str">
        <f>IF(B884&lt;&gt;"",IF(AND(B884&gt;=_TM1,B884&lt;=_TM2,OR(TH!L884="1111",TH!M884="1111")),TH!D884,""),"")</f>
        <v/>
      </c>
      <c r="B884" s="36">
        <f t="shared" si="178"/>
        <v>5</v>
      </c>
      <c r="C884" s="190">
        <f t="shared" si="179"/>
        <v>42505</v>
      </c>
      <c r="D884" s="37" t="s">
        <v>1635</v>
      </c>
      <c r="E884" s="190">
        <v>42505</v>
      </c>
      <c r="F884" s="40" t="s">
        <v>485</v>
      </c>
      <c r="G884" s="829" t="s">
        <v>855</v>
      </c>
      <c r="H884" s="192" t="s">
        <v>445</v>
      </c>
      <c r="I884" s="253">
        <v>7</v>
      </c>
      <c r="J884" s="253">
        <v>43590.75</v>
      </c>
      <c r="K884" s="584">
        <f t="shared" si="180"/>
        <v>305135</v>
      </c>
      <c r="L884" s="585" t="s">
        <v>857</v>
      </c>
      <c r="M884" s="585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26">
        <v>2</v>
      </c>
      <c r="AB884" s="576" t="str">
        <f>IF(VLOOKUP(F884,NXT!$C$12:$C$786,1,0)=F884,"","x")</f>
        <v/>
      </c>
    </row>
    <row r="885" spans="1:28" ht="15.75" customHeight="1">
      <c r="A885" s="827" t="str">
        <f>IF(B885&lt;&gt;"",IF(AND(B885&gt;=_TM1,B885&lt;=_TM2,OR(TH!L885="1111",TH!M885="1111")),TH!D885,""),"")</f>
        <v/>
      </c>
      <c r="B885" s="36">
        <f t="shared" si="178"/>
        <v>5</v>
      </c>
      <c r="C885" s="190">
        <f t="shared" si="179"/>
        <v>42505</v>
      </c>
      <c r="D885" s="37" t="s">
        <v>1635</v>
      </c>
      <c r="E885" s="190">
        <v>42505</v>
      </c>
      <c r="F885" s="40" t="s">
        <v>720</v>
      </c>
      <c r="G885" s="829" t="s">
        <v>855</v>
      </c>
      <c r="H885" s="192" t="s">
        <v>445</v>
      </c>
      <c r="I885" s="253">
        <v>7</v>
      </c>
      <c r="J885" s="253">
        <v>78762.600000000006</v>
      </c>
      <c r="K885" s="584">
        <f t="shared" si="180"/>
        <v>551338</v>
      </c>
      <c r="L885" s="585" t="s">
        <v>857</v>
      </c>
      <c r="M885" s="585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26">
        <v>2</v>
      </c>
      <c r="AB885" s="576" t="str">
        <f>IF(VLOOKUP(F885,NXT!$C$12:$C$786,1,0)=F885,"","x")</f>
        <v/>
      </c>
    </row>
    <row r="886" spans="1:28" ht="15.75" customHeight="1">
      <c r="A886" s="827" t="str">
        <f>IF(B886&lt;&gt;"",IF(AND(B886&gt;=_TM1,B886&lt;=_TM2,OR(TH!L886="1111",TH!M886="1111")),TH!D886,""),"")</f>
        <v/>
      </c>
      <c r="B886" s="36">
        <f t="shared" si="178"/>
        <v>5</v>
      </c>
      <c r="C886" s="190">
        <f t="shared" si="179"/>
        <v>42505</v>
      </c>
      <c r="D886" s="37" t="s">
        <v>1635</v>
      </c>
      <c r="E886" s="190">
        <v>42505</v>
      </c>
      <c r="F886" s="40" t="s">
        <v>469</v>
      </c>
      <c r="G886" s="829" t="s">
        <v>855</v>
      </c>
      <c r="H886" s="192" t="s">
        <v>445</v>
      </c>
      <c r="I886" s="253">
        <v>4</v>
      </c>
      <c r="J886" s="253">
        <v>59724.6</v>
      </c>
      <c r="K886" s="584">
        <f t="shared" si="180"/>
        <v>238898</v>
      </c>
      <c r="L886" s="585" t="s">
        <v>857</v>
      </c>
      <c r="M886" s="585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26">
        <v>2</v>
      </c>
      <c r="AB886" s="576" t="str">
        <f>IF(VLOOKUP(F886,NXT!$C$12:$C$786,1,0)=F886,"","x")</f>
        <v/>
      </c>
    </row>
    <row r="887" spans="1:28" ht="15.75" customHeight="1">
      <c r="A887" s="827" t="str">
        <f>IF(B887&lt;&gt;"",IF(AND(B887&gt;=_TM1,B887&lt;=_TM2,OR(TH!L887="1111",TH!M887="1111")),TH!D887,""),"")</f>
        <v/>
      </c>
      <c r="B887" s="36">
        <f t="shared" si="178"/>
        <v>5</v>
      </c>
      <c r="C887" s="190">
        <f t="shared" si="179"/>
        <v>42505</v>
      </c>
      <c r="D887" s="37" t="s">
        <v>1635</v>
      </c>
      <c r="E887" s="190">
        <v>42505</v>
      </c>
      <c r="F887" s="191" t="s">
        <v>511</v>
      </c>
      <c r="G887" s="829" t="s">
        <v>855</v>
      </c>
      <c r="H887" s="192" t="s">
        <v>445</v>
      </c>
      <c r="I887" s="253">
        <v>16</v>
      </c>
      <c r="J887" s="253">
        <v>28843.9</v>
      </c>
      <c r="K887" s="584">
        <f t="shared" si="180"/>
        <v>461502</v>
      </c>
      <c r="L887" s="585" t="s">
        <v>857</v>
      </c>
      <c r="M887" s="585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26">
        <v>2</v>
      </c>
      <c r="AB887" s="576" t="str">
        <f>IF(VLOOKUP(F887,NXT!$C$12:$C$786,1,0)=F887,"","x")</f>
        <v/>
      </c>
    </row>
    <row r="888" spans="1:28" ht="15.75" customHeight="1">
      <c r="A888" s="827" t="str">
        <f>IF(B888&lt;&gt;"",IF(AND(B888&gt;=_TM1,B888&lt;=_TM2,OR(TH!L888="1111",TH!M888="1111")),TH!D888,""),"")</f>
        <v/>
      </c>
      <c r="B888" s="36">
        <f t="shared" si="178"/>
        <v>5</v>
      </c>
      <c r="C888" s="190">
        <f t="shared" si="179"/>
        <v>42505</v>
      </c>
      <c r="D888" s="37" t="s">
        <v>1635</v>
      </c>
      <c r="E888" s="190">
        <v>42505</v>
      </c>
      <c r="F888" s="40" t="s">
        <v>468</v>
      </c>
      <c r="G888" s="829" t="s">
        <v>855</v>
      </c>
      <c r="H888" s="192" t="s">
        <v>445</v>
      </c>
      <c r="I888" s="253">
        <v>10</v>
      </c>
      <c r="J888" s="253">
        <v>64763.4</v>
      </c>
      <c r="K888" s="584">
        <f t="shared" si="180"/>
        <v>647634</v>
      </c>
      <c r="L888" s="585" t="s">
        <v>857</v>
      </c>
      <c r="M888" s="585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26">
        <v>2</v>
      </c>
      <c r="AB888" s="576" t="str">
        <f>IF(VLOOKUP(F888,NXT!$C$12:$C$786,1,0)=F888,"","x")</f>
        <v/>
      </c>
    </row>
    <row r="889" spans="1:28" ht="15.75" customHeight="1">
      <c r="A889" s="827" t="str">
        <f>IF(B889&lt;&gt;"",IF(AND(B889&gt;=_TM1,B889&lt;=_TM2,OR(TH!L889="1111",TH!M889="1111")),TH!D889,""),"")</f>
        <v/>
      </c>
      <c r="B889" s="36">
        <f t="shared" si="178"/>
        <v>5</v>
      </c>
      <c r="C889" s="190">
        <f t="shared" si="179"/>
        <v>42505</v>
      </c>
      <c r="D889" s="37" t="s">
        <v>1635</v>
      </c>
      <c r="E889" s="190">
        <v>42505</v>
      </c>
      <c r="F889" s="191" t="s">
        <v>512</v>
      </c>
      <c r="G889" s="829" t="s">
        <v>855</v>
      </c>
      <c r="H889" s="192" t="s">
        <v>445</v>
      </c>
      <c r="I889" s="253">
        <v>12</v>
      </c>
      <c r="J889" s="253">
        <v>18569.650000000001</v>
      </c>
      <c r="K889" s="584">
        <f t="shared" si="180"/>
        <v>222836</v>
      </c>
      <c r="L889" s="585" t="s">
        <v>857</v>
      </c>
      <c r="M889" s="585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26">
        <v>2</v>
      </c>
      <c r="AB889" s="576" t="str">
        <f>IF(VLOOKUP(F889,NXT!$C$12:$C$786,1,0)=F889,"","x")</f>
        <v/>
      </c>
    </row>
    <row r="890" spans="1:28" ht="15.75" customHeight="1">
      <c r="A890" s="827" t="str">
        <f>IF(B890&lt;&gt;"",IF(AND(B890&gt;=_TM1,B890&lt;=_TM2,OR(TH!L890="1111",TH!M890="1111")),TH!D890,""),"")</f>
        <v/>
      </c>
      <c r="B890" s="36">
        <f t="shared" si="178"/>
        <v>5</v>
      </c>
      <c r="C890" s="190">
        <f t="shared" si="179"/>
        <v>42505</v>
      </c>
      <c r="D890" s="37" t="s">
        <v>1635</v>
      </c>
      <c r="E890" s="190">
        <v>42505</v>
      </c>
      <c r="F890" s="191" t="s">
        <v>514</v>
      </c>
      <c r="G890" s="829" t="s">
        <v>855</v>
      </c>
      <c r="H890" s="192" t="s">
        <v>445</v>
      </c>
      <c r="I890" s="253">
        <v>12</v>
      </c>
      <c r="J890" s="253">
        <v>29099.45</v>
      </c>
      <c r="K890" s="584">
        <f t="shared" si="180"/>
        <v>349193</v>
      </c>
      <c r="L890" s="585" t="s">
        <v>857</v>
      </c>
      <c r="M890" s="585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26">
        <v>2</v>
      </c>
      <c r="AB890" s="576" t="str">
        <f>IF(VLOOKUP(F890,NXT!$C$12:$C$786,1,0)=F890,"","x")</f>
        <v/>
      </c>
    </row>
    <row r="891" spans="1:28" ht="15.75" customHeight="1">
      <c r="A891" s="827" t="str">
        <f>IF(B891&lt;&gt;"",IF(AND(B891&gt;=_TM1,B891&lt;=_TM2,OR(TH!L891="1111",TH!M891="1111")),TH!D891,""),"")</f>
        <v/>
      </c>
      <c r="B891" s="36">
        <f t="shared" si="178"/>
        <v>5</v>
      </c>
      <c r="C891" s="190">
        <f t="shared" si="179"/>
        <v>42505</v>
      </c>
      <c r="D891" s="37" t="s">
        <v>1635</v>
      </c>
      <c r="E891" s="190">
        <v>42505</v>
      </c>
      <c r="F891" s="191" t="s">
        <v>702</v>
      </c>
      <c r="G891" s="829" t="s">
        <v>855</v>
      </c>
      <c r="H891" s="192" t="s">
        <v>445</v>
      </c>
      <c r="I891" s="253">
        <v>24</v>
      </c>
      <c r="J891" s="253">
        <v>57019.95</v>
      </c>
      <c r="K891" s="584">
        <f t="shared" si="180"/>
        <v>1368479</v>
      </c>
      <c r="L891" s="585" t="s">
        <v>857</v>
      </c>
      <c r="M891" s="585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26">
        <v>2</v>
      </c>
      <c r="AB891" s="576" t="str">
        <f>IF(VLOOKUP(F891,NXT!$C$12:$C$786,1,0)=F891,"","x")</f>
        <v/>
      </c>
    </row>
    <row r="892" spans="1:28" ht="15.75" customHeight="1">
      <c r="A892" s="827" t="str">
        <f>IF(B892&lt;&gt;"",IF(AND(B892&gt;=_TM1,B892&lt;=_TM2,OR(TH!L892="1111",TH!M892="1111")),TH!D892,""),"")</f>
        <v/>
      </c>
      <c r="B892" s="36">
        <f t="shared" si="178"/>
        <v>5</v>
      </c>
      <c r="C892" s="190">
        <f t="shared" si="179"/>
        <v>42505</v>
      </c>
      <c r="D892" s="37" t="s">
        <v>1635</v>
      </c>
      <c r="E892" s="190">
        <v>42505</v>
      </c>
      <c r="F892" s="191" t="s">
        <v>534</v>
      </c>
      <c r="G892" s="829" t="s">
        <v>855</v>
      </c>
      <c r="H892" s="192" t="s">
        <v>445</v>
      </c>
      <c r="I892" s="253">
        <v>36</v>
      </c>
      <c r="J892" s="253">
        <v>80232.25</v>
      </c>
      <c r="K892" s="584">
        <f t="shared" si="180"/>
        <v>2888361</v>
      </c>
      <c r="L892" s="585" t="s">
        <v>857</v>
      </c>
      <c r="M892" s="585" t="s">
        <v>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26">
        <v>2</v>
      </c>
      <c r="AB892" s="576" t="str">
        <f>IF(VLOOKUP(F892,NXT!$C$12:$C$786,1,0)=F892,"","x")</f>
        <v/>
      </c>
    </row>
    <row r="893" spans="1:28" ht="15.75" customHeight="1">
      <c r="A893" s="827" t="str">
        <f>IF(B893&lt;&gt;"",IF(AND(B893&gt;=_TM1,B893&lt;=_TM2,OR(TH!L893="1111",TH!M893="1111")),TH!D893,""),"")</f>
        <v/>
      </c>
      <c r="B893" s="36">
        <f t="shared" si="178"/>
        <v>5</v>
      </c>
      <c r="C893" s="190">
        <f t="shared" si="179"/>
        <v>42505</v>
      </c>
      <c r="D893" s="37" t="s">
        <v>1635</v>
      </c>
      <c r="E893" s="190">
        <v>42505</v>
      </c>
      <c r="F893" s="191" t="s">
        <v>535</v>
      </c>
      <c r="G893" s="829" t="s">
        <v>855</v>
      </c>
      <c r="H893" s="192" t="s">
        <v>445</v>
      </c>
      <c r="I893" s="253">
        <v>24</v>
      </c>
      <c r="J893" s="253">
        <v>44421.05</v>
      </c>
      <c r="K893" s="584">
        <f t="shared" si="180"/>
        <v>1066105</v>
      </c>
      <c r="L893" s="585" t="s">
        <v>857</v>
      </c>
      <c r="M893" s="585" t="s">
        <v>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26">
        <v>2</v>
      </c>
      <c r="AB893" s="576" t="str">
        <f>IF(VLOOKUP(F893,NXT!$C$12:$C$786,1,0)=F893,"","x")</f>
        <v/>
      </c>
    </row>
    <row r="894" spans="1:28" ht="15.75" customHeight="1">
      <c r="A894" s="827" t="str">
        <f>IF(B894&lt;&gt;"",IF(AND(B894&gt;=_TM1,B894&lt;=_TM2,OR(TH!L894="1111",TH!M894="1111")),TH!D894,""),"")</f>
        <v/>
      </c>
      <c r="B894" s="36">
        <f t="shared" si="178"/>
        <v>5</v>
      </c>
      <c r="C894" s="190">
        <f t="shared" si="179"/>
        <v>42505</v>
      </c>
      <c r="D894" s="37" t="s">
        <v>1635</v>
      </c>
      <c r="E894" s="190">
        <v>42505</v>
      </c>
      <c r="F894" s="191" t="s">
        <v>484</v>
      </c>
      <c r="G894" s="829" t="s">
        <v>855</v>
      </c>
      <c r="H894" s="192" t="s">
        <v>445</v>
      </c>
      <c r="I894" s="253">
        <v>24</v>
      </c>
      <c r="J894" s="253">
        <v>32977.35</v>
      </c>
      <c r="K894" s="584">
        <f t="shared" si="180"/>
        <v>791456</v>
      </c>
      <c r="L894" s="585" t="s">
        <v>857</v>
      </c>
      <c r="M894" s="585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26">
        <v>2</v>
      </c>
      <c r="AB894" s="576" t="str">
        <f>IF(VLOOKUP(F894,NXT!$C$12:$C$786,1,0)=F894,"","x")</f>
        <v/>
      </c>
    </row>
    <row r="895" spans="1:28" ht="15.75" customHeight="1">
      <c r="A895" s="827" t="str">
        <f>IF(B895&lt;&gt;"",IF(AND(B895&gt;=_TM1,B895&lt;=_TM2,OR(TH!L895="1111",TH!M895="1111")),TH!D895,""),"")</f>
        <v/>
      </c>
      <c r="B895" s="36">
        <f t="shared" si="178"/>
        <v>5</v>
      </c>
      <c r="C895" s="190">
        <f t="shared" si="179"/>
        <v>42505</v>
      </c>
      <c r="D895" s="37" t="s">
        <v>1635</v>
      </c>
      <c r="E895" s="190">
        <v>42505</v>
      </c>
      <c r="F895" s="191" t="s">
        <v>484</v>
      </c>
      <c r="G895" s="829" t="s">
        <v>855</v>
      </c>
      <c r="H895" s="192" t="s">
        <v>445</v>
      </c>
      <c r="I895" s="253">
        <v>18</v>
      </c>
      <c r="J895" s="253">
        <v>32977.35</v>
      </c>
      <c r="K895" s="584">
        <f t="shared" si="180"/>
        <v>593592</v>
      </c>
      <c r="L895" s="585" t="s">
        <v>857</v>
      </c>
      <c r="M895" s="585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26">
        <v>2</v>
      </c>
      <c r="AB895" s="576" t="str">
        <f>IF(VLOOKUP(F895,NXT!$C$12:$C$786,1,0)=F895,"","x")</f>
        <v/>
      </c>
    </row>
    <row r="896" spans="1:28" ht="15.75" customHeight="1">
      <c r="A896" s="827" t="str">
        <f>IF(B896&lt;&gt;"",IF(AND(B896&gt;=_TM1,B896&lt;=_TM2,OR(TH!L896="1111",TH!M896="1111")),TH!D896,""),"")</f>
        <v/>
      </c>
      <c r="B896" s="36">
        <f t="shared" si="178"/>
        <v>5</v>
      </c>
      <c r="C896" s="190">
        <f t="shared" si="179"/>
        <v>42505</v>
      </c>
      <c r="D896" s="37" t="s">
        <v>1635</v>
      </c>
      <c r="E896" s="190">
        <v>42505</v>
      </c>
      <c r="F896" s="188" t="s">
        <v>703</v>
      </c>
      <c r="G896" s="829" t="s">
        <v>855</v>
      </c>
      <c r="H896" s="192" t="s">
        <v>445</v>
      </c>
      <c r="I896" s="253">
        <v>24</v>
      </c>
      <c r="J896" s="253">
        <v>43554.65</v>
      </c>
      <c r="K896" s="584">
        <f t="shared" si="180"/>
        <v>1045312</v>
      </c>
      <c r="L896" s="585" t="s">
        <v>857</v>
      </c>
      <c r="M896" s="585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26">
        <v>2</v>
      </c>
      <c r="AB896" s="576" t="str">
        <f>IF(VLOOKUP(F896,NXT!$C$12:$C$786,1,0)=F896,"","x")</f>
        <v/>
      </c>
    </row>
    <row r="897" spans="1:28" ht="15.75" customHeight="1">
      <c r="A897" s="827" t="str">
        <f>IF(B897&lt;&gt;"",IF(AND(B897&gt;=_TM1,B897&lt;=_TM2,OR(TH!L897="1111",TH!M897="1111")),TH!D897,""),"")</f>
        <v/>
      </c>
      <c r="B897" s="36">
        <f t="shared" si="178"/>
        <v>5</v>
      </c>
      <c r="C897" s="190">
        <f t="shared" si="179"/>
        <v>42505</v>
      </c>
      <c r="D897" s="37" t="s">
        <v>1635</v>
      </c>
      <c r="E897" s="190">
        <v>42505</v>
      </c>
      <c r="F897" s="191" t="s">
        <v>501</v>
      </c>
      <c r="G897" s="829" t="s">
        <v>855</v>
      </c>
      <c r="H897" s="192" t="s">
        <v>445</v>
      </c>
      <c r="I897" s="253">
        <v>75</v>
      </c>
      <c r="J897" s="253">
        <v>46911.95</v>
      </c>
      <c r="K897" s="584">
        <f t="shared" si="180"/>
        <v>3518396</v>
      </c>
      <c r="L897" s="585" t="s">
        <v>857</v>
      </c>
      <c r="M897" s="585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26">
        <v>2</v>
      </c>
      <c r="AB897" s="576" t="str">
        <f>IF(VLOOKUP(F897,NXT!$C$12:$C$786,1,0)=F897,"","x")</f>
        <v/>
      </c>
    </row>
    <row r="898" spans="1:28" ht="15.75" customHeight="1">
      <c r="A898" s="827" t="str">
        <f>IF(B898&lt;&gt;"",IF(AND(B898&gt;=_TM1,B898&lt;=_TM2,OR(TH!L898="1111",TH!M898="1111")),TH!D898,""),"")</f>
        <v/>
      </c>
      <c r="B898" s="36">
        <f t="shared" si="178"/>
        <v>5</v>
      </c>
      <c r="C898" s="190">
        <f t="shared" si="179"/>
        <v>42505</v>
      </c>
      <c r="D898" s="37" t="s">
        <v>1635</v>
      </c>
      <c r="E898" s="190">
        <v>42505</v>
      </c>
      <c r="F898" s="40" t="s">
        <v>536</v>
      </c>
      <c r="G898" s="829" t="s">
        <v>855</v>
      </c>
      <c r="H898" s="192" t="s">
        <v>445</v>
      </c>
      <c r="I898" s="253">
        <v>36</v>
      </c>
      <c r="J898" s="253">
        <v>57074.1</v>
      </c>
      <c r="K898" s="584">
        <f t="shared" si="180"/>
        <v>2054668</v>
      </c>
      <c r="L898" s="585" t="s">
        <v>857</v>
      </c>
      <c r="M898" s="585" t="s">
        <v>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26">
        <v>2</v>
      </c>
      <c r="AB898" s="576" t="str">
        <f>IF(VLOOKUP(F898,NXT!$C$12:$C$786,1,0)=F898,"","x")</f>
        <v/>
      </c>
    </row>
    <row r="899" spans="1:28" ht="15.75" customHeight="1">
      <c r="A899" s="827" t="str">
        <f>IF(B899&lt;&gt;"",IF(AND(B899&gt;=_TM1,B899&lt;=_TM2,OR(TH!L899="1111",TH!M899="1111")),TH!D899,""),"")</f>
        <v/>
      </c>
      <c r="B899" s="36">
        <f t="shared" si="178"/>
        <v>5</v>
      </c>
      <c r="C899" s="190">
        <f t="shared" si="179"/>
        <v>42505</v>
      </c>
      <c r="D899" s="37" t="s">
        <v>1635</v>
      </c>
      <c r="E899" s="190">
        <v>42505</v>
      </c>
      <c r="F899" s="40" t="s">
        <v>704</v>
      </c>
      <c r="G899" s="829" t="s">
        <v>855</v>
      </c>
      <c r="H899" s="192" t="s">
        <v>445</v>
      </c>
      <c r="I899" s="253">
        <v>18</v>
      </c>
      <c r="J899" s="253">
        <v>34295</v>
      </c>
      <c r="K899" s="584">
        <f t="shared" si="180"/>
        <v>617310</v>
      </c>
      <c r="L899" s="585" t="s">
        <v>857</v>
      </c>
      <c r="M899" s="585" t="s">
        <v>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26">
        <v>2</v>
      </c>
      <c r="AB899" s="576" t="str">
        <f>IF(VLOOKUP(F899,NXT!$C$12:$C$786,1,0)=F899,"","x")</f>
        <v/>
      </c>
    </row>
    <row r="900" spans="1:28" ht="15.75" customHeight="1">
      <c r="A900" s="827" t="str">
        <f>IF(B900&lt;&gt;"",IF(AND(B900&gt;=_TM1,B900&lt;=_TM2,OR(TH!L900="1111",TH!M900="1111")),TH!D900,""),"")</f>
        <v/>
      </c>
      <c r="B900" s="36">
        <f t="shared" si="178"/>
        <v>5</v>
      </c>
      <c r="C900" s="190">
        <f t="shared" si="179"/>
        <v>42505</v>
      </c>
      <c r="D900" s="37" t="s">
        <v>1635</v>
      </c>
      <c r="E900" s="190">
        <v>42505</v>
      </c>
      <c r="F900" s="40" t="s">
        <v>705</v>
      </c>
      <c r="G900" s="829" t="s">
        <v>855</v>
      </c>
      <c r="H900" s="192" t="s">
        <v>445</v>
      </c>
      <c r="I900" s="253">
        <v>24</v>
      </c>
      <c r="J900" s="253">
        <v>56045.25</v>
      </c>
      <c r="K900" s="584">
        <f t="shared" si="180"/>
        <v>1345086</v>
      </c>
      <c r="L900" s="585" t="s">
        <v>857</v>
      </c>
      <c r="M900" s="585" t="s">
        <v>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26">
        <v>2</v>
      </c>
      <c r="AB900" s="576" t="str">
        <f>IF(VLOOKUP(F900,NXT!$C$12:$C$786,1,0)=F900,"","x")</f>
        <v/>
      </c>
    </row>
    <row r="901" spans="1:28" ht="15.75" customHeight="1">
      <c r="A901" s="827" t="str">
        <f>IF(B901&lt;&gt;"",IF(AND(B901&gt;=_TM1,B901&lt;=_TM2,OR(TH!L901="1111",TH!M901="1111")),TH!D901,""),"")</f>
        <v/>
      </c>
      <c r="B901" s="36">
        <f t="shared" si="178"/>
        <v>5</v>
      </c>
      <c r="C901" s="190">
        <f t="shared" si="179"/>
        <v>42505</v>
      </c>
      <c r="D901" s="37" t="s">
        <v>1635</v>
      </c>
      <c r="E901" s="190">
        <v>42505</v>
      </c>
      <c r="F901" s="40" t="s">
        <v>501</v>
      </c>
      <c r="G901" s="829" t="s">
        <v>855</v>
      </c>
      <c r="H901" s="192" t="s">
        <v>445</v>
      </c>
      <c r="I901" s="253">
        <v>18</v>
      </c>
      <c r="J901" s="253">
        <v>46911.95</v>
      </c>
      <c r="K901" s="584">
        <f t="shared" si="180"/>
        <v>844415</v>
      </c>
      <c r="L901" s="585" t="s">
        <v>857</v>
      </c>
      <c r="M901" s="585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26">
        <v>2</v>
      </c>
      <c r="AB901" s="576" t="str">
        <f>IF(VLOOKUP(F901,NXT!$C$12:$C$786,1,0)=F901,"","x")</f>
        <v/>
      </c>
    </row>
    <row r="902" spans="1:28" ht="15.75" customHeight="1">
      <c r="A902" s="827" t="str">
        <f>IF(B902&lt;&gt;"",IF(AND(B902&gt;=_TM1,B902&lt;=_TM2,OR(TH!L902="1111",TH!M902="1111")),TH!D902,""),"")</f>
        <v/>
      </c>
      <c r="B902" s="36">
        <f t="shared" si="178"/>
        <v>5</v>
      </c>
      <c r="C902" s="190">
        <f t="shared" si="179"/>
        <v>42505</v>
      </c>
      <c r="D902" s="37" t="s">
        <v>1635</v>
      </c>
      <c r="E902" s="190">
        <v>42505</v>
      </c>
      <c r="F902" s="40" t="s">
        <v>707</v>
      </c>
      <c r="G902" s="829" t="s">
        <v>855</v>
      </c>
      <c r="H902" s="192" t="s">
        <v>445</v>
      </c>
      <c r="I902" s="253">
        <v>12</v>
      </c>
      <c r="J902" s="253">
        <v>104834.4</v>
      </c>
      <c r="K902" s="584">
        <f t="shared" si="180"/>
        <v>1258013</v>
      </c>
      <c r="L902" s="585" t="s">
        <v>857</v>
      </c>
      <c r="M902" s="585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26">
        <v>2</v>
      </c>
      <c r="AB902" s="576" t="str">
        <f>IF(VLOOKUP(F902,NXT!$C$12:$C$786,1,0)=F902,"","x")</f>
        <v/>
      </c>
    </row>
    <row r="903" spans="1:28" ht="15.75" customHeight="1">
      <c r="A903" s="827" t="str">
        <f>IF(B903&lt;&gt;"",IF(AND(B903&gt;=_TM1,B903&lt;=_TM2,OR(TH!L903="1111",TH!M903="1111")),TH!D903,""),"")</f>
        <v/>
      </c>
      <c r="B903" s="36">
        <f t="shared" si="178"/>
        <v>5</v>
      </c>
      <c r="C903" s="190">
        <f t="shared" si="179"/>
        <v>42505</v>
      </c>
      <c r="D903" s="37" t="s">
        <v>1635</v>
      </c>
      <c r="E903" s="190">
        <v>42505</v>
      </c>
      <c r="F903" s="40" t="s">
        <v>708</v>
      </c>
      <c r="G903" s="829" t="s">
        <v>855</v>
      </c>
      <c r="H903" s="192" t="s">
        <v>445</v>
      </c>
      <c r="I903" s="253">
        <v>24</v>
      </c>
      <c r="J903" s="253">
        <v>48572.55</v>
      </c>
      <c r="K903" s="584">
        <f t="shared" si="180"/>
        <v>1165741</v>
      </c>
      <c r="L903" s="585" t="s">
        <v>857</v>
      </c>
      <c r="M903" s="585" t="s">
        <v>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26">
        <v>2</v>
      </c>
      <c r="AB903" s="576" t="str">
        <f>IF(VLOOKUP(F903,NXT!$C$12:$C$786,1,0)=F903,"","x")</f>
        <v/>
      </c>
    </row>
    <row r="904" spans="1:28" ht="15.75" customHeight="1">
      <c r="A904" s="827" t="str">
        <f>IF(B904&lt;&gt;"",IF(AND(B904&gt;=_TM1,B904&lt;=_TM2,OR(TH!L904="1111",TH!M904="1111")),TH!D904,""),"")</f>
        <v/>
      </c>
      <c r="B904" s="36">
        <f t="shared" si="178"/>
        <v>5</v>
      </c>
      <c r="C904" s="190">
        <f t="shared" si="179"/>
        <v>42505</v>
      </c>
      <c r="D904" s="37" t="s">
        <v>1635</v>
      </c>
      <c r="E904" s="190">
        <v>42505</v>
      </c>
      <c r="F904" s="40" t="s">
        <v>709</v>
      </c>
      <c r="G904" s="829" t="s">
        <v>855</v>
      </c>
      <c r="H904" s="192" t="s">
        <v>445</v>
      </c>
      <c r="I904" s="253">
        <v>12</v>
      </c>
      <c r="J904" s="253">
        <v>103480.65</v>
      </c>
      <c r="K904" s="584">
        <f t="shared" si="180"/>
        <v>1241768</v>
      </c>
      <c r="L904" s="585" t="s">
        <v>857</v>
      </c>
      <c r="M904" s="585" t="s">
        <v>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26">
        <v>2</v>
      </c>
      <c r="AB904" s="576" t="str">
        <f>IF(VLOOKUP(F904,NXT!$C$12:$C$786,1,0)=F904,"","x")</f>
        <v/>
      </c>
    </row>
    <row r="905" spans="1:28" ht="15.75" customHeight="1">
      <c r="A905" s="827" t="str">
        <f>IF(B905&lt;&gt;"",IF(AND(B905&gt;=_TM1,B905&lt;=_TM2,OR(TH!L905="1111",TH!M905="1111")),TH!D905,""),"")</f>
        <v/>
      </c>
      <c r="B905" s="36">
        <f t="shared" si="178"/>
        <v>5</v>
      </c>
      <c r="C905" s="190">
        <f t="shared" si="179"/>
        <v>42505</v>
      </c>
      <c r="D905" s="37" t="s">
        <v>1635</v>
      </c>
      <c r="E905" s="190">
        <v>42505</v>
      </c>
      <c r="F905" s="191" t="s">
        <v>709</v>
      </c>
      <c r="G905" s="829" t="s">
        <v>855</v>
      </c>
      <c r="H905" s="192" t="s">
        <v>445</v>
      </c>
      <c r="I905" s="253">
        <v>12</v>
      </c>
      <c r="J905" s="253">
        <v>103480.65</v>
      </c>
      <c r="K905" s="584">
        <f t="shared" si="180"/>
        <v>1241768</v>
      </c>
      <c r="L905" s="585" t="s">
        <v>857</v>
      </c>
      <c r="M905" s="585" t="s">
        <v>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26">
        <v>2</v>
      </c>
      <c r="AB905" s="576" t="str">
        <f>IF(VLOOKUP(F905,NXT!$C$12:$C$786,1,0)=F905,"","x")</f>
        <v/>
      </c>
    </row>
    <row r="906" spans="1:28" ht="15.75" customHeight="1">
      <c r="A906" s="827" t="str">
        <f>IF(B906&lt;&gt;"",IF(AND(B906&gt;=_TM1,B906&lt;=_TM2,OR(TH!L906="1111",TH!M906="1111")),TH!D906,""),"")</f>
        <v/>
      </c>
      <c r="B906" s="36">
        <f t="shared" ref="B906:B969" si="181">IF(C906&lt;&gt;"",MONTH(C906),"")</f>
        <v>5</v>
      </c>
      <c r="C906" s="190">
        <f t="shared" ref="C906:C969" si="182">E906</f>
        <v>42505</v>
      </c>
      <c r="D906" s="37" t="s">
        <v>1635</v>
      </c>
      <c r="E906" s="190">
        <v>42505</v>
      </c>
      <c r="F906" s="40" t="s">
        <v>710</v>
      </c>
      <c r="G906" s="829" t="s">
        <v>855</v>
      </c>
      <c r="H906" s="192" t="s">
        <v>445</v>
      </c>
      <c r="I906" s="253">
        <v>12</v>
      </c>
      <c r="J906" s="253">
        <v>63175</v>
      </c>
      <c r="K906" s="584">
        <f t="shared" ref="K906:K937" si="183">ROUND(I906*J906,0)</f>
        <v>758100</v>
      </c>
      <c r="L906" s="585" t="s">
        <v>857</v>
      </c>
      <c r="M906" s="585" t="s">
        <v>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26">
        <v>2</v>
      </c>
      <c r="AB906" s="576" t="str">
        <f>IF(VLOOKUP(F906,NXT!$C$12:$C$786,1,0)=F906,"","x")</f>
        <v/>
      </c>
    </row>
    <row r="907" spans="1:28" ht="15.75" customHeight="1">
      <c r="A907" s="827" t="str">
        <f>IF(B907&lt;&gt;"",IF(AND(B907&gt;=_TM1,B907&lt;=_TM2,OR(TH!L907="1111",TH!M907="1111")),TH!D907,""),"")</f>
        <v/>
      </c>
      <c r="B907" s="36">
        <f t="shared" si="181"/>
        <v>5</v>
      </c>
      <c r="C907" s="190">
        <f t="shared" si="182"/>
        <v>42505</v>
      </c>
      <c r="D907" s="37" t="s">
        <v>1635</v>
      </c>
      <c r="E907" s="190">
        <v>42505</v>
      </c>
      <c r="F907" s="40" t="s">
        <v>490</v>
      </c>
      <c r="G907" s="829" t="s">
        <v>855</v>
      </c>
      <c r="H907" s="192" t="s">
        <v>445</v>
      </c>
      <c r="I907" s="253">
        <v>14</v>
      </c>
      <c r="J907" s="253">
        <v>155330.70000000001</v>
      </c>
      <c r="K907" s="584">
        <f t="shared" si="183"/>
        <v>2174630</v>
      </c>
      <c r="L907" s="585" t="s">
        <v>857</v>
      </c>
      <c r="M907" s="585" t="s">
        <v>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26">
        <v>2</v>
      </c>
      <c r="AB907" s="576" t="str">
        <f>IF(VLOOKUP(F907,NXT!$C$12:$C$786,1,0)=F907,"","x")</f>
        <v/>
      </c>
    </row>
    <row r="908" spans="1:28" ht="15.75" customHeight="1">
      <c r="A908" s="827" t="str">
        <f>IF(B908&lt;&gt;"",IF(AND(B908&gt;=_TM1,B908&lt;=_TM2,OR(TH!L908="1111",TH!M908="1111")),TH!D908,""),"")</f>
        <v/>
      </c>
      <c r="B908" s="36">
        <f t="shared" si="181"/>
        <v>5</v>
      </c>
      <c r="C908" s="190">
        <f t="shared" si="182"/>
        <v>42505</v>
      </c>
      <c r="D908" s="37" t="s">
        <v>1635</v>
      </c>
      <c r="E908" s="190">
        <v>42505</v>
      </c>
      <c r="F908" s="40" t="s">
        <v>816</v>
      </c>
      <c r="G908" s="829" t="s">
        <v>855</v>
      </c>
      <c r="H908" s="192" t="s">
        <v>445</v>
      </c>
      <c r="I908" s="253">
        <v>6</v>
      </c>
      <c r="J908" s="253">
        <v>203928.9</v>
      </c>
      <c r="K908" s="584">
        <f t="shared" si="183"/>
        <v>1223573</v>
      </c>
      <c r="L908" s="585" t="s">
        <v>857</v>
      </c>
      <c r="M908" s="585" t="s">
        <v>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26">
        <v>2</v>
      </c>
      <c r="AB908" s="576" t="str">
        <f>IF(VLOOKUP(F908,NXT!$C$12:$C$786,1,0)=F908,"","x")</f>
        <v/>
      </c>
    </row>
    <row r="909" spans="1:28" ht="15.75" customHeight="1">
      <c r="A909" s="827" t="str">
        <f>IF(B909&lt;&gt;"",IF(AND(B909&gt;=_TM1,B909&lt;=_TM2,OR(TH!L909="1111",TH!M909="1111")),TH!D909,""),"")</f>
        <v/>
      </c>
      <c r="B909" s="36">
        <f t="shared" si="181"/>
        <v>5</v>
      </c>
      <c r="C909" s="190">
        <f t="shared" si="182"/>
        <v>42505</v>
      </c>
      <c r="D909" s="37" t="s">
        <v>1635</v>
      </c>
      <c r="E909" s="190">
        <v>42505</v>
      </c>
      <c r="F909" s="40" t="s">
        <v>817</v>
      </c>
      <c r="G909" s="829" t="s">
        <v>855</v>
      </c>
      <c r="H909" s="192" t="s">
        <v>445</v>
      </c>
      <c r="I909" s="253">
        <v>16</v>
      </c>
      <c r="J909" s="253">
        <v>143041.5</v>
      </c>
      <c r="K909" s="584">
        <f t="shared" si="183"/>
        <v>2288664</v>
      </c>
      <c r="L909" s="585" t="s">
        <v>857</v>
      </c>
      <c r="M909" s="585" t="s">
        <v>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26">
        <v>2</v>
      </c>
      <c r="AB909" s="576" t="str">
        <f>IF(VLOOKUP(F909,NXT!$C$12:$C$786,1,0)=F909,"","x")</f>
        <v/>
      </c>
    </row>
    <row r="910" spans="1:28" ht="15.75" customHeight="1">
      <c r="A910" s="827" t="str">
        <f>IF(B910&lt;&gt;"",IF(AND(B910&gt;=_TM1,B910&lt;=_TM2,OR(TH!L910="1111",TH!M910="1111")),TH!D910,""),"")</f>
        <v/>
      </c>
      <c r="B910" s="36">
        <f t="shared" si="181"/>
        <v>5</v>
      </c>
      <c r="C910" s="190">
        <f t="shared" si="182"/>
        <v>42505</v>
      </c>
      <c r="D910" s="37" t="s">
        <v>1635</v>
      </c>
      <c r="E910" s="190">
        <v>42505</v>
      </c>
      <c r="F910" s="40" t="s">
        <v>818</v>
      </c>
      <c r="G910" s="829" t="s">
        <v>855</v>
      </c>
      <c r="H910" s="192" t="s">
        <v>445</v>
      </c>
      <c r="I910" s="253">
        <v>4</v>
      </c>
      <c r="J910" s="253">
        <v>76535.8</v>
      </c>
      <c r="K910" s="584">
        <f t="shared" si="183"/>
        <v>306143</v>
      </c>
      <c r="L910" s="585" t="s">
        <v>857</v>
      </c>
      <c r="M910" s="585" t="s">
        <v>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26">
        <v>2</v>
      </c>
      <c r="AB910" s="576" t="str">
        <f>IF(VLOOKUP(F910,NXT!$C$12:$C$786,1,0)=F910,"","x")</f>
        <v/>
      </c>
    </row>
    <row r="911" spans="1:28" ht="15.75" customHeight="1">
      <c r="A911" s="827" t="str">
        <f>IF(B911&lt;&gt;"",IF(AND(B911&gt;=_TM1,B911&lt;=_TM2,OR(TH!L911="1111",TH!M911="1111")),TH!D911,""),"")</f>
        <v/>
      </c>
      <c r="B911" s="36">
        <f t="shared" si="181"/>
        <v>5</v>
      </c>
      <c r="C911" s="190">
        <f t="shared" si="182"/>
        <v>42505</v>
      </c>
      <c r="D911" s="37" t="s">
        <v>1635</v>
      </c>
      <c r="E911" s="190">
        <v>42505</v>
      </c>
      <c r="F911" s="40" t="s">
        <v>515</v>
      </c>
      <c r="G911" s="829" t="s">
        <v>855</v>
      </c>
      <c r="H911" s="192" t="s">
        <v>445</v>
      </c>
      <c r="I911" s="253">
        <v>4</v>
      </c>
      <c r="J911" s="253">
        <v>78750.25</v>
      </c>
      <c r="K911" s="584">
        <f t="shared" si="183"/>
        <v>315001</v>
      </c>
      <c r="L911" s="585" t="s">
        <v>857</v>
      </c>
      <c r="M911" s="585" t="s">
        <v>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26">
        <v>2</v>
      </c>
      <c r="AB911" s="576" t="str">
        <f>IF(VLOOKUP(F911,NXT!$C$12:$C$786,1,0)=F911,"","x")</f>
        <v/>
      </c>
    </row>
    <row r="912" spans="1:28" ht="15.75" customHeight="1">
      <c r="A912" s="827" t="str">
        <f>IF(B912&lt;&gt;"",IF(AND(B912&gt;=_TM1,B912&lt;=_TM2,OR(TH!L912="1111",TH!M912="1111")),TH!D912,""),"")</f>
        <v/>
      </c>
      <c r="B912" s="36">
        <f t="shared" si="181"/>
        <v>5</v>
      </c>
      <c r="C912" s="190">
        <f t="shared" si="182"/>
        <v>42505</v>
      </c>
      <c r="D912" s="37" t="s">
        <v>1635</v>
      </c>
      <c r="E912" s="190">
        <v>42505</v>
      </c>
      <c r="F912" s="40" t="s">
        <v>819</v>
      </c>
      <c r="G912" s="829" t="s">
        <v>855</v>
      </c>
      <c r="H912" s="192" t="s">
        <v>445</v>
      </c>
      <c r="I912" s="253">
        <v>4</v>
      </c>
      <c r="J912" s="253">
        <v>116655.25</v>
      </c>
      <c r="K912" s="584">
        <f t="shared" si="183"/>
        <v>466621</v>
      </c>
      <c r="L912" s="585" t="s">
        <v>857</v>
      </c>
      <c r="M912" s="585" t="s">
        <v>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26">
        <v>2</v>
      </c>
      <c r="AB912" s="576" t="str">
        <f>IF(VLOOKUP(F912,NXT!$C$12:$C$786,1,0)=F912,"","x")</f>
        <v/>
      </c>
    </row>
    <row r="913" spans="1:28" ht="15.75" customHeight="1">
      <c r="A913" s="827" t="str">
        <f>IF(B913&lt;&gt;"",IF(AND(B913&gt;=_TM1,B913&lt;=_TM2,OR(TH!L913="1111",TH!M913="1111")),TH!D913,""),"")</f>
        <v/>
      </c>
      <c r="B913" s="36">
        <f t="shared" si="181"/>
        <v>5</v>
      </c>
      <c r="C913" s="190">
        <f t="shared" si="182"/>
        <v>42505</v>
      </c>
      <c r="D913" s="37" t="s">
        <v>1635</v>
      </c>
      <c r="E913" s="190">
        <v>42505</v>
      </c>
      <c r="F913" s="191" t="s">
        <v>809</v>
      </c>
      <c r="G913" s="829" t="s">
        <v>855</v>
      </c>
      <c r="H913" s="192" t="s">
        <v>445</v>
      </c>
      <c r="I913" s="253">
        <v>18</v>
      </c>
      <c r="J913" s="253">
        <v>42573.3</v>
      </c>
      <c r="K913" s="584">
        <f t="shared" si="183"/>
        <v>766319</v>
      </c>
      <c r="L913" s="585" t="s">
        <v>857</v>
      </c>
      <c r="M913" s="585" t="s">
        <v>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26">
        <v>2</v>
      </c>
      <c r="AB913" s="576" t="str">
        <f>IF(VLOOKUP(F913,NXT!$C$12:$C$786,1,0)=F913,"","x")</f>
        <v/>
      </c>
    </row>
    <row r="914" spans="1:28" ht="15.75" customHeight="1">
      <c r="A914" s="827" t="str">
        <f>IF(B914&lt;&gt;"",IF(AND(B914&gt;=_TM1,B914&lt;=_TM2,OR(TH!L914="1111",TH!M914="1111")),TH!D914,""),"")</f>
        <v/>
      </c>
      <c r="B914" s="36">
        <f t="shared" si="181"/>
        <v>5</v>
      </c>
      <c r="C914" s="190">
        <f t="shared" si="182"/>
        <v>42505</v>
      </c>
      <c r="D914" s="37" t="s">
        <v>1635</v>
      </c>
      <c r="E914" s="190">
        <v>42505</v>
      </c>
      <c r="F914" s="191" t="s">
        <v>493</v>
      </c>
      <c r="G914" s="829" t="s">
        <v>855</v>
      </c>
      <c r="H914" s="192" t="s">
        <v>445</v>
      </c>
      <c r="I914" s="253">
        <v>32</v>
      </c>
      <c r="J914" s="253">
        <v>48056.7</v>
      </c>
      <c r="K914" s="584">
        <f t="shared" si="183"/>
        <v>1537814</v>
      </c>
      <c r="L914" s="585" t="s">
        <v>857</v>
      </c>
      <c r="M914" s="585" t="s">
        <v>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26">
        <v>2</v>
      </c>
      <c r="AB914" s="576" t="str">
        <f>IF(VLOOKUP(F914,NXT!$C$12:$C$786,1,0)=F914,"","x")</f>
        <v/>
      </c>
    </row>
    <row r="915" spans="1:28" ht="15.75" customHeight="1">
      <c r="A915" s="827" t="str">
        <f>IF(B915&lt;&gt;"",IF(AND(B915&gt;=_TM1,B915&lt;=_TM2,OR(TH!L915="1111",TH!M915="1111")),TH!D915,""),"")</f>
        <v/>
      </c>
      <c r="B915" s="36">
        <f t="shared" si="181"/>
        <v>5</v>
      </c>
      <c r="C915" s="190">
        <f t="shared" si="182"/>
        <v>42505</v>
      </c>
      <c r="D915" s="37" t="s">
        <v>1635</v>
      </c>
      <c r="E915" s="190">
        <v>42505</v>
      </c>
      <c r="F915" s="191" t="s">
        <v>820</v>
      </c>
      <c r="G915" s="829" t="s">
        <v>855</v>
      </c>
      <c r="H915" s="192" t="s">
        <v>445</v>
      </c>
      <c r="I915" s="253">
        <v>6</v>
      </c>
      <c r="J915" s="253">
        <v>98313.600000000006</v>
      </c>
      <c r="K915" s="584">
        <f t="shared" si="183"/>
        <v>589882</v>
      </c>
      <c r="L915" s="585" t="s">
        <v>857</v>
      </c>
      <c r="M915" s="585" t="s">
        <v>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26">
        <v>2</v>
      </c>
      <c r="AB915" s="576" t="str">
        <f>IF(VLOOKUP(F915,NXT!$C$12:$C$786,1,0)=F915,"","x")</f>
        <v/>
      </c>
    </row>
    <row r="916" spans="1:28" ht="15.75" customHeight="1">
      <c r="A916" s="827" t="str">
        <f>IF(B916&lt;&gt;"",IF(AND(B916&gt;=_TM1,B916&lt;=_TM2,OR(TH!L916="1111",TH!M916="1111")),TH!D916,""),"")</f>
        <v/>
      </c>
      <c r="B916" s="36">
        <f t="shared" si="181"/>
        <v>5</v>
      </c>
      <c r="C916" s="190">
        <f t="shared" si="182"/>
        <v>42505</v>
      </c>
      <c r="D916" s="37" t="s">
        <v>1635</v>
      </c>
      <c r="E916" s="190">
        <v>42505</v>
      </c>
      <c r="F916" s="191" t="s">
        <v>809</v>
      </c>
      <c r="G916" s="829" t="s">
        <v>855</v>
      </c>
      <c r="H916" s="192" t="s">
        <v>445</v>
      </c>
      <c r="I916" s="254">
        <v>24</v>
      </c>
      <c r="J916" s="253">
        <v>40535.550000000003</v>
      </c>
      <c r="K916" s="584">
        <f t="shared" si="183"/>
        <v>972853</v>
      </c>
      <c r="L916" s="585" t="s">
        <v>857</v>
      </c>
      <c r="M916" s="585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26">
        <v>2</v>
      </c>
      <c r="AB916" s="576" t="str">
        <f>IF(VLOOKUP(F916,NXT!$C$12:$C$786,1,0)=F916,"","x")</f>
        <v/>
      </c>
    </row>
    <row r="917" spans="1:28" ht="15.75" customHeight="1">
      <c r="A917" s="827" t="str">
        <f>IF(B917&lt;&gt;"",IF(AND(B917&gt;=_TM1,B917&lt;=_TM2,OR(TH!L917="1111",TH!M917="1111")),TH!D917,""),"")</f>
        <v/>
      </c>
      <c r="B917" s="36">
        <f t="shared" si="181"/>
        <v>5</v>
      </c>
      <c r="C917" s="190">
        <f t="shared" si="182"/>
        <v>42505</v>
      </c>
      <c r="D917" s="37" t="s">
        <v>1635</v>
      </c>
      <c r="E917" s="190">
        <v>42505</v>
      </c>
      <c r="F917" s="191" t="s">
        <v>490</v>
      </c>
      <c r="G917" s="829" t="s">
        <v>855</v>
      </c>
      <c r="H917" s="192" t="s">
        <v>445</v>
      </c>
      <c r="I917" s="254">
        <v>4</v>
      </c>
      <c r="J917" s="253">
        <v>155330.70000000001</v>
      </c>
      <c r="K917" s="584">
        <f t="shared" si="183"/>
        <v>621323</v>
      </c>
      <c r="L917" s="585" t="s">
        <v>857</v>
      </c>
      <c r="M917" s="585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26">
        <v>2</v>
      </c>
      <c r="AB917" s="576" t="str">
        <f>IF(VLOOKUP(F917,NXT!$C$12:$C$786,1,0)=F917,"","x")</f>
        <v/>
      </c>
    </row>
    <row r="918" spans="1:28" ht="15.75" customHeight="1">
      <c r="A918" s="827" t="str">
        <f>IF(B918&lt;&gt;"",IF(AND(B918&gt;=_TM1,B918&lt;=_TM2,OR(TH!L918="1111",TH!M918="1111")),TH!D918,""),"")</f>
        <v/>
      </c>
      <c r="B918" s="36">
        <f t="shared" si="181"/>
        <v>5</v>
      </c>
      <c r="C918" s="190">
        <f t="shared" si="182"/>
        <v>42505</v>
      </c>
      <c r="D918" s="37" t="s">
        <v>1635</v>
      </c>
      <c r="E918" s="190">
        <v>42505</v>
      </c>
      <c r="F918" s="40" t="s">
        <v>809</v>
      </c>
      <c r="G918" s="829" t="s">
        <v>855</v>
      </c>
      <c r="H918" s="192" t="s">
        <v>445</v>
      </c>
      <c r="I918" s="253">
        <v>24</v>
      </c>
      <c r="J918" s="253">
        <v>40535.550000000003</v>
      </c>
      <c r="K918" s="584">
        <f t="shared" si="183"/>
        <v>972853</v>
      </c>
      <c r="L918" s="585" t="s">
        <v>857</v>
      </c>
      <c r="M918" s="585" t="s">
        <v>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26">
        <v>2</v>
      </c>
      <c r="AB918" s="576" t="str">
        <f>IF(VLOOKUP(F918,NXT!$C$12:$C$786,1,0)=F918,"","x")</f>
        <v/>
      </c>
    </row>
    <row r="919" spans="1:28" ht="15.75" customHeight="1">
      <c r="A919" s="827" t="str">
        <f>IF(B919&lt;&gt;"",IF(AND(B919&gt;=_TM1,B919&lt;=_TM2,OR(TH!L919="1111",TH!M919="1111")),TH!D919,""),"")</f>
        <v/>
      </c>
      <c r="B919" s="36">
        <f t="shared" si="181"/>
        <v>5</v>
      </c>
      <c r="C919" s="190">
        <f t="shared" si="182"/>
        <v>42505</v>
      </c>
      <c r="D919" s="37" t="s">
        <v>1635</v>
      </c>
      <c r="E919" s="190">
        <v>42505</v>
      </c>
      <c r="F919" s="188" t="s">
        <v>821</v>
      </c>
      <c r="G919" s="829" t="s">
        <v>855</v>
      </c>
      <c r="H919" s="192" t="s">
        <v>445</v>
      </c>
      <c r="I919" s="253">
        <v>24</v>
      </c>
      <c r="J919" s="253">
        <v>45075.6</v>
      </c>
      <c r="K919" s="584">
        <f t="shared" si="183"/>
        <v>1081814</v>
      </c>
      <c r="L919" s="585" t="s">
        <v>857</v>
      </c>
      <c r="M919" s="585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26">
        <v>2</v>
      </c>
      <c r="AB919" s="576" t="str">
        <f>IF(VLOOKUP(F919,NXT!$C$12:$C$786,1,0)=F919,"","x")</f>
        <v/>
      </c>
    </row>
    <row r="920" spans="1:28" ht="15.75" customHeight="1">
      <c r="A920" s="827" t="str">
        <f>IF(B920&lt;&gt;"",IF(AND(B920&gt;=_TM1,B920&lt;=_TM2,OR(TH!L920="1111",TH!M920="1111")),TH!D920,""),"")</f>
        <v/>
      </c>
      <c r="B920" s="36">
        <f t="shared" si="181"/>
        <v>5</v>
      </c>
      <c r="C920" s="190">
        <f t="shared" si="182"/>
        <v>42505</v>
      </c>
      <c r="D920" s="37" t="s">
        <v>1635</v>
      </c>
      <c r="E920" s="190">
        <v>42505</v>
      </c>
      <c r="F920" s="188" t="s">
        <v>815</v>
      </c>
      <c r="G920" s="829" t="s">
        <v>855</v>
      </c>
      <c r="H920" s="192" t="s">
        <v>445</v>
      </c>
      <c r="I920" s="253">
        <v>24</v>
      </c>
      <c r="J920" s="253">
        <v>43434.95</v>
      </c>
      <c r="K920" s="584">
        <f t="shared" si="183"/>
        <v>1042439</v>
      </c>
      <c r="L920" s="585" t="s">
        <v>857</v>
      </c>
      <c r="M920" s="585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26">
        <v>2</v>
      </c>
      <c r="AB920" s="576" t="str">
        <f>IF(VLOOKUP(F920,NXT!$C$12:$C$786,1,0)=F920,"","x")</f>
        <v/>
      </c>
    </row>
    <row r="921" spans="1:28" ht="15.75" customHeight="1">
      <c r="A921" s="827" t="str">
        <f>IF(B921&lt;&gt;"",IF(AND(B921&gt;=_TM1,B921&lt;=_TM2,OR(TH!L921="1111",TH!M921="1111")),TH!D921,""),"")</f>
        <v/>
      </c>
      <c r="B921" s="36">
        <f t="shared" si="181"/>
        <v>5</v>
      </c>
      <c r="C921" s="190">
        <f t="shared" si="182"/>
        <v>42505</v>
      </c>
      <c r="D921" s="37" t="s">
        <v>1635</v>
      </c>
      <c r="E921" s="190">
        <v>42505</v>
      </c>
      <c r="F921" s="188" t="s">
        <v>822</v>
      </c>
      <c r="G921" s="829" t="s">
        <v>855</v>
      </c>
      <c r="H921" s="192" t="s">
        <v>445</v>
      </c>
      <c r="I921" s="253">
        <v>16</v>
      </c>
      <c r="J921" s="253">
        <v>107091.6</v>
      </c>
      <c r="K921" s="584">
        <f t="shared" si="183"/>
        <v>1713466</v>
      </c>
      <c r="L921" s="585" t="s">
        <v>857</v>
      </c>
      <c r="M921" s="585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26">
        <v>2</v>
      </c>
      <c r="AB921" s="576" t="str">
        <f>IF(VLOOKUP(F921,NXT!$C$12:$C$786,1,0)=F921,"","x")</f>
        <v/>
      </c>
    </row>
    <row r="922" spans="1:28" ht="15.75" customHeight="1">
      <c r="A922" s="827" t="str">
        <f>IF(B922&lt;&gt;"",IF(AND(B922&gt;=_TM1,B922&lt;=_TM2,OR(TH!L922="1111",TH!M922="1111")),TH!D922,""),"")</f>
        <v/>
      </c>
      <c r="B922" s="36">
        <f t="shared" si="181"/>
        <v>5</v>
      </c>
      <c r="C922" s="190">
        <f t="shared" si="182"/>
        <v>42505</v>
      </c>
      <c r="D922" s="37" t="s">
        <v>1635</v>
      </c>
      <c r="E922" s="190">
        <v>42505</v>
      </c>
      <c r="F922" s="188" t="s">
        <v>515</v>
      </c>
      <c r="G922" s="829" t="s">
        <v>855</v>
      </c>
      <c r="H922" s="192" t="s">
        <v>445</v>
      </c>
      <c r="I922" s="767">
        <v>4</v>
      </c>
      <c r="J922" s="253">
        <v>78750.25</v>
      </c>
      <c r="K922" s="584">
        <f t="shared" si="183"/>
        <v>315001</v>
      </c>
      <c r="L922" s="585" t="s">
        <v>857</v>
      </c>
      <c r="M922" s="585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26">
        <v>2</v>
      </c>
      <c r="AB922" s="576" t="str">
        <f>IF(VLOOKUP(F922,NXT!$C$12:$C$786,1,0)=F922,"","x")</f>
        <v/>
      </c>
    </row>
    <row r="923" spans="1:28" ht="15.75" customHeight="1">
      <c r="A923" s="827" t="str">
        <f>IF(B923&lt;&gt;"",IF(AND(B923&gt;=_TM1,B923&lt;=_TM2,OR(TH!L923="1111",TH!M923="1111")),TH!D923,""),"")</f>
        <v/>
      </c>
      <c r="B923" s="36">
        <f t="shared" si="181"/>
        <v>5</v>
      </c>
      <c r="C923" s="190">
        <f t="shared" si="182"/>
        <v>42505</v>
      </c>
      <c r="D923" s="37" t="s">
        <v>1635</v>
      </c>
      <c r="E923" s="190">
        <v>42505</v>
      </c>
      <c r="F923" s="292" t="s">
        <v>809</v>
      </c>
      <c r="G923" s="829" t="s">
        <v>855</v>
      </c>
      <c r="H923" s="192" t="s">
        <v>445</v>
      </c>
      <c r="I923" s="253">
        <v>48</v>
      </c>
      <c r="J923" s="253">
        <v>38518.699999999997</v>
      </c>
      <c r="K923" s="584">
        <f t="shared" si="183"/>
        <v>1848898</v>
      </c>
      <c r="L923" s="585" t="s">
        <v>857</v>
      </c>
      <c r="M923" s="585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26">
        <v>2</v>
      </c>
      <c r="AB923" s="576" t="str">
        <f>IF(VLOOKUP(F923,NXT!$C$12:$C$786,1,0)=F923,"","x")</f>
        <v/>
      </c>
    </row>
    <row r="924" spans="1:28" ht="15.75" customHeight="1">
      <c r="A924" s="827" t="str">
        <f>IF(B924&lt;&gt;"",IF(AND(B924&gt;=_TM1,B924&lt;=_TM2,OR(TH!L924="1111",TH!M924="1111")),TH!D924,""),"")</f>
        <v/>
      </c>
      <c r="B924" s="36">
        <f t="shared" si="181"/>
        <v>5</v>
      </c>
      <c r="C924" s="190">
        <f t="shared" si="182"/>
        <v>42505</v>
      </c>
      <c r="D924" s="37" t="s">
        <v>1635</v>
      </c>
      <c r="E924" s="190">
        <v>42505</v>
      </c>
      <c r="F924" s="292" t="s">
        <v>823</v>
      </c>
      <c r="G924" s="829" t="s">
        <v>855</v>
      </c>
      <c r="H924" s="192" t="s">
        <v>445</v>
      </c>
      <c r="I924" s="253">
        <v>3</v>
      </c>
      <c r="J924" s="253">
        <v>177495.15</v>
      </c>
      <c r="K924" s="584">
        <f t="shared" si="183"/>
        <v>532485</v>
      </c>
      <c r="L924" s="585" t="s">
        <v>857</v>
      </c>
      <c r="M924" s="585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26">
        <v>2</v>
      </c>
      <c r="AB924" s="576" t="str">
        <f>IF(VLOOKUP(F924,NXT!$C$12:$C$786,1,0)=F924,"","x")</f>
        <v/>
      </c>
    </row>
    <row r="925" spans="1:28" ht="15.75" customHeight="1">
      <c r="A925" s="827" t="str">
        <f>IF(B925&lt;&gt;"",IF(AND(B925&gt;=_TM1,B925&lt;=_TM2,OR(TH!L925="1111",TH!M925="1111")),TH!D925,""),"")</f>
        <v/>
      </c>
      <c r="B925" s="36">
        <f t="shared" si="181"/>
        <v>5</v>
      </c>
      <c r="C925" s="190">
        <f t="shared" si="182"/>
        <v>42505</v>
      </c>
      <c r="D925" s="37" t="s">
        <v>1635</v>
      </c>
      <c r="E925" s="190">
        <v>42505</v>
      </c>
      <c r="F925" s="188" t="s">
        <v>883</v>
      </c>
      <c r="G925" s="829" t="s">
        <v>855</v>
      </c>
      <c r="H925" s="192" t="s">
        <v>445</v>
      </c>
      <c r="I925" s="253">
        <v>7</v>
      </c>
      <c r="J925" s="253">
        <v>47006</v>
      </c>
      <c r="K925" s="584">
        <f t="shared" si="183"/>
        <v>329042</v>
      </c>
      <c r="L925" s="585" t="s">
        <v>857</v>
      </c>
      <c r="M925" s="585" t="s">
        <v>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26">
        <v>2</v>
      </c>
      <c r="AB925" s="576" t="str">
        <f>IF(VLOOKUP(F925,NXT!$C$12:$C$786,1,0)=F925,"","x")</f>
        <v/>
      </c>
    </row>
    <row r="926" spans="1:28" ht="15.75" customHeight="1">
      <c r="A926" s="827" t="str">
        <f>IF(B926&lt;&gt;"",IF(AND(B926&gt;=_TM1,B926&lt;=_TM2,OR(TH!L926="1111",TH!M926="1111")),TH!D926,""),"")</f>
        <v/>
      </c>
      <c r="B926" s="36">
        <f t="shared" si="181"/>
        <v>5</v>
      </c>
      <c r="C926" s="190">
        <f t="shared" si="182"/>
        <v>42505</v>
      </c>
      <c r="D926" s="37" t="s">
        <v>1635</v>
      </c>
      <c r="E926" s="190">
        <v>42505</v>
      </c>
      <c r="F926" s="191" t="s">
        <v>493</v>
      </c>
      <c r="G926" s="829" t="s">
        <v>855</v>
      </c>
      <c r="H926" s="192" t="s">
        <v>445</v>
      </c>
      <c r="I926" s="253">
        <v>4</v>
      </c>
      <c r="J926" s="253">
        <v>53114.5</v>
      </c>
      <c r="K926" s="584">
        <f t="shared" si="183"/>
        <v>212458</v>
      </c>
      <c r="L926" s="585" t="s">
        <v>857</v>
      </c>
      <c r="M926" s="585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26">
        <v>2</v>
      </c>
      <c r="AB926" s="576" t="str">
        <f>IF(VLOOKUP(F926,NXT!$C$12:$C$786,1,0)=F926,"","x")</f>
        <v/>
      </c>
    </row>
    <row r="927" spans="1:28" ht="15.75" customHeight="1">
      <c r="A927" s="827" t="str">
        <f>IF(B927&lt;&gt;"",IF(AND(B927&gt;=_TM1,B927&lt;=_TM2,OR(TH!L927="1111",TH!M927="1111")),TH!D927,""),"")</f>
        <v/>
      </c>
      <c r="B927" s="36">
        <f t="shared" si="181"/>
        <v>5</v>
      </c>
      <c r="C927" s="190">
        <f t="shared" si="182"/>
        <v>42505</v>
      </c>
      <c r="D927" s="37" t="s">
        <v>1635</v>
      </c>
      <c r="E927" s="190">
        <v>42505</v>
      </c>
      <c r="F927" s="191" t="s">
        <v>494</v>
      </c>
      <c r="G927" s="829" t="s">
        <v>855</v>
      </c>
      <c r="H927" s="192" t="s">
        <v>445</v>
      </c>
      <c r="I927" s="253">
        <v>10</v>
      </c>
      <c r="J927" s="253">
        <v>68276.5</v>
      </c>
      <c r="K927" s="584">
        <f t="shared" si="183"/>
        <v>682765</v>
      </c>
      <c r="L927" s="585" t="s">
        <v>857</v>
      </c>
      <c r="M927" s="585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26">
        <v>2</v>
      </c>
      <c r="AB927" s="576" t="str">
        <f>IF(VLOOKUP(F927,NXT!$C$12:$C$786,1,0)=F927,"","x")</f>
        <v/>
      </c>
    </row>
    <row r="928" spans="1:28" ht="15.75" customHeight="1">
      <c r="A928" s="827" t="str">
        <f>IF(B928&lt;&gt;"",IF(AND(B928&gt;=_TM1,B928&lt;=_TM2,OR(TH!L928="1111",TH!M928="1111")),TH!D928,""),"")</f>
        <v/>
      </c>
      <c r="B928" s="36">
        <f t="shared" si="181"/>
        <v>5</v>
      </c>
      <c r="C928" s="190">
        <f t="shared" si="182"/>
        <v>42505</v>
      </c>
      <c r="D928" s="37" t="s">
        <v>1635</v>
      </c>
      <c r="E928" s="190">
        <v>42505</v>
      </c>
      <c r="F928" s="191" t="s">
        <v>477</v>
      </c>
      <c r="G928" s="829" t="s">
        <v>855</v>
      </c>
      <c r="H928" s="192" t="s">
        <v>445</v>
      </c>
      <c r="I928" s="254">
        <v>170</v>
      </c>
      <c r="J928" s="254">
        <v>62802.6</v>
      </c>
      <c r="K928" s="584">
        <f t="shared" si="183"/>
        <v>10676442</v>
      </c>
      <c r="L928" s="585" t="s">
        <v>857</v>
      </c>
      <c r="M928" s="585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26">
        <v>2</v>
      </c>
      <c r="AB928" s="576" t="str">
        <f>IF(VLOOKUP(F928,NXT!$C$12:$C$786,1,0)=F928,"","x")</f>
        <v/>
      </c>
    </row>
    <row r="929" spans="1:28" ht="15.75" customHeight="1">
      <c r="A929" s="827" t="str">
        <f>IF(B929&lt;&gt;"",IF(AND(B929&gt;=_TM1,B929&lt;=_TM2,OR(TH!L929="1111",TH!M929="1111")),TH!D929,""),"")</f>
        <v/>
      </c>
      <c r="B929" s="36">
        <f t="shared" si="181"/>
        <v>5</v>
      </c>
      <c r="C929" s="190">
        <f t="shared" si="182"/>
        <v>42505</v>
      </c>
      <c r="D929" s="37" t="s">
        <v>1635</v>
      </c>
      <c r="E929" s="190">
        <v>42505</v>
      </c>
      <c r="F929" s="40" t="s">
        <v>723</v>
      </c>
      <c r="G929" s="829" t="s">
        <v>855</v>
      </c>
      <c r="H929" s="192" t="s">
        <v>445</v>
      </c>
      <c r="I929" s="253">
        <v>40</v>
      </c>
      <c r="J929" s="253">
        <v>73156.649999999994</v>
      </c>
      <c r="K929" s="584">
        <f t="shared" si="183"/>
        <v>2926266</v>
      </c>
      <c r="L929" s="585" t="s">
        <v>857</v>
      </c>
      <c r="M929" s="585" t="s">
        <v>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26">
        <v>2</v>
      </c>
      <c r="AB929" s="576" t="str">
        <f>IF(VLOOKUP(F929,NXT!$C$12:$C$786,1,0)=F929,"","x")</f>
        <v/>
      </c>
    </row>
    <row r="930" spans="1:28" ht="15.75" customHeight="1">
      <c r="A930" s="827" t="str">
        <f>IF(B930&lt;&gt;"",IF(AND(B930&gt;=_TM1,B930&lt;=_TM2,OR(TH!L930="1111",TH!M930="1111")),TH!D930,""),"")</f>
        <v/>
      </c>
      <c r="B930" s="36">
        <f t="shared" si="181"/>
        <v>5</v>
      </c>
      <c r="C930" s="190">
        <f t="shared" si="182"/>
        <v>42505</v>
      </c>
      <c r="D930" s="37" t="s">
        <v>1635</v>
      </c>
      <c r="E930" s="190">
        <v>42505</v>
      </c>
      <c r="F930" s="40" t="s">
        <v>724</v>
      </c>
      <c r="G930" s="829" t="s">
        <v>855</v>
      </c>
      <c r="H930" s="192" t="s">
        <v>445</v>
      </c>
      <c r="I930" s="253">
        <v>30</v>
      </c>
      <c r="J930" s="253">
        <v>23782.3</v>
      </c>
      <c r="K930" s="584">
        <f t="shared" si="183"/>
        <v>713469</v>
      </c>
      <c r="L930" s="585" t="s">
        <v>857</v>
      </c>
      <c r="M930" s="585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26">
        <v>2</v>
      </c>
      <c r="AB930" s="576" t="str">
        <f>IF(VLOOKUP(F930,NXT!$C$12:$C$786,1,0)=F930,"","x")</f>
        <v/>
      </c>
    </row>
    <row r="931" spans="1:28" ht="15.75" customHeight="1">
      <c r="A931" s="827" t="str">
        <f>IF(B931&lt;&gt;"",IF(AND(B931&gt;=_TM1,B931&lt;=_TM2,OR(TH!L931="1111",TH!M931="1111")),TH!D931,""),"")</f>
        <v/>
      </c>
      <c r="B931" s="36">
        <f t="shared" si="181"/>
        <v>5</v>
      </c>
      <c r="C931" s="190">
        <f t="shared" si="182"/>
        <v>42505</v>
      </c>
      <c r="D931" s="37" t="s">
        <v>1635</v>
      </c>
      <c r="E931" s="190">
        <v>42505</v>
      </c>
      <c r="F931" s="191" t="s">
        <v>724</v>
      </c>
      <c r="G931" s="829" t="s">
        <v>855</v>
      </c>
      <c r="H931" s="192" t="s">
        <v>445</v>
      </c>
      <c r="I931" s="253">
        <v>20</v>
      </c>
      <c r="J931" s="253">
        <v>23782.3</v>
      </c>
      <c r="K931" s="584">
        <f t="shared" si="183"/>
        <v>475646</v>
      </c>
      <c r="L931" s="585" t="s">
        <v>857</v>
      </c>
      <c r="M931" s="585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26">
        <v>2</v>
      </c>
      <c r="AB931" s="576" t="str">
        <f>IF(VLOOKUP(F931,NXT!$C$12:$C$786,1,0)=F931,"","x")</f>
        <v/>
      </c>
    </row>
    <row r="932" spans="1:28" ht="15.75" customHeight="1">
      <c r="A932" s="827" t="str">
        <f>IF(B932&lt;&gt;"",IF(AND(B932&gt;=_TM1,B932&lt;=_TM2,OR(TH!L932="1111",TH!M932="1111")),TH!D932,""),"")</f>
        <v/>
      </c>
      <c r="B932" s="36">
        <f t="shared" si="181"/>
        <v>5</v>
      </c>
      <c r="C932" s="190">
        <f t="shared" si="182"/>
        <v>42505</v>
      </c>
      <c r="D932" s="37" t="s">
        <v>1635</v>
      </c>
      <c r="E932" s="190">
        <v>42505</v>
      </c>
      <c r="F932" s="191" t="s">
        <v>725</v>
      </c>
      <c r="G932" s="829" t="s">
        <v>855</v>
      </c>
      <c r="H932" s="192" t="s">
        <v>445</v>
      </c>
      <c r="I932" s="253">
        <v>320</v>
      </c>
      <c r="J932" s="253">
        <v>18625.7</v>
      </c>
      <c r="K932" s="584">
        <f t="shared" si="183"/>
        <v>5960224</v>
      </c>
      <c r="L932" s="585" t="s">
        <v>857</v>
      </c>
      <c r="M932" s="585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26">
        <v>2</v>
      </c>
      <c r="AB932" s="576" t="str">
        <f>IF(VLOOKUP(F932,NXT!$C$12:$C$786,1,0)=F932,"","x")</f>
        <v/>
      </c>
    </row>
    <row r="933" spans="1:28" ht="15.75" customHeight="1">
      <c r="A933" s="827" t="str">
        <f>IF(B933&lt;&gt;"",IF(AND(B933&gt;=_TM1,B933&lt;=_TM2,OR(TH!L933="1111",TH!M933="1111")),TH!D933,""),"")</f>
        <v/>
      </c>
      <c r="B933" s="36">
        <f t="shared" si="181"/>
        <v>5</v>
      </c>
      <c r="C933" s="190">
        <f t="shared" si="182"/>
        <v>42505</v>
      </c>
      <c r="D933" s="37" t="s">
        <v>1635</v>
      </c>
      <c r="E933" s="190">
        <v>42505</v>
      </c>
      <c r="F933" s="191" t="s">
        <v>534</v>
      </c>
      <c r="G933" s="829" t="s">
        <v>855</v>
      </c>
      <c r="H933" s="192" t="s">
        <v>445</v>
      </c>
      <c r="I933" s="253">
        <v>20</v>
      </c>
      <c r="J933" s="253">
        <v>85763.15</v>
      </c>
      <c r="K933" s="584">
        <f t="shared" si="183"/>
        <v>1715263</v>
      </c>
      <c r="L933" s="585" t="s">
        <v>857</v>
      </c>
      <c r="M933" s="585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26">
        <v>2</v>
      </c>
      <c r="AB933" s="576" t="str">
        <f>IF(VLOOKUP(F933,NXT!$C$12:$C$786,1,0)=F933,"","x")</f>
        <v/>
      </c>
    </row>
    <row r="934" spans="1:28" ht="15.75" customHeight="1">
      <c r="A934" s="827" t="str">
        <f>IF(B934&lt;&gt;"",IF(AND(B934&gt;=_TM1,B934&lt;=_TM2,OR(TH!L934="1111",TH!M934="1111")),TH!D934,""),"")</f>
        <v/>
      </c>
      <c r="B934" s="36">
        <f t="shared" si="181"/>
        <v>5</v>
      </c>
      <c r="C934" s="190">
        <f t="shared" si="182"/>
        <v>42505</v>
      </c>
      <c r="D934" s="37" t="s">
        <v>1635</v>
      </c>
      <c r="E934" s="190">
        <v>42505</v>
      </c>
      <c r="F934" s="191" t="s">
        <v>535</v>
      </c>
      <c r="G934" s="829" t="s">
        <v>855</v>
      </c>
      <c r="H934" s="192" t="s">
        <v>445</v>
      </c>
      <c r="I934" s="253">
        <v>20</v>
      </c>
      <c r="J934" s="253">
        <v>46747.6</v>
      </c>
      <c r="K934" s="584">
        <f t="shared" si="183"/>
        <v>934952</v>
      </c>
      <c r="L934" s="585" t="s">
        <v>857</v>
      </c>
      <c r="M934" s="585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26">
        <v>2</v>
      </c>
      <c r="AB934" s="576" t="str">
        <f>IF(VLOOKUP(F934,NXT!$C$12:$C$786,1,0)=F934,"","x")</f>
        <v/>
      </c>
    </row>
    <row r="935" spans="1:28" ht="15.75" customHeight="1">
      <c r="A935" s="827" t="str">
        <f>IF(B935&lt;&gt;"",IF(AND(B935&gt;=_TM1,B935&lt;=_TM2,OR(TH!L935="1111",TH!M935="1111")),TH!D935,""),"")</f>
        <v/>
      </c>
      <c r="B935" s="36">
        <f t="shared" si="181"/>
        <v>5</v>
      </c>
      <c r="C935" s="190">
        <f t="shared" si="182"/>
        <v>42505</v>
      </c>
      <c r="D935" s="37" t="s">
        <v>1635</v>
      </c>
      <c r="E935" s="190">
        <v>42505</v>
      </c>
      <c r="F935" s="191" t="s">
        <v>813</v>
      </c>
      <c r="G935" s="829" t="s">
        <v>855</v>
      </c>
      <c r="H935" s="192" t="s">
        <v>445</v>
      </c>
      <c r="I935" s="253">
        <v>50</v>
      </c>
      <c r="J935" s="253">
        <v>46496.800000000003</v>
      </c>
      <c r="K935" s="584">
        <f t="shared" si="183"/>
        <v>2324840</v>
      </c>
      <c r="L935" s="585" t="s">
        <v>857</v>
      </c>
      <c r="M935" s="585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26">
        <v>2</v>
      </c>
      <c r="AB935" s="576" t="str">
        <f>IF(VLOOKUP(F935,NXT!$C$12:$C$786,1,0)=F935,"","x")</f>
        <v/>
      </c>
    </row>
    <row r="936" spans="1:28" ht="15.75" customHeight="1">
      <c r="A936" s="827" t="str">
        <f>IF(B936&lt;&gt;"",IF(AND(B936&gt;=_TM1,B936&lt;=_TM2,OR(TH!L936="1111",TH!M936="1111")),TH!D936,""),"")</f>
        <v/>
      </c>
      <c r="B936" s="36">
        <f t="shared" si="181"/>
        <v>5</v>
      </c>
      <c r="C936" s="190">
        <f t="shared" si="182"/>
        <v>42505</v>
      </c>
      <c r="D936" s="37" t="s">
        <v>1635</v>
      </c>
      <c r="E936" s="190">
        <v>42505</v>
      </c>
      <c r="F936" s="191" t="s">
        <v>813</v>
      </c>
      <c r="G936" s="829" t="s">
        <v>855</v>
      </c>
      <c r="H936" s="192" t="s">
        <v>445</v>
      </c>
      <c r="I936" s="253">
        <v>20</v>
      </c>
      <c r="J936" s="253">
        <v>46496.800000000003</v>
      </c>
      <c r="K936" s="584">
        <f t="shared" si="183"/>
        <v>929936</v>
      </c>
      <c r="L936" s="585" t="s">
        <v>857</v>
      </c>
      <c r="M936" s="585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26">
        <v>2</v>
      </c>
      <c r="AB936" s="576" t="str">
        <f>IF(VLOOKUP(F936,NXT!$C$12:$C$786,1,0)=F936,"","x")</f>
        <v/>
      </c>
    </row>
    <row r="937" spans="1:28" ht="15.75" customHeight="1">
      <c r="A937" s="827" t="str">
        <f>IF(B937&lt;&gt;"",IF(AND(B937&gt;=_TM1,B937&lt;=_TM2,OR(TH!L937="1111",TH!M937="1111")),TH!D937,""),"")</f>
        <v/>
      </c>
      <c r="B937" s="36">
        <f t="shared" si="181"/>
        <v>5</v>
      </c>
      <c r="C937" s="190">
        <f t="shared" si="182"/>
        <v>42505</v>
      </c>
      <c r="D937" s="37" t="s">
        <v>1635</v>
      </c>
      <c r="E937" s="190">
        <v>42505</v>
      </c>
      <c r="F937" s="191" t="s">
        <v>705</v>
      </c>
      <c r="G937" s="829" t="s">
        <v>855</v>
      </c>
      <c r="H937" s="192" t="s">
        <v>445</v>
      </c>
      <c r="I937" s="253">
        <v>12</v>
      </c>
      <c r="J937" s="253">
        <v>61944.75</v>
      </c>
      <c r="K937" s="584">
        <f t="shared" si="183"/>
        <v>743337</v>
      </c>
      <c r="L937" s="585" t="s">
        <v>857</v>
      </c>
      <c r="M937" s="585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26">
        <v>2</v>
      </c>
      <c r="AB937" s="576" t="str">
        <f>IF(VLOOKUP(F937,NXT!$C$12:$C$786,1,0)=F937,"","x")</f>
        <v/>
      </c>
    </row>
    <row r="938" spans="1:28" ht="15.75" customHeight="1">
      <c r="A938" s="827" t="str">
        <f>IF(B938&lt;&gt;"",IF(AND(B938&gt;=_TM1,B938&lt;=_TM2,OR(TH!L938="1111",TH!M938="1111")),TH!D938,""),"")</f>
        <v/>
      </c>
      <c r="B938" s="36">
        <f t="shared" si="181"/>
        <v>5</v>
      </c>
      <c r="C938" s="190">
        <f t="shared" si="182"/>
        <v>42505</v>
      </c>
      <c r="D938" s="37" t="s">
        <v>1635</v>
      </c>
      <c r="E938" s="190">
        <v>42505</v>
      </c>
      <c r="F938" s="191" t="s">
        <v>537</v>
      </c>
      <c r="G938" s="829" t="s">
        <v>855</v>
      </c>
      <c r="H938" s="192" t="s">
        <v>445</v>
      </c>
      <c r="I938" s="253">
        <v>48</v>
      </c>
      <c r="J938" s="253">
        <v>30042.799999999999</v>
      </c>
      <c r="K938" s="584">
        <f t="shared" ref="K938:K965" si="184">ROUND(I938*J938,0)</f>
        <v>1442054</v>
      </c>
      <c r="L938" s="585" t="s">
        <v>857</v>
      </c>
      <c r="M938" s="585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26">
        <v>2</v>
      </c>
      <c r="AB938" s="576" t="str">
        <f>IF(VLOOKUP(F938,NXT!$C$12:$C$786,1,0)=F938,"","x")</f>
        <v/>
      </c>
    </row>
    <row r="939" spans="1:28" ht="15.75" customHeight="1">
      <c r="A939" s="827" t="str">
        <f>IF(B939&lt;&gt;"",IF(AND(B939&gt;=_TM1,B939&lt;=_TM2,OR(TH!L939="1111",TH!M939="1111")),TH!D939,""),"")</f>
        <v/>
      </c>
      <c r="B939" s="36">
        <f t="shared" si="181"/>
        <v>5</v>
      </c>
      <c r="C939" s="190">
        <f t="shared" si="182"/>
        <v>42505</v>
      </c>
      <c r="D939" s="37" t="s">
        <v>1635</v>
      </c>
      <c r="E939" s="190">
        <v>42505</v>
      </c>
      <c r="F939" s="191" t="s">
        <v>538</v>
      </c>
      <c r="G939" s="829" t="s">
        <v>855</v>
      </c>
      <c r="H939" s="192" t="s">
        <v>445</v>
      </c>
      <c r="I939" s="253">
        <v>36</v>
      </c>
      <c r="J939" s="253">
        <v>67731.199999999997</v>
      </c>
      <c r="K939" s="584">
        <f t="shared" si="184"/>
        <v>2438323</v>
      </c>
      <c r="L939" s="585" t="s">
        <v>857</v>
      </c>
      <c r="M939" s="585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26">
        <v>2</v>
      </c>
      <c r="AB939" s="576" t="str">
        <f>IF(VLOOKUP(F939,NXT!$C$12:$C$786,1,0)=F939,"","x")</f>
        <v/>
      </c>
    </row>
    <row r="940" spans="1:28" ht="15.75" customHeight="1">
      <c r="A940" s="827" t="str">
        <f>IF(B940&lt;&gt;"",IF(AND(B940&gt;=_TM1,B940&lt;=_TM2,OR(TH!L940="1111",TH!M940="1111")),TH!D940,""),"")</f>
        <v/>
      </c>
      <c r="B940" s="36">
        <f t="shared" si="181"/>
        <v>5</v>
      </c>
      <c r="C940" s="190">
        <f t="shared" si="182"/>
        <v>42505</v>
      </c>
      <c r="D940" s="37" t="s">
        <v>1635</v>
      </c>
      <c r="E940" s="190">
        <v>42505</v>
      </c>
      <c r="F940" s="191" t="s">
        <v>824</v>
      </c>
      <c r="G940" s="829" t="s">
        <v>855</v>
      </c>
      <c r="H940" s="192" t="s">
        <v>445</v>
      </c>
      <c r="I940" s="253">
        <v>20</v>
      </c>
      <c r="J940" s="253">
        <v>35730.449999999997</v>
      </c>
      <c r="K940" s="584">
        <f t="shared" si="184"/>
        <v>714609</v>
      </c>
      <c r="L940" s="585" t="s">
        <v>857</v>
      </c>
      <c r="M940" s="585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26">
        <v>2</v>
      </c>
      <c r="AB940" s="576" t="str">
        <f>IF(VLOOKUP(F940,NXT!$C$12:$C$786,1,0)=F940,"","x")</f>
        <v/>
      </c>
    </row>
    <row r="941" spans="1:28" ht="15.75" customHeight="1">
      <c r="A941" s="827" t="str">
        <f>IF(B941&lt;&gt;"",IF(AND(B941&gt;=_TM1,B941&lt;=_TM2,OR(TH!L941="1111",TH!M941="1111")),TH!D941,""),"")</f>
        <v/>
      </c>
      <c r="B941" s="36">
        <f t="shared" si="181"/>
        <v>5</v>
      </c>
      <c r="C941" s="190">
        <f t="shared" si="182"/>
        <v>42505</v>
      </c>
      <c r="D941" s="37" t="s">
        <v>1635</v>
      </c>
      <c r="E941" s="190">
        <v>42505</v>
      </c>
      <c r="F941" s="191" t="s">
        <v>825</v>
      </c>
      <c r="G941" s="829" t="s">
        <v>855</v>
      </c>
      <c r="H941" s="192" t="s">
        <v>445</v>
      </c>
      <c r="I941" s="254">
        <v>36</v>
      </c>
      <c r="J941" s="254">
        <v>36695.65</v>
      </c>
      <c r="K941" s="584">
        <f t="shared" si="184"/>
        <v>1321043</v>
      </c>
      <c r="L941" s="585" t="s">
        <v>857</v>
      </c>
      <c r="M941" s="585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26">
        <v>2</v>
      </c>
      <c r="AB941" s="576" t="str">
        <f>IF(VLOOKUP(F941,NXT!$C$12:$C$786,1,0)=F941,"","x")</f>
        <v/>
      </c>
    </row>
    <row r="942" spans="1:28" ht="15.75" customHeight="1">
      <c r="A942" s="827" t="str">
        <f>IF(B942&lt;&gt;"",IF(AND(B942&gt;=_TM1,B942&lt;=_TM2,OR(TH!L942="1111",TH!M942="1111")),TH!D942,""),"")</f>
        <v/>
      </c>
      <c r="B942" s="36">
        <f t="shared" si="181"/>
        <v>5</v>
      </c>
      <c r="C942" s="190">
        <f t="shared" si="182"/>
        <v>42505</v>
      </c>
      <c r="D942" s="37" t="s">
        <v>1635</v>
      </c>
      <c r="E942" s="190">
        <v>42505</v>
      </c>
      <c r="F942" s="191" t="s">
        <v>707</v>
      </c>
      <c r="G942" s="829" t="s">
        <v>855</v>
      </c>
      <c r="H942" s="192" t="s">
        <v>445</v>
      </c>
      <c r="I942" s="253">
        <v>18</v>
      </c>
      <c r="J942" s="253">
        <v>115869.6</v>
      </c>
      <c r="K942" s="584">
        <f t="shared" si="184"/>
        <v>2085653</v>
      </c>
      <c r="L942" s="585" t="s">
        <v>857</v>
      </c>
      <c r="M942" s="585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26">
        <v>2</v>
      </c>
      <c r="AB942" s="576" t="str">
        <f>IF(VLOOKUP(F942,NXT!$C$12:$C$786,1,0)=F942,"","x")</f>
        <v/>
      </c>
    </row>
    <row r="943" spans="1:28" ht="15.75" customHeight="1">
      <c r="A943" s="827" t="str">
        <f>IF(B943&lt;&gt;"",IF(AND(B943&gt;=_TM1,B943&lt;=_TM2,OR(TH!L943="1111",TH!M943="1111")),TH!D943,""),"")</f>
        <v/>
      </c>
      <c r="B943" s="36">
        <f t="shared" si="181"/>
        <v>5</v>
      </c>
      <c r="C943" s="190">
        <f t="shared" si="182"/>
        <v>42505</v>
      </c>
      <c r="D943" s="37" t="s">
        <v>1635</v>
      </c>
      <c r="E943" s="190">
        <v>42505</v>
      </c>
      <c r="F943" s="191" t="s">
        <v>708</v>
      </c>
      <c r="G943" s="829" t="s">
        <v>855</v>
      </c>
      <c r="H943" s="192" t="s">
        <v>445</v>
      </c>
      <c r="I943" s="253">
        <v>46</v>
      </c>
      <c r="J943" s="253">
        <v>48572.55</v>
      </c>
      <c r="K943" s="584">
        <f t="shared" si="184"/>
        <v>2234337</v>
      </c>
      <c r="L943" s="585" t="s">
        <v>857</v>
      </c>
      <c r="M943" s="585" t="s">
        <v>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26">
        <v>2</v>
      </c>
      <c r="AB943" s="576" t="str">
        <f>IF(VLOOKUP(F943,NXT!$C$12:$C$786,1,0)=F943,"","x")</f>
        <v/>
      </c>
    </row>
    <row r="944" spans="1:28" ht="15.75" customHeight="1">
      <c r="A944" s="827" t="str">
        <f>IF(B944&lt;&gt;"",IF(AND(B944&gt;=_TM1,B944&lt;=_TM2,OR(TH!L944="1111",TH!M944="1111")),TH!D944,""),"")</f>
        <v/>
      </c>
      <c r="B944" s="36">
        <f t="shared" si="181"/>
        <v>5</v>
      </c>
      <c r="C944" s="190">
        <f t="shared" si="182"/>
        <v>42505</v>
      </c>
      <c r="D944" s="37" t="s">
        <v>1635</v>
      </c>
      <c r="E944" s="190">
        <v>42505</v>
      </c>
      <c r="F944" s="191" t="s">
        <v>709</v>
      </c>
      <c r="G944" s="829" t="s">
        <v>855</v>
      </c>
      <c r="H944" s="192" t="s">
        <v>445</v>
      </c>
      <c r="I944" s="254">
        <v>12</v>
      </c>
      <c r="J944" s="254">
        <v>114373.35</v>
      </c>
      <c r="K944" s="584">
        <f t="shared" si="184"/>
        <v>1372480</v>
      </c>
      <c r="L944" s="585" t="s">
        <v>857</v>
      </c>
      <c r="M944" s="585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26">
        <v>2</v>
      </c>
      <c r="AB944" s="576" t="str">
        <f>IF(VLOOKUP(F944,NXT!$C$12:$C$786,1,0)=F944,"","x")</f>
        <v/>
      </c>
    </row>
    <row r="945" spans="1:28" ht="15.75" customHeight="1">
      <c r="A945" s="827" t="str">
        <f>IF(B945&lt;&gt;"",IF(AND(B945&gt;=_TM1,B945&lt;=_TM2,OR(TH!L945="1111",TH!M945="1111")),TH!D945,""),"")</f>
        <v/>
      </c>
      <c r="B945" s="36">
        <f t="shared" si="181"/>
        <v>5</v>
      </c>
      <c r="C945" s="190">
        <f t="shared" si="182"/>
        <v>42505</v>
      </c>
      <c r="D945" s="37" t="s">
        <v>1635</v>
      </c>
      <c r="E945" s="190">
        <v>42505</v>
      </c>
      <c r="F945" s="191" t="s">
        <v>525</v>
      </c>
      <c r="G945" s="829" t="s">
        <v>855</v>
      </c>
      <c r="H945" s="192" t="s">
        <v>445</v>
      </c>
      <c r="I945" s="253">
        <v>198</v>
      </c>
      <c r="J945" s="253">
        <v>16721.900000000001</v>
      </c>
      <c r="K945" s="584">
        <f t="shared" si="184"/>
        <v>3310936</v>
      </c>
      <c r="L945" s="585" t="s">
        <v>857</v>
      </c>
      <c r="M945" s="585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26">
        <v>2</v>
      </c>
      <c r="AB945" s="576" t="str">
        <f>IF(VLOOKUP(F945,NXT!$C$12:$C$786,1,0)=F945,"","x")</f>
        <v/>
      </c>
    </row>
    <row r="946" spans="1:28" ht="15.75" customHeight="1">
      <c r="A946" s="827" t="str">
        <f>IF(B946&lt;&gt;"",IF(AND(B946&gt;=_TM1,B946&lt;=_TM2,OR(TH!L946="1111",TH!M946="1111")),TH!D946,""),"")</f>
        <v/>
      </c>
      <c r="B946" s="36">
        <f t="shared" si="181"/>
        <v>5</v>
      </c>
      <c r="C946" s="190">
        <f t="shared" si="182"/>
        <v>42505</v>
      </c>
      <c r="D946" s="37" t="s">
        <v>1635</v>
      </c>
      <c r="E946" s="190">
        <v>42505</v>
      </c>
      <c r="F946" s="191" t="s">
        <v>711</v>
      </c>
      <c r="G946" s="829" t="s">
        <v>855</v>
      </c>
      <c r="H946" s="192" t="s">
        <v>445</v>
      </c>
      <c r="I946" s="253">
        <v>54</v>
      </c>
      <c r="J946" s="253">
        <v>17347</v>
      </c>
      <c r="K946" s="584">
        <f t="shared" si="184"/>
        <v>936738</v>
      </c>
      <c r="L946" s="585" t="s">
        <v>857</v>
      </c>
      <c r="M946" s="585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26">
        <v>2</v>
      </c>
      <c r="AB946" s="576" t="str">
        <f>IF(VLOOKUP(F946,NXT!$C$12:$C$786,1,0)=F946,"","x")</f>
        <v/>
      </c>
    </row>
    <row r="947" spans="1:28" ht="15.75" customHeight="1">
      <c r="A947" s="827" t="str">
        <f>IF(B947&lt;&gt;"",IF(AND(B947&gt;=_TM1,B947&lt;=_TM2,OR(TH!L947="1111",TH!M947="1111")),TH!D947,""),"")</f>
        <v/>
      </c>
      <c r="B947" s="36">
        <f t="shared" si="181"/>
        <v>5</v>
      </c>
      <c r="C947" s="190">
        <f t="shared" si="182"/>
        <v>42505</v>
      </c>
      <c r="D947" s="37" t="s">
        <v>1635</v>
      </c>
      <c r="E947" s="190">
        <v>42505</v>
      </c>
      <c r="F947" s="191" t="s">
        <v>805</v>
      </c>
      <c r="G947" s="829" t="s">
        <v>855</v>
      </c>
      <c r="H947" s="192" t="s">
        <v>445</v>
      </c>
      <c r="I947" s="253">
        <v>24</v>
      </c>
      <c r="J947" s="253">
        <v>20402.2</v>
      </c>
      <c r="K947" s="584">
        <f t="shared" si="184"/>
        <v>489653</v>
      </c>
      <c r="L947" s="585" t="s">
        <v>857</v>
      </c>
      <c r="M947" s="585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26">
        <v>2</v>
      </c>
      <c r="AB947" s="576" t="str">
        <f>IF(VLOOKUP(F947,NXT!$C$12:$C$786,1,0)=F947,"","x")</f>
        <v/>
      </c>
    </row>
    <row r="948" spans="1:28" ht="15.75" customHeight="1">
      <c r="A948" s="827" t="str">
        <f>IF(B948&lt;&gt;"",IF(AND(B948&gt;=_TM1,B948&lt;=_TM2,OR(TH!L948="1111",TH!M948="1111")),TH!D948,""),"")</f>
        <v/>
      </c>
      <c r="B948" s="36">
        <f t="shared" si="181"/>
        <v>5</v>
      </c>
      <c r="C948" s="190">
        <f t="shared" si="182"/>
        <v>42505</v>
      </c>
      <c r="D948" s="37" t="s">
        <v>1635</v>
      </c>
      <c r="E948" s="190">
        <v>42505</v>
      </c>
      <c r="F948" s="191" t="s">
        <v>511</v>
      </c>
      <c r="G948" s="829" t="s">
        <v>855</v>
      </c>
      <c r="H948" s="192" t="s">
        <v>445</v>
      </c>
      <c r="I948" s="253">
        <v>48</v>
      </c>
      <c r="J948" s="253">
        <v>28764.1</v>
      </c>
      <c r="K948" s="584">
        <f t="shared" si="184"/>
        <v>1380677</v>
      </c>
      <c r="L948" s="585" t="s">
        <v>857</v>
      </c>
      <c r="M948" s="585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26">
        <v>2</v>
      </c>
      <c r="AB948" s="576" t="str">
        <f>IF(VLOOKUP(F948,NXT!$C$12:$C$786,1,0)=F948,"","x")</f>
        <v/>
      </c>
    </row>
    <row r="949" spans="1:28" ht="15.75" customHeight="1">
      <c r="A949" s="827" t="str">
        <f>IF(B949&lt;&gt;"",IF(AND(B949&gt;=_TM1,B949&lt;=_TM2,OR(TH!L949="1111",TH!M949="1111")),TH!D949,""),"")</f>
        <v/>
      </c>
      <c r="B949" s="36">
        <f t="shared" si="181"/>
        <v>5</v>
      </c>
      <c r="C949" s="190">
        <f t="shared" si="182"/>
        <v>42505</v>
      </c>
      <c r="D949" s="37" t="s">
        <v>1635</v>
      </c>
      <c r="E949" s="190">
        <v>42505</v>
      </c>
      <c r="F949" s="40" t="s">
        <v>699</v>
      </c>
      <c r="G949" s="829" t="s">
        <v>855</v>
      </c>
      <c r="H949" s="192" t="s">
        <v>445</v>
      </c>
      <c r="I949" s="253">
        <v>24</v>
      </c>
      <c r="J949" s="253">
        <v>13985.9</v>
      </c>
      <c r="K949" s="584">
        <f t="shared" si="184"/>
        <v>335662</v>
      </c>
      <c r="L949" s="585" t="s">
        <v>857</v>
      </c>
      <c r="M949" s="585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26">
        <v>2</v>
      </c>
      <c r="AB949" s="576" t="str">
        <f>IF(VLOOKUP(F949,NXT!$C$12:$C$786,1,0)=F949,"","x")</f>
        <v/>
      </c>
    </row>
    <row r="950" spans="1:28" ht="15.75" customHeight="1">
      <c r="A950" s="827" t="str">
        <f>IF(B950&lt;&gt;"",IF(AND(B950&gt;=_TM1,B950&lt;=_TM2,OR(TH!L950="1111",TH!M950="1111")),TH!D950,""),"")</f>
        <v/>
      </c>
      <c r="B950" s="36">
        <f t="shared" si="181"/>
        <v>5</v>
      </c>
      <c r="C950" s="190">
        <f t="shared" si="182"/>
        <v>42505</v>
      </c>
      <c r="D950" s="37" t="s">
        <v>1635</v>
      </c>
      <c r="E950" s="190">
        <v>42505</v>
      </c>
      <c r="F950" s="40" t="s">
        <v>552</v>
      </c>
      <c r="G950" s="829" t="s">
        <v>855</v>
      </c>
      <c r="H950" s="192" t="s">
        <v>445</v>
      </c>
      <c r="I950" s="253">
        <v>48</v>
      </c>
      <c r="J950" s="253">
        <v>32851</v>
      </c>
      <c r="K950" s="584">
        <f t="shared" si="184"/>
        <v>1576848</v>
      </c>
      <c r="L950" s="585" t="s">
        <v>857</v>
      </c>
      <c r="M950" s="585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26">
        <v>2</v>
      </c>
      <c r="AB950" s="576" t="str">
        <f>IF(VLOOKUP(F950,NXT!$C$12:$C$786,1,0)=F950,"","x")</f>
        <v/>
      </c>
    </row>
    <row r="951" spans="1:28" ht="15.75" customHeight="1">
      <c r="A951" s="827" t="str">
        <f>IF(B951&lt;&gt;"",IF(AND(B951&gt;=_TM1,B951&lt;=_TM2,OR(TH!L951="1111",TH!M951="1111")),TH!D951,""),"")</f>
        <v/>
      </c>
      <c r="B951" s="36">
        <f t="shared" si="181"/>
        <v>5</v>
      </c>
      <c r="C951" s="190">
        <f t="shared" si="182"/>
        <v>42505</v>
      </c>
      <c r="D951" s="37" t="s">
        <v>1635</v>
      </c>
      <c r="E951" s="190">
        <v>42505</v>
      </c>
      <c r="F951" s="40" t="s">
        <v>553</v>
      </c>
      <c r="G951" s="829" t="s">
        <v>855</v>
      </c>
      <c r="H951" s="192" t="s">
        <v>445</v>
      </c>
      <c r="I951" s="253">
        <v>48</v>
      </c>
      <c r="J951" s="253">
        <v>37168.75</v>
      </c>
      <c r="K951" s="584">
        <f t="shared" si="184"/>
        <v>1784100</v>
      </c>
      <c r="L951" s="585" t="s">
        <v>857</v>
      </c>
      <c r="M951" s="585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26">
        <v>2</v>
      </c>
      <c r="AB951" s="576" t="str">
        <f>IF(VLOOKUP(F951,NXT!$C$12:$C$786,1,0)=F951,"","x")</f>
        <v/>
      </c>
    </row>
    <row r="952" spans="1:28" ht="15.75" customHeight="1">
      <c r="A952" s="827" t="str">
        <f>IF(B952&lt;&gt;"",IF(AND(B952&gt;=_TM1,B952&lt;=_TM2,OR(TH!L952="1111",TH!M952="1111")),TH!D952,""),"")</f>
        <v/>
      </c>
      <c r="B952" s="36">
        <f t="shared" si="181"/>
        <v>5</v>
      </c>
      <c r="C952" s="190">
        <f t="shared" si="182"/>
        <v>42505</v>
      </c>
      <c r="D952" s="37" t="s">
        <v>1635</v>
      </c>
      <c r="E952" s="190">
        <v>42505</v>
      </c>
      <c r="F952" s="40" t="s">
        <v>525</v>
      </c>
      <c r="G952" s="829" t="s">
        <v>855</v>
      </c>
      <c r="H952" s="192" t="s">
        <v>445</v>
      </c>
      <c r="I952" s="253">
        <v>36</v>
      </c>
      <c r="J952" s="253">
        <v>16721.900000000001</v>
      </c>
      <c r="K952" s="584">
        <f t="shared" si="184"/>
        <v>601988</v>
      </c>
      <c r="L952" s="585" t="s">
        <v>857</v>
      </c>
      <c r="M952" s="585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26">
        <v>2</v>
      </c>
      <c r="AB952" s="576" t="str">
        <f>IF(VLOOKUP(F952,NXT!$C$12:$C$786,1,0)=F952,"","x")</f>
        <v/>
      </c>
    </row>
    <row r="953" spans="1:28" ht="15.75" customHeight="1">
      <c r="A953" s="827" t="str">
        <f>IF(B953&lt;&gt;"",IF(AND(B953&gt;=_TM1,B953&lt;=_TM2,OR(TH!L953="1111",TH!M953="1111")),TH!D953,""),"")</f>
        <v/>
      </c>
      <c r="B953" s="36">
        <f t="shared" si="181"/>
        <v>5</v>
      </c>
      <c r="C953" s="190">
        <f t="shared" si="182"/>
        <v>42505</v>
      </c>
      <c r="D953" s="37" t="s">
        <v>1635</v>
      </c>
      <c r="E953" s="190">
        <v>42505</v>
      </c>
      <c r="F953" s="40" t="s">
        <v>700</v>
      </c>
      <c r="G953" s="829" t="s">
        <v>855</v>
      </c>
      <c r="H953" s="192" t="s">
        <v>445</v>
      </c>
      <c r="I953" s="253">
        <v>36</v>
      </c>
      <c r="J953" s="253">
        <v>19733.400000000001</v>
      </c>
      <c r="K953" s="584">
        <f t="shared" si="184"/>
        <v>710402</v>
      </c>
      <c r="L953" s="585" t="s">
        <v>857</v>
      </c>
      <c r="M953" s="585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26">
        <v>2</v>
      </c>
      <c r="AB953" s="576" t="str">
        <f>IF(VLOOKUP(F953,NXT!$C$12:$C$786,1,0)=F953,"","x")</f>
        <v/>
      </c>
    </row>
    <row r="954" spans="1:28" ht="15.75" customHeight="1">
      <c r="A954" s="827" t="str">
        <f>IF(B954&lt;&gt;"",IF(AND(B954&gt;=_TM1,B954&lt;=_TM2,OR(TH!L954="1111",TH!M954="1111")),TH!D954,""),"")</f>
        <v/>
      </c>
      <c r="B954" s="36">
        <f t="shared" si="181"/>
        <v>5</v>
      </c>
      <c r="C954" s="190">
        <f t="shared" si="182"/>
        <v>42505</v>
      </c>
      <c r="D954" s="37" t="s">
        <v>1635</v>
      </c>
      <c r="E954" s="190">
        <v>42505</v>
      </c>
      <c r="F954" s="40" t="s">
        <v>814</v>
      </c>
      <c r="G954" s="829" t="s">
        <v>855</v>
      </c>
      <c r="H954" s="192" t="s">
        <v>445</v>
      </c>
      <c r="I954" s="253">
        <v>24</v>
      </c>
      <c r="J954" s="253">
        <v>20153.3</v>
      </c>
      <c r="K954" s="584">
        <f t="shared" si="184"/>
        <v>483679</v>
      </c>
      <c r="L954" s="585" t="s">
        <v>857</v>
      </c>
      <c r="M954" s="585" t="s">
        <v>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26">
        <v>2</v>
      </c>
      <c r="AB954" s="576" t="str">
        <f>IF(VLOOKUP(F954,NXT!$C$12:$C$786,1,0)=F954,"","x")</f>
        <v/>
      </c>
    </row>
    <row r="955" spans="1:28" ht="15.75" customHeight="1">
      <c r="A955" s="827" t="str">
        <f>IF(B955&lt;&gt;"",IF(AND(B955&gt;=_TM1,B955&lt;=_TM2,OR(TH!L955="1111",TH!M955="1111")),TH!D955,""),"")</f>
        <v/>
      </c>
      <c r="B955" s="36">
        <f t="shared" si="181"/>
        <v>5</v>
      </c>
      <c r="C955" s="190">
        <f t="shared" si="182"/>
        <v>42505</v>
      </c>
      <c r="D955" s="37" t="s">
        <v>1635</v>
      </c>
      <c r="E955" s="190">
        <v>42505</v>
      </c>
      <c r="F955" s="40" t="s">
        <v>826</v>
      </c>
      <c r="G955" s="829" t="s">
        <v>855</v>
      </c>
      <c r="H955" s="192" t="s">
        <v>445</v>
      </c>
      <c r="I955" s="253">
        <v>24</v>
      </c>
      <c r="J955" s="253">
        <v>44464.75</v>
      </c>
      <c r="K955" s="584">
        <f t="shared" si="184"/>
        <v>1067154</v>
      </c>
      <c r="L955" s="585" t="s">
        <v>857</v>
      </c>
      <c r="M955" s="585" t="s">
        <v>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26">
        <v>2</v>
      </c>
      <c r="AB955" s="576" t="str">
        <f>IF(VLOOKUP(F955,NXT!$C$12:$C$786,1,0)=F955,"","x")</f>
        <v/>
      </c>
    </row>
    <row r="956" spans="1:28" ht="15.75" customHeight="1">
      <c r="A956" s="827" t="str">
        <f>IF(B956&lt;&gt;"",IF(AND(B956&gt;=_TM1,B956&lt;=_TM2,OR(TH!L956="1111",TH!M956="1111")),TH!D956,""),"")</f>
        <v/>
      </c>
      <c r="B956" s="36">
        <f t="shared" si="181"/>
        <v>5</v>
      </c>
      <c r="C956" s="190">
        <f t="shared" si="182"/>
        <v>42505</v>
      </c>
      <c r="D956" s="37" t="s">
        <v>1635</v>
      </c>
      <c r="E956" s="190">
        <v>42505</v>
      </c>
      <c r="F956" s="40" t="s">
        <v>806</v>
      </c>
      <c r="G956" s="829" t="s">
        <v>855</v>
      </c>
      <c r="H956" s="192" t="s">
        <v>445</v>
      </c>
      <c r="I956" s="253">
        <v>36</v>
      </c>
      <c r="J956" s="253">
        <v>30887.35</v>
      </c>
      <c r="K956" s="584">
        <f t="shared" si="184"/>
        <v>1111945</v>
      </c>
      <c r="L956" s="585" t="s">
        <v>857</v>
      </c>
      <c r="M956" s="585" t="s">
        <v>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26">
        <v>2</v>
      </c>
      <c r="AB956" s="576" t="str">
        <f>IF(VLOOKUP(F956,NXT!$C$12:$C$786,1,0)=F956,"","x")</f>
        <v/>
      </c>
    </row>
    <row r="957" spans="1:28" ht="15.75" customHeight="1">
      <c r="A957" s="827" t="str">
        <f>IF(B957&lt;&gt;"",IF(AND(B957&gt;=_TM1,B957&lt;=_TM2,OR(TH!L957="1111",TH!M957="1111")),TH!D957,""),"")</f>
        <v/>
      </c>
      <c r="B957" s="36">
        <f t="shared" si="181"/>
        <v>5</v>
      </c>
      <c r="C957" s="190">
        <f t="shared" si="182"/>
        <v>42505</v>
      </c>
      <c r="D957" s="37" t="s">
        <v>1635</v>
      </c>
      <c r="E957" s="190">
        <v>42505</v>
      </c>
      <c r="F957" s="40" t="s">
        <v>552</v>
      </c>
      <c r="G957" s="829" t="s">
        <v>855</v>
      </c>
      <c r="H957" s="192" t="s">
        <v>445</v>
      </c>
      <c r="I957" s="253">
        <v>36</v>
      </c>
      <c r="J957" s="253">
        <v>32851</v>
      </c>
      <c r="K957" s="584">
        <f t="shared" si="184"/>
        <v>1182636</v>
      </c>
      <c r="L957" s="585" t="s">
        <v>857</v>
      </c>
      <c r="M957" s="585" t="s">
        <v>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26">
        <v>2</v>
      </c>
      <c r="AB957" s="576" t="str">
        <f>IF(VLOOKUP(F957,NXT!$C$12:$C$786,1,0)=F957,"","x")</f>
        <v/>
      </c>
    </row>
    <row r="958" spans="1:28" ht="15.75" customHeight="1">
      <c r="A958" s="827" t="str">
        <f>IF(B958&lt;&gt;"",IF(AND(B958&gt;=_TM1,B958&lt;=_TM2,OR(TH!L958="1111",TH!M958="1111")),TH!D958,""),"")</f>
        <v/>
      </c>
      <c r="B958" s="36">
        <f t="shared" si="181"/>
        <v>5</v>
      </c>
      <c r="C958" s="190">
        <f t="shared" si="182"/>
        <v>42505</v>
      </c>
      <c r="D958" s="37" t="s">
        <v>1635</v>
      </c>
      <c r="E958" s="190">
        <v>42505</v>
      </c>
      <c r="F958" s="40" t="s">
        <v>559</v>
      </c>
      <c r="G958" s="829" t="s">
        <v>855</v>
      </c>
      <c r="H958" s="192" t="s">
        <v>445</v>
      </c>
      <c r="I958" s="253">
        <v>24</v>
      </c>
      <c r="J958" s="253">
        <v>44421.05</v>
      </c>
      <c r="K958" s="584">
        <f t="shared" si="184"/>
        <v>1066105</v>
      </c>
      <c r="L958" s="585" t="s">
        <v>857</v>
      </c>
      <c r="M958" s="585" t="s">
        <v>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26">
        <v>2</v>
      </c>
      <c r="AB958" s="576" t="str">
        <f>IF(VLOOKUP(F958,NXT!$C$12:$C$786,1,0)=F958,"","x")</f>
        <v/>
      </c>
    </row>
    <row r="959" spans="1:28" ht="15.75" customHeight="1">
      <c r="A959" s="827" t="str">
        <f>IF(B959&lt;&gt;"",IF(AND(B959&gt;=_TM1,B959&lt;=_TM2,OR(TH!L959="1111",TH!M959="1111")),TH!D959,""),"")</f>
        <v/>
      </c>
      <c r="B959" s="36">
        <f t="shared" si="181"/>
        <v>5</v>
      </c>
      <c r="C959" s="190">
        <f t="shared" si="182"/>
        <v>42505</v>
      </c>
      <c r="D959" s="37" t="s">
        <v>1635</v>
      </c>
      <c r="E959" s="190">
        <v>42505</v>
      </c>
      <c r="F959" s="40" t="s">
        <v>807</v>
      </c>
      <c r="G959" s="829" t="s">
        <v>855</v>
      </c>
      <c r="H959" s="192" t="s">
        <v>445</v>
      </c>
      <c r="I959" s="253">
        <v>24</v>
      </c>
      <c r="J959" s="253">
        <v>7564.85</v>
      </c>
      <c r="K959" s="584">
        <f t="shared" si="184"/>
        <v>181556</v>
      </c>
      <c r="L959" s="585" t="s">
        <v>857</v>
      </c>
      <c r="M959" s="585" t="s">
        <v>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26">
        <v>2</v>
      </c>
      <c r="AB959" s="576" t="str">
        <f>IF(VLOOKUP(F959,NXT!$C$12:$C$786,1,0)=F959,"","x")</f>
        <v/>
      </c>
    </row>
    <row r="960" spans="1:28" ht="15.75" customHeight="1">
      <c r="A960" s="827" t="str">
        <f>IF(B960&lt;&gt;"",IF(AND(B960&gt;=_TM1,B960&lt;=_TM2,OR(TH!L960="1111",TH!M960="1111")),TH!D960,""),"")</f>
        <v/>
      </c>
      <c r="B960" s="36">
        <f t="shared" si="181"/>
        <v>5</v>
      </c>
      <c r="C960" s="190">
        <f t="shared" si="182"/>
        <v>42505</v>
      </c>
      <c r="D960" s="37" t="s">
        <v>1635</v>
      </c>
      <c r="E960" s="190">
        <v>42505</v>
      </c>
      <c r="F960" s="40" t="s">
        <v>808</v>
      </c>
      <c r="G960" s="829" t="s">
        <v>855</v>
      </c>
      <c r="H960" s="192" t="s">
        <v>445</v>
      </c>
      <c r="I960" s="253">
        <v>18</v>
      </c>
      <c r="J960" s="253">
        <v>11253.7</v>
      </c>
      <c r="K960" s="584">
        <f t="shared" si="184"/>
        <v>202567</v>
      </c>
      <c r="L960" s="585" t="s">
        <v>857</v>
      </c>
      <c r="M960" s="585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26">
        <v>2</v>
      </c>
      <c r="AB960" s="576" t="str">
        <f>IF(VLOOKUP(F960,NXT!$C$12:$C$786,1,0)=F960,"","x")</f>
        <v/>
      </c>
    </row>
    <row r="961" spans="1:30" ht="15.75" customHeight="1">
      <c r="A961" s="827" t="str">
        <f>IF(B961&lt;&gt;"",IF(AND(B961&gt;=_TM1,B961&lt;=_TM2,OR(TH!L961="1111",TH!M961="1111")),TH!D961,""),"")</f>
        <v/>
      </c>
      <c r="B961" s="36">
        <f t="shared" si="181"/>
        <v>5</v>
      </c>
      <c r="C961" s="190">
        <f t="shared" si="182"/>
        <v>42505</v>
      </c>
      <c r="D961" s="37" t="s">
        <v>1635</v>
      </c>
      <c r="E961" s="190">
        <v>42505</v>
      </c>
      <c r="F961" s="40" t="s">
        <v>503</v>
      </c>
      <c r="G961" s="829" t="s">
        <v>855</v>
      </c>
      <c r="H961" s="192" t="s">
        <v>445</v>
      </c>
      <c r="I961" s="253">
        <v>10</v>
      </c>
      <c r="J961" s="253">
        <v>40027.300000000003</v>
      </c>
      <c r="K961" s="584">
        <f t="shared" si="184"/>
        <v>400273</v>
      </c>
      <c r="L961" s="585" t="s">
        <v>857</v>
      </c>
      <c r="M961" s="585" t="s">
        <v>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26">
        <v>2</v>
      </c>
      <c r="AB961" s="576" t="str">
        <f>IF(VLOOKUP(F961,NXT!$C$12:$C$786,1,0)=F961,"","x")</f>
        <v/>
      </c>
    </row>
    <row r="962" spans="1:30" ht="15.75" customHeight="1">
      <c r="A962" s="827" t="str">
        <f>IF(B962&lt;&gt;"",IF(AND(B962&gt;=_TM1,B962&lt;=_TM2,OR(TH!L962="1111",TH!M962="1111")),TH!D962,""),"")</f>
        <v/>
      </c>
      <c r="B962" s="36">
        <f t="shared" si="181"/>
        <v>5</v>
      </c>
      <c r="C962" s="190">
        <f t="shared" si="182"/>
        <v>42505</v>
      </c>
      <c r="D962" s="37" t="s">
        <v>1635</v>
      </c>
      <c r="E962" s="190">
        <v>42505</v>
      </c>
      <c r="F962" s="40" t="s">
        <v>810</v>
      </c>
      <c r="G962" s="829" t="s">
        <v>855</v>
      </c>
      <c r="H962" s="192" t="s">
        <v>445</v>
      </c>
      <c r="I962" s="253">
        <v>16</v>
      </c>
      <c r="J962" s="253">
        <v>30930.1</v>
      </c>
      <c r="K962" s="584">
        <f t="shared" si="184"/>
        <v>494882</v>
      </c>
      <c r="L962" s="585" t="s">
        <v>857</v>
      </c>
      <c r="M962" s="585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26">
        <v>2</v>
      </c>
      <c r="AB962" s="576" t="str">
        <f>IF(VLOOKUP(F962,NXT!$C$12:$C$786,1,0)=F962,"","x")</f>
        <v/>
      </c>
    </row>
    <row r="963" spans="1:30" ht="15.75" customHeight="1">
      <c r="A963" s="827" t="str">
        <f>IF(B963&lt;&gt;"",IF(AND(B963&gt;=_TM1,B963&lt;=_TM2,OR(TH!L963="1111",TH!M963="1111")),TH!D963,""),"")</f>
        <v/>
      </c>
      <c r="B963" s="36">
        <f t="shared" si="181"/>
        <v>5</v>
      </c>
      <c r="C963" s="190">
        <f t="shared" si="182"/>
        <v>42505</v>
      </c>
      <c r="D963" s="37" t="s">
        <v>1635</v>
      </c>
      <c r="E963" s="190">
        <v>42505</v>
      </c>
      <c r="F963" s="40" t="s">
        <v>811</v>
      </c>
      <c r="G963" s="829" t="s">
        <v>855</v>
      </c>
      <c r="H963" s="192" t="s">
        <v>445</v>
      </c>
      <c r="I963" s="253">
        <v>5</v>
      </c>
      <c r="J963" s="253">
        <v>40402.550000000003</v>
      </c>
      <c r="K963" s="584">
        <f t="shared" si="184"/>
        <v>202013</v>
      </c>
      <c r="L963" s="585" t="s">
        <v>857</v>
      </c>
      <c r="M963" s="585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26">
        <v>2</v>
      </c>
      <c r="AB963" s="576" t="str">
        <f>IF(VLOOKUP(F963,NXT!$C$12:$C$786,1,0)=F963,"","x")</f>
        <v/>
      </c>
    </row>
    <row r="964" spans="1:30" ht="15.75" customHeight="1">
      <c r="A964" s="827" t="str">
        <f>IF(B964&lt;&gt;"",IF(AND(B964&gt;=_TM1,B964&lt;=_TM2,OR(TH!L964="1111",TH!M964="1111")),TH!D964,""),"")</f>
        <v/>
      </c>
      <c r="B964" s="36">
        <f t="shared" si="181"/>
        <v>5</v>
      </c>
      <c r="C964" s="190">
        <f t="shared" si="182"/>
        <v>42505</v>
      </c>
      <c r="D964" s="37" t="s">
        <v>1635</v>
      </c>
      <c r="E964" s="190">
        <v>42505</v>
      </c>
      <c r="F964" s="40" t="s">
        <v>525</v>
      </c>
      <c r="G964" s="829" t="s">
        <v>855</v>
      </c>
      <c r="H964" s="192" t="s">
        <v>445</v>
      </c>
      <c r="I964" s="253">
        <v>26</v>
      </c>
      <c r="J964" s="253">
        <v>16721.900000000001</v>
      </c>
      <c r="K964" s="584">
        <f t="shared" si="184"/>
        <v>434769</v>
      </c>
      <c r="L964" s="585" t="s">
        <v>857</v>
      </c>
      <c r="M964" s="585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26">
        <v>2</v>
      </c>
      <c r="AB964" s="576" t="str">
        <f>IF(VLOOKUP(F964,NXT!$C$12:$C$786,1,0)=F964,"","x")</f>
        <v/>
      </c>
    </row>
    <row r="965" spans="1:30" ht="15.75" customHeight="1">
      <c r="A965" s="827" t="str">
        <f>IF(B965&lt;&gt;"",IF(AND(B965&gt;=_TM1,B965&lt;=_TM2,OR(TH!L965="1111",TH!M965="1111")),TH!D965,""),"")</f>
        <v/>
      </c>
      <c r="B965" s="36">
        <f t="shared" si="181"/>
        <v>5</v>
      </c>
      <c r="C965" s="190">
        <f t="shared" si="182"/>
        <v>42505</v>
      </c>
      <c r="D965" s="37" t="s">
        <v>1635</v>
      </c>
      <c r="E965" s="190">
        <v>42505</v>
      </c>
      <c r="F965" s="40" t="s">
        <v>812</v>
      </c>
      <c r="G965" s="829" t="s">
        <v>855</v>
      </c>
      <c r="H965" s="192" t="s">
        <v>445</v>
      </c>
      <c r="I965" s="253">
        <v>20</v>
      </c>
      <c r="J965" s="253">
        <v>16012.25</v>
      </c>
      <c r="K965" s="584">
        <f t="shared" si="184"/>
        <v>320245</v>
      </c>
      <c r="L965" s="585" t="s">
        <v>857</v>
      </c>
      <c r="M965" s="585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26">
        <v>2</v>
      </c>
      <c r="AB965" s="576" t="str">
        <f>IF(VLOOKUP(F965,NXT!$C$12:$C$786,1,0)=F965,"","x")</f>
        <v/>
      </c>
    </row>
    <row r="966" spans="1:30" ht="15.75" customHeight="1">
      <c r="A966" s="827" t="str">
        <f>IF(B966&lt;&gt;"",IF(AND(B966&gt;=_TM1,B966&lt;=_TM2,OR(TH!L966="1111",TH!M966="1111")),TH!D966,""),"")</f>
        <v/>
      </c>
      <c r="B966" s="36">
        <f t="shared" si="181"/>
        <v>5</v>
      </c>
      <c r="C966" s="190">
        <f t="shared" si="182"/>
        <v>42505</v>
      </c>
      <c r="D966" s="37" t="s">
        <v>1635</v>
      </c>
      <c r="E966" s="190">
        <v>42505</v>
      </c>
      <c r="F966" s="191" t="s">
        <v>461</v>
      </c>
      <c r="G966" s="829" t="s">
        <v>855</v>
      </c>
      <c r="H966" s="192" t="s">
        <v>445</v>
      </c>
      <c r="I966" s="253"/>
      <c r="J966" s="253"/>
      <c r="K966" s="584">
        <v>12696503</v>
      </c>
      <c r="L966" s="39" t="s">
        <v>9</v>
      </c>
      <c r="M966" s="585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26">
        <v>2</v>
      </c>
      <c r="AB966" s="576"/>
      <c r="AD966" s="576"/>
    </row>
    <row r="967" spans="1:30" ht="15.75" customHeight="1">
      <c r="A967" s="827" t="str">
        <f>IF(B967&lt;&gt;"",IF(AND(B967&gt;=_TM1,B967&lt;=_TM2,OR(TH!L967="1111",TH!M967="1111")),TH!D967,""),"")</f>
        <v/>
      </c>
      <c r="B967" s="36">
        <f t="shared" si="181"/>
        <v>6</v>
      </c>
      <c r="C967" s="183">
        <f t="shared" si="182"/>
        <v>42522</v>
      </c>
      <c r="D967" s="37" t="s">
        <v>1636</v>
      </c>
      <c r="E967" s="183">
        <v>42522</v>
      </c>
      <c r="F967" s="188" t="s">
        <v>1295</v>
      </c>
      <c r="G967" s="829" t="s">
        <v>437</v>
      </c>
      <c r="H967" s="192" t="s">
        <v>435</v>
      </c>
      <c r="I967" s="253">
        <v>505</v>
      </c>
      <c r="J967" s="253">
        <v>18245</v>
      </c>
      <c r="K967" s="584">
        <f>ROUND(I967*J967,0)</f>
        <v>9213725</v>
      </c>
      <c r="L967" s="585" t="s">
        <v>857</v>
      </c>
      <c r="M967" s="585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26">
        <v>2</v>
      </c>
      <c r="AB967" s="576" t="str">
        <f>IF(VLOOKUP(F967,NXT!$C$12:$C$786,1,0)=F967,"","x")</f>
        <v/>
      </c>
      <c r="AD967" s="576"/>
    </row>
    <row r="968" spans="1:30" ht="15.75" customHeight="1">
      <c r="A968" s="827" t="str">
        <f>IF(B968&lt;&gt;"",IF(AND(B968&gt;=_TM1,B968&lt;=_TM2,OR(TH!L968="1111",TH!M968="1111")),TH!D968,""),"")</f>
        <v/>
      </c>
      <c r="B968" s="36">
        <f t="shared" si="181"/>
        <v>6</v>
      </c>
      <c r="C968" s="183">
        <f t="shared" si="182"/>
        <v>42522</v>
      </c>
      <c r="D968" s="37" t="s">
        <v>1636</v>
      </c>
      <c r="E968" s="183">
        <v>42522</v>
      </c>
      <c r="F968" s="188" t="s">
        <v>436</v>
      </c>
      <c r="G968" s="829" t="s">
        <v>437</v>
      </c>
      <c r="H968" s="192" t="s">
        <v>435</v>
      </c>
      <c r="I968" s="253"/>
      <c r="J968" s="253"/>
      <c r="K968" s="584">
        <v>921373</v>
      </c>
      <c r="L968" s="39" t="s">
        <v>9</v>
      </c>
      <c r="M968" s="585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26">
        <v>2</v>
      </c>
      <c r="AD968" s="576"/>
    </row>
    <row r="969" spans="1:30" ht="15.75" customHeight="1">
      <c r="A969" s="827" t="str">
        <f>IF(B969&lt;&gt;"",IF(AND(B969&gt;=_TM1,B969&lt;=_TM2,OR(TH!L969="1111",TH!M969="1111")),TH!D969,""),"")</f>
        <v/>
      </c>
      <c r="B969" s="36">
        <f t="shared" si="181"/>
        <v>6</v>
      </c>
      <c r="C969" s="190">
        <f t="shared" si="182"/>
        <v>42523</v>
      </c>
      <c r="D969" s="37" t="s">
        <v>1637</v>
      </c>
      <c r="E969" s="190">
        <v>42523</v>
      </c>
      <c r="F969" s="40" t="s">
        <v>696</v>
      </c>
      <c r="G969" s="829" t="s">
        <v>852</v>
      </c>
      <c r="H969" s="192" t="s">
        <v>445</v>
      </c>
      <c r="I969" s="253">
        <v>1000</v>
      </c>
      <c r="J969" s="253">
        <v>13029</v>
      </c>
      <c r="K969" s="584">
        <f t="shared" ref="K969:K978" si="185">ROUND(I969*J969,0)</f>
        <v>13029000</v>
      </c>
      <c r="L969" s="585" t="s">
        <v>857</v>
      </c>
      <c r="M969" s="585" t="s">
        <v>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26">
        <v>2</v>
      </c>
      <c r="AB969" s="576" t="str">
        <f>IF(VLOOKUP(F969,NXT!$C$12:$C$786,1,0)=F969,"","x")</f>
        <v/>
      </c>
    </row>
    <row r="970" spans="1:30" ht="15.75" customHeight="1">
      <c r="A970" s="827" t="str">
        <f>IF(B970&lt;&gt;"",IF(AND(B970&gt;=_TM1,B970&lt;=_TM2,OR(TH!L970="1111",TH!M970="1111")),TH!D970,""),"")</f>
        <v/>
      </c>
      <c r="B970" s="36">
        <f t="shared" ref="B970:B1033" si="186">IF(C970&lt;&gt;"",MONTH(C970),"")</f>
        <v>6</v>
      </c>
      <c r="C970" s="190">
        <f t="shared" ref="C970:C1033" si="187">E970</f>
        <v>42523</v>
      </c>
      <c r="D970" s="37" t="s">
        <v>1637</v>
      </c>
      <c r="E970" s="190">
        <v>42523</v>
      </c>
      <c r="F970" s="191" t="s">
        <v>741</v>
      </c>
      <c r="G970" s="829" t="s">
        <v>852</v>
      </c>
      <c r="H970" s="192" t="s">
        <v>445</v>
      </c>
      <c r="I970" s="253">
        <v>200</v>
      </c>
      <c r="J970" s="253">
        <v>7872</v>
      </c>
      <c r="K970" s="584">
        <f t="shared" si="185"/>
        <v>1574400</v>
      </c>
      <c r="L970" s="585" t="s">
        <v>857</v>
      </c>
      <c r="M970" s="585" t="s">
        <v>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26">
        <v>2</v>
      </c>
      <c r="AB970" s="576" t="str">
        <f>IF(VLOOKUP(F970,NXT!$C$12:$C$786,1,0)=F970,"","x")</f>
        <v/>
      </c>
    </row>
    <row r="971" spans="1:30" ht="15.75" customHeight="1">
      <c r="A971" s="827" t="str">
        <f>IF(B971&lt;&gt;"",IF(AND(B971&gt;=_TM1,B971&lt;=_TM2,OR(TH!L971="1111",TH!M971="1111")),TH!D971,""),"")</f>
        <v/>
      </c>
      <c r="B971" s="36">
        <f t="shared" si="186"/>
        <v>6</v>
      </c>
      <c r="C971" s="190">
        <f t="shared" si="187"/>
        <v>42523</v>
      </c>
      <c r="D971" s="37" t="s">
        <v>1637</v>
      </c>
      <c r="E971" s="190">
        <v>42523</v>
      </c>
      <c r="F971" s="191" t="s">
        <v>744</v>
      </c>
      <c r="G971" s="829" t="s">
        <v>852</v>
      </c>
      <c r="H971" s="192" t="s">
        <v>445</v>
      </c>
      <c r="I971" s="253">
        <v>54</v>
      </c>
      <c r="J971" s="253">
        <v>17042</v>
      </c>
      <c r="K971" s="584">
        <f t="shared" si="185"/>
        <v>920268</v>
      </c>
      <c r="L971" s="585" t="s">
        <v>857</v>
      </c>
      <c r="M971" s="585" t="s">
        <v>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26">
        <v>2</v>
      </c>
      <c r="AB971" s="576" t="str">
        <f>IF(VLOOKUP(F971,NXT!$C$12:$C$786,1,0)=F971,"","x")</f>
        <v/>
      </c>
    </row>
    <row r="972" spans="1:30" ht="15.75" customHeight="1">
      <c r="A972" s="827" t="str">
        <f>IF(B972&lt;&gt;"",IF(AND(B972&gt;=_TM1,B972&lt;=_TM2,OR(TH!L972="1111",TH!M972="1111")),TH!D972,""),"")</f>
        <v/>
      </c>
      <c r="B972" s="36">
        <f t="shared" si="186"/>
        <v>6</v>
      </c>
      <c r="C972" s="190">
        <f t="shared" si="187"/>
        <v>42523</v>
      </c>
      <c r="D972" s="37" t="s">
        <v>1637</v>
      </c>
      <c r="E972" s="190">
        <v>42523</v>
      </c>
      <c r="F972" s="40" t="s">
        <v>745</v>
      </c>
      <c r="G972" s="829" t="s">
        <v>852</v>
      </c>
      <c r="H972" s="192" t="s">
        <v>445</v>
      </c>
      <c r="I972" s="253">
        <v>80</v>
      </c>
      <c r="J972" s="253">
        <v>25891</v>
      </c>
      <c r="K972" s="584">
        <f t="shared" si="185"/>
        <v>2071280</v>
      </c>
      <c r="L972" s="585" t="s">
        <v>857</v>
      </c>
      <c r="M972" s="585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26">
        <v>2</v>
      </c>
      <c r="AB972" s="576" t="str">
        <f>IF(VLOOKUP(F972,NXT!$C$12:$C$786,1,0)=F972,"","x")</f>
        <v/>
      </c>
    </row>
    <row r="973" spans="1:30" ht="15.75" customHeight="1">
      <c r="A973" s="827" t="str">
        <f>IF(B973&lt;&gt;"",IF(AND(B973&gt;=_TM1,B973&lt;=_TM2,OR(TH!L973="1111",TH!M973="1111")),TH!D973,""),"")</f>
        <v/>
      </c>
      <c r="B973" s="36">
        <f t="shared" si="186"/>
        <v>6</v>
      </c>
      <c r="C973" s="190">
        <f t="shared" si="187"/>
        <v>42523</v>
      </c>
      <c r="D973" s="37" t="s">
        <v>1637</v>
      </c>
      <c r="E973" s="190">
        <v>42523</v>
      </c>
      <c r="F973" s="40" t="s">
        <v>859</v>
      </c>
      <c r="G973" s="829" t="s">
        <v>852</v>
      </c>
      <c r="H973" s="192" t="s">
        <v>445</v>
      </c>
      <c r="I973" s="253">
        <v>104</v>
      </c>
      <c r="J973" s="253">
        <v>32909</v>
      </c>
      <c r="K973" s="584">
        <f t="shared" si="185"/>
        <v>3422536</v>
      </c>
      <c r="L973" s="585" t="s">
        <v>857</v>
      </c>
      <c r="M973" s="585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26">
        <v>2</v>
      </c>
      <c r="AB973" s="576" t="str">
        <f>IF(VLOOKUP(F973,NXT!$C$12:$C$786,1,0)=F973,"","x")</f>
        <v/>
      </c>
    </row>
    <row r="974" spans="1:30" ht="15.75" customHeight="1">
      <c r="A974" s="827" t="str">
        <f>IF(B974&lt;&gt;"",IF(AND(B974&gt;=_TM1,B974&lt;=_TM2,OR(TH!L974="1111",TH!M974="1111")),TH!D974,""),"")</f>
        <v/>
      </c>
      <c r="B974" s="36">
        <f t="shared" si="186"/>
        <v>6</v>
      </c>
      <c r="C974" s="190">
        <f t="shared" si="187"/>
        <v>42523</v>
      </c>
      <c r="D974" s="37" t="s">
        <v>1637</v>
      </c>
      <c r="E974" s="190">
        <v>42523</v>
      </c>
      <c r="F974" s="40" t="s">
        <v>746</v>
      </c>
      <c r="G974" s="829" t="s">
        <v>852</v>
      </c>
      <c r="H974" s="192" t="s">
        <v>445</v>
      </c>
      <c r="I974" s="253">
        <v>25</v>
      </c>
      <c r="J974" s="253">
        <v>20400</v>
      </c>
      <c r="K974" s="584">
        <f t="shared" si="185"/>
        <v>510000</v>
      </c>
      <c r="L974" s="585" t="s">
        <v>857</v>
      </c>
      <c r="M974" s="585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26">
        <v>2</v>
      </c>
      <c r="AB974" s="576" t="str">
        <f>IF(VLOOKUP(F974,NXT!$C$12:$C$786,1,0)=F974,"","x")</f>
        <v/>
      </c>
    </row>
    <row r="975" spans="1:30" ht="15.75" customHeight="1">
      <c r="A975" s="827" t="str">
        <f>IF(B975&lt;&gt;"",IF(AND(B975&gt;=_TM1,B975&lt;=_TM2,OR(TH!L975="1111",TH!M975="1111")),TH!D975,""),"")</f>
        <v/>
      </c>
      <c r="B975" s="36">
        <f t="shared" si="186"/>
        <v>6</v>
      </c>
      <c r="C975" s="190">
        <f t="shared" si="187"/>
        <v>42523</v>
      </c>
      <c r="D975" s="37" t="s">
        <v>1637</v>
      </c>
      <c r="E975" s="190">
        <v>42523</v>
      </c>
      <c r="F975" s="40" t="s">
        <v>748</v>
      </c>
      <c r="G975" s="829" t="s">
        <v>852</v>
      </c>
      <c r="H975" s="192" t="s">
        <v>445</v>
      </c>
      <c r="I975" s="253">
        <v>22</v>
      </c>
      <c r="J975" s="253">
        <v>16608</v>
      </c>
      <c r="K975" s="584">
        <f t="shared" si="185"/>
        <v>365376</v>
      </c>
      <c r="L975" s="585" t="s">
        <v>857</v>
      </c>
      <c r="M975" s="585" t="s">
        <v>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26">
        <v>2</v>
      </c>
      <c r="AB975" s="576" t="str">
        <f>IF(VLOOKUP(F975,NXT!$C$12:$C$786,1,0)=F975,"","x")</f>
        <v/>
      </c>
    </row>
    <row r="976" spans="1:30" ht="15.75" customHeight="1">
      <c r="A976" s="827" t="str">
        <f>IF(B976&lt;&gt;"",IF(AND(B976&gt;=_TM1,B976&lt;=_TM2,OR(TH!L976="1111",TH!M976="1111")),TH!D976,""),"")</f>
        <v/>
      </c>
      <c r="B976" s="36">
        <f t="shared" si="186"/>
        <v>6</v>
      </c>
      <c r="C976" s="190">
        <f t="shared" si="187"/>
        <v>42523</v>
      </c>
      <c r="D976" s="37" t="s">
        <v>1637</v>
      </c>
      <c r="E976" s="190">
        <v>42523</v>
      </c>
      <c r="F976" s="40" t="s">
        <v>747</v>
      </c>
      <c r="G976" s="829" t="s">
        <v>852</v>
      </c>
      <c r="H976" s="192" t="s">
        <v>445</v>
      </c>
      <c r="I976" s="253">
        <v>14</v>
      </c>
      <c r="J976" s="253">
        <v>37854</v>
      </c>
      <c r="K976" s="584">
        <f t="shared" si="185"/>
        <v>529956</v>
      </c>
      <c r="L976" s="585" t="s">
        <v>857</v>
      </c>
      <c r="M976" s="585" t="s">
        <v>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26">
        <v>2</v>
      </c>
      <c r="AB976" s="576" t="str">
        <f>IF(VLOOKUP(F976,NXT!$C$12:$C$786,1,0)=F976,"","x")</f>
        <v/>
      </c>
    </row>
    <row r="977" spans="1:30" ht="15.75" customHeight="1">
      <c r="A977" s="827" t="str">
        <f>IF(B977&lt;&gt;"",IF(AND(B977&gt;=_TM1,B977&lt;=_TM2,OR(TH!L977="1111",TH!M977="1111")),TH!D977,""),"")</f>
        <v/>
      </c>
      <c r="B977" s="36">
        <f t="shared" si="186"/>
        <v>6</v>
      </c>
      <c r="C977" s="190">
        <f t="shared" si="187"/>
        <v>42523</v>
      </c>
      <c r="D977" s="37" t="s">
        <v>1637</v>
      </c>
      <c r="E977" s="190">
        <v>42523</v>
      </c>
      <c r="F977" s="40" t="s">
        <v>749</v>
      </c>
      <c r="G977" s="829" t="s">
        <v>852</v>
      </c>
      <c r="H977" s="192" t="s">
        <v>445</v>
      </c>
      <c r="I977" s="253">
        <v>12</v>
      </c>
      <c r="J977" s="253">
        <v>3155</v>
      </c>
      <c r="K977" s="584">
        <f t="shared" si="185"/>
        <v>37860</v>
      </c>
      <c r="L977" s="585" t="s">
        <v>857</v>
      </c>
      <c r="M977" s="585" t="s">
        <v>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26">
        <v>2</v>
      </c>
      <c r="AB977" s="576" t="str">
        <f>IF(VLOOKUP(F977,NXT!$C$12:$C$786,1,0)=F977,"","x")</f>
        <v/>
      </c>
    </row>
    <row r="978" spans="1:30" ht="15.75" customHeight="1">
      <c r="A978" s="827" t="str">
        <f>IF(B978&lt;&gt;"",IF(AND(B978&gt;=_TM1,B978&lt;=_TM2,OR(TH!L978="1111",TH!M978="1111")),TH!D978,""),"")</f>
        <v/>
      </c>
      <c r="B978" s="36">
        <f t="shared" si="186"/>
        <v>6</v>
      </c>
      <c r="C978" s="190">
        <f t="shared" si="187"/>
        <v>42523</v>
      </c>
      <c r="D978" s="37" t="s">
        <v>1637</v>
      </c>
      <c r="E978" s="190">
        <v>42523</v>
      </c>
      <c r="F978" s="40" t="s">
        <v>750</v>
      </c>
      <c r="G978" s="829" t="s">
        <v>852</v>
      </c>
      <c r="H978" s="192" t="s">
        <v>445</v>
      </c>
      <c r="I978" s="253">
        <v>86</v>
      </c>
      <c r="J978" s="253">
        <v>4124</v>
      </c>
      <c r="K978" s="584">
        <f t="shared" si="185"/>
        <v>354664</v>
      </c>
      <c r="L978" s="585" t="s">
        <v>857</v>
      </c>
      <c r="M978" s="585" t="s">
        <v>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26">
        <v>2</v>
      </c>
      <c r="AB978" s="576" t="str">
        <f>IF(VLOOKUP(F978,NXT!$C$12:$C$786,1,0)=F978,"","x")</f>
        <v/>
      </c>
    </row>
    <row r="979" spans="1:30" ht="15.75" customHeight="1">
      <c r="A979" s="827" t="str">
        <f>IF(B979&lt;&gt;"",IF(AND(B979&gt;=_TM1,B979&lt;=_TM2,OR(TH!L979="1111",TH!M979="1111")),TH!D979,""),"")</f>
        <v/>
      </c>
      <c r="B979" s="36">
        <f t="shared" si="186"/>
        <v>6</v>
      </c>
      <c r="C979" s="190">
        <f t="shared" si="187"/>
        <v>42523</v>
      </c>
      <c r="D979" s="37" t="s">
        <v>1637</v>
      </c>
      <c r="E979" s="190">
        <v>42523</v>
      </c>
      <c r="F979" s="191" t="s">
        <v>461</v>
      </c>
      <c r="G979" s="829" t="s">
        <v>852</v>
      </c>
      <c r="H979" s="192" t="s">
        <v>445</v>
      </c>
      <c r="I979" s="253"/>
      <c r="J979" s="253"/>
      <c r="K979" s="584">
        <v>2281534</v>
      </c>
      <c r="L979" s="39" t="s">
        <v>9</v>
      </c>
      <c r="M979" s="585" t="s">
        <v>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26">
        <v>2</v>
      </c>
      <c r="AB979" s="576"/>
      <c r="AD979" s="576"/>
    </row>
    <row r="980" spans="1:30" ht="15.75" customHeight="1">
      <c r="A980" s="827" t="str">
        <f>IF(B980&lt;&gt;"",IF(AND(B980&gt;=_TM1,B980&lt;=_TM2,OR(TH!L980="1111",TH!M980="1111")),TH!D980,""),"")</f>
        <v/>
      </c>
      <c r="B980" s="36">
        <f t="shared" si="186"/>
        <v>6</v>
      </c>
      <c r="C980" s="183">
        <f t="shared" si="187"/>
        <v>42525</v>
      </c>
      <c r="D980" s="37" t="s">
        <v>1638</v>
      </c>
      <c r="E980" s="183">
        <v>42525</v>
      </c>
      <c r="F980" s="188" t="s">
        <v>1296</v>
      </c>
      <c r="G980" s="829" t="s">
        <v>438</v>
      </c>
      <c r="H980" s="192" t="s">
        <v>435</v>
      </c>
      <c r="I980" s="253">
        <v>34</v>
      </c>
      <c r="J980" s="253">
        <v>29160</v>
      </c>
      <c r="K980" s="584">
        <f>ROUND(I980*J980,0)</f>
        <v>991440</v>
      </c>
      <c r="L980" s="585" t="s">
        <v>857</v>
      </c>
      <c r="M980" s="585" t="s">
        <v>8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26">
        <v>2</v>
      </c>
      <c r="AB980" s="576" t="str">
        <f>IF(VLOOKUP(F980,NXT!$C$12:$C$786,1,0)=F980,"","x")</f>
        <v/>
      </c>
      <c r="AD980" s="576"/>
    </row>
    <row r="981" spans="1:30" ht="15.75" customHeight="1">
      <c r="A981" s="827" t="str">
        <f>IF(B981&lt;&gt;"",IF(AND(B981&gt;=_TM1,B981&lt;=_TM2,OR(TH!L981="1111",TH!M981="1111")),TH!D981,""),"")</f>
        <v/>
      </c>
      <c r="B981" s="36">
        <f t="shared" si="186"/>
        <v>6</v>
      </c>
      <c r="C981" s="183">
        <f t="shared" si="187"/>
        <v>42525</v>
      </c>
      <c r="D981" s="37" t="s">
        <v>1638</v>
      </c>
      <c r="E981" s="183">
        <v>42525</v>
      </c>
      <c r="F981" s="188" t="s">
        <v>439</v>
      </c>
      <c r="G981" s="829" t="s">
        <v>438</v>
      </c>
      <c r="H981" s="192" t="s">
        <v>435</v>
      </c>
      <c r="I981" s="253"/>
      <c r="J981" s="253"/>
      <c r="K981" s="584">
        <v>99144</v>
      </c>
      <c r="L981" s="39" t="s">
        <v>9</v>
      </c>
      <c r="M981" s="585" t="s">
        <v>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26">
        <v>2</v>
      </c>
      <c r="AB981" s="576"/>
      <c r="AC981" s="576"/>
      <c r="AD981" s="576"/>
    </row>
    <row r="982" spans="1:30" ht="15.75" customHeight="1">
      <c r="A982" s="827" t="str">
        <f>IF(B982&lt;&gt;"",IF(AND(B982&gt;=_TM1,B982&lt;=_TM2,OR(TH!L982="1111",TH!M982="1111")),TH!D982,""),"")</f>
        <v/>
      </c>
      <c r="B982" s="36">
        <f t="shared" si="186"/>
        <v>6</v>
      </c>
      <c r="C982" s="190">
        <f t="shared" si="187"/>
        <v>42531</v>
      </c>
      <c r="D982" s="37" t="s">
        <v>1639</v>
      </c>
      <c r="E982" s="190">
        <v>42531</v>
      </c>
      <c r="F982" s="191" t="s">
        <v>656</v>
      </c>
      <c r="G982" s="833" t="s">
        <v>1099</v>
      </c>
      <c r="H982" s="192" t="s">
        <v>445</v>
      </c>
      <c r="I982" s="253">
        <v>27</v>
      </c>
      <c r="J982" s="253">
        <v>4285</v>
      </c>
      <c r="K982" s="584">
        <f t="shared" ref="K982:K997" si="188">ROUND(I982*J982,0)</f>
        <v>115695</v>
      </c>
      <c r="L982" s="585" t="s">
        <v>857</v>
      </c>
      <c r="M982" s="585" t="s">
        <v>8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26">
        <v>2</v>
      </c>
      <c r="AB982" s="576" t="str">
        <f>IF(VLOOKUP(F982,NXT!$C$12:$C$786,1,0)=F982,"","x")</f>
        <v/>
      </c>
    </row>
    <row r="983" spans="1:30" ht="15.75" customHeight="1">
      <c r="A983" s="827" t="str">
        <f>IF(B983&lt;&gt;"",IF(AND(B983&gt;=_TM1,B983&lt;=_TM2,OR(TH!L983="1111",TH!M983="1111")),TH!D983,""),"")</f>
        <v/>
      </c>
      <c r="B983" s="36">
        <f t="shared" si="186"/>
        <v>6</v>
      </c>
      <c r="C983" s="190">
        <f t="shared" si="187"/>
        <v>42531</v>
      </c>
      <c r="D983" s="37" t="s">
        <v>1639</v>
      </c>
      <c r="E983" s="190">
        <v>42531</v>
      </c>
      <c r="F983" s="191" t="s">
        <v>690</v>
      </c>
      <c r="G983" s="833" t="s">
        <v>1099</v>
      </c>
      <c r="H983" s="192" t="s">
        <v>445</v>
      </c>
      <c r="I983" s="253">
        <v>100</v>
      </c>
      <c r="J983" s="253">
        <v>4593</v>
      </c>
      <c r="K983" s="584">
        <f t="shared" si="188"/>
        <v>459300</v>
      </c>
      <c r="L983" s="585" t="s">
        <v>857</v>
      </c>
      <c r="M983" s="585" t="s">
        <v>8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26">
        <v>2</v>
      </c>
      <c r="AB983" s="576" t="str">
        <f>IF(VLOOKUP(F983,NXT!$C$12:$C$786,1,0)=F983,"","x")</f>
        <v/>
      </c>
    </row>
    <row r="984" spans="1:30" ht="15.75" customHeight="1">
      <c r="A984" s="827" t="str">
        <f>IF(B984&lt;&gt;"",IF(AND(B984&gt;=_TM1,B984&lt;=_TM2,OR(TH!L984="1111",TH!M984="1111")),TH!D984,""),"")</f>
        <v/>
      </c>
      <c r="B984" s="36">
        <f t="shared" si="186"/>
        <v>6</v>
      </c>
      <c r="C984" s="190">
        <f t="shared" si="187"/>
        <v>42531</v>
      </c>
      <c r="D984" s="37" t="s">
        <v>1639</v>
      </c>
      <c r="E984" s="190">
        <v>42531</v>
      </c>
      <c r="F984" s="191" t="s">
        <v>1309</v>
      </c>
      <c r="G984" s="833" t="s">
        <v>1099</v>
      </c>
      <c r="H984" s="192" t="s">
        <v>445</v>
      </c>
      <c r="I984" s="253">
        <v>5000</v>
      </c>
      <c r="J984" s="253">
        <v>4250</v>
      </c>
      <c r="K984" s="584">
        <f t="shared" si="188"/>
        <v>21250000</v>
      </c>
      <c r="L984" s="585" t="s">
        <v>857</v>
      </c>
      <c r="M984" s="585" t="s">
        <v>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26">
        <v>2</v>
      </c>
      <c r="AB984" s="576" t="str">
        <f>IF(VLOOKUP(F984,NXT!$C$12:$C$786,1,0)=F984,"","x")</f>
        <v/>
      </c>
    </row>
    <row r="985" spans="1:30" ht="15.75" customHeight="1">
      <c r="A985" s="827" t="str">
        <f>IF(B985&lt;&gt;"",IF(AND(B985&gt;=_TM1,B985&lt;=_TM2,OR(TH!L985="1111",TH!M985="1111")),TH!D985,""),"")</f>
        <v/>
      </c>
      <c r="B985" s="36">
        <f t="shared" si="186"/>
        <v>6</v>
      </c>
      <c r="C985" s="190">
        <f t="shared" si="187"/>
        <v>42531</v>
      </c>
      <c r="D985" s="37" t="s">
        <v>1639</v>
      </c>
      <c r="E985" s="190">
        <v>42531</v>
      </c>
      <c r="F985" s="191" t="s">
        <v>754</v>
      </c>
      <c r="G985" s="833" t="s">
        <v>1099</v>
      </c>
      <c r="H985" s="192" t="s">
        <v>445</v>
      </c>
      <c r="I985" s="253">
        <v>1000</v>
      </c>
      <c r="J985" s="253">
        <v>768</v>
      </c>
      <c r="K985" s="584">
        <f t="shared" si="188"/>
        <v>768000</v>
      </c>
      <c r="L985" s="585" t="s">
        <v>857</v>
      </c>
      <c r="M985" s="585" t="s">
        <v>8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26">
        <v>2</v>
      </c>
      <c r="AB985" s="576" t="str">
        <f>IF(VLOOKUP(F985,NXT!$C$12:$C$786,1,0)=F985,"","x")</f>
        <v/>
      </c>
    </row>
    <row r="986" spans="1:30" ht="15.75" customHeight="1">
      <c r="A986" s="827" t="str">
        <f>IF(B986&lt;&gt;"",IF(AND(B986&gt;=_TM1,B986&lt;=_TM2,OR(TH!L986="1111",TH!M986="1111")),TH!D986,""),"")</f>
        <v/>
      </c>
      <c r="B986" s="36">
        <f t="shared" si="186"/>
        <v>6</v>
      </c>
      <c r="C986" s="190">
        <f t="shared" si="187"/>
        <v>42531</v>
      </c>
      <c r="D986" s="37" t="s">
        <v>1639</v>
      </c>
      <c r="E986" s="190">
        <v>42531</v>
      </c>
      <c r="F986" s="191" t="s">
        <v>664</v>
      </c>
      <c r="G986" s="833" t="s">
        <v>1099</v>
      </c>
      <c r="H986" s="192" t="s">
        <v>445</v>
      </c>
      <c r="I986" s="253">
        <v>210</v>
      </c>
      <c r="J986" s="253">
        <v>83133</v>
      </c>
      <c r="K986" s="584">
        <f t="shared" si="188"/>
        <v>17457930</v>
      </c>
      <c r="L986" s="585" t="s">
        <v>857</v>
      </c>
      <c r="M986" s="585" t="s">
        <v>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26">
        <v>2</v>
      </c>
      <c r="AB986" s="576" t="str">
        <f>IF(VLOOKUP(F986,NXT!$C$12:$C$786,1,0)=F986,"","x")</f>
        <v/>
      </c>
    </row>
    <row r="987" spans="1:30" ht="15.75" customHeight="1">
      <c r="A987" s="827" t="str">
        <f>IF(B987&lt;&gt;"",IF(AND(B987&gt;=_TM1,B987&lt;=_TM2,OR(TH!L987="1111",TH!M987="1111")),TH!D987,""),"")</f>
        <v/>
      </c>
      <c r="B987" s="36">
        <f t="shared" si="186"/>
        <v>6</v>
      </c>
      <c r="C987" s="190">
        <f t="shared" si="187"/>
        <v>42531</v>
      </c>
      <c r="D987" s="37" t="s">
        <v>1639</v>
      </c>
      <c r="E987" s="190">
        <v>42531</v>
      </c>
      <c r="F987" s="191" t="s">
        <v>683</v>
      </c>
      <c r="G987" s="833" t="s">
        <v>1099</v>
      </c>
      <c r="H987" s="192" t="s">
        <v>445</v>
      </c>
      <c r="I987" s="253">
        <v>10</v>
      </c>
      <c r="J987" s="253">
        <v>55421</v>
      </c>
      <c r="K987" s="584">
        <f t="shared" si="188"/>
        <v>554210</v>
      </c>
      <c r="L987" s="585" t="s">
        <v>857</v>
      </c>
      <c r="M987" s="585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26">
        <v>2</v>
      </c>
      <c r="AB987" s="576" t="str">
        <f>IF(VLOOKUP(F987,NXT!$C$12:$C$786,1,0)=F987,"","x")</f>
        <v/>
      </c>
    </row>
    <row r="988" spans="1:30" ht="15.75" customHeight="1">
      <c r="A988" s="827" t="str">
        <f>IF(B988&lt;&gt;"",IF(AND(B988&gt;=_TM1,B988&lt;=_TM2,OR(TH!L988="1111",TH!M988="1111")),TH!D988,""),"")</f>
        <v/>
      </c>
      <c r="B988" s="36">
        <f t="shared" si="186"/>
        <v>6</v>
      </c>
      <c r="C988" s="190">
        <f t="shared" si="187"/>
        <v>42531</v>
      </c>
      <c r="D988" s="37" t="s">
        <v>1639</v>
      </c>
      <c r="E988" s="190">
        <v>42531</v>
      </c>
      <c r="F988" s="191" t="s">
        <v>755</v>
      </c>
      <c r="G988" s="833" t="s">
        <v>1099</v>
      </c>
      <c r="H988" s="192" t="s">
        <v>445</v>
      </c>
      <c r="I988" s="253">
        <v>26</v>
      </c>
      <c r="J988" s="253">
        <v>33433</v>
      </c>
      <c r="K988" s="584">
        <f t="shared" si="188"/>
        <v>869258</v>
      </c>
      <c r="L988" s="585" t="s">
        <v>857</v>
      </c>
      <c r="M988" s="585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26">
        <v>2</v>
      </c>
      <c r="AB988" s="576" t="str">
        <f>IF(VLOOKUP(F988,NXT!$C$12:$C$786,1,0)=F988,"","x")</f>
        <v/>
      </c>
    </row>
    <row r="989" spans="1:30" ht="15.75" customHeight="1">
      <c r="A989" s="827" t="str">
        <f>IF(B989&lt;&gt;"",IF(AND(B989&gt;=_TM1,B989&lt;=_TM2,OR(TH!L989="1111",TH!M989="1111")),TH!D989,""),"")</f>
        <v/>
      </c>
      <c r="B989" s="36">
        <f t="shared" si="186"/>
        <v>6</v>
      </c>
      <c r="C989" s="190">
        <f t="shared" si="187"/>
        <v>42531</v>
      </c>
      <c r="D989" s="37" t="s">
        <v>1639</v>
      </c>
      <c r="E989" s="190">
        <v>42531</v>
      </c>
      <c r="F989" s="191" t="s">
        <v>756</v>
      </c>
      <c r="G989" s="833" t="s">
        <v>1099</v>
      </c>
      <c r="H989" s="192" t="s">
        <v>445</v>
      </c>
      <c r="I989" s="253">
        <v>14</v>
      </c>
      <c r="J989" s="253">
        <v>51829</v>
      </c>
      <c r="K989" s="584">
        <f t="shared" si="188"/>
        <v>725606</v>
      </c>
      <c r="L989" s="585" t="s">
        <v>857</v>
      </c>
      <c r="M989" s="585" t="s">
        <v>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26">
        <v>2</v>
      </c>
      <c r="AB989" s="576" t="str">
        <f>IF(VLOOKUP(F989,NXT!$C$12:$C$786,1,0)=F989,"","x")</f>
        <v/>
      </c>
    </row>
    <row r="990" spans="1:30" ht="15.75" customHeight="1">
      <c r="A990" s="827" t="str">
        <f>IF(B990&lt;&gt;"",IF(AND(B990&gt;=_TM1,B990&lt;=_TM2,OR(TH!L990="1111",TH!M990="1111")),TH!D990,""),"")</f>
        <v/>
      </c>
      <c r="B990" s="36">
        <f t="shared" si="186"/>
        <v>6</v>
      </c>
      <c r="C990" s="190">
        <f t="shared" si="187"/>
        <v>42531</v>
      </c>
      <c r="D990" s="37" t="s">
        <v>1639</v>
      </c>
      <c r="E990" s="190">
        <v>42531</v>
      </c>
      <c r="F990" s="191" t="s">
        <v>757</v>
      </c>
      <c r="G990" s="833" t="s">
        <v>1099</v>
      </c>
      <c r="H990" s="192" t="s">
        <v>445</v>
      </c>
      <c r="I990" s="253">
        <v>10</v>
      </c>
      <c r="J990" s="253">
        <v>58227</v>
      </c>
      <c r="K990" s="584">
        <f t="shared" si="188"/>
        <v>582270</v>
      </c>
      <c r="L990" s="585" t="s">
        <v>857</v>
      </c>
      <c r="M990" s="585" t="s">
        <v>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26">
        <v>2</v>
      </c>
      <c r="AB990" s="576" t="str">
        <f>IF(VLOOKUP(F990,NXT!$C$12:$C$786,1,0)=F990,"","x")</f>
        <v/>
      </c>
    </row>
    <row r="991" spans="1:30" ht="15.75" customHeight="1">
      <c r="A991" s="827" t="str">
        <f>IF(B991&lt;&gt;"",IF(AND(B991&gt;=_TM1,B991&lt;=_TM2,OR(TH!L991="1111",TH!M991="1111")),TH!D991,""),"")</f>
        <v/>
      </c>
      <c r="B991" s="36">
        <f t="shared" si="186"/>
        <v>6</v>
      </c>
      <c r="C991" s="190">
        <f t="shared" si="187"/>
        <v>42531</v>
      </c>
      <c r="D991" s="37" t="s">
        <v>1639</v>
      </c>
      <c r="E991" s="190">
        <v>42531</v>
      </c>
      <c r="F991" s="191" t="s">
        <v>758</v>
      </c>
      <c r="G991" s="833" t="s">
        <v>1099</v>
      </c>
      <c r="H991" s="192" t="s">
        <v>445</v>
      </c>
      <c r="I991" s="253">
        <v>32</v>
      </c>
      <c r="J991" s="253">
        <v>40805</v>
      </c>
      <c r="K991" s="584">
        <f t="shared" si="188"/>
        <v>1305760</v>
      </c>
      <c r="L991" s="585" t="s">
        <v>857</v>
      </c>
      <c r="M991" s="585" t="s">
        <v>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26">
        <v>2</v>
      </c>
      <c r="AB991" s="576" t="str">
        <f>IF(VLOOKUP(F991,NXT!$C$12:$C$786,1,0)=F991,"","x")</f>
        <v/>
      </c>
    </row>
    <row r="992" spans="1:30" ht="15.75" customHeight="1">
      <c r="A992" s="827" t="str">
        <f>IF(B992&lt;&gt;"",IF(AND(B992&gt;=_TM1,B992&lt;=_TM2,OR(TH!L992="1111",TH!M992="1111")),TH!D992,""),"")</f>
        <v/>
      </c>
      <c r="B992" s="36">
        <f t="shared" si="186"/>
        <v>6</v>
      </c>
      <c r="C992" s="190">
        <f t="shared" si="187"/>
        <v>42531</v>
      </c>
      <c r="D992" s="37" t="s">
        <v>1639</v>
      </c>
      <c r="E992" s="190">
        <v>42531</v>
      </c>
      <c r="F992" s="191" t="s">
        <v>759</v>
      </c>
      <c r="G992" s="833" t="s">
        <v>1099</v>
      </c>
      <c r="H992" s="192" t="s">
        <v>445</v>
      </c>
      <c r="I992" s="253">
        <v>2</v>
      </c>
      <c r="J992" s="253">
        <v>42591</v>
      </c>
      <c r="K992" s="584">
        <f t="shared" si="188"/>
        <v>85182</v>
      </c>
      <c r="L992" s="585" t="s">
        <v>857</v>
      </c>
      <c r="M992" s="585" t="s">
        <v>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26">
        <v>2</v>
      </c>
      <c r="AB992" s="576" t="str">
        <f>IF(VLOOKUP(F992,NXT!$C$12:$C$786,1,0)=F992,"","x")</f>
        <v/>
      </c>
    </row>
    <row r="993" spans="1:28" ht="15.75" customHeight="1">
      <c r="A993" s="827" t="str">
        <f>IF(B993&lt;&gt;"",IF(AND(B993&gt;=_TM1,B993&lt;=_TM2,OR(TH!L993="1111",TH!M993="1111")),TH!D993,""),"")</f>
        <v/>
      </c>
      <c r="B993" s="36">
        <f t="shared" si="186"/>
        <v>6</v>
      </c>
      <c r="C993" s="190">
        <f t="shared" si="187"/>
        <v>42531</v>
      </c>
      <c r="D993" s="37" t="s">
        <v>1639</v>
      </c>
      <c r="E993" s="190">
        <v>42531</v>
      </c>
      <c r="F993" s="191" t="s">
        <v>760</v>
      </c>
      <c r="G993" s="833" t="s">
        <v>1099</v>
      </c>
      <c r="H993" s="192" t="s">
        <v>445</v>
      </c>
      <c r="I993" s="253">
        <v>32</v>
      </c>
      <c r="J993" s="253">
        <v>40050</v>
      </c>
      <c r="K993" s="584">
        <f t="shared" si="188"/>
        <v>1281600</v>
      </c>
      <c r="L993" s="585" t="s">
        <v>857</v>
      </c>
      <c r="M993" s="585" t="s">
        <v>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26">
        <v>2</v>
      </c>
      <c r="AB993" s="576" t="str">
        <f>IF(VLOOKUP(F993,NXT!$C$12:$C$786,1,0)=F993,"","x")</f>
        <v/>
      </c>
    </row>
    <row r="994" spans="1:28" ht="15.75" customHeight="1">
      <c r="A994" s="827" t="str">
        <f>IF(B994&lt;&gt;"",IF(AND(B994&gt;=_TM1,B994&lt;=_TM2,OR(TH!L994="1111",TH!M994="1111")),TH!D994,""),"")</f>
        <v/>
      </c>
      <c r="B994" s="36">
        <f t="shared" si="186"/>
        <v>6</v>
      </c>
      <c r="C994" s="190">
        <f t="shared" si="187"/>
        <v>42531</v>
      </c>
      <c r="D994" s="37" t="s">
        <v>1639</v>
      </c>
      <c r="E994" s="190">
        <v>42531</v>
      </c>
      <c r="F994" s="191" t="s">
        <v>761</v>
      </c>
      <c r="G994" s="833" t="s">
        <v>1099</v>
      </c>
      <c r="H994" s="192" t="s">
        <v>445</v>
      </c>
      <c r="I994" s="253">
        <v>18</v>
      </c>
      <c r="J994" s="253">
        <v>71461</v>
      </c>
      <c r="K994" s="584">
        <f t="shared" si="188"/>
        <v>1286298</v>
      </c>
      <c r="L994" s="585" t="s">
        <v>857</v>
      </c>
      <c r="M994" s="585" t="s">
        <v>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26">
        <v>2</v>
      </c>
      <c r="AB994" s="576" t="str">
        <f>IF(VLOOKUP(F994,NXT!$C$12:$C$786,1,0)=F994,"","x")</f>
        <v/>
      </c>
    </row>
    <row r="995" spans="1:28" ht="15.75" customHeight="1">
      <c r="A995" s="827" t="str">
        <f>IF(B995&lt;&gt;"",IF(AND(B995&gt;=_TM1,B995&lt;=_TM2,OR(TH!L995="1111",TH!M995="1111")),TH!D995,""),"")</f>
        <v/>
      </c>
      <c r="B995" s="36">
        <f t="shared" si="186"/>
        <v>6</v>
      </c>
      <c r="C995" s="190">
        <f t="shared" si="187"/>
        <v>42531</v>
      </c>
      <c r="D995" s="37" t="s">
        <v>1639</v>
      </c>
      <c r="E995" s="190">
        <v>42531</v>
      </c>
      <c r="F995" s="191" t="s">
        <v>762</v>
      </c>
      <c r="G995" s="833" t="s">
        <v>1099</v>
      </c>
      <c r="H995" s="192" t="s">
        <v>445</v>
      </c>
      <c r="I995" s="253">
        <v>19</v>
      </c>
      <c r="J995" s="253">
        <v>51451</v>
      </c>
      <c r="K995" s="584">
        <f t="shared" si="188"/>
        <v>977569</v>
      </c>
      <c r="L995" s="585" t="s">
        <v>857</v>
      </c>
      <c r="M995" s="585" t="s">
        <v>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26">
        <v>2</v>
      </c>
      <c r="AB995" s="576" t="str">
        <f>IF(VLOOKUP(F995,NXT!$C$12:$C$786,1,0)=F995,"","x")</f>
        <v/>
      </c>
    </row>
    <row r="996" spans="1:28" ht="15.75" customHeight="1">
      <c r="A996" s="827" t="str">
        <f>IF(B996&lt;&gt;"",IF(AND(B996&gt;=_TM1,B996&lt;=_TM2,OR(TH!L996="1111",TH!M996="1111")),TH!D996,""),"")</f>
        <v/>
      </c>
      <c r="B996" s="36">
        <f t="shared" si="186"/>
        <v>6</v>
      </c>
      <c r="C996" s="190">
        <f t="shared" si="187"/>
        <v>42531</v>
      </c>
      <c r="D996" s="37" t="s">
        <v>1639</v>
      </c>
      <c r="E996" s="190">
        <v>42531</v>
      </c>
      <c r="F996" s="191" t="s">
        <v>763</v>
      </c>
      <c r="G996" s="833" t="s">
        <v>1099</v>
      </c>
      <c r="H996" s="192" t="s">
        <v>445</v>
      </c>
      <c r="I996" s="253">
        <v>38</v>
      </c>
      <c r="J996" s="253">
        <v>67136</v>
      </c>
      <c r="K996" s="584">
        <f t="shared" si="188"/>
        <v>2551168</v>
      </c>
      <c r="L996" s="585" t="s">
        <v>857</v>
      </c>
      <c r="M996" s="585" t="s">
        <v>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26">
        <v>2</v>
      </c>
      <c r="AB996" s="576" t="str">
        <f>IF(VLOOKUP(F996,NXT!$C$12:$C$786,1,0)=F996,"","x")</f>
        <v/>
      </c>
    </row>
    <row r="997" spans="1:28" ht="15.75" customHeight="1">
      <c r="A997" s="827" t="str">
        <f>IF(B997&lt;&gt;"",IF(AND(B997&gt;=_TM1,B997&lt;=_TM2,OR(TH!L997="1111",TH!M997="1111")),TH!D997,""),"")</f>
        <v/>
      </c>
      <c r="B997" s="36">
        <f t="shared" si="186"/>
        <v>6</v>
      </c>
      <c r="C997" s="190">
        <f t="shared" si="187"/>
        <v>42531</v>
      </c>
      <c r="D997" s="37" t="s">
        <v>1639</v>
      </c>
      <c r="E997" s="190">
        <v>42531</v>
      </c>
      <c r="F997" s="191" t="s">
        <v>764</v>
      </c>
      <c r="G997" s="833" t="s">
        <v>1099</v>
      </c>
      <c r="H997" s="192" t="s">
        <v>445</v>
      </c>
      <c r="I997" s="253">
        <v>38</v>
      </c>
      <c r="J997" s="253">
        <v>84346</v>
      </c>
      <c r="K997" s="584">
        <f t="shared" si="188"/>
        <v>3205148</v>
      </c>
      <c r="L997" s="585" t="s">
        <v>857</v>
      </c>
      <c r="M997" s="585" t="s">
        <v>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26">
        <v>2</v>
      </c>
      <c r="AB997" s="576" t="str">
        <f>IF(VLOOKUP(F997,NXT!$C$12:$C$786,1,0)=F997,"","x")</f>
        <v/>
      </c>
    </row>
    <row r="998" spans="1:28" ht="15.75" customHeight="1">
      <c r="A998" s="827" t="str">
        <f>IF(B998&lt;&gt;"",IF(AND(B998&gt;=_TM1,B998&lt;=_TM2,OR(TH!L998="1111",TH!M998="1111")),TH!D998,""),"")</f>
        <v/>
      </c>
      <c r="B998" s="36">
        <f t="shared" si="186"/>
        <v>6</v>
      </c>
      <c r="C998" s="190">
        <f t="shared" si="187"/>
        <v>42531</v>
      </c>
      <c r="D998" s="37" t="s">
        <v>1639</v>
      </c>
      <c r="E998" s="190">
        <v>42531</v>
      </c>
      <c r="F998" s="191" t="s">
        <v>461</v>
      </c>
      <c r="G998" s="833" t="s">
        <v>1099</v>
      </c>
      <c r="H998" s="192" t="s">
        <v>445</v>
      </c>
      <c r="I998" s="253"/>
      <c r="J998" s="253"/>
      <c r="K998" s="584">
        <v>5347499</v>
      </c>
      <c r="L998" s="39" t="s">
        <v>9</v>
      </c>
      <c r="M998" s="585" t="s">
        <v>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26">
        <v>2</v>
      </c>
      <c r="AB998" s="576"/>
    </row>
    <row r="999" spans="1:28" ht="15.75" customHeight="1">
      <c r="A999" s="827" t="str">
        <f>IF(B999&lt;&gt;"",IF(AND(B999&gt;=_TM1,B999&lt;=_TM2,OR(TH!L999="1111",TH!M999="1111")),TH!D999,""),"")</f>
        <v/>
      </c>
      <c r="B999" s="36">
        <f t="shared" si="186"/>
        <v>6</v>
      </c>
      <c r="C999" s="190">
        <f t="shared" si="187"/>
        <v>42535</v>
      </c>
      <c r="D999" s="37" t="s">
        <v>1640</v>
      </c>
      <c r="E999" s="190">
        <v>42535</v>
      </c>
      <c r="F999" s="191" t="s">
        <v>1178</v>
      </c>
      <c r="G999" s="829" t="s">
        <v>853</v>
      </c>
      <c r="H999" s="192" t="s">
        <v>445</v>
      </c>
      <c r="I999" s="253">
        <v>1250</v>
      </c>
      <c r="J999" s="253">
        <v>33600</v>
      </c>
      <c r="K999" s="584">
        <f t="shared" ref="K999:K1012" si="189">ROUND(I999*J999,0)</f>
        <v>42000000</v>
      </c>
      <c r="L999" s="585" t="s">
        <v>857</v>
      </c>
      <c r="M999" s="585" t="s">
        <v>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26">
        <v>2</v>
      </c>
      <c r="AB999" s="576" t="str">
        <f>IF(VLOOKUP(F999,NXT!$C$12:$C$786,1,0)=F999,"","x")</f>
        <v/>
      </c>
    </row>
    <row r="1000" spans="1:28" ht="15.75" customHeight="1">
      <c r="A1000" s="827" t="str">
        <f>IF(B1000&lt;&gt;"",IF(AND(B1000&gt;=_TM1,B1000&lt;=_TM2,OR(TH!L1000="1111",TH!M1000="1111")),TH!D1000,""),"")</f>
        <v/>
      </c>
      <c r="B1000" s="36">
        <f t="shared" si="186"/>
        <v>6</v>
      </c>
      <c r="C1000" s="190">
        <f t="shared" si="187"/>
        <v>42535</v>
      </c>
      <c r="D1000" s="37" t="s">
        <v>1640</v>
      </c>
      <c r="E1000" s="190">
        <v>42535</v>
      </c>
      <c r="F1000" s="191" t="s">
        <v>1179</v>
      </c>
      <c r="G1000" s="829" t="s">
        <v>853</v>
      </c>
      <c r="H1000" s="192" t="s">
        <v>445</v>
      </c>
      <c r="I1000" s="253">
        <v>1300</v>
      </c>
      <c r="J1000" s="253">
        <v>31200</v>
      </c>
      <c r="K1000" s="584">
        <f t="shared" si="189"/>
        <v>40560000</v>
      </c>
      <c r="L1000" s="585" t="s">
        <v>857</v>
      </c>
      <c r="M1000" s="585" t="s">
        <v>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26">
        <v>2</v>
      </c>
      <c r="AB1000" s="576" t="str">
        <f>IF(VLOOKUP(F1000,NXT!$C$12:$C$786,1,0)=F1000,"","x")</f>
        <v/>
      </c>
    </row>
    <row r="1001" spans="1:28" ht="15.75" customHeight="1">
      <c r="A1001" s="827" t="str">
        <f>IF(B1001&lt;&gt;"",IF(AND(B1001&gt;=_TM1,B1001&lt;=_TM2,OR(TH!L1001="1111",TH!M1001="1111")),TH!D1001,""),"")</f>
        <v/>
      </c>
      <c r="B1001" s="36">
        <f t="shared" si="186"/>
        <v>6</v>
      </c>
      <c r="C1001" s="190">
        <f t="shared" si="187"/>
        <v>42535</v>
      </c>
      <c r="D1001" s="37" t="s">
        <v>1640</v>
      </c>
      <c r="E1001" s="190">
        <v>42535</v>
      </c>
      <c r="F1001" s="40" t="s">
        <v>451</v>
      </c>
      <c r="G1001" s="829" t="s">
        <v>853</v>
      </c>
      <c r="H1001" s="192" t="s">
        <v>445</v>
      </c>
      <c r="I1001" s="253">
        <v>3900</v>
      </c>
      <c r="J1001" s="253">
        <v>17760</v>
      </c>
      <c r="K1001" s="584">
        <f t="shared" si="189"/>
        <v>69264000</v>
      </c>
      <c r="L1001" s="585" t="s">
        <v>857</v>
      </c>
      <c r="M1001" s="585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>x</v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26">
        <v>2</v>
      </c>
      <c r="AB1001" s="576" t="str">
        <f>IF(VLOOKUP(F1001,NXT!$C$12:$C$786,1,0)=F1001,"","x")</f>
        <v/>
      </c>
    </row>
    <row r="1002" spans="1:28" ht="15.75" customHeight="1">
      <c r="A1002" s="827" t="str">
        <f>IF(B1002&lt;&gt;"",IF(AND(B1002&gt;=_TM1,B1002&lt;=_TM2,OR(TH!L1002="1111",TH!M1002="1111")),TH!D1002,""),"")</f>
        <v/>
      </c>
      <c r="B1002" s="36">
        <f t="shared" si="186"/>
        <v>6</v>
      </c>
      <c r="C1002" s="190">
        <f t="shared" si="187"/>
        <v>42535</v>
      </c>
      <c r="D1002" s="37" t="s">
        <v>1640</v>
      </c>
      <c r="E1002" s="190">
        <v>42535</v>
      </c>
      <c r="F1002" s="40" t="s">
        <v>450</v>
      </c>
      <c r="G1002" s="829" t="s">
        <v>853</v>
      </c>
      <c r="H1002" s="192" t="s">
        <v>445</v>
      </c>
      <c r="I1002" s="253">
        <v>3500</v>
      </c>
      <c r="J1002" s="253">
        <v>17760</v>
      </c>
      <c r="K1002" s="584">
        <f t="shared" si="189"/>
        <v>62160000</v>
      </c>
      <c r="L1002" s="585" t="s">
        <v>857</v>
      </c>
      <c r="M1002" s="585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26">
        <v>2</v>
      </c>
      <c r="AB1002" s="576" t="str">
        <f>IF(VLOOKUP(F1002,NXT!$C$12:$C$786,1,0)=F1002,"","x")</f>
        <v/>
      </c>
    </row>
    <row r="1003" spans="1:28" ht="15.75" customHeight="1">
      <c r="A1003" s="827" t="str">
        <f>IF(B1003&lt;&gt;"",IF(AND(B1003&gt;=_TM1,B1003&lt;=_TM2,OR(TH!L1003="1111",TH!M1003="1111")),TH!D1003,""),"")</f>
        <v/>
      </c>
      <c r="B1003" s="36">
        <f t="shared" si="186"/>
        <v>6</v>
      </c>
      <c r="C1003" s="190">
        <f t="shared" si="187"/>
        <v>42535</v>
      </c>
      <c r="D1003" s="37" t="s">
        <v>1640</v>
      </c>
      <c r="E1003" s="190">
        <v>42535</v>
      </c>
      <c r="F1003" s="191" t="s">
        <v>1302</v>
      </c>
      <c r="G1003" s="829" t="s">
        <v>853</v>
      </c>
      <c r="H1003" s="192" t="s">
        <v>445</v>
      </c>
      <c r="I1003" s="253">
        <v>75</v>
      </c>
      <c r="J1003" s="253">
        <v>20592</v>
      </c>
      <c r="K1003" s="584">
        <f t="shared" si="189"/>
        <v>1544400</v>
      </c>
      <c r="L1003" s="585" t="s">
        <v>857</v>
      </c>
      <c r="M1003" s="585" t="s">
        <v>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26">
        <v>2</v>
      </c>
      <c r="AB1003" s="576" t="str">
        <f>IF(VLOOKUP(F1003,NXT!$C$12:$C$786,1,0)=F1003,"","x")</f>
        <v/>
      </c>
    </row>
    <row r="1004" spans="1:28" ht="15.75" customHeight="1">
      <c r="A1004" s="827" t="str">
        <f>IF(B1004&lt;&gt;"",IF(AND(B1004&gt;=_TM1,B1004&lt;=_TM2,OR(TH!L1004="1111",TH!M1004="1111")),TH!D1004,""),"")</f>
        <v/>
      </c>
      <c r="B1004" s="36">
        <f t="shared" si="186"/>
        <v>6</v>
      </c>
      <c r="C1004" s="190">
        <f t="shared" si="187"/>
        <v>42535</v>
      </c>
      <c r="D1004" s="37" t="s">
        <v>1640</v>
      </c>
      <c r="E1004" s="190">
        <v>42535</v>
      </c>
      <c r="F1004" s="191" t="s">
        <v>787</v>
      </c>
      <c r="G1004" s="829" t="s">
        <v>853</v>
      </c>
      <c r="H1004" s="192" t="s">
        <v>445</v>
      </c>
      <c r="I1004" s="253">
        <v>300</v>
      </c>
      <c r="J1004" s="253">
        <v>5213</v>
      </c>
      <c r="K1004" s="584">
        <f t="shared" si="189"/>
        <v>1563900</v>
      </c>
      <c r="L1004" s="585" t="s">
        <v>857</v>
      </c>
      <c r="M1004" s="585" t="s">
        <v>8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26">
        <v>2</v>
      </c>
      <c r="AB1004" s="576" t="str">
        <f>IF(VLOOKUP(F1004,NXT!$C$12:$C$786,1,0)=F1004,"","x")</f>
        <v/>
      </c>
    </row>
    <row r="1005" spans="1:28" ht="15.75" customHeight="1">
      <c r="A1005" s="827" t="str">
        <f>IF(B1005&lt;&gt;"",IF(AND(B1005&gt;=_TM1,B1005&lt;=_TM2,OR(TH!L1005="1111",TH!M1005="1111")),TH!D1005,""),"")</f>
        <v/>
      </c>
      <c r="B1005" s="36">
        <f t="shared" si="186"/>
        <v>6</v>
      </c>
      <c r="C1005" s="190">
        <f t="shared" si="187"/>
        <v>42535</v>
      </c>
      <c r="D1005" s="37" t="s">
        <v>1640</v>
      </c>
      <c r="E1005" s="190">
        <v>42535</v>
      </c>
      <c r="F1005" s="40" t="s">
        <v>451</v>
      </c>
      <c r="G1005" s="829" t="s">
        <v>853</v>
      </c>
      <c r="H1005" s="192" t="s">
        <v>445</v>
      </c>
      <c r="I1005" s="253">
        <v>1000</v>
      </c>
      <c r="J1005" s="253">
        <v>10080</v>
      </c>
      <c r="K1005" s="584">
        <f t="shared" si="189"/>
        <v>10080000</v>
      </c>
      <c r="L1005" s="585" t="s">
        <v>857</v>
      </c>
      <c r="M1005" s="585" t="s">
        <v>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>x</v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26">
        <v>2</v>
      </c>
      <c r="AB1005" s="576" t="str">
        <f>IF(VLOOKUP(F1005,NXT!$C$12:$C$786,1,0)=F1005,"","x")</f>
        <v/>
      </c>
    </row>
    <row r="1006" spans="1:28" ht="15.75" customHeight="1">
      <c r="A1006" s="827" t="str">
        <f>IF(B1006&lt;&gt;"",IF(AND(B1006&gt;=_TM1,B1006&lt;=_TM2,OR(TH!L1006="1111",TH!M1006="1111")),TH!D1006,""),"")</f>
        <v/>
      </c>
      <c r="B1006" s="36">
        <f t="shared" si="186"/>
        <v>6</v>
      </c>
      <c r="C1006" s="190">
        <f t="shared" si="187"/>
        <v>42535</v>
      </c>
      <c r="D1006" s="37" t="s">
        <v>1640</v>
      </c>
      <c r="E1006" s="190">
        <v>42535</v>
      </c>
      <c r="F1006" s="191" t="s">
        <v>787</v>
      </c>
      <c r="G1006" s="829" t="s">
        <v>853</v>
      </c>
      <c r="H1006" s="192" t="s">
        <v>445</v>
      </c>
      <c r="I1006" s="253">
        <v>1000</v>
      </c>
      <c r="J1006" s="253">
        <v>1344</v>
      </c>
      <c r="K1006" s="584">
        <f t="shared" si="189"/>
        <v>1344000</v>
      </c>
      <c r="L1006" s="585" t="s">
        <v>857</v>
      </c>
      <c r="M1006" s="585" t="s">
        <v>8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26">
        <v>2</v>
      </c>
      <c r="AB1006" s="576" t="str">
        <f>IF(VLOOKUP(F1006,NXT!$C$12:$C$786,1,0)=F1006,"","x")</f>
        <v/>
      </c>
    </row>
    <row r="1007" spans="1:28" ht="15.75" customHeight="1">
      <c r="A1007" s="827" t="str">
        <f>IF(B1007&lt;&gt;"",IF(AND(B1007&gt;=_TM1,B1007&lt;=_TM2,OR(TH!L1007="1111",TH!M1007="1111")),TH!D1007,""),"")</f>
        <v/>
      </c>
      <c r="B1007" s="36">
        <f t="shared" si="186"/>
        <v>6</v>
      </c>
      <c r="C1007" s="190">
        <f t="shared" si="187"/>
        <v>42535</v>
      </c>
      <c r="D1007" s="37" t="s">
        <v>1640</v>
      </c>
      <c r="E1007" s="190">
        <v>42535</v>
      </c>
      <c r="F1007" s="191" t="s">
        <v>627</v>
      </c>
      <c r="G1007" s="829" t="s">
        <v>853</v>
      </c>
      <c r="H1007" s="192" t="s">
        <v>445</v>
      </c>
      <c r="I1007" s="253">
        <v>1090</v>
      </c>
      <c r="J1007" s="253">
        <v>6258</v>
      </c>
      <c r="K1007" s="584">
        <f t="shared" si="189"/>
        <v>6821220</v>
      </c>
      <c r="L1007" s="585" t="s">
        <v>857</v>
      </c>
      <c r="M1007" s="585" t="s">
        <v>8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26">
        <v>2</v>
      </c>
      <c r="AB1007" s="576" t="str">
        <f>IF(VLOOKUP(F1007,NXT!$C$12:$C$786,1,0)=F1007,"","x")</f>
        <v/>
      </c>
    </row>
    <row r="1008" spans="1:28" ht="15.75" customHeight="1">
      <c r="A1008" s="827" t="str">
        <f>IF(B1008&lt;&gt;"",IF(AND(B1008&gt;=_TM1,B1008&lt;=_TM2,OR(TH!L1008="1111",TH!M1008="1111")),TH!D1008,""),"")</f>
        <v/>
      </c>
      <c r="B1008" s="36">
        <f t="shared" si="186"/>
        <v>6</v>
      </c>
      <c r="C1008" s="190">
        <f t="shared" si="187"/>
        <v>42535</v>
      </c>
      <c r="D1008" s="37" t="s">
        <v>1640</v>
      </c>
      <c r="E1008" s="190">
        <v>42535</v>
      </c>
      <c r="F1008" s="191" t="s">
        <v>656</v>
      </c>
      <c r="G1008" s="829" t="s">
        <v>853</v>
      </c>
      <c r="H1008" s="192" t="s">
        <v>445</v>
      </c>
      <c r="I1008" s="253">
        <v>308</v>
      </c>
      <c r="J1008" s="253">
        <v>4285</v>
      </c>
      <c r="K1008" s="584">
        <f t="shared" si="189"/>
        <v>1319780</v>
      </c>
      <c r="L1008" s="585" t="s">
        <v>857</v>
      </c>
      <c r="M1008" s="585" t="s">
        <v>8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26">
        <v>2</v>
      </c>
      <c r="AB1008" s="576" t="str">
        <f>IF(VLOOKUP(F1008,NXT!$C$12:$C$786,1,0)=F1008,"","x")</f>
        <v/>
      </c>
    </row>
    <row r="1009" spans="1:30" ht="15.75" customHeight="1">
      <c r="A1009" s="827" t="str">
        <f>IF(B1009&lt;&gt;"",IF(AND(B1009&gt;=_TM1,B1009&lt;=_TM2,OR(TH!L1009="1111",TH!M1009="1111")),TH!D1009,""),"")</f>
        <v/>
      </c>
      <c r="B1009" s="36">
        <f t="shared" si="186"/>
        <v>6</v>
      </c>
      <c r="C1009" s="190">
        <f t="shared" si="187"/>
        <v>42535</v>
      </c>
      <c r="D1009" s="37" t="s">
        <v>1640</v>
      </c>
      <c r="E1009" s="190">
        <v>42535</v>
      </c>
      <c r="F1009" s="191" t="s">
        <v>921</v>
      </c>
      <c r="G1009" s="829" t="s">
        <v>853</v>
      </c>
      <c r="H1009" s="192" t="s">
        <v>445</v>
      </c>
      <c r="I1009" s="253">
        <v>2000</v>
      </c>
      <c r="J1009" s="253">
        <v>6479</v>
      </c>
      <c r="K1009" s="584">
        <f t="shared" si="189"/>
        <v>12958000</v>
      </c>
      <c r="L1009" s="585" t="s">
        <v>857</v>
      </c>
      <c r="M1009" s="585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26">
        <v>2</v>
      </c>
      <c r="AB1009" s="576" t="str">
        <f>IF(VLOOKUP(F1009,NXT!$C$12:$C$786,1,0)=F1009,"","x")</f>
        <v/>
      </c>
    </row>
    <row r="1010" spans="1:30" ht="15.75" customHeight="1">
      <c r="A1010" s="827" t="str">
        <f>IF(B1010&lt;&gt;"",IF(AND(B1010&gt;=_TM1,B1010&lt;=_TM2,OR(TH!L1010="1111",TH!M1010="1111")),TH!D1010,""),"")</f>
        <v/>
      </c>
      <c r="B1010" s="36">
        <f t="shared" si="186"/>
        <v>6</v>
      </c>
      <c r="C1010" s="190">
        <f t="shared" si="187"/>
        <v>42535</v>
      </c>
      <c r="D1010" s="37" t="s">
        <v>1640</v>
      </c>
      <c r="E1010" s="190">
        <v>42535</v>
      </c>
      <c r="F1010" s="191" t="s">
        <v>637</v>
      </c>
      <c r="G1010" s="829" t="s">
        <v>853</v>
      </c>
      <c r="H1010" s="192" t="s">
        <v>445</v>
      </c>
      <c r="I1010" s="253">
        <v>2000</v>
      </c>
      <c r="J1010" s="253">
        <v>5676</v>
      </c>
      <c r="K1010" s="584">
        <f t="shared" si="189"/>
        <v>11352000</v>
      </c>
      <c r="L1010" s="585" t="s">
        <v>857</v>
      </c>
      <c r="M1010" s="585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26">
        <v>2</v>
      </c>
      <c r="AB1010" s="576" t="str">
        <f>IF(VLOOKUP(F1010,NXT!$C$12:$C$786,1,0)=F1010,"","x")</f>
        <v/>
      </c>
    </row>
    <row r="1011" spans="1:30" ht="15.75" customHeight="1">
      <c r="A1011" s="827" t="str">
        <f>IF(B1011&lt;&gt;"",IF(AND(B1011&gt;=_TM1,B1011&lt;=_TM2,OR(TH!L1011="1111",TH!M1011="1111")),TH!D1011,""),"")</f>
        <v/>
      </c>
      <c r="B1011" s="36">
        <f t="shared" si="186"/>
        <v>6</v>
      </c>
      <c r="C1011" s="190">
        <f t="shared" si="187"/>
        <v>42535</v>
      </c>
      <c r="D1011" s="37" t="s">
        <v>1640</v>
      </c>
      <c r="E1011" s="190">
        <v>42535</v>
      </c>
      <c r="F1011" s="191" t="s">
        <v>1178</v>
      </c>
      <c r="G1011" s="829" t="s">
        <v>853</v>
      </c>
      <c r="H1011" s="192" t="s">
        <v>445</v>
      </c>
      <c r="I1011" s="253">
        <v>1275</v>
      </c>
      <c r="J1011" s="253">
        <v>29760</v>
      </c>
      <c r="K1011" s="584">
        <f t="shared" si="189"/>
        <v>37944000</v>
      </c>
      <c r="L1011" s="585" t="s">
        <v>857</v>
      </c>
      <c r="M1011" s="585" t="s">
        <v>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26">
        <v>2</v>
      </c>
      <c r="AB1011" s="576" t="str">
        <f>IF(VLOOKUP(F1011,NXT!$C$12:$C$786,1,0)=F1011,"","x")</f>
        <v/>
      </c>
    </row>
    <row r="1012" spans="1:30" ht="15.75" customHeight="1">
      <c r="A1012" s="827" t="str">
        <f>IF(B1012&lt;&gt;"",IF(AND(B1012&gt;=_TM1,B1012&lt;=_TM2,OR(TH!L1012="1111",TH!M1012="1111")),TH!D1012,""),"")</f>
        <v/>
      </c>
      <c r="B1012" s="36">
        <f t="shared" si="186"/>
        <v>6</v>
      </c>
      <c r="C1012" s="190">
        <f t="shared" si="187"/>
        <v>42535</v>
      </c>
      <c r="D1012" s="37" t="s">
        <v>1640</v>
      </c>
      <c r="E1012" s="190">
        <v>42535</v>
      </c>
      <c r="F1012" s="191" t="s">
        <v>1302</v>
      </c>
      <c r="G1012" s="829" t="s">
        <v>853</v>
      </c>
      <c r="H1012" s="192" t="s">
        <v>445</v>
      </c>
      <c r="I1012" s="254">
        <v>997</v>
      </c>
      <c r="J1012" s="254">
        <v>31488</v>
      </c>
      <c r="K1012" s="584">
        <f t="shared" si="189"/>
        <v>31393536</v>
      </c>
      <c r="L1012" s="585" t="s">
        <v>857</v>
      </c>
      <c r="M1012" s="585" t="s">
        <v>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26">
        <v>2</v>
      </c>
      <c r="AB1012" s="576" t="str">
        <f>IF(VLOOKUP(F1012,NXT!$C$12:$C$786,1,0)=F1012,"","x")</f>
        <v/>
      </c>
    </row>
    <row r="1013" spans="1:30" ht="15.75" customHeight="1">
      <c r="A1013" s="827" t="str">
        <f>IF(B1013&lt;&gt;"",IF(AND(B1013&gt;=_TM1,B1013&lt;=_TM2,OR(TH!L1013="1111",TH!M1013="1111")),TH!D1013,""),"")</f>
        <v/>
      </c>
      <c r="B1013" s="36">
        <f t="shared" si="186"/>
        <v>6</v>
      </c>
      <c r="C1013" s="190">
        <f t="shared" si="187"/>
        <v>42535</v>
      </c>
      <c r="D1013" s="37" t="s">
        <v>1640</v>
      </c>
      <c r="E1013" s="190">
        <v>42535</v>
      </c>
      <c r="F1013" s="191" t="s">
        <v>461</v>
      </c>
      <c r="G1013" s="829" t="s">
        <v>853</v>
      </c>
      <c r="H1013" s="192" t="s">
        <v>445</v>
      </c>
      <c r="I1013" s="253"/>
      <c r="J1013" s="253"/>
      <c r="K1013" s="584">
        <v>33030484</v>
      </c>
      <c r="L1013" s="39" t="s">
        <v>9</v>
      </c>
      <c r="M1013" s="585" t="s">
        <v>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26">
        <v>2</v>
      </c>
      <c r="AB1013" s="576"/>
      <c r="AD1013" s="576"/>
    </row>
    <row r="1014" spans="1:30" ht="15.75" customHeight="1">
      <c r="A1014" s="827" t="str">
        <f>IF(B1014&lt;&gt;"",IF(AND(B1014&gt;=_TM1,B1014&lt;=_TM2,OR(TH!L1014="1111",TH!M1014="1111")),TH!D1014,""),"")</f>
        <v/>
      </c>
      <c r="B1014" s="36">
        <f t="shared" si="186"/>
        <v>6</v>
      </c>
      <c r="C1014" s="183">
        <f t="shared" si="187"/>
        <v>42538</v>
      </c>
      <c r="D1014" s="37" t="s">
        <v>1641</v>
      </c>
      <c r="E1014" s="183">
        <v>42538</v>
      </c>
      <c r="F1014" s="188" t="s">
        <v>1297</v>
      </c>
      <c r="G1014" s="829" t="s">
        <v>440</v>
      </c>
      <c r="H1014" s="192" t="s">
        <v>435</v>
      </c>
      <c r="I1014" s="253">
        <v>34</v>
      </c>
      <c r="J1014" s="253">
        <v>30780</v>
      </c>
      <c r="K1014" s="584">
        <f>ROUND(I1014*J1014,0)</f>
        <v>1046520</v>
      </c>
      <c r="L1014" s="585" t="s">
        <v>857</v>
      </c>
      <c r="M1014" s="585" t="s">
        <v>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26">
        <v>2</v>
      </c>
      <c r="AB1014" s="576" t="str">
        <f>IF(VLOOKUP(F1014,NXT!$C$12:$C$786,1,0)=F1014,"","x")</f>
        <v/>
      </c>
      <c r="AC1014" s="576"/>
      <c r="AD1014" s="576"/>
    </row>
    <row r="1015" spans="1:30" ht="15.75" customHeight="1">
      <c r="A1015" s="827" t="str">
        <f>IF(B1015&lt;&gt;"",IF(AND(B1015&gt;=_TM1,B1015&lt;=_TM2,OR(TH!L1015="1111",TH!M1015="1111")),TH!D1015,""),"")</f>
        <v/>
      </c>
      <c r="B1015" s="36">
        <f t="shared" si="186"/>
        <v>6</v>
      </c>
      <c r="C1015" s="183">
        <f t="shared" si="187"/>
        <v>42538</v>
      </c>
      <c r="D1015" s="37" t="s">
        <v>1641</v>
      </c>
      <c r="E1015" s="183">
        <v>42538</v>
      </c>
      <c r="F1015" s="188" t="s">
        <v>441</v>
      </c>
      <c r="G1015" s="829" t="s">
        <v>440</v>
      </c>
      <c r="H1015" s="192" t="s">
        <v>435</v>
      </c>
      <c r="I1015" s="253"/>
      <c r="J1015" s="253"/>
      <c r="K1015" s="584">
        <v>104652</v>
      </c>
      <c r="L1015" s="39" t="s">
        <v>9</v>
      </c>
      <c r="M1015" s="585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26">
        <v>2</v>
      </c>
      <c r="AD1015" s="576"/>
    </row>
    <row r="1016" spans="1:30" ht="15.75" customHeight="1">
      <c r="A1016" s="827" t="str">
        <f>IF(B1016&lt;&gt;"",IF(AND(B1016&gt;=_TM1,B1016&lt;=_TM2,OR(TH!L1016="1111",TH!M1016="1111")),TH!D1016,""),"")</f>
        <v/>
      </c>
      <c r="B1016" s="36">
        <f t="shared" si="186"/>
        <v>6</v>
      </c>
      <c r="C1016" s="183">
        <f t="shared" si="187"/>
        <v>42546</v>
      </c>
      <c r="D1016" s="37" t="s">
        <v>1642</v>
      </c>
      <c r="E1016" s="183">
        <v>42546</v>
      </c>
      <c r="F1016" s="188" t="s">
        <v>1298</v>
      </c>
      <c r="G1016" s="829" t="s">
        <v>442</v>
      </c>
      <c r="H1016" s="192" t="s">
        <v>435</v>
      </c>
      <c r="I1016" s="253">
        <v>26</v>
      </c>
      <c r="J1016" s="253">
        <v>25137</v>
      </c>
      <c r="K1016" s="584">
        <f>ROUND(I1016*J1016,0)</f>
        <v>653562</v>
      </c>
      <c r="L1016" s="585" t="s">
        <v>857</v>
      </c>
      <c r="M1016" s="585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26">
        <v>2</v>
      </c>
      <c r="AB1016" s="576" t="str">
        <f>IF(VLOOKUP(F1016,NXT!$C$12:$C$786,1,0)=F1016,"","x")</f>
        <v/>
      </c>
      <c r="AD1016" s="576"/>
    </row>
    <row r="1017" spans="1:30" ht="15.75" customHeight="1">
      <c r="A1017" s="827" t="str">
        <f>IF(B1017&lt;&gt;"",IF(AND(B1017&gt;=_TM1,B1017&lt;=_TM2,OR(TH!L1017="1111",TH!M1017="1111")),TH!D1017,""),"")</f>
        <v/>
      </c>
      <c r="B1017" s="36">
        <f t="shared" si="186"/>
        <v>6</v>
      </c>
      <c r="C1017" s="183">
        <f t="shared" si="187"/>
        <v>42546</v>
      </c>
      <c r="D1017" s="37" t="s">
        <v>1642</v>
      </c>
      <c r="E1017" s="183">
        <v>42546</v>
      </c>
      <c r="F1017" s="188" t="s">
        <v>1299</v>
      </c>
      <c r="G1017" s="829" t="s">
        <v>442</v>
      </c>
      <c r="H1017" s="192" t="s">
        <v>435</v>
      </c>
      <c r="I1017" s="253">
        <v>60</v>
      </c>
      <c r="J1017" s="253">
        <v>30267</v>
      </c>
      <c r="K1017" s="584">
        <f>ROUND(I1017*J1017,0)</f>
        <v>1816020</v>
      </c>
      <c r="L1017" s="585" t="s">
        <v>857</v>
      </c>
      <c r="M1017" s="585" t="s">
        <v>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26">
        <v>2</v>
      </c>
      <c r="AB1017" s="576" t="str">
        <f>IF(VLOOKUP(F1017,NXT!$C$12:$C$786,1,0)=F1017,"","x")</f>
        <v/>
      </c>
      <c r="AC1017" s="576"/>
      <c r="AD1017" s="576"/>
    </row>
    <row r="1018" spans="1:30" ht="15.75" customHeight="1">
      <c r="A1018" s="827" t="str">
        <f>IF(B1018&lt;&gt;"",IF(AND(B1018&gt;=_TM1,B1018&lt;=_TM2,OR(TH!L1018="1111",TH!M1018="1111")),TH!D1018,""),"")</f>
        <v/>
      </c>
      <c r="B1018" s="36">
        <f t="shared" si="186"/>
        <v>6</v>
      </c>
      <c r="C1018" s="183">
        <f t="shared" si="187"/>
        <v>42546</v>
      </c>
      <c r="D1018" s="37" t="s">
        <v>1642</v>
      </c>
      <c r="E1018" s="183">
        <v>42546</v>
      </c>
      <c r="F1018" s="188" t="s">
        <v>1298</v>
      </c>
      <c r="G1018" s="829" t="s">
        <v>442</v>
      </c>
      <c r="H1018" s="192" t="s">
        <v>435</v>
      </c>
      <c r="I1018" s="253">
        <v>26</v>
      </c>
      <c r="J1018" s="253">
        <v>17199</v>
      </c>
      <c r="K1018" s="584">
        <f>ROUND(I1018*J1018,0)</f>
        <v>447174</v>
      </c>
      <c r="L1018" s="585" t="s">
        <v>857</v>
      </c>
      <c r="M1018" s="585" t="s">
        <v>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26">
        <v>2</v>
      </c>
      <c r="AB1018" s="576" t="str">
        <f>IF(VLOOKUP(F1018,NXT!$C$12:$C$786,1,0)=F1018,"","x")</f>
        <v/>
      </c>
      <c r="AC1018" s="576"/>
      <c r="AD1018" s="576"/>
    </row>
    <row r="1019" spans="1:30" ht="15.75" customHeight="1">
      <c r="A1019" s="827" t="str">
        <f>IF(B1019&lt;&gt;"",IF(AND(B1019&gt;=_TM1,B1019&lt;=_TM2,OR(TH!L1019="1111",TH!M1019="1111")),TH!D1019,""),"")</f>
        <v/>
      </c>
      <c r="B1019" s="36">
        <f t="shared" si="186"/>
        <v>6</v>
      </c>
      <c r="C1019" s="183">
        <f t="shared" si="187"/>
        <v>42546</v>
      </c>
      <c r="D1019" s="37" t="s">
        <v>1642</v>
      </c>
      <c r="E1019" s="183">
        <v>42546</v>
      </c>
      <c r="F1019" s="188" t="s">
        <v>1299</v>
      </c>
      <c r="G1019" s="829" t="s">
        <v>442</v>
      </c>
      <c r="H1019" s="192" t="s">
        <v>435</v>
      </c>
      <c r="I1019" s="253">
        <v>60</v>
      </c>
      <c r="J1019" s="253">
        <v>20709</v>
      </c>
      <c r="K1019" s="584">
        <f>ROUND(I1019*J1019,0)</f>
        <v>1242540</v>
      </c>
      <c r="L1019" s="585" t="s">
        <v>857</v>
      </c>
      <c r="M1019" s="585" t="s">
        <v>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26">
        <v>2</v>
      </c>
      <c r="AB1019" s="576" t="str">
        <f>IF(VLOOKUP(F1019,NXT!$C$12:$C$786,1,0)=F1019,"","x")</f>
        <v/>
      </c>
      <c r="AC1019" s="576"/>
      <c r="AD1019" s="576"/>
    </row>
    <row r="1020" spans="1:30" ht="15.75" customHeight="1">
      <c r="A1020" s="827" t="str">
        <f>IF(B1020&lt;&gt;"",IF(AND(B1020&gt;=_TM1,B1020&lt;=_TM2,OR(TH!L1020="1111",TH!M1020="1111")),TH!D1020,""),"")</f>
        <v/>
      </c>
      <c r="B1020" s="36">
        <f t="shared" si="186"/>
        <v>6</v>
      </c>
      <c r="C1020" s="183">
        <f t="shared" si="187"/>
        <v>42546</v>
      </c>
      <c r="D1020" s="37" t="s">
        <v>1642</v>
      </c>
      <c r="E1020" s="183">
        <v>42546</v>
      </c>
      <c r="F1020" s="188" t="s">
        <v>443</v>
      </c>
      <c r="G1020" s="829" t="s">
        <v>442</v>
      </c>
      <c r="H1020" s="192" t="s">
        <v>435</v>
      </c>
      <c r="I1020" s="253"/>
      <c r="J1020" s="253"/>
      <c r="K1020" s="584">
        <v>415930</v>
      </c>
      <c r="L1020" s="39" t="s">
        <v>9</v>
      </c>
      <c r="M1020" s="585" t="s">
        <v>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26">
        <v>2</v>
      </c>
      <c r="AB1020" s="576"/>
      <c r="AC1020" s="576"/>
      <c r="AD1020" s="576"/>
    </row>
    <row r="1021" spans="1:30" ht="15.75" customHeight="1">
      <c r="A1021" s="827" t="str">
        <f>IF(B1021&lt;&gt;"",IF(AND(B1021&gt;=_TM1,B1021&lt;=_TM2,OR(TH!L1021="1111",TH!M1021="1111")),TH!D1021,""),"")</f>
        <v/>
      </c>
      <c r="B1021" s="36">
        <f t="shared" si="186"/>
        <v>6</v>
      </c>
      <c r="C1021" s="190">
        <f t="shared" si="187"/>
        <v>42546</v>
      </c>
      <c r="D1021" s="37" t="s">
        <v>1643</v>
      </c>
      <c r="E1021" s="190">
        <v>42546</v>
      </c>
      <c r="F1021" s="191" t="s">
        <v>1178</v>
      </c>
      <c r="G1021" s="833" t="s">
        <v>1357</v>
      </c>
      <c r="H1021" s="192" t="s">
        <v>445</v>
      </c>
      <c r="I1021" s="253">
        <v>1000</v>
      </c>
      <c r="J1021" s="253">
        <v>33600</v>
      </c>
      <c r="K1021" s="584">
        <f>ROUND(I1021*J1021,0)</f>
        <v>33600000</v>
      </c>
      <c r="L1021" s="585" t="s">
        <v>857</v>
      </c>
      <c r="M1021" s="585" t="s">
        <v>8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26">
        <v>2</v>
      </c>
      <c r="AB1021" s="576" t="str">
        <f>IF(VLOOKUP(F1021,NXT!$C$12:$C$786,1,0)=F1021,"","x")</f>
        <v/>
      </c>
    </row>
    <row r="1022" spans="1:30" ht="15.75" customHeight="1">
      <c r="A1022" s="827" t="str">
        <f>IF(B1022&lt;&gt;"",IF(AND(B1022&gt;=_TM1,B1022&lt;=_TM2,OR(TH!L1022="1111",TH!M1022="1111")),TH!D1022,""),"")</f>
        <v/>
      </c>
      <c r="B1022" s="36">
        <f t="shared" si="186"/>
        <v>6</v>
      </c>
      <c r="C1022" s="190">
        <f t="shared" si="187"/>
        <v>42546</v>
      </c>
      <c r="D1022" s="37" t="s">
        <v>1643</v>
      </c>
      <c r="E1022" s="190">
        <v>42546</v>
      </c>
      <c r="F1022" s="191" t="s">
        <v>1179</v>
      </c>
      <c r="G1022" s="833" t="s">
        <v>1357</v>
      </c>
      <c r="H1022" s="192" t="s">
        <v>445</v>
      </c>
      <c r="I1022" s="253">
        <v>900</v>
      </c>
      <c r="J1022" s="253">
        <v>31200</v>
      </c>
      <c r="K1022" s="584">
        <f>ROUND(I1022*J1022,0)</f>
        <v>28080000</v>
      </c>
      <c r="L1022" s="585" t="s">
        <v>857</v>
      </c>
      <c r="M1022" s="585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26">
        <v>2</v>
      </c>
      <c r="AB1022" s="576" t="str">
        <f>IF(VLOOKUP(F1022,NXT!$C$12:$C$786,1,0)=F1022,"","x")</f>
        <v/>
      </c>
    </row>
    <row r="1023" spans="1:30" ht="15.75" customHeight="1">
      <c r="A1023" s="827" t="str">
        <f>IF(B1023&lt;&gt;"",IF(AND(B1023&gt;=_TM1,B1023&lt;=_TM2,OR(TH!L1023="1111",TH!M1023="1111")),TH!D1023,""),"")</f>
        <v/>
      </c>
      <c r="B1023" s="36">
        <f t="shared" si="186"/>
        <v>6</v>
      </c>
      <c r="C1023" s="190">
        <f t="shared" si="187"/>
        <v>42546</v>
      </c>
      <c r="D1023" s="37" t="s">
        <v>1643</v>
      </c>
      <c r="E1023" s="190">
        <v>42546</v>
      </c>
      <c r="F1023" s="292" t="s">
        <v>451</v>
      </c>
      <c r="G1023" s="833" t="s">
        <v>1357</v>
      </c>
      <c r="H1023" s="192" t="s">
        <v>445</v>
      </c>
      <c r="I1023" s="253">
        <v>1400</v>
      </c>
      <c r="J1023" s="253">
        <v>17760</v>
      </c>
      <c r="K1023" s="584">
        <f>ROUND(I1023*J1023,0)</f>
        <v>24864000</v>
      </c>
      <c r="L1023" s="585" t="s">
        <v>857</v>
      </c>
      <c r="M1023" s="585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>x</v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26">
        <v>2</v>
      </c>
      <c r="AB1023" s="576" t="str">
        <f>IF(VLOOKUP(F1023,NXT!$C$12:$C$786,1,0)=F1023,"","x")</f>
        <v/>
      </c>
    </row>
    <row r="1024" spans="1:30" ht="15.75" customHeight="1">
      <c r="A1024" s="827" t="str">
        <f>IF(B1024&lt;&gt;"",IF(AND(B1024&gt;=_TM1,B1024&lt;=_TM2,OR(TH!L1024="1111",TH!M1024="1111")),TH!D1024,""),"")</f>
        <v/>
      </c>
      <c r="B1024" s="36">
        <f t="shared" si="186"/>
        <v>6</v>
      </c>
      <c r="C1024" s="190">
        <f t="shared" si="187"/>
        <v>42546</v>
      </c>
      <c r="D1024" s="37" t="s">
        <v>1643</v>
      </c>
      <c r="E1024" s="190">
        <v>42546</v>
      </c>
      <c r="F1024" s="292" t="s">
        <v>450</v>
      </c>
      <c r="G1024" s="833" t="s">
        <v>1357</v>
      </c>
      <c r="H1024" s="192" t="s">
        <v>445</v>
      </c>
      <c r="I1024" s="253">
        <v>1150</v>
      </c>
      <c r="J1024" s="253">
        <v>17760</v>
      </c>
      <c r="K1024" s="584">
        <f>ROUND(I1024*J1024,0)</f>
        <v>20424000</v>
      </c>
      <c r="L1024" s="585" t="s">
        <v>857</v>
      </c>
      <c r="M1024" s="585" t="s">
        <v>8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26">
        <v>2</v>
      </c>
      <c r="AB1024" s="576" t="str">
        <f>IF(VLOOKUP(F1024,NXT!$C$12:$C$786,1,0)=F1024,"","x")</f>
        <v/>
      </c>
    </row>
    <row r="1025" spans="1:28" ht="15.75" customHeight="1">
      <c r="A1025" s="827" t="str">
        <f>IF(B1025&lt;&gt;"",IF(AND(B1025&gt;=_TM1,B1025&lt;=_TM2,OR(TH!L1025="1111",TH!M1025="1111")),TH!D1025,""),"")</f>
        <v/>
      </c>
      <c r="B1025" s="36">
        <f t="shared" si="186"/>
        <v>6</v>
      </c>
      <c r="C1025" s="190">
        <f t="shared" si="187"/>
        <v>42546</v>
      </c>
      <c r="D1025" s="37" t="s">
        <v>1643</v>
      </c>
      <c r="E1025" s="190">
        <v>42546</v>
      </c>
      <c r="F1025" s="191" t="s">
        <v>461</v>
      </c>
      <c r="G1025" s="833" t="s">
        <v>1357</v>
      </c>
      <c r="H1025" s="192" t="s">
        <v>445</v>
      </c>
      <c r="I1025" s="253"/>
      <c r="J1025" s="253"/>
      <c r="K1025" s="584">
        <v>10696800</v>
      </c>
      <c r="L1025" s="39" t="s">
        <v>9</v>
      </c>
      <c r="M1025" s="585" t="s">
        <v>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26">
        <v>2</v>
      </c>
      <c r="AB1025" s="576"/>
    </row>
    <row r="1026" spans="1:28" ht="15.75" customHeight="1">
      <c r="A1026" s="827" t="str">
        <f>IF(B1026&lt;&gt;"",IF(AND(B1026&gt;=_TM1,B1026&lt;=_TM2,OR(TH!L1026="1111",TH!M1026="1111")),TH!D1026,""),"")</f>
        <v/>
      </c>
      <c r="B1026" s="36">
        <f t="shared" si="186"/>
        <v>6</v>
      </c>
      <c r="C1026" s="190">
        <f t="shared" si="187"/>
        <v>42549</v>
      </c>
      <c r="D1026" s="37" t="s">
        <v>1644</v>
      </c>
      <c r="E1026" s="190">
        <v>42549</v>
      </c>
      <c r="F1026" s="191" t="s">
        <v>451</v>
      </c>
      <c r="G1026" s="829" t="s">
        <v>854</v>
      </c>
      <c r="H1026" s="192" t="s">
        <v>445</v>
      </c>
      <c r="I1026" s="253">
        <v>1500</v>
      </c>
      <c r="J1026" s="253">
        <v>10560</v>
      </c>
      <c r="K1026" s="584">
        <f t="shared" ref="K1026:K1057" si="190">ROUND(I1026*J1026,0)</f>
        <v>15840000</v>
      </c>
      <c r="L1026" s="585" t="s">
        <v>857</v>
      </c>
      <c r="M1026" s="585" t="s">
        <v>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>x</v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26">
        <v>2</v>
      </c>
      <c r="AB1026" s="576" t="str">
        <f>IF(VLOOKUP(F1026,NXT!$C$12:$C$786,1,0)=F1026,"","x")</f>
        <v/>
      </c>
    </row>
    <row r="1027" spans="1:28" ht="15.75" customHeight="1">
      <c r="A1027" s="827" t="str">
        <f>IF(B1027&lt;&gt;"",IF(AND(B1027&gt;=_TM1,B1027&lt;=_TM2,OR(TH!L1027="1111",TH!M1027="1111")),TH!D1027,""),"")</f>
        <v/>
      </c>
      <c r="B1027" s="36">
        <f t="shared" si="186"/>
        <v>6</v>
      </c>
      <c r="C1027" s="190">
        <f t="shared" si="187"/>
        <v>42549</v>
      </c>
      <c r="D1027" s="37" t="s">
        <v>1644</v>
      </c>
      <c r="E1027" s="190">
        <v>42549</v>
      </c>
      <c r="F1027" s="191" t="s">
        <v>809</v>
      </c>
      <c r="G1027" s="829" t="s">
        <v>854</v>
      </c>
      <c r="H1027" s="192" t="s">
        <v>445</v>
      </c>
      <c r="I1027" s="253">
        <v>280</v>
      </c>
      <c r="J1027" s="253">
        <v>38924</v>
      </c>
      <c r="K1027" s="584">
        <f t="shared" si="190"/>
        <v>10898720</v>
      </c>
      <c r="L1027" s="585" t="s">
        <v>857</v>
      </c>
      <c r="M1027" s="585" t="s">
        <v>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26">
        <v>2</v>
      </c>
      <c r="AB1027" s="576" t="str">
        <f>IF(VLOOKUP(F1027,NXT!$C$12:$C$786,1,0)=F1027,"","x")</f>
        <v/>
      </c>
    </row>
    <row r="1028" spans="1:28" ht="15.75" customHeight="1">
      <c r="A1028" s="827" t="str">
        <f>IF(B1028&lt;&gt;"",IF(AND(B1028&gt;=_TM1,B1028&lt;=_TM2,OR(TH!L1028="1111",TH!M1028="1111")),TH!D1028,""),"")</f>
        <v/>
      </c>
      <c r="B1028" s="36">
        <f t="shared" si="186"/>
        <v>6</v>
      </c>
      <c r="C1028" s="190">
        <f t="shared" si="187"/>
        <v>42549</v>
      </c>
      <c r="D1028" s="37" t="s">
        <v>1644</v>
      </c>
      <c r="E1028" s="190">
        <v>42549</v>
      </c>
      <c r="F1028" s="191" t="s">
        <v>534</v>
      </c>
      <c r="G1028" s="829" t="s">
        <v>854</v>
      </c>
      <c r="H1028" s="192" t="s">
        <v>445</v>
      </c>
      <c r="I1028" s="253">
        <v>20</v>
      </c>
      <c r="J1028" s="253">
        <v>86666</v>
      </c>
      <c r="K1028" s="584">
        <f t="shared" si="190"/>
        <v>1733320</v>
      </c>
      <c r="L1028" s="585" t="s">
        <v>857</v>
      </c>
      <c r="M1028" s="585" t="s">
        <v>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26">
        <v>2</v>
      </c>
      <c r="AB1028" s="576" t="str">
        <f>IF(VLOOKUP(F1028,NXT!$C$12:$C$786,1,0)=F1028,"","x")</f>
        <v/>
      </c>
    </row>
    <row r="1029" spans="1:28" ht="15.75" customHeight="1">
      <c r="A1029" s="827" t="str">
        <f>IF(B1029&lt;&gt;"",IF(AND(B1029&gt;=_TM1,B1029&lt;=_TM2,OR(TH!L1029="1111",TH!M1029="1111")),TH!D1029,""),"")</f>
        <v/>
      </c>
      <c r="B1029" s="36">
        <f t="shared" si="186"/>
        <v>6</v>
      </c>
      <c r="C1029" s="190">
        <f t="shared" si="187"/>
        <v>42549</v>
      </c>
      <c r="D1029" s="37" t="s">
        <v>1644</v>
      </c>
      <c r="E1029" s="190">
        <v>42549</v>
      </c>
      <c r="F1029" s="191" t="s">
        <v>702</v>
      </c>
      <c r="G1029" s="829" t="s">
        <v>854</v>
      </c>
      <c r="H1029" s="192" t="s">
        <v>445</v>
      </c>
      <c r="I1029" s="253">
        <v>6</v>
      </c>
      <c r="J1029" s="253">
        <v>64744</v>
      </c>
      <c r="K1029" s="584">
        <f t="shared" si="190"/>
        <v>388464</v>
      </c>
      <c r="L1029" s="585" t="s">
        <v>857</v>
      </c>
      <c r="M1029" s="585" t="s">
        <v>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26">
        <v>2</v>
      </c>
      <c r="AB1029" s="576" t="str">
        <f>IF(VLOOKUP(F1029,NXT!$C$12:$C$786,1,0)=F1029,"","x")</f>
        <v/>
      </c>
    </row>
    <row r="1030" spans="1:28" ht="15.75" customHeight="1">
      <c r="A1030" s="827" t="str">
        <f>IF(B1030&lt;&gt;"",IF(AND(B1030&gt;=_TM1,B1030&lt;=_TM2,OR(TH!L1030="1111",TH!M1030="1111")),TH!D1030,""),"")</f>
        <v/>
      </c>
      <c r="B1030" s="36">
        <f t="shared" si="186"/>
        <v>6</v>
      </c>
      <c r="C1030" s="190">
        <f t="shared" si="187"/>
        <v>42549</v>
      </c>
      <c r="D1030" s="37" t="s">
        <v>1644</v>
      </c>
      <c r="E1030" s="190">
        <v>42549</v>
      </c>
      <c r="F1030" s="191" t="s">
        <v>707</v>
      </c>
      <c r="G1030" s="829" t="s">
        <v>854</v>
      </c>
      <c r="H1030" s="192" t="s">
        <v>445</v>
      </c>
      <c r="I1030" s="253">
        <v>4</v>
      </c>
      <c r="J1030" s="253">
        <v>118863</v>
      </c>
      <c r="K1030" s="584">
        <f t="shared" si="190"/>
        <v>475452</v>
      </c>
      <c r="L1030" s="585" t="s">
        <v>857</v>
      </c>
      <c r="M1030" s="585" t="s">
        <v>8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26">
        <v>2</v>
      </c>
      <c r="AB1030" s="576" t="str">
        <f>IF(VLOOKUP(F1030,NXT!$C$12:$C$786,1,0)=F1030,"","x")</f>
        <v/>
      </c>
    </row>
    <row r="1031" spans="1:28" ht="15.75" customHeight="1">
      <c r="A1031" s="827" t="str">
        <f>IF(B1031&lt;&gt;"",IF(AND(B1031&gt;=_TM1,B1031&lt;=_TM2,OR(TH!L1031="1111",TH!M1031="1111")),TH!D1031,""),"")</f>
        <v/>
      </c>
      <c r="B1031" s="36">
        <f t="shared" si="186"/>
        <v>6</v>
      </c>
      <c r="C1031" s="190">
        <f t="shared" si="187"/>
        <v>42549</v>
      </c>
      <c r="D1031" s="37" t="s">
        <v>1644</v>
      </c>
      <c r="E1031" s="190">
        <v>42549</v>
      </c>
      <c r="F1031" s="191" t="s">
        <v>539</v>
      </c>
      <c r="G1031" s="829" t="s">
        <v>854</v>
      </c>
      <c r="H1031" s="192" t="s">
        <v>445</v>
      </c>
      <c r="I1031" s="253">
        <v>6</v>
      </c>
      <c r="J1031" s="253">
        <v>137834</v>
      </c>
      <c r="K1031" s="584">
        <f t="shared" si="190"/>
        <v>827004</v>
      </c>
      <c r="L1031" s="585" t="s">
        <v>857</v>
      </c>
      <c r="M1031" s="585" t="s">
        <v>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26">
        <v>2</v>
      </c>
      <c r="AB1031" s="576" t="str">
        <f>IF(VLOOKUP(F1031,NXT!$C$12:$C$786,1,0)=F1031,"","x")</f>
        <v/>
      </c>
    </row>
    <row r="1032" spans="1:28" ht="15.75" customHeight="1">
      <c r="A1032" s="827" t="str">
        <f>IF(B1032&lt;&gt;"",IF(AND(B1032&gt;=_TM1,B1032&lt;=_TM2,OR(TH!L1032="1111",TH!M1032="1111")),TH!D1032,""),"")</f>
        <v/>
      </c>
      <c r="B1032" s="36">
        <f t="shared" si="186"/>
        <v>6</v>
      </c>
      <c r="C1032" s="190">
        <f t="shared" si="187"/>
        <v>42549</v>
      </c>
      <c r="D1032" s="37" t="s">
        <v>1644</v>
      </c>
      <c r="E1032" s="190">
        <v>42549</v>
      </c>
      <c r="F1032" s="188" t="s">
        <v>484</v>
      </c>
      <c r="G1032" s="829" t="s">
        <v>854</v>
      </c>
      <c r="H1032" s="192" t="s">
        <v>445</v>
      </c>
      <c r="I1032" s="767">
        <v>10</v>
      </c>
      <c r="J1032" s="253">
        <v>37679</v>
      </c>
      <c r="K1032" s="584">
        <f t="shared" si="190"/>
        <v>376790</v>
      </c>
      <c r="L1032" s="585" t="s">
        <v>857</v>
      </c>
      <c r="M1032" s="585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26">
        <v>2</v>
      </c>
      <c r="AB1032" s="576" t="str">
        <f>IF(VLOOKUP(F1032,NXT!$C$12:$C$786,1,0)=F1032,"","x")</f>
        <v/>
      </c>
    </row>
    <row r="1033" spans="1:28" ht="15.75" customHeight="1">
      <c r="A1033" s="827" t="str">
        <f>IF(B1033&lt;&gt;"",IF(AND(B1033&gt;=_TM1,B1033&lt;=_TM2,OR(TH!L1033="1111",TH!M1033="1111")),TH!D1033,""),"")</f>
        <v/>
      </c>
      <c r="B1033" s="36">
        <f t="shared" si="186"/>
        <v>6</v>
      </c>
      <c r="C1033" s="190">
        <f t="shared" si="187"/>
        <v>42549</v>
      </c>
      <c r="D1033" s="37" t="s">
        <v>1644</v>
      </c>
      <c r="E1033" s="190">
        <v>42549</v>
      </c>
      <c r="F1033" s="188" t="s">
        <v>813</v>
      </c>
      <c r="G1033" s="829" t="s">
        <v>854</v>
      </c>
      <c r="H1033" s="192" t="s">
        <v>445</v>
      </c>
      <c r="I1033" s="253">
        <v>100</v>
      </c>
      <c r="J1033" s="253">
        <v>47825</v>
      </c>
      <c r="K1033" s="584">
        <f t="shared" si="190"/>
        <v>4782500</v>
      </c>
      <c r="L1033" s="585" t="s">
        <v>857</v>
      </c>
      <c r="M1033" s="585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26">
        <v>2</v>
      </c>
      <c r="AB1033" s="576" t="str">
        <f>IF(VLOOKUP(F1033,NXT!$C$12:$C$786,1,0)=F1033,"","x")</f>
        <v/>
      </c>
    </row>
    <row r="1034" spans="1:28" ht="15.75" customHeight="1">
      <c r="A1034" s="827" t="str">
        <f>IF(B1034&lt;&gt;"",IF(AND(B1034&gt;=_TM1,B1034&lt;=_TM2,OR(TH!L1034="1111",TH!M1034="1111")),TH!D1034,""),"")</f>
        <v/>
      </c>
      <c r="B1034" s="36">
        <f t="shared" ref="B1034:B1097" si="191">IF(C1034&lt;&gt;"",MONTH(C1034),"")</f>
        <v>6</v>
      </c>
      <c r="C1034" s="190">
        <f t="shared" ref="C1034:C1097" si="192">E1034</f>
        <v>42549</v>
      </c>
      <c r="D1034" s="37" t="s">
        <v>1644</v>
      </c>
      <c r="E1034" s="190">
        <v>42549</v>
      </c>
      <c r="F1034" s="40" t="s">
        <v>536</v>
      </c>
      <c r="G1034" s="829" t="s">
        <v>854</v>
      </c>
      <c r="H1034" s="192" t="s">
        <v>445</v>
      </c>
      <c r="I1034" s="253">
        <v>50</v>
      </c>
      <c r="J1034" s="253">
        <v>58806</v>
      </c>
      <c r="K1034" s="584">
        <f t="shared" si="190"/>
        <v>2940300</v>
      </c>
      <c r="L1034" s="585" t="s">
        <v>857</v>
      </c>
      <c r="M1034" s="585" t="s">
        <v>8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26">
        <v>2</v>
      </c>
      <c r="AB1034" s="576" t="str">
        <f>IF(VLOOKUP(F1034,NXT!$C$12:$C$786,1,0)=F1034,"","x")</f>
        <v/>
      </c>
    </row>
    <row r="1035" spans="1:28" ht="15.75" customHeight="1">
      <c r="A1035" s="827" t="str">
        <f>IF(B1035&lt;&gt;"",IF(AND(B1035&gt;=_TM1,B1035&lt;=_TM2,OR(TH!L1035="1111",TH!M1035="1111")),TH!D1035,""),"")</f>
        <v/>
      </c>
      <c r="B1035" s="36">
        <f t="shared" si="191"/>
        <v>6</v>
      </c>
      <c r="C1035" s="190">
        <f t="shared" si="192"/>
        <v>42549</v>
      </c>
      <c r="D1035" s="37" t="s">
        <v>1644</v>
      </c>
      <c r="E1035" s="190">
        <v>42549</v>
      </c>
      <c r="F1035" s="188" t="s">
        <v>538</v>
      </c>
      <c r="G1035" s="829" t="s">
        <v>854</v>
      </c>
      <c r="H1035" s="192" t="s">
        <v>445</v>
      </c>
      <c r="I1035" s="253">
        <v>30</v>
      </c>
      <c r="J1035" s="253">
        <v>69735</v>
      </c>
      <c r="K1035" s="584">
        <f t="shared" si="190"/>
        <v>2092050</v>
      </c>
      <c r="L1035" s="585" t="s">
        <v>857</v>
      </c>
      <c r="M1035" s="585" t="s">
        <v>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26">
        <v>2</v>
      </c>
      <c r="AB1035" s="576" t="str">
        <f>IF(VLOOKUP(F1035,NXT!$C$12:$C$786,1,0)=F1035,"","x")</f>
        <v/>
      </c>
    </row>
    <row r="1036" spans="1:28" ht="15.75" customHeight="1">
      <c r="A1036" s="827" t="str">
        <f>IF(B1036&lt;&gt;"",IF(AND(B1036&gt;=_TM1,B1036&lt;=_TM2,OR(TH!L1036="1111",TH!M1036="1111")),TH!D1036,""),"")</f>
        <v/>
      </c>
      <c r="B1036" s="36">
        <f t="shared" si="191"/>
        <v>6</v>
      </c>
      <c r="C1036" s="190">
        <f t="shared" si="192"/>
        <v>42549</v>
      </c>
      <c r="D1036" s="37" t="s">
        <v>1644</v>
      </c>
      <c r="E1036" s="190">
        <v>42549</v>
      </c>
      <c r="F1036" s="40" t="s">
        <v>704</v>
      </c>
      <c r="G1036" s="829" t="s">
        <v>854</v>
      </c>
      <c r="H1036" s="192" t="s">
        <v>445</v>
      </c>
      <c r="I1036" s="253">
        <v>20</v>
      </c>
      <c r="J1036" s="253">
        <v>36418</v>
      </c>
      <c r="K1036" s="584">
        <f t="shared" si="190"/>
        <v>728360</v>
      </c>
      <c r="L1036" s="585" t="s">
        <v>857</v>
      </c>
      <c r="M1036" s="585" t="s">
        <v>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26">
        <v>2</v>
      </c>
      <c r="AB1036" s="576" t="str">
        <f>IF(VLOOKUP(F1036,NXT!$C$12:$C$786,1,0)=F1036,"","x")</f>
        <v/>
      </c>
    </row>
    <row r="1037" spans="1:28" ht="15.75" customHeight="1">
      <c r="A1037" s="827" t="str">
        <f>IF(B1037&lt;&gt;"",IF(AND(B1037&gt;=_TM1,B1037&lt;=_TM2,OR(TH!L1037="1111",TH!M1037="1111")),TH!D1037,""),"")</f>
        <v/>
      </c>
      <c r="B1037" s="36">
        <f t="shared" si="191"/>
        <v>6</v>
      </c>
      <c r="C1037" s="190">
        <f t="shared" si="192"/>
        <v>42549</v>
      </c>
      <c r="D1037" s="37" t="s">
        <v>1644</v>
      </c>
      <c r="E1037" s="190">
        <v>42549</v>
      </c>
      <c r="F1037" s="40" t="s">
        <v>710</v>
      </c>
      <c r="G1037" s="829" t="s">
        <v>854</v>
      </c>
      <c r="H1037" s="192" t="s">
        <v>445</v>
      </c>
      <c r="I1037" s="253">
        <v>20</v>
      </c>
      <c r="J1037" s="253">
        <v>68527</v>
      </c>
      <c r="K1037" s="584">
        <f t="shared" si="190"/>
        <v>1370540</v>
      </c>
      <c r="L1037" s="585" t="s">
        <v>857</v>
      </c>
      <c r="M1037" s="585" t="s">
        <v>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26">
        <v>2</v>
      </c>
      <c r="AB1037" s="576" t="str">
        <f>IF(VLOOKUP(F1037,NXT!$C$12:$C$786,1,0)=F1037,"","x")</f>
        <v/>
      </c>
    </row>
    <row r="1038" spans="1:28" ht="15.75" customHeight="1">
      <c r="A1038" s="827" t="str">
        <f>IF(B1038&lt;&gt;"",IF(AND(B1038&gt;=_TM1,B1038&lt;=_TM2,OR(TH!L1038="1111",TH!M1038="1111")),TH!D1038,""),"")</f>
        <v/>
      </c>
      <c r="B1038" s="36">
        <f t="shared" si="191"/>
        <v>6</v>
      </c>
      <c r="C1038" s="190">
        <f t="shared" si="192"/>
        <v>42549</v>
      </c>
      <c r="D1038" s="37" t="s">
        <v>1644</v>
      </c>
      <c r="E1038" s="190">
        <v>42549</v>
      </c>
      <c r="F1038" s="40" t="s">
        <v>825</v>
      </c>
      <c r="G1038" s="829" t="s">
        <v>854</v>
      </c>
      <c r="H1038" s="192" t="s">
        <v>445</v>
      </c>
      <c r="I1038" s="253">
        <v>50</v>
      </c>
      <c r="J1038" s="253">
        <v>36980</v>
      </c>
      <c r="K1038" s="584">
        <f t="shared" si="190"/>
        <v>1849000</v>
      </c>
      <c r="L1038" s="585" t="s">
        <v>857</v>
      </c>
      <c r="M1038" s="585" t="s">
        <v>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26">
        <v>2</v>
      </c>
      <c r="AB1038" s="576" t="str">
        <f>IF(VLOOKUP(F1038,NXT!$C$12:$C$786,1,0)=F1038,"","x")</f>
        <v/>
      </c>
    </row>
    <row r="1039" spans="1:28" ht="15.75" customHeight="1">
      <c r="A1039" s="827" t="str">
        <f>IF(B1039&lt;&gt;"",IF(AND(B1039&gt;=_TM1,B1039&lt;=_TM2,OR(TH!L1039="1111",TH!M1039="1111")),TH!D1039,""),"")</f>
        <v/>
      </c>
      <c r="B1039" s="36">
        <f t="shared" si="191"/>
        <v>6</v>
      </c>
      <c r="C1039" s="190">
        <f t="shared" si="192"/>
        <v>42549</v>
      </c>
      <c r="D1039" s="37" t="s">
        <v>1644</v>
      </c>
      <c r="E1039" s="190">
        <v>42549</v>
      </c>
      <c r="F1039" s="40" t="s">
        <v>827</v>
      </c>
      <c r="G1039" s="829" t="s">
        <v>854</v>
      </c>
      <c r="H1039" s="192" t="s">
        <v>445</v>
      </c>
      <c r="I1039" s="253">
        <v>10</v>
      </c>
      <c r="J1039" s="253">
        <v>98119</v>
      </c>
      <c r="K1039" s="584">
        <f t="shared" si="190"/>
        <v>981190</v>
      </c>
      <c r="L1039" s="585" t="s">
        <v>857</v>
      </c>
      <c r="M1039" s="585" t="s">
        <v>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26">
        <v>2</v>
      </c>
      <c r="AB1039" s="576" t="str">
        <f>IF(VLOOKUP(F1039,NXT!$C$12:$C$786,1,0)=F1039,"","x")</f>
        <v/>
      </c>
    </row>
    <row r="1040" spans="1:28" ht="15.75" customHeight="1">
      <c r="A1040" s="827" t="str">
        <f>IF(B1040&lt;&gt;"",IF(AND(B1040&gt;=_TM1,B1040&lt;=_TM2,OR(TH!L1040="1111",TH!M1040="1111")),TH!D1040,""),"")</f>
        <v/>
      </c>
      <c r="B1040" s="36">
        <f t="shared" si="191"/>
        <v>6</v>
      </c>
      <c r="C1040" s="190">
        <f t="shared" si="192"/>
        <v>42549</v>
      </c>
      <c r="D1040" s="37" t="s">
        <v>1644</v>
      </c>
      <c r="E1040" s="190">
        <v>42549</v>
      </c>
      <c r="F1040" s="40" t="s">
        <v>705</v>
      </c>
      <c r="G1040" s="829" t="s">
        <v>854</v>
      </c>
      <c r="H1040" s="192" t="s">
        <v>445</v>
      </c>
      <c r="I1040" s="253">
        <v>20</v>
      </c>
      <c r="J1040" s="253">
        <v>60484</v>
      </c>
      <c r="K1040" s="584">
        <f t="shared" si="190"/>
        <v>1209680</v>
      </c>
      <c r="L1040" s="585" t="s">
        <v>857</v>
      </c>
      <c r="M1040" s="585" t="s">
        <v>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26">
        <v>2</v>
      </c>
      <c r="AB1040" s="576" t="str">
        <f>IF(VLOOKUP(F1040,NXT!$C$12:$C$786,1,0)=F1040,"","x")</f>
        <v/>
      </c>
    </row>
    <row r="1041" spans="1:28" ht="15.75" customHeight="1">
      <c r="A1041" s="827" t="str">
        <f>IF(B1041&lt;&gt;"",IF(AND(B1041&gt;=_TM1,B1041&lt;=_TM2,OR(TH!L1041="1111",TH!M1041="1111")),TH!D1041,""),"")</f>
        <v/>
      </c>
      <c r="B1041" s="36">
        <f t="shared" si="191"/>
        <v>6</v>
      </c>
      <c r="C1041" s="190">
        <f t="shared" si="192"/>
        <v>42549</v>
      </c>
      <c r="D1041" s="37" t="s">
        <v>1644</v>
      </c>
      <c r="E1041" s="190">
        <v>42549</v>
      </c>
      <c r="F1041" s="40" t="s">
        <v>860</v>
      </c>
      <c r="G1041" s="829" t="s">
        <v>854</v>
      </c>
      <c r="H1041" s="192" t="s">
        <v>445</v>
      </c>
      <c r="I1041" s="253">
        <v>100</v>
      </c>
      <c r="J1041" s="253">
        <v>13292</v>
      </c>
      <c r="K1041" s="584">
        <f t="shared" si="190"/>
        <v>1329200</v>
      </c>
      <c r="L1041" s="585" t="s">
        <v>857</v>
      </c>
      <c r="M1041" s="585" t="s">
        <v>8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26">
        <v>2</v>
      </c>
      <c r="AB1041" s="576" t="str">
        <f>IF(VLOOKUP(F1041,NXT!$C$12:$C$786,1,0)=F1041,"","x")</f>
        <v/>
      </c>
    </row>
    <row r="1042" spans="1:28" ht="15.75" customHeight="1">
      <c r="A1042" s="827" t="str">
        <f>IF(B1042&lt;&gt;"",IF(AND(B1042&gt;=_TM1,B1042&lt;=_TM2,OR(TH!L1042="1111",TH!M1042="1111")),TH!D1042,""),"")</f>
        <v/>
      </c>
      <c r="B1042" s="36">
        <f t="shared" si="191"/>
        <v>6</v>
      </c>
      <c r="C1042" s="190">
        <f t="shared" si="192"/>
        <v>42549</v>
      </c>
      <c r="D1042" s="37" t="s">
        <v>1644</v>
      </c>
      <c r="E1042" s="190">
        <v>42549</v>
      </c>
      <c r="F1042" s="40" t="s">
        <v>861</v>
      </c>
      <c r="G1042" s="829" t="s">
        <v>854</v>
      </c>
      <c r="H1042" s="192" t="s">
        <v>445</v>
      </c>
      <c r="I1042" s="253">
        <v>100</v>
      </c>
      <c r="J1042" s="253">
        <v>8120</v>
      </c>
      <c r="K1042" s="584">
        <f t="shared" si="190"/>
        <v>812000</v>
      </c>
      <c r="L1042" s="585" t="s">
        <v>857</v>
      </c>
      <c r="M1042" s="585" t="s">
        <v>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26">
        <v>2</v>
      </c>
      <c r="AB1042" s="576" t="str">
        <f>IF(VLOOKUP(F1042,NXT!$C$12:$C$786,1,0)=F1042,"","x")</f>
        <v/>
      </c>
    </row>
    <row r="1043" spans="1:28" ht="15.75" customHeight="1">
      <c r="A1043" s="827" t="str">
        <f>IF(B1043&lt;&gt;"",IF(AND(B1043&gt;=_TM1,B1043&lt;=_TM2,OR(TH!L1043="1111",TH!M1043="1111")),TH!D1043,""),"")</f>
        <v/>
      </c>
      <c r="B1043" s="36">
        <f t="shared" si="191"/>
        <v>6</v>
      </c>
      <c r="C1043" s="190">
        <f t="shared" si="192"/>
        <v>42549</v>
      </c>
      <c r="D1043" s="37" t="s">
        <v>1644</v>
      </c>
      <c r="E1043" s="190">
        <v>42549</v>
      </c>
      <c r="F1043" s="40" t="s">
        <v>862</v>
      </c>
      <c r="G1043" s="829" t="s">
        <v>854</v>
      </c>
      <c r="H1043" s="192" t="s">
        <v>445</v>
      </c>
      <c r="I1043" s="253">
        <v>100</v>
      </c>
      <c r="J1043" s="253">
        <v>9439</v>
      </c>
      <c r="K1043" s="584">
        <f t="shared" si="190"/>
        <v>943900</v>
      </c>
      <c r="L1043" s="585" t="s">
        <v>857</v>
      </c>
      <c r="M1043" s="585" t="s">
        <v>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26">
        <v>2</v>
      </c>
      <c r="AB1043" s="576" t="str">
        <f>IF(VLOOKUP(F1043,NXT!$C$12:$C$786,1,0)=F1043,"","x")</f>
        <v/>
      </c>
    </row>
    <row r="1044" spans="1:28" ht="15.75" customHeight="1">
      <c r="A1044" s="827" t="str">
        <f>IF(B1044&lt;&gt;"",IF(AND(B1044&gt;=_TM1,B1044&lt;=_TM2,OR(TH!L1044="1111",TH!M1044="1111")),TH!D1044,""),"")</f>
        <v/>
      </c>
      <c r="B1044" s="36">
        <f t="shared" si="191"/>
        <v>6</v>
      </c>
      <c r="C1044" s="190">
        <f t="shared" si="192"/>
        <v>42549</v>
      </c>
      <c r="D1044" s="37" t="s">
        <v>1644</v>
      </c>
      <c r="E1044" s="190">
        <v>42549</v>
      </c>
      <c r="F1044" s="191" t="s">
        <v>511</v>
      </c>
      <c r="G1044" s="829" t="s">
        <v>854</v>
      </c>
      <c r="H1044" s="192" t="s">
        <v>445</v>
      </c>
      <c r="I1044" s="253">
        <v>25</v>
      </c>
      <c r="J1044" s="253">
        <v>30589</v>
      </c>
      <c r="K1044" s="584">
        <f t="shared" si="190"/>
        <v>764725</v>
      </c>
      <c r="L1044" s="585" t="s">
        <v>857</v>
      </c>
      <c r="M1044" s="585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26">
        <v>2</v>
      </c>
      <c r="AB1044" s="576" t="str">
        <f>IF(VLOOKUP(F1044,NXT!$C$12:$C$786,1,0)=F1044,"","x")</f>
        <v/>
      </c>
    </row>
    <row r="1045" spans="1:28" ht="15.75" customHeight="1">
      <c r="A1045" s="827" t="str">
        <f>IF(B1045&lt;&gt;"",IF(AND(B1045&gt;=_TM1,B1045&lt;=_TM2,OR(TH!L1045="1111",TH!M1045="1111")),TH!D1045,""),"")</f>
        <v/>
      </c>
      <c r="B1045" s="36">
        <f t="shared" si="191"/>
        <v>6</v>
      </c>
      <c r="C1045" s="190">
        <f t="shared" si="192"/>
        <v>42549</v>
      </c>
      <c r="D1045" s="37" t="s">
        <v>1644</v>
      </c>
      <c r="E1045" s="190">
        <v>42549</v>
      </c>
      <c r="F1045" s="40" t="s">
        <v>468</v>
      </c>
      <c r="G1045" s="829" t="s">
        <v>854</v>
      </c>
      <c r="H1045" s="192" t="s">
        <v>445</v>
      </c>
      <c r="I1045" s="253">
        <v>75</v>
      </c>
      <c r="J1045" s="253">
        <v>66868</v>
      </c>
      <c r="K1045" s="584">
        <f t="shared" si="190"/>
        <v>5015100</v>
      </c>
      <c r="L1045" s="585" t="s">
        <v>857</v>
      </c>
      <c r="M1045" s="585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26">
        <v>2</v>
      </c>
      <c r="AB1045" s="576" t="str">
        <f>IF(VLOOKUP(F1045,NXT!$C$12:$C$786,1,0)=F1045,"","x")</f>
        <v/>
      </c>
    </row>
    <row r="1046" spans="1:28" ht="15.75" customHeight="1">
      <c r="A1046" s="827" t="str">
        <f>IF(B1046&lt;&gt;"",IF(AND(B1046&gt;=_TM1,B1046&lt;=_TM2,OR(TH!L1046="1111",TH!M1046="1111")),TH!D1046,""),"")</f>
        <v/>
      </c>
      <c r="B1046" s="36">
        <f t="shared" si="191"/>
        <v>6</v>
      </c>
      <c r="C1046" s="190">
        <f t="shared" si="192"/>
        <v>42549</v>
      </c>
      <c r="D1046" s="37" t="s">
        <v>1644</v>
      </c>
      <c r="E1046" s="190">
        <v>42549</v>
      </c>
      <c r="F1046" s="40" t="s">
        <v>705</v>
      </c>
      <c r="G1046" s="829" t="s">
        <v>854</v>
      </c>
      <c r="H1046" s="192" t="s">
        <v>445</v>
      </c>
      <c r="I1046" s="253">
        <v>56</v>
      </c>
      <c r="J1046" s="253">
        <v>38417</v>
      </c>
      <c r="K1046" s="584">
        <f t="shared" si="190"/>
        <v>2151352</v>
      </c>
      <c r="L1046" s="585" t="s">
        <v>857</v>
      </c>
      <c r="M1046" s="585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26">
        <v>2</v>
      </c>
      <c r="AB1046" s="576" t="str">
        <f>IF(VLOOKUP(F1046,NXT!$C$12:$C$786,1,0)=F1046,"","x")</f>
        <v/>
      </c>
    </row>
    <row r="1047" spans="1:28" ht="15.75" customHeight="1">
      <c r="A1047" s="827" t="str">
        <f>IF(B1047&lt;&gt;"",IF(AND(B1047&gt;=_TM1,B1047&lt;=_TM2,OR(TH!L1047="1111",TH!M1047="1111")),TH!D1047,""),"")</f>
        <v/>
      </c>
      <c r="B1047" s="36">
        <f t="shared" si="191"/>
        <v>6</v>
      </c>
      <c r="C1047" s="190">
        <f t="shared" si="192"/>
        <v>42549</v>
      </c>
      <c r="D1047" s="37" t="s">
        <v>1644</v>
      </c>
      <c r="E1047" s="190">
        <v>42549</v>
      </c>
      <c r="F1047" s="40" t="s">
        <v>469</v>
      </c>
      <c r="G1047" s="829" t="s">
        <v>854</v>
      </c>
      <c r="H1047" s="192" t="s">
        <v>445</v>
      </c>
      <c r="I1047" s="253">
        <v>4</v>
      </c>
      <c r="J1047" s="253">
        <v>59912</v>
      </c>
      <c r="K1047" s="584">
        <f t="shared" si="190"/>
        <v>239648</v>
      </c>
      <c r="L1047" s="585" t="s">
        <v>857</v>
      </c>
      <c r="M1047" s="585" t="s">
        <v>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26">
        <v>2</v>
      </c>
      <c r="AB1047" s="576" t="str">
        <f>IF(VLOOKUP(F1047,NXT!$C$12:$C$786,1,0)=F1047,"","x")</f>
        <v/>
      </c>
    </row>
    <row r="1048" spans="1:28" ht="15.75" customHeight="1">
      <c r="A1048" s="827" t="str">
        <f>IF(B1048&lt;&gt;"",IF(AND(B1048&gt;=_TM1,B1048&lt;=_TM2,OR(TH!L1048="1111",TH!M1048="1111")),TH!D1048,""),"")</f>
        <v/>
      </c>
      <c r="B1048" s="36">
        <f t="shared" si="191"/>
        <v>6</v>
      </c>
      <c r="C1048" s="190">
        <f t="shared" si="192"/>
        <v>42549</v>
      </c>
      <c r="D1048" s="37" t="s">
        <v>1644</v>
      </c>
      <c r="E1048" s="190">
        <v>42549</v>
      </c>
      <c r="F1048" s="40" t="s">
        <v>470</v>
      </c>
      <c r="G1048" s="829" t="s">
        <v>854</v>
      </c>
      <c r="H1048" s="192" t="s">
        <v>445</v>
      </c>
      <c r="I1048" s="253">
        <v>12</v>
      </c>
      <c r="J1048" s="253">
        <v>95076</v>
      </c>
      <c r="K1048" s="584">
        <f t="shared" si="190"/>
        <v>1140912</v>
      </c>
      <c r="L1048" s="585" t="s">
        <v>857</v>
      </c>
      <c r="M1048" s="585" t="s">
        <v>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26">
        <v>2</v>
      </c>
      <c r="AB1048" s="576" t="str">
        <f>IF(VLOOKUP(F1048,NXT!$C$12:$C$786,1,0)=F1048,"","x")</f>
        <v/>
      </c>
    </row>
    <row r="1049" spans="1:28" ht="15.75" customHeight="1">
      <c r="A1049" s="827" t="str">
        <f>IF(B1049&lt;&gt;"",IF(AND(B1049&gt;=_TM1,B1049&lt;=_TM2,OR(TH!L1049="1111",TH!M1049="1111")),TH!D1049,""),"")</f>
        <v/>
      </c>
      <c r="B1049" s="36">
        <f t="shared" si="191"/>
        <v>6</v>
      </c>
      <c r="C1049" s="190">
        <f t="shared" si="192"/>
        <v>42549</v>
      </c>
      <c r="D1049" s="37" t="s">
        <v>1644</v>
      </c>
      <c r="E1049" s="190">
        <v>42549</v>
      </c>
      <c r="F1049" s="40" t="s">
        <v>471</v>
      </c>
      <c r="G1049" s="829" t="s">
        <v>854</v>
      </c>
      <c r="H1049" s="192" t="s">
        <v>445</v>
      </c>
      <c r="I1049" s="253">
        <v>12</v>
      </c>
      <c r="J1049" s="253">
        <v>53767</v>
      </c>
      <c r="K1049" s="584">
        <f t="shared" si="190"/>
        <v>645204</v>
      </c>
      <c r="L1049" s="585" t="s">
        <v>857</v>
      </c>
      <c r="M1049" s="585" t="s">
        <v>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26">
        <v>2</v>
      </c>
      <c r="AB1049" s="576" t="str">
        <f>IF(VLOOKUP(F1049,NXT!$C$12:$C$786,1,0)=F1049,"","x")</f>
        <v/>
      </c>
    </row>
    <row r="1050" spans="1:28" ht="15.75" customHeight="1">
      <c r="A1050" s="827" t="str">
        <f>IF(B1050&lt;&gt;"",IF(AND(B1050&gt;=_TM1,B1050&lt;=_TM2,OR(TH!L1050="1111",TH!M1050="1111")),TH!D1050,""),"")</f>
        <v/>
      </c>
      <c r="B1050" s="36">
        <f t="shared" si="191"/>
        <v>6</v>
      </c>
      <c r="C1050" s="190">
        <f t="shared" si="192"/>
        <v>42549</v>
      </c>
      <c r="D1050" s="37" t="s">
        <v>1644</v>
      </c>
      <c r="E1050" s="190">
        <v>42549</v>
      </c>
      <c r="F1050" s="40" t="s">
        <v>475</v>
      </c>
      <c r="G1050" s="829" t="s">
        <v>854</v>
      </c>
      <c r="H1050" s="192" t="s">
        <v>445</v>
      </c>
      <c r="I1050" s="253">
        <v>12</v>
      </c>
      <c r="J1050" s="253">
        <v>84590</v>
      </c>
      <c r="K1050" s="584">
        <f t="shared" si="190"/>
        <v>1015080</v>
      </c>
      <c r="L1050" s="585" t="s">
        <v>857</v>
      </c>
      <c r="M1050" s="585" t="s">
        <v>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26">
        <v>2</v>
      </c>
      <c r="AB1050" s="576" t="str">
        <f>IF(VLOOKUP(F1050,NXT!$C$12:$C$786,1,0)=F1050,"","x")</f>
        <v/>
      </c>
    </row>
    <row r="1051" spans="1:28" ht="15.75" customHeight="1">
      <c r="A1051" s="827" t="str">
        <f>IF(B1051&lt;&gt;"",IF(AND(B1051&gt;=_TM1,B1051&lt;=_TM2,OR(TH!L1051="1111",TH!M1051="1111")),TH!D1051,""),"")</f>
        <v/>
      </c>
      <c r="B1051" s="36">
        <f t="shared" si="191"/>
        <v>6</v>
      </c>
      <c r="C1051" s="190">
        <f t="shared" si="192"/>
        <v>42549</v>
      </c>
      <c r="D1051" s="37" t="s">
        <v>1644</v>
      </c>
      <c r="E1051" s="190">
        <v>42549</v>
      </c>
      <c r="F1051" s="40" t="s">
        <v>464</v>
      </c>
      <c r="G1051" s="829" t="s">
        <v>854</v>
      </c>
      <c r="H1051" s="192" t="s">
        <v>445</v>
      </c>
      <c r="I1051" s="253">
        <v>24</v>
      </c>
      <c r="J1051" s="253">
        <v>134424</v>
      </c>
      <c r="K1051" s="584">
        <f t="shared" si="190"/>
        <v>3226176</v>
      </c>
      <c r="L1051" s="585" t="s">
        <v>857</v>
      </c>
      <c r="M1051" s="585" t="s">
        <v>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26">
        <v>2</v>
      </c>
      <c r="AB1051" s="576" t="str">
        <f>IF(VLOOKUP(F1051,NXT!$C$12:$C$786,1,0)=F1051,"","x")</f>
        <v/>
      </c>
    </row>
    <row r="1052" spans="1:28" ht="15.75" customHeight="1">
      <c r="A1052" s="827" t="str">
        <f>IF(B1052&lt;&gt;"",IF(AND(B1052&gt;=_TM1,B1052&lt;=_TM2,OR(TH!L1052="1111",TH!M1052="1111")),TH!D1052,""),"")</f>
        <v/>
      </c>
      <c r="B1052" s="36">
        <f t="shared" si="191"/>
        <v>6</v>
      </c>
      <c r="C1052" s="190">
        <f t="shared" si="192"/>
        <v>42549</v>
      </c>
      <c r="D1052" s="37" t="s">
        <v>1644</v>
      </c>
      <c r="E1052" s="190">
        <v>42549</v>
      </c>
      <c r="F1052" s="40" t="s">
        <v>485</v>
      </c>
      <c r="G1052" s="829" t="s">
        <v>854</v>
      </c>
      <c r="H1052" s="192" t="s">
        <v>445</v>
      </c>
      <c r="I1052" s="253">
        <v>24</v>
      </c>
      <c r="J1052" s="253">
        <v>42825</v>
      </c>
      <c r="K1052" s="584">
        <f t="shared" si="190"/>
        <v>1027800</v>
      </c>
      <c r="L1052" s="585" t="s">
        <v>857</v>
      </c>
      <c r="M1052" s="585" t="s">
        <v>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26">
        <v>2</v>
      </c>
      <c r="AB1052" s="576" t="str">
        <f>IF(VLOOKUP(F1052,NXT!$C$12:$C$786,1,0)=F1052,"","x")</f>
        <v/>
      </c>
    </row>
    <row r="1053" spans="1:28" ht="15.75" customHeight="1">
      <c r="A1053" s="827" t="str">
        <f>IF(B1053&lt;&gt;"",IF(AND(B1053&gt;=_TM1,B1053&lt;=_TM2,OR(TH!L1053="1111",TH!M1053="1111")),TH!D1053,""),"")</f>
        <v/>
      </c>
      <c r="B1053" s="36">
        <f t="shared" si="191"/>
        <v>6</v>
      </c>
      <c r="C1053" s="190">
        <f t="shared" si="192"/>
        <v>42549</v>
      </c>
      <c r="D1053" s="37" t="s">
        <v>1644</v>
      </c>
      <c r="E1053" s="190">
        <v>42549</v>
      </c>
      <c r="F1053" s="191" t="s">
        <v>720</v>
      </c>
      <c r="G1053" s="829" t="s">
        <v>854</v>
      </c>
      <c r="H1053" s="192" t="s">
        <v>445</v>
      </c>
      <c r="I1053" s="253">
        <v>6</v>
      </c>
      <c r="J1053" s="253">
        <v>81285</v>
      </c>
      <c r="K1053" s="584">
        <f t="shared" si="190"/>
        <v>487710</v>
      </c>
      <c r="L1053" s="585" t="s">
        <v>857</v>
      </c>
      <c r="M1053" s="585" t="s">
        <v>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26">
        <v>2</v>
      </c>
      <c r="AB1053" s="576" t="str">
        <f>IF(VLOOKUP(F1053,NXT!$C$12:$C$786,1,0)=F1053,"","x")</f>
        <v/>
      </c>
    </row>
    <row r="1054" spans="1:28" ht="15.75" customHeight="1">
      <c r="A1054" s="827" t="str">
        <f>IF(B1054&lt;&gt;"",IF(AND(B1054&gt;=_TM1,B1054&lt;=_TM2,OR(TH!L1054="1111",TH!M1054="1111")),TH!D1054,""),"")</f>
        <v/>
      </c>
      <c r="B1054" s="36">
        <f t="shared" si="191"/>
        <v>6</v>
      </c>
      <c r="C1054" s="190">
        <f t="shared" si="192"/>
        <v>42549</v>
      </c>
      <c r="D1054" s="37" t="s">
        <v>1644</v>
      </c>
      <c r="E1054" s="190">
        <v>42549</v>
      </c>
      <c r="F1054" s="191" t="s">
        <v>725</v>
      </c>
      <c r="G1054" s="829" t="s">
        <v>854</v>
      </c>
      <c r="H1054" s="192" t="s">
        <v>445</v>
      </c>
      <c r="I1054" s="253">
        <v>40</v>
      </c>
      <c r="J1054" s="253">
        <v>18825</v>
      </c>
      <c r="K1054" s="584">
        <f t="shared" si="190"/>
        <v>753000</v>
      </c>
      <c r="L1054" s="585" t="s">
        <v>857</v>
      </c>
      <c r="M1054" s="585" t="s">
        <v>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26">
        <v>2</v>
      </c>
      <c r="AB1054" s="576" t="str">
        <f>IF(VLOOKUP(F1054,NXT!$C$12:$C$786,1,0)=F1054,"","x")</f>
        <v/>
      </c>
    </row>
    <row r="1055" spans="1:28" ht="15.75" customHeight="1">
      <c r="A1055" s="827" t="str">
        <f>IF(B1055&lt;&gt;"",IF(AND(B1055&gt;=_TM1,B1055&lt;=_TM2,OR(TH!L1055="1111",TH!M1055="1111")),TH!D1055,""),"")</f>
        <v/>
      </c>
      <c r="B1055" s="36">
        <f t="shared" si="191"/>
        <v>6</v>
      </c>
      <c r="C1055" s="190">
        <f t="shared" si="192"/>
        <v>42549</v>
      </c>
      <c r="D1055" s="37" t="s">
        <v>1644</v>
      </c>
      <c r="E1055" s="190">
        <v>42549</v>
      </c>
      <c r="F1055" s="191" t="s">
        <v>863</v>
      </c>
      <c r="G1055" s="829" t="s">
        <v>854</v>
      </c>
      <c r="H1055" s="192" t="s">
        <v>445</v>
      </c>
      <c r="I1055" s="253">
        <v>40</v>
      </c>
      <c r="J1055" s="253">
        <v>19483</v>
      </c>
      <c r="K1055" s="584">
        <f t="shared" si="190"/>
        <v>779320</v>
      </c>
      <c r="L1055" s="585" t="s">
        <v>857</v>
      </c>
      <c r="M1055" s="585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26">
        <v>2</v>
      </c>
      <c r="AB1055" s="576" t="str">
        <f>IF(VLOOKUP(F1055,NXT!$C$12:$C$786,1,0)=F1055,"","x")</f>
        <v/>
      </c>
    </row>
    <row r="1056" spans="1:28" ht="15.75" customHeight="1">
      <c r="A1056" s="827" t="str">
        <f>IF(B1056&lt;&gt;"",IF(AND(B1056&gt;=_TM1,B1056&lt;=_TM2,OR(TH!L1056="1111",TH!M1056="1111")),TH!D1056,""),"")</f>
        <v/>
      </c>
      <c r="B1056" s="36">
        <f t="shared" si="191"/>
        <v>6</v>
      </c>
      <c r="C1056" s="190">
        <f t="shared" si="192"/>
        <v>42549</v>
      </c>
      <c r="D1056" s="37" t="s">
        <v>1644</v>
      </c>
      <c r="E1056" s="190">
        <v>42549</v>
      </c>
      <c r="F1056" s="191" t="s">
        <v>474</v>
      </c>
      <c r="G1056" s="829" t="s">
        <v>854</v>
      </c>
      <c r="H1056" s="192" t="s">
        <v>445</v>
      </c>
      <c r="I1056" s="253">
        <v>12</v>
      </c>
      <c r="J1056" s="253">
        <v>28383</v>
      </c>
      <c r="K1056" s="584">
        <f t="shared" si="190"/>
        <v>340596</v>
      </c>
      <c r="L1056" s="585" t="s">
        <v>857</v>
      </c>
      <c r="M1056" s="585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26">
        <v>2</v>
      </c>
      <c r="AB1056" s="576" t="str">
        <f>IF(VLOOKUP(F1056,NXT!$C$12:$C$786,1,0)=F1056,"","x")</f>
        <v/>
      </c>
    </row>
    <row r="1057" spans="1:28" ht="15.75" customHeight="1">
      <c r="A1057" s="827" t="str">
        <f>IF(B1057&lt;&gt;"",IF(AND(B1057&gt;=_TM1,B1057&lt;=_TM2,OR(TH!L1057="1111",TH!M1057="1111")),TH!D1057,""),"")</f>
        <v/>
      </c>
      <c r="B1057" s="36">
        <f t="shared" si="191"/>
        <v>6</v>
      </c>
      <c r="C1057" s="190">
        <f t="shared" si="192"/>
        <v>42549</v>
      </c>
      <c r="D1057" s="37" t="s">
        <v>1644</v>
      </c>
      <c r="E1057" s="190">
        <v>42549</v>
      </c>
      <c r="F1057" s="191" t="s">
        <v>828</v>
      </c>
      <c r="G1057" s="829" t="s">
        <v>854</v>
      </c>
      <c r="H1057" s="192" t="s">
        <v>445</v>
      </c>
      <c r="I1057" s="253">
        <v>10</v>
      </c>
      <c r="J1057" s="253">
        <v>67593</v>
      </c>
      <c r="K1057" s="584">
        <f t="shared" si="190"/>
        <v>675930</v>
      </c>
      <c r="L1057" s="585" t="s">
        <v>857</v>
      </c>
      <c r="M1057" s="585" t="s">
        <v>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26">
        <v>2</v>
      </c>
      <c r="AB1057" s="576" t="str">
        <f>IF(VLOOKUP(F1057,NXT!$C$12:$C$786,1,0)=F1057,"","x")</f>
        <v/>
      </c>
    </row>
    <row r="1058" spans="1:28" ht="15.75" customHeight="1">
      <c r="A1058" s="827" t="str">
        <f>IF(B1058&lt;&gt;"",IF(AND(B1058&gt;=_TM1,B1058&lt;=_TM2,OR(TH!L1058="1111",TH!M1058="1111")),TH!D1058,""),"")</f>
        <v/>
      </c>
      <c r="B1058" s="36">
        <f t="shared" si="191"/>
        <v>6</v>
      </c>
      <c r="C1058" s="190">
        <f t="shared" si="192"/>
        <v>42549</v>
      </c>
      <c r="D1058" s="37" t="s">
        <v>1644</v>
      </c>
      <c r="E1058" s="190">
        <v>42549</v>
      </c>
      <c r="F1058" s="188" t="s">
        <v>829</v>
      </c>
      <c r="G1058" s="829" t="s">
        <v>854</v>
      </c>
      <c r="H1058" s="192" t="s">
        <v>445</v>
      </c>
      <c r="I1058" s="253">
        <v>20</v>
      </c>
      <c r="J1058" s="253">
        <v>44917</v>
      </c>
      <c r="K1058" s="584">
        <f t="shared" ref="K1058:K1089" si="193">ROUND(I1058*J1058,0)</f>
        <v>898340</v>
      </c>
      <c r="L1058" s="585" t="s">
        <v>857</v>
      </c>
      <c r="M1058" s="585" t="s">
        <v>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26">
        <v>2</v>
      </c>
      <c r="AB1058" s="576" t="str">
        <f>IF(VLOOKUP(F1058,NXT!$C$12:$C$786,1,0)=F1058,"","x")</f>
        <v/>
      </c>
    </row>
    <row r="1059" spans="1:28" ht="15.75" customHeight="1">
      <c r="A1059" s="827" t="str">
        <f>IF(B1059&lt;&gt;"",IF(AND(B1059&gt;=_TM1,B1059&lt;=_TM2,OR(TH!L1059="1111",TH!M1059="1111")),TH!D1059,""),"")</f>
        <v/>
      </c>
      <c r="B1059" s="36">
        <f t="shared" si="191"/>
        <v>6</v>
      </c>
      <c r="C1059" s="190">
        <f t="shared" si="192"/>
        <v>42549</v>
      </c>
      <c r="D1059" s="37" t="s">
        <v>1644</v>
      </c>
      <c r="E1059" s="190">
        <v>42549</v>
      </c>
      <c r="F1059" s="191" t="s">
        <v>526</v>
      </c>
      <c r="G1059" s="829" t="s">
        <v>854</v>
      </c>
      <c r="H1059" s="192" t="s">
        <v>445</v>
      </c>
      <c r="I1059" s="253">
        <v>8</v>
      </c>
      <c r="J1059" s="253">
        <v>44769</v>
      </c>
      <c r="K1059" s="584">
        <f t="shared" si="193"/>
        <v>358152</v>
      </c>
      <c r="L1059" s="585" t="s">
        <v>857</v>
      </c>
      <c r="M1059" s="585" t="s">
        <v>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26">
        <v>2</v>
      </c>
      <c r="AB1059" s="576" t="str">
        <f>IF(VLOOKUP(F1059,NXT!$C$12:$C$786,1,0)=F1059,"","x")</f>
        <v/>
      </c>
    </row>
    <row r="1060" spans="1:28" ht="15.75" customHeight="1">
      <c r="A1060" s="827" t="str">
        <f>IF(B1060&lt;&gt;"",IF(AND(B1060&gt;=_TM1,B1060&lt;=_TM2,OR(TH!L1060="1111",TH!M1060="1111")),TH!D1060,""),"")</f>
        <v/>
      </c>
      <c r="B1060" s="36">
        <f t="shared" si="191"/>
        <v>6</v>
      </c>
      <c r="C1060" s="190">
        <f t="shared" si="192"/>
        <v>42549</v>
      </c>
      <c r="D1060" s="37" t="s">
        <v>1644</v>
      </c>
      <c r="E1060" s="190">
        <v>42549</v>
      </c>
      <c r="F1060" s="191" t="s">
        <v>525</v>
      </c>
      <c r="G1060" s="829" t="s">
        <v>854</v>
      </c>
      <c r="H1060" s="192" t="s">
        <v>445</v>
      </c>
      <c r="I1060" s="253">
        <v>30</v>
      </c>
      <c r="J1060" s="253">
        <v>16898</v>
      </c>
      <c r="K1060" s="584">
        <f t="shared" si="193"/>
        <v>506940</v>
      </c>
      <c r="L1060" s="585" t="s">
        <v>857</v>
      </c>
      <c r="M1060" s="585" t="s">
        <v>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26">
        <v>2</v>
      </c>
      <c r="AB1060" s="576" t="str">
        <f>IF(VLOOKUP(F1060,NXT!$C$12:$C$786,1,0)=F1060,"","x")</f>
        <v/>
      </c>
    </row>
    <row r="1061" spans="1:28" ht="15.75" customHeight="1">
      <c r="A1061" s="827" t="str">
        <f>IF(B1061&lt;&gt;"",IF(AND(B1061&gt;=_TM1,B1061&lt;=_TM2,OR(TH!L1061="1111",TH!M1061="1111")),TH!D1061,""),"")</f>
        <v/>
      </c>
      <c r="B1061" s="36">
        <f t="shared" si="191"/>
        <v>6</v>
      </c>
      <c r="C1061" s="190">
        <f t="shared" si="192"/>
        <v>42549</v>
      </c>
      <c r="D1061" s="37" t="s">
        <v>1644</v>
      </c>
      <c r="E1061" s="190">
        <v>42549</v>
      </c>
      <c r="F1061" s="191" t="s">
        <v>830</v>
      </c>
      <c r="G1061" s="829" t="s">
        <v>854</v>
      </c>
      <c r="H1061" s="192" t="s">
        <v>445</v>
      </c>
      <c r="I1061" s="253">
        <v>25</v>
      </c>
      <c r="J1061" s="253">
        <v>31090</v>
      </c>
      <c r="K1061" s="584">
        <f t="shared" si="193"/>
        <v>777250</v>
      </c>
      <c r="L1061" s="585" t="s">
        <v>857</v>
      </c>
      <c r="M1061" s="585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26">
        <v>2</v>
      </c>
      <c r="AB1061" s="576" t="str">
        <f>IF(VLOOKUP(F1061,NXT!$C$12:$C$786,1,0)=F1061,"","x")</f>
        <v/>
      </c>
    </row>
    <row r="1062" spans="1:28" ht="15.75" customHeight="1">
      <c r="A1062" s="827" t="str">
        <f>IF(B1062&lt;&gt;"",IF(AND(B1062&gt;=_TM1,B1062&lt;=_TM2,OR(TH!L1062="1111",TH!M1062="1111")),TH!D1062,""),"")</f>
        <v/>
      </c>
      <c r="B1062" s="36">
        <f t="shared" si="191"/>
        <v>6</v>
      </c>
      <c r="C1062" s="190">
        <f t="shared" si="192"/>
        <v>42549</v>
      </c>
      <c r="D1062" s="37" t="s">
        <v>1644</v>
      </c>
      <c r="E1062" s="190">
        <v>42549</v>
      </c>
      <c r="F1062" s="40" t="s">
        <v>831</v>
      </c>
      <c r="G1062" s="829" t="s">
        <v>854</v>
      </c>
      <c r="H1062" s="192" t="s">
        <v>445</v>
      </c>
      <c r="I1062" s="253">
        <v>25</v>
      </c>
      <c r="J1062" s="253">
        <v>40497</v>
      </c>
      <c r="K1062" s="584">
        <f t="shared" si="193"/>
        <v>1012425</v>
      </c>
      <c r="L1062" s="585" t="s">
        <v>857</v>
      </c>
      <c r="M1062" s="585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26">
        <v>2</v>
      </c>
      <c r="AB1062" s="576" t="str">
        <f>IF(VLOOKUP(F1062,NXT!$C$12:$C$786,1,0)=F1062,"","x")</f>
        <v/>
      </c>
    </row>
    <row r="1063" spans="1:28" ht="15.75" customHeight="1">
      <c r="A1063" s="827" t="str">
        <f>IF(B1063&lt;&gt;"",IF(AND(B1063&gt;=_TM1,B1063&lt;=_TM2,OR(TH!L1063="1111",TH!M1063="1111")),TH!D1063,""),"")</f>
        <v/>
      </c>
      <c r="B1063" s="36">
        <f t="shared" si="191"/>
        <v>6</v>
      </c>
      <c r="C1063" s="190">
        <f t="shared" si="192"/>
        <v>42549</v>
      </c>
      <c r="D1063" s="37" t="s">
        <v>1644</v>
      </c>
      <c r="E1063" s="190">
        <v>42549</v>
      </c>
      <c r="F1063" s="40" t="s">
        <v>832</v>
      </c>
      <c r="G1063" s="829" t="s">
        <v>854</v>
      </c>
      <c r="H1063" s="192" t="s">
        <v>445</v>
      </c>
      <c r="I1063" s="767">
        <v>40</v>
      </c>
      <c r="J1063" s="253">
        <v>21594</v>
      </c>
      <c r="K1063" s="584">
        <f t="shared" si="193"/>
        <v>863760</v>
      </c>
      <c r="L1063" s="585" t="s">
        <v>857</v>
      </c>
      <c r="M1063" s="585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26">
        <v>2</v>
      </c>
      <c r="AB1063" s="576" t="str">
        <f>IF(VLOOKUP(F1063,NXT!$C$12:$C$786,1,0)=F1063,"","x")</f>
        <v/>
      </c>
    </row>
    <row r="1064" spans="1:28" ht="15.75" customHeight="1">
      <c r="A1064" s="827" t="str">
        <f>IF(B1064&lt;&gt;"",IF(AND(B1064&gt;=_TM1,B1064&lt;=_TM2,OR(TH!L1064="1111",TH!M1064="1111")),TH!D1064,""),"")</f>
        <v/>
      </c>
      <c r="B1064" s="36">
        <f t="shared" si="191"/>
        <v>6</v>
      </c>
      <c r="C1064" s="190">
        <f t="shared" si="192"/>
        <v>42549</v>
      </c>
      <c r="D1064" s="37" t="s">
        <v>1644</v>
      </c>
      <c r="E1064" s="190">
        <v>42549</v>
      </c>
      <c r="F1064" s="40" t="s">
        <v>864</v>
      </c>
      <c r="G1064" s="829" t="s">
        <v>854</v>
      </c>
      <c r="H1064" s="192" t="s">
        <v>445</v>
      </c>
      <c r="I1064" s="253">
        <v>15</v>
      </c>
      <c r="J1064" s="253">
        <v>113827</v>
      </c>
      <c r="K1064" s="584">
        <f t="shared" si="193"/>
        <v>1707405</v>
      </c>
      <c r="L1064" s="585" t="s">
        <v>857</v>
      </c>
      <c r="M1064" s="585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26">
        <v>2</v>
      </c>
      <c r="AB1064" s="576" t="str">
        <f>IF(VLOOKUP(F1064,NXT!$C$12:$C$786,1,0)=F1064,"","x")</f>
        <v/>
      </c>
    </row>
    <row r="1065" spans="1:28" ht="15.75" customHeight="1">
      <c r="A1065" s="827" t="str">
        <f>IF(B1065&lt;&gt;"",IF(AND(B1065&gt;=_TM1,B1065&lt;=_TM2,OR(TH!L1065="1111",TH!M1065="1111")),TH!D1065,""),"")</f>
        <v/>
      </c>
      <c r="B1065" s="36">
        <f t="shared" si="191"/>
        <v>6</v>
      </c>
      <c r="C1065" s="190">
        <f t="shared" si="192"/>
        <v>42549</v>
      </c>
      <c r="D1065" s="37" t="s">
        <v>1644</v>
      </c>
      <c r="E1065" s="190">
        <v>42549</v>
      </c>
      <c r="F1065" s="40" t="s">
        <v>833</v>
      </c>
      <c r="G1065" s="829" t="s">
        <v>854</v>
      </c>
      <c r="H1065" s="192" t="s">
        <v>445</v>
      </c>
      <c r="I1065" s="253">
        <v>30</v>
      </c>
      <c r="J1065" s="253">
        <v>45177</v>
      </c>
      <c r="K1065" s="584">
        <f t="shared" si="193"/>
        <v>1355310</v>
      </c>
      <c r="L1065" s="585" t="s">
        <v>857</v>
      </c>
      <c r="M1065" s="585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26">
        <v>2</v>
      </c>
      <c r="AB1065" s="576" t="str">
        <f>IF(VLOOKUP(F1065,NXT!$C$12:$C$786,1,0)=F1065,"","x")</f>
        <v/>
      </c>
    </row>
    <row r="1066" spans="1:28" ht="15.75" customHeight="1">
      <c r="A1066" s="827" t="str">
        <f>IF(B1066&lt;&gt;"",IF(AND(B1066&gt;=_TM1,B1066&lt;=_TM2,OR(TH!L1066="1111",TH!M1066="1111")),TH!D1066,""),"")</f>
        <v/>
      </c>
      <c r="B1066" s="36">
        <f t="shared" si="191"/>
        <v>6</v>
      </c>
      <c r="C1066" s="190">
        <f t="shared" si="192"/>
        <v>42549</v>
      </c>
      <c r="D1066" s="37" t="s">
        <v>1644</v>
      </c>
      <c r="E1066" s="190">
        <v>42549</v>
      </c>
      <c r="F1066" s="40" t="s">
        <v>834</v>
      </c>
      <c r="G1066" s="829" t="s">
        <v>854</v>
      </c>
      <c r="H1066" s="192" t="s">
        <v>445</v>
      </c>
      <c r="I1066" s="253">
        <v>15</v>
      </c>
      <c r="J1066" s="253">
        <v>91164</v>
      </c>
      <c r="K1066" s="584">
        <f t="shared" si="193"/>
        <v>1367460</v>
      </c>
      <c r="L1066" s="585" t="s">
        <v>857</v>
      </c>
      <c r="M1066" s="585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26">
        <v>2</v>
      </c>
      <c r="AB1066" s="576" t="str">
        <f>IF(VLOOKUP(F1066,NXT!$C$12:$C$786,1,0)=F1066,"","x")</f>
        <v/>
      </c>
    </row>
    <row r="1067" spans="1:28" ht="15.75" customHeight="1">
      <c r="A1067" s="827" t="str">
        <f>IF(B1067&lt;&gt;"",IF(AND(B1067&gt;=_TM1,B1067&lt;=_TM2,OR(TH!L1067="1111",TH!M1067="1111")),TH!D1067,""),"")</f>
        <v/>
      </c>
      <c r="B1067" s="36">
        <f t="shared" si="191"/>
        <v>6</v>
      </c>
      <c r="C1067" s="190">
        <f t="shared" si="192"/>
        <v>42549</v>
      </c>
      <c r="D1067" s="37" t="s">
        <v>1644</v>
      </c>
      <c r="E1067" s="190">
        <v>42549</v>
      </c>
      <c r="F1067" s="191" t="s">
        <v>477</v>
      </c>
      <c r="G1067" s="829" t="s">
        <v>854</v>
      </c>
      <c r="H1067" s="192" t="s">
        <v>445</v>
      </c>
      <c r="I1067" s="253">
        <v>180</v>
      </c>
      <c r="J1067" s="253">
        <v>64140</v>
      </c>
      <c r="K1067" s="584">
        <f t="shared" si="193"/>
        <v>11545200</v>
      </c>
      <c r="L1067" s="585" t="s">
        <v>857</v>
      </c>
      <c r="M1067" s="585" t="s">
        <v>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26">
        <v>2</v>
      </c>
      <c r="AB1067" s="576" t="str">
        <f>IF(VLOOKUP(F1067,NXT!$C$12:$C$786,1,0)=F1067,"","x")</f>
        <v/>
      </c>
    </row>
    <row r="1068" spans="1:28" ht="15.75" customHeight="1">
      <c r="A1068" s="827" t="str">
        <f>IF(B1068&lt;&gt;"",IF(AND(B1068&gt;=_TM1,B1068&lt;=_TM2,OR(TH!L1068="1111",TH!M1068="1111")),TH!D1068,""),"")</f>
        <v/>
      </c>
      <c r="B1068" s="36">
        <f t="shared" si="191"/>
        <v>6</v>
      </c>
      <c r="C1068" s="190">
        <f t="shared" si="192"/>
        <v>42549</v>
      </c>
      <c r="D1068" s="37" t="s">
        <v>1644</v>
      </c>
      <c r="E1068" s="190">
        <v>42549</v>
      </c>
      <c r="F1068" s="40" t="s">
        <v>525</v>
      </c>
      <c r="G1068" s="829" t="s">
        <v>854</v>
      </c>
      <c r="H1068" s="192" t="s">
        <v>445</v>
      </c>
      <c r="I1068" s="253">
        <v>144</v>
      </c>
      <c r="J1068" s="253">
        <v>16898</v>
      </c>
      <c r="K1068" s="584">
        <f t="shared" si="193"/>
        <v>2433312</v>
      </c>
      <c r="L1068" s="585" t="s">
        <v>857</v>
      </c>
      <c r="M1068" s="585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26">
        <v>2</v>
      </c>
      <c r="AB1068" s="576" t="str">
        <f>IF(VLOOKUP(F1068,NXT!$C$12:$C$786,1,0)=F1068,"","x")</f>
        <v/>
      </c>
    </row>
    <row r="1069" spans="1:28" ht="15.75" customHeight="1">
      <c r="A1069" s="827" t="str">
        <f>IF(B1069&lt;&gt;"",IF(AND(B1069&gt;=_TM1,B1069&lt;=_TM2,OR(TH!L1069="1111",TH!M1069="1111")),TH!D1069,""),"")</f>
        <v/>
      </c>
      <c r="B1069" s="36">
        <f t="shared" si="191"/>
        <v>6</v>
      </c>
      <c r="C1069" s="190">
        <f t="shared" si="192"/>
        <v>42549</v>
      </c>
      <c r="D1069" s="37" t="s">
        <v>1644</v>
      </c>
      <c r="E1069" s="190">
        <v>42549</v>
      </c>
      <c r="F1069" s="40" t="s">
        <v>808</v>
      </c>
      <c r="G1069" s="829" t="s">
        <v>854</v>
      </c>
      <c r="H1069" s="192" t="s">
        <v>445</v>
      </c>
      <c r="I1069" s="253">
        <v>72</v>
      </c>
      <c r="J1069" s="253">
        <v>11109</v>
      </c>
      <c r="K1069" s="584">
        <f t="shared" si="193"/>
        <v>799848</v>
      </c>
      <c r="L1069" s="585" t="s">
        <v>857</v>
      </c>
      <c r="M1069" s="585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26">
        <v>2</v>
      </c>
      <c r="AB1069" s="576" t="str">
        <f>IF(VLOOKUP(F1069,NXT!$C$12:$C$786,1,0)=F1069,"","x")</f>
        <v/>
      </c>
    </row>
    <row r="1070" spans="1:28" ht="15.75" customHeight="1">
      <c r="A1070" s="827" t="str">
        <f>IF(B1070&lt;&gt;"",IF(AND(B1070&gt;=_TM1,B1070&lt;=_TM2,OR(TH!L1070="1111",TH!M1070="1111")),TH!D1070,""),"")</f>
        <v/>
      </c>
      <c r="B1070" s="36">
        <f t="shared" si="191"/>
        <v>6</v>
      </c>
      <c r="C1070" s="190">
        <f t="shared" si="192"/>
        <v>42549</v>
      </c>
      <c r="D1070" s="37" t="s">
        <v>1644</v>
      </c>
      <c r="E1070" s="190">
        <v>42549</v>
      </c>
      <c r="F1070" s="188" t="s">
        <v>865</v>
      </c>
      <c r="G1070" s="829" t="s">
        <v>854</v>
      </c>
      <c r="H1070" s="192" t="s">
        <v>445</v>
      </c>
      <c r="I1070" s="253">
        <v>30</v>
      </c>
      <c r="J1070" s="253">
        <v>22136</v>
      </c>
      <c r="K1070" s="584">
        <f t="shared" si="193"/>
        <v>664080</v>
      </c>
      <c r="L1070" s="585" t="s">
        <v>857</v>
      </c>
      <c r="M1070" s="585" t="s">
        <v>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26">
        <v>2</v>
      </c>
      <c r="AB1070" s="576" t="str">
        <f>IF(VLOOKUP(F1070,NXT!$C$12:$C$786,1,0)=F1070,"","x")</f>
        <v/>
      </c>
    </row>
    <row r="1071" spans="1:28" ht="15.75" customHeight="1">
      <c r="A1071" s="827" t="str">
        <f>IF(B1071&lt;&gt;"",IF(AND(B1071&gt;=_TM1,B1071&lt;=_TM2,OR(TH!L1071="1111",TH!M1071="1111")),TH!D1071,""),"")</f>
        <v/>
      </c>
      <c r="B1071" s="36">
        <f t="shared" si="191"/>
        <v>6</v>
      </c>
      <c r="C1071" s="190">
        <f t="shared" si="192"/>
        <v>42549</v>
      </c>
      <c r="D1071" s="37" t="s">
        <v>1644</v>
      </c>
      <c r="E1071" s="190">
        <v>42549</v>
      </c>
      <c r="F1071" s="40" t="s">
        <v>700</v>
      </c>
      <c r="G1071" s="829" t="s">
        <v>854</v>
      </c>
      <c r="H1071" s="192" t="s">
        <v>445</v>
      </c>
      <c r="I1071" s="253">
        <v>30</v>
      </c>
      <c r="J1071" s="253">
        <v>19941</v>
      </c>
      <c r="K1071" s="584">
        <f t="shared" si="193"/>
        <v>598230</v>
      </c>
      <c r="L1071" s="585" t="s">
        <v>857</v>
      </c>
      <c r="M1071" s="585" t="s">
        <v>8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26">
        <v>2</v>
      </c>
      <c r="AB1071" s="576" t="str">
        <f>IF(VLOOKUP(F1071,NXT!$C$12:$C$786,1,0)=F1071,"","x")</f>
        <v/>
      </c>
    </row>
    <row r="1072" spans="1:28" ht="15.75" customHeight="1">
      <c r="A1072" s="827" t="str">
        <f>IF(B1072&lt;&gt;"",IF(AND(B1072&gt;=_TM1,B1072&lt;=_TM2,OR(TH!L1072="1111",TH!M1072="1111")),TH!D1072,""),"")</f>
        <v/>
      </c>
      <c r="B1072" s="36">
        <f t="shared" si="191"/>
        <v>6</v>
      </c>
      <c r="C1072" s="190">
        <f t="shared" si="192"/>
        <v>42549</v>
      </c>
      <c r="D1072" s="37" t="s">
        <v>1644</v>
      </c>
      <c r="E1072" s="190">
        <v>42549</v>
      </c>
      <c r="F1072" s="40" t="s">
        <v>866</v>
      </c>
      <c r="G1072" s="829" t="s">
        <v>854</v>
      </c>
      <c r="H1072" s="192" t="s">
        <v>445</v>
      </c>
      <c r="I1072" s="253">
        <v>25</v>
      </c>
      <c r="J1072" s="253">
        <v>31397</v>
      </c>
      <c r="K1072" s="584">
        <f t="shared" si="193"/>
        <v>784925</v>
      </c>
      <c r="L1072" s="585" t="s">
        <v>857</v>
      </c>
      <c r="M1072" s="585" t="s">
        <v>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26">
        <v>2</v>
      </c>
      <c r="AB1072" s="576" t="str">
        <f>IF(VLOOKUP(F1072,NXT!$C$12:$C$786,1,0)=F1072,"","x")</f>
        <v/>
      </c>
    </row>
    <row r="1073" spans="1:28" ht="15.75" customHeight="1">
      <c r="A1073" s="827" t="str">
        <f>IF(B1073&lt;&gt;"",IF(AND(B1073&gt;=_TM1,B1073&lt;=_TM2,OR(TH!L1073="1111",TH!M1073="1111")),TH!D1073,""),"")</f>
        <v/>
      </c>
      <c r="B1073" s="36">
        <f t="shared" si="191"/>
        <v>6</v>
      </c>
      <c r="C1073" s="190">
        <f t="shared" si="192"/>
        <v>42549</v>
      </c>
      <c r="D1073" s="37" t="s">
        <v>1644</v>
      </c>
      <c r="E1073" s="190">
        <v>42549</v>
      </c>
      <c r="F1073" s="40" t="s">
        <v>867</v>
      </c>
      <c r="G1073" s="829" t="s">
        <v>854</v>
      </c>
      <c r="H1073" s="192" t="s">
        <v>445</v>
      </c>
      <c r="I1073" s="253">
        <v>16</v>
      </c>
      <c r="J1073" s="253">
        <v>28705</v>
      </c>
      <c r="K1073" s="584">
        <f t="shared" si="193"/>
        <v>459280</v>
      </c>
      <c r="L1073" s="585" t="s">
        <v>857</v>
      </c>
      <c r="M1073" s="585" t="s">
        <v>8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26">
        <v>2</v>
      </c>
      <c r="AB1073" s="576" t="str">
        <f>IF(VLOOKUP(F1073,NXT!$C$12:$C$786,1,0)=F1073,"","x")</f>
        <v/>
      </c>
    </row>
    <row r="1074" spans="1:28" ht="15.75" customHeight="1">
      <c r="A1074" s="827" t="str">
        <f>IF(B1074&lt;&gt;"",IF(AND(B1074&gt;=_TM1,B1074&lt;=_TM2,OR(TH!L1074="1111",TH!M1074="1111")),TH!D1074,""),"")</f>
        <v/>
      </c>
      <c r="B1074" s="36">
        <f t="shared" si="191"/>
        <v>6</v>
      </c>
      <c r="C1074" s="190">
        <f t="shared" si="192"/>
        <v>42549</v>
      </c>
      <c r="D1074" s="37" t="s">
        <v>1644</v>
      </c>
      <c r="E1074" s="190">
        <v>42549</v>
      </c>
      <c r="F1074" s="40" t="s">
        <v>868</v>
      </c>
      <c r="G1074" s="829" t="s">
        <v>854</v>
      </c>
      <c r="H1074" s="192" t="s">
        <v>445</v>
      </c>
      <c r="I1074" s="253">
        <v>15</v>
      </c>
      <c r="J1074" s="253">
        <v>25882</v>
      </c>
      <c r="K1074" s="584">
        <f t="shared" si="193"/>
        <v>388230</v>
      </c>
      <c r="L1074" s="585" t="s">
        <v>857</v>
      </c>
      <c r="M1074" s="585" t="s">
        <v>8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26">
        <v>2</v>
      </c>
      <c r="AB1074" s="576" t="str">
        <f>IF(VLOOKUP(F1074,NXT!$C$12:$C$786,1,0)=F1074,"","x")</f>
        <v/>
      </c>
    </row>
    <row r="1075" spans="1:28" ht="15.75" customHeight="1">
      <c r="A1075" s="827" t="str">
        <f>IF(B1075&lt;&gt;"",IF(AND(B1075&gt;=_TM1,B1075&lt;=_TM2,OR(TH!L1075="1111",TH!M1075="1111")),TH!D1075,""),"")</f>
        <v/>
      </c>
      <c r="B1075" s="36">
        <f t="shared" si="191"/>
        <v>6</v>
      </c>
      <c r="C1075" s="190">
        <f t="shared" si="192"/>
        <v>42549</v>
      </c>
      <c r="D1075" s="37" t="s">
        <v>1644</v>
      </c>
      <c r="E1075" s="190">
        <v>42549</v>
      </c>
      <c r="F1075" s="191" t="s">
        <v>869</v>
      </c>
      <c r="G1075" s="829" t="s">
        <v>854</v>
      </c>
      <c r="H1075" s="192" t="s">
        <v>445</v>
      </c>
      <c r="I1075" s="253">
        <v>16</v>
      </c>
      <c r="J1075" s="253">
        <v>18619</v>
      </c>
      <c r="K1075" s="584">
        <f t="shared" si="193"/>
        <v>297904</v>
      </c>
      <c r="L1075" s="585" t="s">
        <v>857</v>
      </c>
      <c r="M1075" s="585" t="s">
        <v>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26">
        <v>2</v>
      </c>
      <c r="AB1075" s="576" t="str">
        <f>IF(VLOOKUP(F1075,NXT!$C$12:$C$786,1,0)=F1075,"","x")</f>
        <v/>
      </c>
    </row>
    <row r="1076" spans="1:28" ht="15.75" customHeight="1">
      <c r="A1076" s="827" t="str">
        <f>IF(B1076&lt;&gt;"",IF(AND(B1076&gt;=_TM1,B1076&lt;=_TM2,OR(TH!L1076="1111",TH!M1076="1111")),TH!D1076,""),"")</f>
        <v/>
      </c>
      <c r="B1076" s="36">
        <f t="shared" si="191"/>
        <v>6</v>
      </c>
      <c r="C1076" s="190">
        <f t="shared" si="192"/>
        <v>42549</v>
      </c>
      <c r="D1076" s="37" t="s">
        <v>1644</v>
      </c>
      <c r="E1076" s="190">
        <v>42549</v>
      </c>
      <c r="F1076" s="40" t="s">
        <v>468</v>
      </c>
      <c r="G1076" s="829" t="s">
        <v>854</v>
      </c>
      <c r="H1076" s="192" t="s">
        <v>445</v>
      </c>
      <c r="I1076" s="253">
        <v>6</v>
      </c>
      <c r="J1076" s="253">
        <v>73907</v>
      </c>
      <c r="K1076" s="584">
        <f t="shared" si="193"/>
        <v>443442</v>
      </c>
      <c r="L1076" s="585" t="s">
        <v>857</v>
      </c>
      <c r="M1076" s="585" t="s">
        <v>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26">
        <v>2</v>
      </c>
      <c r="AB1076" s="576" t="str">
        <f>IF(VLOOKUP(F1076,NXT!$C$12:$C$786,1,0)=F1076,"","x")</f>
        <v/>
      </c>
    </row>
    <row r="1077" spans="1:28" ht="15.75" customHeight="1">
      <c r="A1077" s="827" t="str">
        <f>IF(B1077&lt;&gt;"",IF(AND(B1077&gt;=_TM1,B1077&lt;=_TM2,OR(TH!L1077="1111",TH!M1077="1111")),TH!D1077,""),"")</f>
        <v/>
      </c>
      <c r="B1077" s="36">
        <f t="shared" si="191"/>
        <v>6</v>
      </c>
      <c r="C1077" s="190">
        <f t="shared" si="192"/>
        <v>42549</v>
      </c>
      <c r="D1077" s="37" t="s">
        <v>1644</v>
      </c>
      <c r="E1077" s="190">
        <v>42549</v>
      </c>
      <c r="F1077" s="40" t="s">
        <v>705</v>
      </c>
      <c r="G1077" s="829" t="s">
        <v>854</v>
      </c>
      <c r="H1077" s="192" t="s">
        <v>445</v>
      </c>
      <c r="I1077" s="253">
        <v>6</v>
      </c>
      <c r="J1077" s="253">
        <v>38417</v>
      </c>
      <c r="K1077" s="584">
        <f t="shared" si="193"/>
        <v>230502</v>
      </c>
      <c r="L1077" s="585" t="s">
        <v>857</v>
      </c>
      <c r="M1077" s="585" t="s">
        <v>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26">
        <v>2</v>
      </c>
      <c r="AB1077" s="576" t="str">
        <f>IF(VLOOKUP(F1077,NXT!$C$12:$C$786,1,0)=F1077,"","x")</f>
        <v/>
      </c>
    </row>
    <row r="1078" spans="1:28" ht="15.75" customHeight="1">
      <c r="A1078" s="827" t="str">
        <f>IF(B1078&lt;&gt;"",IF(AND(B1078&gt;=_TM1,B1078&lt;=_TM2,OR(TH!L1078="1111",TH!M1078="1111")),TH!D1078,""),"")</f>
        <v/>
      </c>
      <c r="B1078" s="36">
        <f t="shared" si="191"/>
        <v>6</v>
      </c>
      <c r="C1078" s="190">
        <f t="shared" si="192"/>
        <v>42549</v>
      </c>
      <c r="D1078" s="37" t="s">
        <v>1644</v>
      </c>
      <c r="E1078" s="190">
        <v>42549</v>
      </c>
      <c r="F1078" s="191" t="s">
        <v>511</v>
      </c>
      <c r="G1078" s="829" t="s">
        <v>854</v>
      </c>
      <c r="H1078" s="192" t="s">
        <v>445</v>
      </c>
      <c r="I1078" s="253">
        <v>8</v>
      </c>
      <c r="J1078" s="253">
        <v>32127</v>
      </c>
      <c r="K1078" s="584">
        <f t="shared" si="193"/>
        <v>257016</v>
      </c>
      <c r="L1078" s="585" t="s">
        <v>857</v>
      </c>
      <c r="M1078" s="585" t="s">
        <v>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26">
        <v>2</v>
      </c>
      <c r="AB1078" s="576" t="str">
        <f>IF(VLOOKUP(F1078,NXT!$C$12:$C$786,1,0)=F1078,"","x")</f>
        <v/>
      </c>
    </row>
    <row r="1079" spans="1:28" ht="15.75" customHeight="1">
      <c r="A1079" s="827" t="str">
        <f>IF(B1079&lt;&gt;"",IF(AND(B1079&gt;=_TM1,B1079&lt;=_TM2,OR(TH!L1079="1111",TH!M1079="1111")),TH!D1079,""),"")</f>
        <v/>
      </c>
      <c r="B1079" s="36">
        <f t="shared" si="191"/>
        <v>6</v>
      </c>
      <c r="C1079" s="190">
        <f t="shared" si="192"/>
        <v>42549</v>
      </c>
      <c r="D1079" s="37" t="s">
        <v>1644</v>
      </c>
      <c r="E1079" s="190">
        <v>42549</v>
      </c>
      <c r="F1079" s="40" t="s">
        <v>469</v>
      </c>
      <c r="G1079" s="829" t="s">
        <v>854</v>
      </c>
      <c r="H1079" s="192" t="s">
        <v>445</v>
      </c>
      <c r="I1079" s="253">
        <v>5</v>
      </c>
      <c r="J1079" s="253">
        <v>59912</v>
      </c>
      <c r="K1079" s="584">
        <f t="shared" si="193"/>
        <v>299560</v>
      </c>
      <c r="L1079" s="585" t="s">
        <v>857</v>
      </c>
      <c r="M1079" s="585" t="s">
        <v>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26">
        <v>2</v>
      </c>
      <c r="AB1079" s="576" t="str">
        <f>IF(VLOOKUP(F1079,NXT!$C$12:$C$786,1,0)=F1079,"","x")</f>
        <v/>
      </c>
    </row>
    <row r="1080" spans="1:28" ht="15.75" customHeight="1">
      <c r="A1080" s="827" t="str">
        <f>IF(B1080&lt;&gt;"",IF(AND(B1080&gt;=_TM1,B1080&lt;=_TM2,OR(TH!L1080="1111",TH!M1080="1111")),TH!D1080,""),"")</f>
        <v/>
      </c>
      <c r="B1080" s="36">
        <f t="shared" si="191"/>
        <v>6</v>
      </c>
      <c r="C1080" s="190">
        <f t="shared" si="192"/>
        <v>42549</v>
      </c>
      <c r="D1080" s="37" t="s">
        <v>1644</v>
      </c>
      <c r="E1080" s="190">
        <v>42549</v>
      </c>
      <c r="F1080" s="40" t="s">
        <v>514</v>
      </c>
      <c r="G1080" s="829" t="s">
        <v>854</v>
      </c>
      <c r="H1080" s="192" t="s">
        <v>445</v>
      </c>
      <c r="I1080" s="253">
        <v>8</v>
      </c>
      <c r="J1080" s="253">
        <v>28620</v>
      </c>
      <c r="K1080" s="584">
        <f t="shared" si="193"/>
        <v>228960</v>
      </c>
      <c r="L1080" s="585" t="s">
        <v>857</v>
      </c>
      <c r="M1080" s="585" t="s">
        <v>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26">
        <v>2</v>
      </c>
      <c r="AB1080" s="576" t="str">
        <f>IF(VLOOKUP(F1080,NXT!$C$12:$C$786,1,0)=F1080,"","x")</f>
        <v/>
      </c>
    </row>
    <row r="1081" spans="1:28" ht="15.75" customHeight="1">
      <c r="A1081" s="827" t="str">
        <f>IF(B1081&lt;&gt;"",IF(AND(B1081&gt;=_TM1,B1081&lt;=_TM2,OR(TH!L1081="1111",TH!M1081="1111")),TH!D1081,""),"")</f>
        <v/>
      </c>
      <c r="B1081" s="36">
        <f t="shared" si="191"/>
        <v>6</v>
      </c>
      <c r="C1081" s="190">
        <f t="shared" si="192"/>
        <v>42549</v>
      </c>
      <c r="D1081" s="37" t="s">
        <v>1644</v>
      </c>
      <c r="E1081" s="190">
        <v>42549</v>
      </c>
      <c r="F1081" s="191" t="s">
        <v>464</v>
      </c>
      <c r="G1081" s="829" t="s">
        <v>854</v>
      </c>
      <c r="H1081" s="192" t="s">
        <v>445</v>
      </c>
      <c r="I1081" s="253">
        <v>6</v>
      </c>
      <c r="J1081" s="253">
        <v>141180</v>
      </c>
      <c r="K1081" s="584">
        <f t="shared" si="193"/>
        <v>847080</v>
      </c>
      <c r="L1081" s="585" t="s">
        <v>857</v>
      </c>
      <c r="M1081" s="585" t="s">
        <v>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26">
        <v>2</v>
      </c>
      <c r="AB1081" s="576" t="str">
        <f>IF(VLOOKUP(F1081,NXT!$C$12:$C$786,1,0)=F1081,"","x")</f>
        <v/>
      </c>
    </row>
    <row r="1082" spans="1:28" ht="15.75" customHeight="1">
      <c r="A1082" s="827" t="str">
        <f>IF(B1082&lt;&gt;"",IF(AND(B1082&gt;=_TM1,B1082&lt;=_TM2,OR(TH!L1082="1111",TH!M1082="1111")),TH!D1082,""),"")</f>
        <v/>
      </c>
      <c r="B1082" s="36">
        <f t="shared" si="191"/>
        <v>6</v>
      </c>
      <c r="C1082" s="190">
        <f t="shared" si="192"/>
        <v>42549</v>
      </c>
      <c r="D1082" s="37" t="s">
        <v>1644</v>
      </c>
      <c r="E1082" s="190">
        <v>42549</v>
      </c>
      <c r="F1082" s="191" t="s">
        <v>485</v>
      </c>
      <c r="G1082" s="829" t="s">
        <v>854</v>
      </c>
      <c r="H1082" s="192" t="s">
        <v>445</v>
      </c>
      <c r="I1082" s="253">
        <v>6</v>
      </c>
      <c r="J1082" s="253">
        <v>44977</v>
      </c>
      <c r="K1082" s="584">
        <f t="shared" si="193"/>
        <v>269862</v>
      </c>
      <c r="L1082" s="585" t="s">
        <v>857</v>
      </c>
      <c r="M1082" s="585" t="s">
        <v>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26">
        <v>2</v>
      </c>
      <c r="AB1082" s="576" t="str">
        <f>IF(VLOOKUP(F1082,NXT!$C$12:$C$786,1,0)=F1082,"","x")</f>
        <v/>
      </c>
    </row>
    <row r="1083" spans="1:28" ht="15.75" customHeight="1">
      <c r="A1083" s="827" t="str">
        <f>IF(B1083&lt;&gt;"",IF(AND(B1083&gt;=_TM1,B1083&lt;=_TM2,OR(TH!L1083="1111",TH!M1083="1111")),TH!D1083,""),"")</f>
        <v/>
      </c>
      <c r="B1083" s="36">
        <f t="shared" si="191"/>
        <v>6</v>
      </c>
      <c r="C1083" s="190">
        <f t="shared" si="192"/>
        <v>42549</v>
      </c>
      <c r="D1083" s="37" t="s">
        <v>1644</v>
      </c>
      <c r="E1083" s="190">
        <v>42549</v>
      </c>
      <c r="F1083" s="191" t="s">
        <v>720</v>
      </c>
      <c r="G1083" s="829" t="s">
        <v>854</v>
      </c>
      <c r="H1083" s="192" t="s">
        <v>445</v>
      </c>
      <c r="I1083" s="253">
        <v>6</v>
      </c>
      <c r="J1083" s="253">
        <v>81285</v>
      </c>
      <c r="K1083" s="584">
        <f t="shared" si="193"/>
        <v>487710</v>
      </c>
      <c r="L1083" s="585" t="s">
        <v>857</v>
      </c>
      <c r="M1083" s="585" t="s">
        <v>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26">
        <v>2</v>
      </c>
      <c r="AB1083" s="576" t="str">
        <f>IF(VLOOKUP(F1083,NXT!$C$12:$C$786,1,0)=F1083,"","x")</f>
        <v/>
      </c>
    </row>
    <row r="1084" spans="1:28" ht="15.75" customHeight="1">
      <c r="A1084" s="827" t="str">
        <f>IF(B1084&lt;&gt;"",IF(AND(B1084&gt;=_TM1,B1084&lt;=_TM2,OR(TH!L1084="1111",TH!M1084="1111")),TH!D1084,""),"")</f>
        <v/>
      </c>
      <c r="B1084" s="36">
        <f t="shared" si="191"/>
        <v>6</v>
      </c>
      <c r="C1084" s="190">
        <f t="shared" si="192"/>
        <v>42549</v>
      </c>
      <c r="D1084" s="37" t="s">
        <v>1644</v>
      </c>
      <c r="E1084" s="190">
        <v>42549</v>
      </c>
      <c r="F1084" s="191" t="s">
        <v>870</v>
      </c>
      <c r="G1084" s="829" t="s">
        <v>854</v>
      </c>
      <c r="H1084" s="192" t="s">
        <v>445</v>
      </c>
      <c r="I1084" s="253">
        <v>5</v>
      </c>
      <c r="J1084" s="253">
        <v>85339</v>
      </c>
      <c r="K1084" s="584">
        <f t="shared" si="193"/>
        <v>426695</v>
      </c>
      <c r="L1084" s="585" t="s">
        <v>857</v>
      </c>
      <c r="M1084" s="585" t="s">
        <v>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26">
        <v>2</v>
      </c>
      <c r="AB1084" s="576" t="str">
        <f>IF(VLOOKUP(F1084,NXT!$C$12:$C$786,1,0)=F1084,"","x")</f>
        <v/>
      </c>
    </row>
    <row r="1085" spans="1:28" ht="15.75" customHeight="1">
      <c r="A1085" s="827" t="str">
        <f>IF(B1085&lt;&gt;"",IF(AND(B1085&gt;=_TM1,B1085&lt;=_TM2,OR(TH!L1085="1111",TH!M1085="1111")),TH!D1085,""),"")</f>
        <v/>
      </c>
      <c r="B1085" s="36">
        <f t="shared" si="191"/>
        <v>6</v>
      </c>
      <c r="C1085" s="190">
        <f t="shared" si="192"/>
        <v>42549</v>
      </c>
      <c r="D1085" s="37" t="s">
        <v>1644</v>
      </c>
      <c r="E1085" s="190">
        <v>42549</v>
      </c>
      <c r="F1085" s="191" t="s">
        <v>534</v>
      </c>
      <c r="G1085" s="829" t="s">
        <v>854</v>
      </c>
      <c r="H1085" s="192" t="s">
        <v>445</v>
      </c>
      <c r="I1085" s="253">
        <v>40</v>
      </c>
      <c r="J1085" s="253">
        <v>82354</v>
      </c>
      <c r="K1085" s="584">
        <f t="shared" si="193"/>
        <v>3294160</v>
      </c>
      <c r="L1085" s="585" t="s">
        <v>857</v>
      </c>
      <c r="M1085" s="585" t="s">
        <v>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26">
        <v>2</v>
      </c>
      <c r="AB1085" s="576" t="str">
        <f>IF(VLOOKUP(F1085,NXT!$C$12:$C$786,1,0)=F1085,"","x")</f>
        <v/>
      </c>
    </row>
    <row r="1086" spans="1:28" ht="15.75" customHeight="1">
      <c r="A1086" s="827" t="str">
        <f>IF(B1086&lt;&gt;"",IF(AND(B1086&gt;=_TM1,B1086&lt;=_TM2,OR(TH!L1086="1111",TH!M1086="1111")),TH!D1086,""),"")</f>
        <v/>
      </c>
      <c r="B1086" s="36">
        <f t="shared" si="191"/>
        <v>6</v>
      </c>
      <c r="C1086" s="190">
        <f t="shared" si="192"/>
        <v>42549</v>
      </c>
      <c r="D1086" s="37" t="s">
        <v>1644</v>
      </c>
      <c r="E1086" s="190">
        <v>42549</v>
      </c>
      <c r="F1086" s="191" t="s">
        <v>484</v>
      </c>
      <c r="G1086" s="829" t="s">
        <v>854</v>
      </c>
      <c r="H1086" s="192" t="s">
        <v>445</v>
      </c>
      <c r="I1086" s="253">
        <v>12</v>
      </c>
      <c r="J1086" s="253">
        <v>34091</v>
      </c>
      <c r="K1086" s="584">
        <f t="shared" si="193"/>
        <v>409092</v>
      </c>
      <c r="L1086" s="585" t="s">
        <v>857</v>
      </c>
      <c r="M1086" s="585" t="s">
        <v>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26">
        <v>2</v>
      </c>
      <c r="AB1086" s="576" t="str">
        <f>IF(VLOOKUP(F1086,NXT!$C$12:$C$786,1,0)=F1086,"","x")</f>
        <v/>
      </c>
    </row>
    <row r="1087" spans="1:28" ht="15.75" customHeight="1">
      <c r="A1087" s="827" t="str">
        <f>IF(B1087&lt;&gt;"",IF(AND(B1087&gt;=_TM1,B1087&lt;=_TM2,OR(TH!L1087="1111",TH!M1087="1111")),TH!D1087,""),"")</f>
        <v/>
      </c>
      <c r="B1087" s="36">
        <f t="shared" si="191"/>
        <v>6</v>
      </c>
      <c r="C1087" s="190">
        <f t="shared" si="192"/>
        <v>42549</v>
      </c>
      <c r="D1087" s="37" t="s">
        <v>1644</v>
      </c>
      <c r="E1087" s="190">
        <v>42549</v>
      </c>
      <c r="F1087" s="188" t="s">
        <v>702</v>
      </c>
      <c r="G1087" s="829" t="s">
        <v>854</v>
      </c>
      <c r="H1087" s="192" t="s">
        <v>445</v>
      </c>
      <c r="I1087" s="253">
        <v>30</v>
      </c>
      <c r="J1087" s="253">
        <v>58605</v>
      </c>
      <c r="K1087" s="584">
        <f t="shared" si="193"/>
        <v>1758150</v>
      </c>
      <c r="L1087" s="585" t="s">
        <v>857</v>
      </c>
      <c r="M1087" s="585" t="s">
        <v>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26">
        <v>2</v>
      </c>
      <c r="AB1087" s="576" t="str">
        <f>IF(VLOOKUP(F1087,NXT!$C$12:$C$786,1,0)=F1087,"","x")</f>
        <v/>
      </c>
    </row>
    <row r="1088" spans="1:28" ht="15.75" customHeight="1">
      <c r="A1088" s="827" t="str">
        <f>IF(B1088&lt;&gt;"",IF(AND(B1088&gt;=_TM1,B1088&lt;=_TM2,OR(TH!L1088="1111",TH!M1088="1111")),TH!D1088,""),"")</f>
        <v/>
      </c>
      <c r="B1088" s="36">
        <f t="shared" si="191"/>
        <v>6</v>
      </c>
      <c r="C1088" s="190">
        <f t="shared" si="192"/>
        <v>42549</v>
      </c>
      <c r="D1088" s="37" t="s">
        <v>1644</v>
      </c>
      <c r="E1088" s="190">
        <v>42549</v>
      </c>
      <c r="F1088" s="40" t="s">
        <v>484</v>
      </c>
      <c r="G1088" s="829" t="s">
        <v>854</v>
      </c>
      <c r="H1088" s="192" t="s">
        <v>445</v>
      </c>
      <c r="I1088" s="253">
        <v>20</v>
      </c>
      <c r="J1088" s="253">
        <v>34091</v>
      </c>
      <c r="K1088" s="584">
        <f t="shared" si="193"/>
        <v>681820</v>
      </c>
      <c r="L1088" s="585" t="s">
        <v>857</v>
      </c>
      <c r="M1088" s="585" t="s">
        <v>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26">
        <v>2</v>
      </c>
      <c r="AB1088" s="576" t="str">
        <f>IF(VLOOKUP(F1088,NXT!$C$12:$C$786,1,0)=F1088,"","x")</f>
        <v/>
      </c>
    </row>
    <row r="1089" spans="1:28" ht="15.75" customHeight="1">
      <c r="A1089" s="827" t="str">
        <f>IF(B1089&lt;&gt;"",IF(AND(B1089&gt;=_TM1,B1089&lt;=_TM2,OR(TH!L1089="1111",TH!M1089="1111")),TH!D1089,""),"")</f>
        <v/>
      </c>
      <c r="B1089" s="36">
        <f t="shared" si="191"/>
        <v>6</v>
      </c>
      <c r="C1089" s="190">
        <f t="shared" si="192"/>
        <v>42549</v>
      </c>
      <c r="D1089" s="37" t="s">
        <v>1644</v>
      </c>
      <c r="E1089" s="190">
        <v>42549</v>
      </c>
      <c r="F1089" s="40" t="s">
        <v>703</v>
      </c>
      <c r="G1089" s="829" t="s">
        <v>854</v>
      </c>
      <c r="H1089" s="192" t="s">
        <v>445</v>
      </c>
      <c r="I1089" s="253">
        <v>12</v>
      </c>
      <c r="J1089" s="253">
        <v>48372</v>
      </c>
      <c r="K1089" s="584">
        <f t="shared" si="193"/>
        <v>580464</v>
      </c>
      <c r="L1089" s="585" t="s">
        <v>857</v>
      </c>
      <c r="M1089" s="585" t="s">
        <v>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26">
        <v>2</v>
      </c>
      <c r="AB1089" s="576" t="str">
        <f>IF(VLOOKUP(F1089,NXT!$C$12:$C$786,1,0)=F1089,"","x")</f>
        <v/>
      </c>
    </row>
    <row r="1090" spans="1:28" ht="15.75" customHeight="1">
      <c r="A1090" s="827" t="str">
        <f>IF(B1090&lt;&gt;"",IF(AND(B1090&gt;=_TM1,B1090&lt;=_TM2,OR(TH!L1090="1111",TH!M1090="1111")),TH!D1090,""),"")</f>
        <v/>
      </c>
      <c r="B1090" s="36">
        <f t="shared" si="191"/>
        <v>6</v>
      </c>
      <c r="C1090" s="190">
        <f t="shared" si="192"/>
        <v>42549</v>
      </c>
      <c r="D1090" s="37" t="s">
        <v>1644</v>
      </c>
      <c r="E1090" s="190">
        <v>42549</v>
      </c>
      <c r="F1090" s="40" t="s">
        <v>871</v>
      </c>
      <c r="G1090" s="829" t="s">
        <v>854</v>
      </c>
      <c r="H1090" s="192" t="s">
        <v>445</v>
      </c>
      <c r="I1090" s="253">
        <v>12</v>
      </c>
      <c r="J1090" s="253">
        <v>64452</v>
      </c>
      <c r="K1090" s="584">
        <f t="shared" ref="K1090:K1121" si="194">ROUND(I1090*J1090,0)</f>
        <v>773424</v>
      </c>
      <c r="L1090" s="585" t="s">
        <v>857</v>
      </c>
      <c r="M1090" s="585" t="s">
        <v>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26">
        <v>2</v>
      </c>
      <c r="AB1090" s="576" t="str">
        <f>IF(VLOOKUP(F1090,NXT!$C$12:$C$786,1,0)=F1090,"","x")</f>
        <v/>
      </c>
    </row>
    <row r="1091" spans="1:28" ht="15.75" customHeight="1">
      <c r="A1091" s="827" t="str">
        <f>IF(B1091&lt;&gt;"",IF(AND(B1091&gt;=_TM1,B1091&lt;=_TM2,OR(TH!L1091="1111",TH!M1091="1111")),TH!D1091,""),"")</f>
        <v/>
      </c>
      <c r="B1091" s="36">
        <f t="shared" si="191"/>
        <v>6</v>
      </c>
      <c r="C1091" s="190">
        <f t="shared" si="192"/>
        <v>42549</v>
      </c>
      <c r="D1091" s="37" t="s">
        <v>1644</v>
      </c>
      <c r="E1091" s="190">
        <v>42549</v>
      </c>
      <c r="F1091" s="191" t="s">
        <v>813</v>
      </c>
      <c r="G1091" s="829" t="s">
        <v>854</v>
      </c>
      <c r="H1091" s="192" t="s">
        <v>445</v>
      </c>
      <c r="I1091" s="253">
        <v>75</v>
      </c>
      <c r="J1091" s="253">
        <v>47825</v>
      </c>
      <c r="K1091" s="584">
        <f t="shared" si="194"/>
        <v>3586875</v>
      </c>
      <c r="L1091" s="585" t="s">
        <v>857</v>
      </c>
      <c r="M1091" s="585" t="s">
        <v>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26">
        <v>2</v>
      </c>
      <c r="AB1091" s="576" t="str">
        <f>IF(VLOOKUP(F1091,NXT!$C$12:$C$786,1,0)=F1091,"","x")</f>
        <v/>
      </c>
    </row>
    <row r="1092" spans="1:28" ht="15.75" customHeight="1">
      <c r="A1092" s="827" t="str">
        <f>IF(B1092&lt;&gt;"",IF(AND(B1092&gt;=_TM1,B1092&lt;=_TM2,OR(TH!L1092="1111",TH!M1092="1111")),TH!D1092,""),"")</f>
        <v/>
      </c>
      <c r="B1092" s="36">
        <f t="shared" si="191"/>
        <v>6</v>
      </c>
      <c r="C1092" s="190">
        <f t="shared" si="192"/>
        <v>42549</v>
      </c>
      <c r="D1092" s="37" t="s">
        <v>1644</v>
      </c>
      <c r="E1092" s="190">
        <v>42549</v>
      </c>
      <c r="F1092" s="40" t="s">
        <v>536</v>
      </c>
      <c r="G1092" s="829" t="s">
        <v>854</v>
      </c>
      <c r="H1092" s="192" t="s">
        <v>445</v>
      </c>
      <c r="I1092" s="253">
        <v>18</v>
      </c>
      <c r="J1092" s="253">
        <v>64996</v>
      </c>
      <c r="K1092" s="584">
        <f t="shared" si="194"/>
        <v>1169928</v>
      </c>
      <c r="L1092" s="585" t="s">
        <v>857</v>
      </c>
      <c r="M1092" s="585" t="s">
        <v>8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26">
        <v>2</v>
      </c>
      <c r="AB1092" s="576" t="str">
        <f>IF(VLOOKUP(F1092,NXT!$C$12:$C$786,1,0)=F1092,"","x")</f>
        <v/>
      </c>
    </row>
    <row r="1093" spans="1:28" ht="15.75" customHeight="1">
      <c r="A1093" s="827" t="str">
        <f>IF(B1093&lt;&gt;"",IF(AND(B1093&gt;=_TM1,B1093&lt;=_TM2,OR(TH!L1093="1111",TH!M1093="1111")),TH!D1093,""),"")</f>
        <v/>
      </c>
      <c r="B1093" s="36">
        <f t="shared" si="191"/>
        <v>6</v>
      </c>
      <c r="C1093" s="190">
        <f t="shared" si="192"/>
        <v>42549</v>
      </c>
      <c r="D1093" s="37" t="s">
        <v>1644</v>
      </c>
      <c r="E1093" s="190">
        <v>42549</v>
      </c>
      <c r="F1093" s="40" t="s">
        <v>538</v>
      </c>
      <c r="G1093" s="829" t="s">
        <v>854</v>
      </c>
      <c r="H1093" s="192" t="s">
        <v>445</v>
      </c>
      <c r="I1093" s="253">
        <v>24</v>
      </c>
      <c r="J1093" s="253">
        <v>69735</v>
      </c>
      <c r="K1093" s="584">
        <f t="shared" si="194"/>
        <v>1673640</v>
      </c>
      <c r="L1093" s="585" t="s">
        <v>857</v>
      </c>
      <c r="M1093" s="585" t="s">
        <v>8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26">
        <v>2</v>
      </c>
      <c r="AB1093" s="576" t="str">
        <f>IF(VLOOKUP(F1093,NXT!$C$12:$C$786,1,0)=F1093,"","x")</f>
        <v/>
      </c>
    </row>
    <row r="1094" spans="1:28" ht="15.75" customHeight="1">
      <c r="A1094" s="827" t="str">
        <f>IF(B1094&lt;&gt;"",IF(AND(B1094&gt;=_TM1,B1094&lt;=_TM2,OR(TH!L1094="1111",TH!M1094="1111")),TH!D1094,""),"")</f>
        <v/>
      </c>
      <c r="B1094" s="36">
        <f t="shared" si="191"/>
        <v>6</v>
      </c>
      <c r="C1094" s="190">
        <f t="shared" si="192"/>
        <v>42549</v>
      </c>
      <c r="D1094" s="37" t="s">
        <v>1644</v>
      </c>
      <c r="E1094" s="190">
        <v>42549</v>
      </c>
      <c r="F1094" s="40" t="s">
        <v>537</v>
      </c>
      <c r="G1094" s="829" t="s">
        <v>854</v>
      </c>
      <c r="H1094" s="192" t="s">
        <v>445</v>
      </c>
      <c r="I1094" s="253">
        <v>24</v>
      </c>
      <c r="J1094" s="253">
        <v>31190</v>
      </c>
      <c r="K1094" s="584">
        <f t="shared" si="194"/>
        <v>748560</v>
      </c>
      <c r="L1094" s="585" t="s">
        <v>857</v>
      </c>
      <c r="M1094" s="585" t="s">
        <v>8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26">
        <v>2</v>
      </c>
      <c r="AB1094" s="576" t="str">
        <f>IF(VLOOKUP(F1094,NXT!$C$12:$C$786,1,0)=F1094,"","x")</f>
        <v/>
      </c>
    </row>
    <row r="1095" spans="1:28" ht="15.75" customHeight="1">
      <c r="A1095" s="827" t="str">
        <f>IF(B1095&lt;&gt;"",IF(AND(B1095&gt;=_TM1,B1095&lt;=_TM2,OR(TH!L1095="1111",TH!M1095="1111")),TH!D1095,""),"")</f>
        <v/>
      </c>
      <c r="B1095" s="36">
        <f t="shared" si="191"/>
        <v>6</v>
      </c>
      <c r="C1095" s="190">
        <f t="shared" si="192"/>
        <v>42549</v>
      </c>
      <c r="D1095" s="37" t="s">
        <v>1644</v>
      </c>
      <c r="E1095" s="190">
        <v>42549</v>
      </c>
      <c r="F1095" s="40" t="s">
        <v>709</v>
      </c>
      <c r="G1095" s="829" t="s">
        <v>854</v>
      </c>
      <c r="H1095" s="192" t="s">
        <v>445</v>
      </c>
      <c r="I1095" s="253">
        <v>12</v>
      </c>
      <c r="J1095" s="253">
        <v>111543</v>
      </c>
      <c r="K1095" s="584">
        <f t="shared" si="194"/>
        <v>1338516</v>
      </c>
      <c r="L1095" s="585" t="s">
        <v>857</v>
      </c>
      <c r="M1095" s="585" t="s">
        <v>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26">
        <v>2</v>
      </c>
      <c r="AB1095" s="576" t="str">
        <f>IF(VLOOKUP(F1095,NXT!$C$12:$C$786,1,0)=F1095,"","x")</f>
        <v/>
      </c>
    </row>
    <row r="1096" spans="1:28" ht="15.75" customHeight="1">
      <c r="A1096" s="827" t="str">
        <f>IF(B1096&lt;&gt;"",IF(AND(B1096&gt;=_TM1,B1096&lt;=_TM2,OR(TH!L1096="1111",TH!M1096="1111")),TH!D1096,""),"")</f>
        <v/>
      </c>
      <c r="B1096" s="36">
        <f t="shared" si="191"/>
        <v>6</v>
      </c>
      <c r="C1096" s="190">
        <f t="shared" si="192"/>
        <v>42549</v>
      </c>
      <c r="D1096" s="37" t="s">
        <v>1644</v>
      </c>
      <c r="E1096" s="190">
        <v>42549</v>
      </c>
      <c r="F1096" s="191" t="s">
        <v>539</v>
      </c>
      <c r="G1096" s="829" t="s">
        <v>854</v>
      </c>
      <c r="H1096" s="192" t="s">
        <v>445</v>
      </c>
      <c r="I1096" s="253">
        <v>20</v>
      </c>
      <c r="J1096" s="253">
        <v>137834</v>
      </c>
      <c r="K1096" s="584">
        <f t="shared" si="194"/>
        <v>2756680</v>
      </c>
      <c r="L1096" s="585" t="s">
        <v>857</v>
      </c>
      <c r="M1096" s="585" t="s">
        <v>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26">
        <v>2</v>
      </c>
      <c r="AB1096" s="576" t="str">
        <f>IF(VLOOKUP(F1096,NXT!$C$12:$C$786,1,0)=F1096,"","x")</f>
        <v/>
      </c>
    </row>
    <row r="1097" spans="1:28" ht="15.75" customHeight="1">
      <c r="A1097" s="827" t="str">
        <f>IF(B1097&lt;&gt;"",IF(AND(B1097&gt;=_TM1,B1097&lt;=_TM2,OR(TH!L1097="1111",TH!M1097="1111")),TH!D1097,""),"")</f>
        <v/>
      </c>
      <c r="B1097" s="36">
        <f t="shared" si="191"/>
        <v>6</v>
      </c>
      <c r="C1097" s="190">
        <f t="shared" si="192"/>
        <v>42549</v>
      </c>
      <c r="D1097" s="37" t="s">
        <v>1644</v>
      </c>
      <c r="E1097" s="190">
        <v>42549</v>
      </c>
      <c r="F1097" s="40" t="s">
        <v>813</v>
      </c>
      <c r="G1097" s="829" t="s">
        <v>854</v>
      </c>
      <c r="H1097" s="192" t="s">
        <v>445</v>
      </c>
      <c r="I1097" s="253">
        <v>12</v>
      </c>
      <c r="J1097" s="253">
        <v>52860</v>
      </c>
      <c r="K1097" s="584">
        <f t="shared" si="194"/>
        <v>634320</v>
      </c>
      <c r="L1097" s="585" t="s">
        <v>857</v>
      </c>
      <c r="M1097" s="585" t="s">
        <v>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26">
        <v>2</v>
      </c>
      <c r="AB1097" s="576" t="str">
        <f>IF(VLOOKUP(F1097,NXT!$C$12:$C$786,1,0)=F1097,"","x")</f>
        <v/>
      </c>
    </row>
    <row r="1098" spans="1:28" ht="15.75" customHeight="1">
      <c r="A1098" s="827" t="str">
        <f>IF(B1098&lt;&gt;"",IF(AND(B1098&gt;=_TM1,B1098&lt;=_TM2,OR(TH!L1098="1111",TH!M1098="1111")),TH!D1098,""),"")</f>
        <v/>
      </c>
      <c r="B1098" s="36">
        <f t="shared" ref="B1098:B1158" si="195">IF(C1098&lt;&gt;"",MONTH(C1098),"")</f>
        <v>6</v>
      </c>
      <c r="C1098" s="190">
        <f t="shared" ref="C1098:C1158" si="196">E1098</f>
        <v>42549</v>
      </c>
      <c r="D1098" s="37" t="s">
        <v>1644</v>
      </c>
      <c r="E1098" s="190">
        <v>42549</v>
      </c>
      <c r="F1098" s="188" t="s">
        <v>824</v>
      </c>
      <c r="G1098" s="829" t="s">
        <v>854</v>
      </c>
      <c r="H1098" s="192" t="s">
        <v>445</v>
      </c>
      <c r="I1098" s="253">
        <v>24</v>
      </c>
      <c r="J1098" s="253">
        <v>36060</v>
      </c>
      <c r="K1098" s="584">
        <f t="shared" si="194"/>
        <v>865440</v>
      </c>
      <c r="L1098" s="585" t="s">
        <v>857</v>
      </c>
      <c r="M1098" s="585" t="s">
        <v>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26">
        <v>2</v>
      </c>
      <c r="AB1098" s="576" t="str">
        <f>IF(VLOOKUP(F1098,NXT!$C$12:$C$786,1,0)=F1098,"","x")</f>
        <v/>
      </c>
    </row>
    <row r="1099" spans="1:28" ht="15.75" customHeight="1">
      <c r="A1099" s="827" t="str">
        <f>IF(B1099&lt;&gt;"",IF(AND(B1099&gt;=_TM1,B1099&lt;=_TM2,OR(TH!L1099="1111",TH!M1099="1111")),TH!D1099,""),"")</f>
        <v/>
      </c>
      <c r="B1099" s="36">
        <f t="shared" si="195"/>
        <v>6</v>
      </c>
      <c r="C1099" s="190">
        <f t="shared" si="196"/>
        <v>42549</v>
      </c>
      <c r="D1099" s="37" t="s">
        <v>1644</v>
      </c>
      <c r="E1099" s="190">
        <v>42549</v>
      </c>
      <c r="F1099" s="191" t="s">
        <v>540</v>
      </c>
      <c r="G1099" s="829" t="s">
        <v>854</v>
      </c>
      <c r="H1099" s="192" t="s">
        <v>445</v>
      </c>
      <c r="I1099" s="253">
        <v>12</v>
      </c>
      <c r="J1099" s="253">
        <v>71266</v>
      </c>
      <c r="K1099" s="584">
        <f t="shared" si="194"/>
        <v>855192</v>
      </c>
      <c r="L1099" s="585" t="s">
        <v>857</v>
      </c>
      <c r="M1099" s="585" t="s">
        <v>8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26">
        <v>2</v>
      </c>
      <c r="AB1099" s="576" t="str">
        <f>IF(VLOOKUP(F1099,NXT!$C$12:$C$786,1,0)=F1099,"","x")</f>
        <v/>
      </c>
    </row>
    <row r="1100" spans="1:28" ht="15.75" customHeight="1">
      <c r="A1100" s="827" t="str">
        <f>IF(B1100&lt;&gt;"",IF(AND(B1100&gt;=_TM1,B1100&lt;=_TM2,OR(TH!L1100="1111",TH!M1100="1111")),TH!D1100,""),"")</f>
        <v/>
      </c>
      <c r="B1100" s="36">
        <f t="shared" si="195"/>
        <v>6</v>
      </c>
      <c r="C1100" s="190">
        <f t="shared" si="196"/>
        <v>42549</v>
      </c>
      <c r="D1100" s="37" t="s">
        <v>1644</v>
      </c>
      <c r="E1100" s="190">
        <v>42549</v>
      </c>
      <c r="F1100" s="191" t="s">
        <v>709</v>
      </c>
      <c r="G1100" s="829" t="s">
        <v>854</v>
      </c>
      <c r="H1100" s="192" t="s">
        <v>445</v>
      </c>
      <c r="I1100" s="253">
        <v>12</v>
      </c>
      <c r="J1100" s="253">
        <v>111543</v>
      </c>
      <c r="K1100" s="584">
        <f t="shared" si="194"/>
        <v>1338516</v>
      </c>
      <c r="L1100" s="585" t="s">
        <v>857</v>
      </c>
      <c r="M1100" s="585" t="s">
        <v>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26">
        <v>2</v>
      </c>
      <c r="AB1100" s="576" t="str">
        <f>IF(VLOOKUP(F1100,NXT!$C$12:$C$786,1,0)=F1100,"","x")</f>
        <v/>
      </c>
    </row>
    <row r="1101" spans="1:28" ht="15.75" customHeight="1">
      <c r="A1101" s="827" t="str">
        <f>IF(B1101&lt;&gt;"",IF(AND(B1101&gt;=_TM1,B1101&lt;=_TM2,OR(TH!L1101="1111",TH!M1101="1111")),TH!D1101,""),"")</f>
        <v/>
      </c>
      <c r="B1101" s="36">
        <f t="shared" si="195"/>
        <v>6</v>
      </c>
      <c r="C1101" s="190">
        <f t="shared" si="196"/>
        <v>42549</v>
      </c>
      <c r="D1101" s="37" t="s">
        <v>1644</v>
      </c>
      <c r="E1101" s="190">
        <v>42549</v>
      </c>
      <c r="F1101" s="191" t="s">
        <v>705</v>
      </c>
      <c r="G1101" s="829" t="s">
        <v>854</v>
      </c>
      <c r="H1101" s="192" t="s">
        <v>445</v>
      </c>
      <c r="I1101" s="253">
        <v>12</v>
      </c>
      <c r="J1101" s="253">
        <v>63524</v>
      </c>
      <c r="K1101" s="584">
        <f t="shared" si="194"/>
        <v>762288</v>
      </c>
      <c r="L1101" s="585" t="s">
        <v>857</v>
      </c>
      <c r="M1101" s="585" t="s">
        <v>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26">
        <v>2</v>
      </c>
      <c r="AB1101" s="576" t="str">
        <f>IF(VLOOKUP(F1101,NXT!$C$12:$C$786,1,0)=F1101,"","x")</f>
        <v/>
      </c>
    </row>
    <row r="1102" spans="1:28" ht="15.75" customHeight="1">
      <c r="A1102" s="827" t="str">
        <f>IF(B1102&lt;&gt;"",IF(AND(B1102&gt;=_TM1,B1102&lt;=_TM2,OR(TH!L1102="1111",TH!M1102="1111")),TH!D1102,""),"")</f>
        <v/>
      </c>
      <c r="B1102" s="36">
        <f t="shared" si="195"/>
        <v>6</v>
      </c>
      <c r="C1102" s="190">
        <f t="shared" si="196"/>
        <v>42549</v>
      </c>
      <c r="D1102" s="37" t="s">
        <v>1644</v>
      </c>
      <c r="E1102" s="190">
        <v>42549</v>
      </c>
      <c r="F1102" s="191" t="s">
        <v>490</v>
      </c>
      <c r="G1102" s="829" t="s">
        <v>854</v>
      </c>
      <c r="H1102" s="192" t="s">
        <v>445</v>
      </c>
      <c r="I1102" s="253">
        <v>4</v>
      </c>
      <c r="J1102" s="253">
        <v>156966</v>
      </c>
      <c r="K1102" s="584">
        <f t="shared" si="194"/>
        <v>627864</v>
      </c>
      <c r="L1102" s="585" t="s">
        <v>857</v>
      </c>
      <c r="M1102" s="585" t="s">
        <v>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26">
        <v>2</v>
      </c>
      <c r="AB1102" s="576" t="str">
        <f>IF(VLOOKUP(F1102,NXT!$C$12:$C$786,1,0)=F1102,"","x")</f>
        <v/>
      </c>
    </row>
    <row r="1103" spans="1:28" ht="15.75" customHeight="1">
      <c r="A1103" s="827" t="str">
        <f>IF(B1103&lt;&gt;"",IF(AND(B1103&gt;=_TM1,B1103&lt;=_TM2,OR(TH!L1103="1111",TH!M1103="1111")),TH!D1103,""),"")</f>
        <v/>
      </c>
      <c r="B1103" s="36">
        <f t="shared" si="195"/>
        <v>6</v>
      </c>
      <c r="C1103" s="190">
        <f t="shared" si="196"/>
        <v>42549</v>
      </c>
      <c r="D1103" s="37" t="s">
        <v>1644</v>
      </c>
      <c r="E1103" s="190">
        <v>42549</v>
      </c>
      <c r="F1103" s="40" t="s">
        <v>872</v>
      </c>
      <c r="G1103" s="829" t="s">
        <v>854</v>
      </c>
      <c r="H1103" s="192" t="s">
        <v>445</v>
      </c>
      <c r="I1103" s="253">
        <v>4</v>
      </c>
      <c r="J1103" s="253">
        <v>144547</v>
      </c>
      <c r="K1103" s="584">
        <f t="shared" si="194"/>
        <v>578188</v>
      </c>
      <c r="L1103" s="585" t="s">
        <v>857</v>
      </c>
      <c r="M1103" s="585" t="s">
        <v>8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26">
        <v>2</v>
      </c>
      <c r="AB1103" s="576" t="str">
        <f>IF(VLOOKUP(F1103,NXT!$C$12:$C$786,1,0)=F1103,"","x")</f>
        <v/>
      </c>
    </row>
    <row r="1104" spans="1:28" ht="15.75" customHeight="1">
      <c r="A1104" s="827" t="str">
        <f>IF(B1104&lt;&gt;"",IF(AND(B1104&gt;=_TM1,B1104&lt;=_TM2,OR(TH!L1104="1111",TH!M1104="1111")),TH!D1104,""),"")</f>
        <v/>
      </c>
      <c r="B1104" s="36">
        <f t="shared" si="195"/>
        <v>6</v>
      </c>
      <c r="C1104" s="190">
        <f t="shared" si="196"/>
        <v>42549</v>
      </c>
      <c r="D1104" s="37" t="s">
        <v>1644</v>
      </c>
      <c r="E1104" s="190">
        <v>42549</v>
      </c>
      <c r="F1104" s="40" t="s">
        <v>818</v>
      </c>
      <c r="G1104" s="829" t="s">
        <v>854</v>
      </c>
      <c r="H1104" s="192" t="s">
        <v>445</v>
      </c>
      <c r="I1104" s="253">
        <v>4</v>
      </c>
      <c r="J1104" s="253">
        <v>77340</v>
      </c>
      <c r="K1104" s="584">
        <f t="shared" si="194"/>
        <v>309360</v>
      </c>
      <c r="L1104" s="585" t="s">
        <v>857</v>
      </c>
      <c r="M1104" s="585" t="s">
        <v>8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26">
        <v>2</v>
      </c>
      <c r="AB1104" s="576" t="str">
        <f>IF(VLOOKUP(F1104,NXT!$C$12:$C$786,1,0)=F1104,"","x")</f>
        <v/>
      </c>
    </row>
    <row r="1105" spans="1:28" ht="15.75" customHeight="1">
      <c r="A1105" s="827" t="str">
        <f>IF(B1105&lt;&gt;"",IF(AND(B1105&gt;=_TM1,B1105&lt;=_TM2,OR(TH!L1105="1111",TH!M1105="1111")),TH!D1105,""),"")</f>
        <v/>
      </c>
      <c r="B1105" s="36">
        <f t="shared" si="195"/>
        <v>6</v>
      </c>
      <c r="C1105" s="190">
        <f t="shared" si="196"/>
        <v>42549</v>
      </c>
      <c r="D1105" s="37" t="s">
        <v>1644</v>
      </c>
      <c r="E1105" s="190">
        <v>42549</v>
      </c>
      <c r="F1105" s="40" t="s">
        <v>823</v>
      </c>
      <c r="G1105" s="829" t="s">
        <v>854</v>
      </c>
      <c r="H1105" s="192" t="s">
        <v>445</v>
      </c>
      <c r="I1105" s="253">
        <v>2</v>
      </c>
      <c r="J1105" s="253">
        <v>179364</v>
      </c>
      <c r="K1105" s="584">
        <f t="shared" si="194"/>
        <v>358728</v>
      </c>
      <c r="L1105" s="585" t="s">
        <v>857</v>
      </c>
      <c r="M1105" s="585" t="s">
        <v>8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26">
        <v>2</v>
      </c>
      <c r="AB1105" s="576" t="str">
        <f>IF(VLOOKUP(F1105,NXT!$C$12:$C$786,1,0)=F1105,"","x")</f>
        <v/>
      </c>
    </row>
    <row r="1106" spans="1:28" ht="15.75" customHeight="1">
      <c r="A1106" s="827" t="str">
        <f>IF(B1106&lt;&gt;"",IF(AND(B1106&gt;=_TM1,B1106&lt;=_TM2,OR(TH!L1106="1111",TH!M1106="1111")),TH!D1106,""),"")</f>
        <v/>
      </c>
      <c r="B1106" s="36">
        <f t="shared" si="195"/>
        <v>6</v>
      </c>
      <c r="C1106" s="190">
        <f t="shared" si="196"/>
        <v>42549</v>
      </c>
      <c r="D1106" s="37" t="s">
        <v>1644</v>
      </c>
      <c r="E1106" s="190">
        <v>42549</v>
      </c>
      <c r="F1106" s="40" t="s">
        <v>873</v>
      </c>
      <c r="G1106" s="829" t="s">
        <v>854</v>
      </c>
      <c r="H1106" s="192" t="s">
        <v>445</v>
      </c>
      <c r="I1106" s="253">
        <v>6</v>
      </c>
      <c r="J1106" s="253">
        <v>43183</v>
      </c>
      <c r="K1106" s="584">
        <f t="shared" si="194"/>
        <v>259098</v>
      </c>
      <c r="L1106" s="585" t="s">
        <v>857</v>
      </c>
      <c r="M1106" s="585" t="s">
        <v>8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26">
        <v>2</v>
      </c>
      <c r="AB1106" s="576" t="str">
        <f>IF(VLOOKUP(F1106,NXT!$C$12:$C$786,1,0)=F1106,"","x")</f>
        <v/>
      </c>
    </row>
    <row r="1107" spans="1:28" ht="15.75" customHeight="1">
      <c r="A1107" s="827" t="str">
        <f>IF(B1107&lt;&gt;"",IF(AND(B1107&gt;=_TM1,B1107&lt;=_TM2,OR(TH!L1107="1111",TH!M1107="1111")),TH!D1107,""),"")</f>
        <v/>
      </c>
      <c r="B1107" s="36">
        <f t="shared" si="195"/>
        <v>6</v>
      </c>
      <c r="C1107" s="190">
        <f t="shared" si="196"/>
        <v>42549</v>
      </c>
      <c r="D1107" s="37" t="s">
        <v>1644</v>
      </c>
      <c r="E1107" s="190">
        <v>42549</v>
      </c>
      <c r="F1107" s="40" t="s">
        <v>874</v>
      </c>
      <c r="G1107" s="829" t="s">
        <v>854</v>
      </c>
      <c r="H1107" s="192" t="s">
        <v>445</v>
      </c>
      <c r="I1107" s="253">
        <v>6</v>
      </c>
      <c r="J1107" s="253">
        <v>33127</v>
      </c>
      <c r="K1107" s="584">
        <f t="shared" si="194"/>
        <v>198762</v>
      </c>
      <c r="L1107" s="585" t="s">
        <v>857</v>
      </c>
      <c r="M1107" s="585" t="s">
        <v>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26">
        <v>2</v>
      </c>
      <c r="AB1107" s="576" t="str">
        <f>IF(VLOOKUP(F1107,NXT!$C$12:$C$786,1,0)=F1107,"","x")</f>
        <v/>
      </c>
    </row>
    <row r="1108" spans="1:28" ht="15.75" customHeight="1">
      <c r="A1108" s="827" t="str">
        <f>IF(B1108&lt;&gt;"",IF(AND(B1108&gt;=_TM1,B1108&lt;=_TM2,OR(TH!L1108="1111",TH!M1108="1111")),TH!D1108,""),"")</f>
        <v/>
      </c>
      <c r="B1108" s="36">
        <f t="shared" si="195"/>
        <v>6</v>
      </c>
      <c r="C1108" s="190">
        <f t="shared" si="196"/>
        <v>42549</v>
      </c>
      <c r="D1108" s="37" t="s">
        <v>1644</v>
      </c>
      <c r="E1108" s="190">
        <v>42549</v>
      </c>
      <c r="F1108" s="40" t="s">
        <v>875</v>
      </c>
      <c r="G1108" s="829" t="s">
        <v>854</v>
      </c>
      <c r="H1108" s="192" t="s">
        <v>445</v>
      </c>
      <c r="I1108" s="253">
        <v>8</v>
      </c>
      <c r="J1108" s="253">
        <v>53255</v>
      </c>
      <c r="K1108" s="584">
        <f t="shared" si="194"/>
        <v>426040</v>
      </c>
      <c r="L1108" s="585" t="s">
        <v>857</v>
      </c>
      <c r="M1108" s="585" t="s">
        <v>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26">
        <v>2</v>
      </c>
      <c r="AB1108" s="576" t="str">
        <f>IF(VLOOKUP(F1108,NXT!$C$12:$C$786,1,0)=F1108,"","x")</f>
        <v/>
      </c>
    </row>
    <row r="1109" spans="1:28" ht="15.75" customHeight="1">
      <c r="A1109" s="827" t="str">
        <f>IF(B1109&lt;&gt;"",IF(AND(B1109&gt;=_TM1,B1109&lt;=_TM2,OR(TH!L1109="1111",TH!M1109="1111")),TH!D1109,""),"")</f>
        <v/>
      </c>
      <c r="B1109" s="36">
        <f t="shared" si="195"/>
        <v>6</v>
      </c>
      <c r="C1109" s="190">
        <f t="shared" si="196"/>
        <v>42549</v>
      </c>
      <c r="D1109" s="37" t="s">
        <v>1644</v>
      </c>
      <c r="E1109" s="190">
        <v>42549</v>
      </c>
      <c r="F1109" s="191" t="s">
        <v>809</v>
      </c>
      <c r="G1109" s="829" t="s">
        <v>854</v>
      </c>
      <c r="H1109" s="192" t="s">
        <v>445</v>
      </c>
      <c r="I1109" s="253">
        <v>8</v>
      </c>
      <c r="J1109" s="253">
        <v>43021</v>
      </c>
      <c r="K1109" s="584">
        <f t="shared" si="194"/>
        <v>344168</v>
      </c>
      <c r="L1109" s="585" t="s">
        <v>857</v>
      </c>
      <c r="M1109" s="585" t="s">
        <v>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26">
        <v>2</v>
      </c>
      <c r="AB1109" s="576" t="str">
        <f>IF(VLOOKUP(F1109,NXT!$C$12:$C$786,1,0)=F1109,"","x")</f>
        <v/>
      </c>
    </row>
    <row r="1110" spans="1:28" ht="15.75" customHeight="1">
      <c r="A1110" s="827" t="str">
        <f>IF(B1110&lt;&gt;"",IF(AND(B1110&gt;=_TM1,B1110&lt;=_TM2,OR(TH!L1110="1111",TH!M1110="1111")),TH!D1110,""),"")</f>
        <v/>
      </c>
      <c r="B1110" s="36">
        <f t="shared" si="195"/>
        <v>6</v>
      </c>
      <c r="C1110" s="190">
        <f t="shared" si="196"/>
        <v>42549</v>
      </c>
      <c r="D1110" s="37" t="s">
        <v>1644</v>
      </c>
      <c r="E1110" s="190">
        <v>42549</v>
      </c>
      <c r="F1110" s="191" t="s">
        <v>490</v>
      </c>
      <c r="G1110" s="829" t="s">
        <v>854</v>
      </c>
      <c r="H1110" s="192" t="s">
        <v>445</v>
      </c>
      <c r="I1110" s="254">
        <v>4</v>
      </c>
      <c r="J1110" s="254">
        <v>156966</v>
      </c>
      <c r="K1110" s="584">
        <f t="shared" si="194"/>
        <v>627864</v>
      </c>
      <c r="L1110" s="585" t="s">
        <v>857</v>
      </c>
      <c r="M1110" s="585" t="s">
        <v>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26">
        <v>2</v>
      </c>
      <c r="AB1110" s="576" t="str">
        <f>IF(VLOOKUP(F1110,NXT!$C$12:$C$786,1,0)=F1110,"","x")</f>
        <v/>
      </c>
    </row>
    <row r="1111" spans="1:28" ht="15.75" customHeight="1">
      <c r="A1111" s="827" t="str">
        <f>IF(B1111&lt;&gt;"",IF(AND(B1111&gt;=_TM1,B1111&lt;=_TM2,OR(TH!L1111="1111",TH!M1111="1111")),TH!D1111,""),"")</f>
        <v/>
      </c>
      <c r="B1111" s="36">
        <f t="shared" si="195"/>
        <v>6</v>
      </c>
      <c r="C1111" s="190">
        <f t="shared" si="196"/>
        <v>42549</v>
      </c>
      <c r="D1111" s="37" t="s">
        <v>1644</v>
      </c>
      <c r="E1111" s="190">
        <v>42549</v>
      </c>
      <c r="F1111" s="40" t="s">
        <v>817</v>
      </c>
      <c r="G1111" s="829" t="s">
        <v>854</v>
      </c>
      <c r="H1111" s="192" t="s">
        <v>445</v>
      </c>
      <c r="I1111" s="253">
        <v>4</v>
      </c>
      <c r="J1111" s="253">
        <v>144547</v>
      </c>
      <c r="K1111" s="584">
        <f t="shared" si="194"/>
        <v>578188</v>
      </c>
      <c r="L1111" s="585" t="s">
        <v>857</v>
      </c>
      <c r="M1111" s="585" t="s">
        <v>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26">
        <v>2</v>
      </c>
      <c r="AB1111" s="576" t="str">
        <f>IF(VLOOKUP(F1111,NXT!$C$12:$C$786,1,0)=F1111,"","x")</f>
        <v/>
      </c>
    </row>
    <row r="1112" spans="1:28" ht="15.75" customHeight="1">
      <c r="A1112" s="827" t="str">
        <f>IF(B1112&lt;&gt;"",IF(AND(B1112&gt;=_TM1,B1112&lt;=_TM2,OR(TH!L1112="1111",TH!M1112="1111")),TH!D1112,""),"")</f>
        <v/>
      </c>
      <c r="B1112" s="36">
        <f t="shared" si="195"/>
        <v>6</v>
      </c>
      <c r="C1112" s="190">
        <f t="shared" si="196"/>
        <v>42549</v>
      </c>
      <c r="D1112" s="37" t="s">
        <v>1644</v>
      </c>
      <c r="E1112" s="190">
        <v>42549</v>
      </c>
      <c r="F1112" s="40" t="s">
        <v>818</v>
      </c>
      <c r="G1112" s="829" t="s">
        <v>854</v>
      </c>
      <c r="H1112" s="192" t="s">
        <v>445</v>
      </c>
      <c r="I1112" s="253">
        <v>4</v>
      </c>
      <c r="J1112" s="253">
        <v>77341</v>
      </c>
      <c r="K1112" s="584">
        <f t="shared" si="194"/>
        <v>309364</v>
      </c>
      <c r="L1112" s="585" t="s">
        <v>857</v>
      </c>
      <c r="M1112" s="585" t="s">
        <v>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26">
        <v>2</v>
      </c>
      <c r="AB1112" s="576" t="str">
        <f>IF(VLOOKUP(F1112,NXT!$C$12:$C$786,1,0)=F1112,"","x")</f>
        <v/>
      </c>
    </row>
    <row r="1113" spans="1:28" ht="15.75" customHeight="1">
      <c r="A1113" s="827" t="str">
        <f>IF(B1113&lt;&gt;"",IF(AND(B1113&gt;=_TM1,B1113&lt;=_TM2,OR(TH!L1113="1111",TH!M1113="1111")),TH!D1113,""),"")</f>
        <v/>
      </c>
      <c r="B1113" s="36">
        <f t="shared" si="195"/>
        <v>6</v>
      </c>
      <c r="C1113" s="190">
        <f t="shared" si="196"/>
        <v>42549</v>
      </c>
      <c r="D1113" s="37" t="s">
        <v>1644</v>
      </c>
      <c r="E1113" s="190">
        <v>42549</v>
      </c>
      <c r="F1113" s="188" t="s">
        <v>823</v>
      </c>
      <c r="G1113" s="829" t="s">
        <v>854</v>
      </c>
      <c r="H1113" s="192" t="s">
        <v>445</v>
      </c>
      <c r="I1113" s="253">
        <v>2</v>
      </c>
      <c r="J1113" s="253">
        <v>179364</v>
      </c>
      <c r="K1113" s="584">
        <f t="shared" si="194"/>
        <v>358728</v>
      </c>
      <c r="L1113" s="585" t="s">
        <v>857</v>
      </c>
      <c r="M1113" s="585" t="s">
        <v>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26">
        <v>2</v>
      </c>
      <c r="AB1113" s="576" t="str">
        <f>IF(VLOOKUP(F1113,NXT!$C$12:$C$786,1,0)=F1113,"","x")</f>
        <v/>
      </c>
    </row>
    <row r="1114" spans="1:28" ht="15.75" customHeight="1">
      <c r="A1114" s="827" t="str">
        <f>IF(B1114&lt;&gt;"",IF(AND(B1114&gt;=_TM1,B1114&lt;=_TM2,OR(TH!L1114="1111",TH!M1114="1111")),TH!D1114,""),"")</f>
        <v/>
      </c>
      <c r="B1114" s="36">
        <f t="shared" si="195"/>
        <v>6</v>
      </c>
      <c r="C1114" s="190">
        <f t="shared" si="196"/>
        <v>42549</v>
      </c>
      <c r="D1114" s="37" t="s">
        <v>1644</v>
      </c>
      <c r="E1114" s="190">
        <v>42549</v>
      </c>
      <c r="F1114" s="191" t="s">
        <v>873</v>
      </c>
      <c r="G1114" s="829" t="s">
        <v>854</v>
      </c>
      <c r="H1114" s="192" t="s">
        <v>445</v>
      </c>
      <c r="I1114" s="253">
        <v>6</v>
      </c>
      <c r="J1114" s="253">
        <v>43183</v>
      </c>
      <c r="K1114" s="584">
        <f t="shared" si="194"/>
        <v>259098</v>
      </c>
      <c r="L1114" s="585" t="s">
        <v>857</v>
      </c>
      <c r="M1114" s="585" t="s">
        <v>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26">
        <v>2</v>
      </c>
      <c r="AB1114" s="576" t="str">
        <f>IF(VLOOKUP(F1114,NXT!$C$12:$C$786,1,0)=F1114,"","x")</f>
        <v/>
      </c>
    </row>
    <row r="1115" spans="1:28" ht="15.75" customHeight="1">
      <c r="A1115" s="827" t="str">
        <f>IF(B1115&lt;&gt;"",IF(AND(B1115&gt;=_TM1,B1115&lt;=_TM2,OR(TH!L1115="1111",TH!M1115="1111")),TH!D1115,""),"")</f>
        <v/>
      </c>
      <c r="B1115" s="36">
        <f t="shared" si="195"/>
        <v>6</v>
      </c>
      <c r="C1115" s="190">
        <f t="shared" si="196"/>
        <v>42549</v>
      </c>
      <c r="D1115" s="37" t="s">
        <v>1644</v>
      </c>
      <c r="E1115" s="190">
        <v>42549</v>
      </c>
      <c r="F1115" s="191" t="s">
        <v>874</v>
      </c>
      <c r="G1115" s="829" t="s">
        <v>854</v>
      </c>
      <c r="H1115" s="192" t="s">
        <v>445</v>
      </c>
      <c r="I1115" s="253">
        <v>6</v>
      </c>
      <c r="J1115" s="253">
        <v>33127</v>
      </c>
      <c r="K1115" s="584">
        <f t="shared" si="194"/>
        <v>198762</v>
      </c>
      <c r="L1115" s="585" t="s">
        <v>857</v>
      </c>
      <c r="M1115" s="585" t="s">
        <v>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26">
        <v>2</v>
      </c>
      <c r="AB1115" s="576" t="str">
        <f>IF(VLOOKUP(F1115,NXT!$C$12:$C$786,1,0)=F1115,"","x")</f>
        <v/>
      </c>
    </row>
    <row r="1116" spans="1:28" ht="15.75" customHeight="1">
      <c r="A1116" s="827" t="str">
        <f>IF(B1116&lt;&gt;"",IF(AND(B1116&gt;=_TM1,B1116&lt;=_TM2,OR(TH!L1116="1111",TH!M1116="1111")),TH!D1116,""),"")</f>
        <v/>
      </c>
      <c r="B1116" s="36">
        <f t="shared" si="195"/>
        <v>6</v>
      </c>
      <c r="C1116" s="190">
        <f t="shared" si="196"/>
        <v>42549</v>
      </c>
      <c r="D1116" s="37" t="s">
        <v>1644</v>
      </c>
      <c r="E1116" s="190">
        <v>42549</v>
      </c>
      <c r="F1116" s="188" t="s">
        <v>875</v>
      </c>
      <c r="G1116" s="829" t="s">
        <v>854</v>
      </c>
      <c r="H1116" s="192" t="s">
        <v>445</v>
      </c>
      <c r="I1116" s="253">
        <v>8</v>
      </c>
      <c r="J1116" s="253">
        <v>53255</v>
      </c>
      <c r="K1116" s="584">
        <f t="shared" si="194"/>
        <v>426040</v>
      </c>
      <c r="L1116" s="585" t="s">
        <v>857</v>
      </c>
      <c r="M1116" s="585" t="s">
        <v>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26">
        <v>2</v>
      </c>
      <c r="AB1116" s="576" t="str">
        <f>IF(VLOOKUP(F1116,NXT!$C$12:$C$786,1,0)=F1116,"","x")</f>
        <v/>
      </c>
    </row>
    <row r="1117" spans="1:28" ht="15.75" customHeight="1">
      <c r="A1117" s="827" t="str">
        <f>IF(B1117&lt;&gt;"",IF(AND(B1117&gt;=_TM1,B1117&lt;=_TM2,OR(TH!L1117="1111",TH!M1117="1111")),TH!D1117,""),"")</f>
        <v/>
      </c>
      <c r="B1117" s="36">
        <f t="shared" si="195"/>
        <v>6</v>
      </c>
      <c r="C1117" s="190">
        <f t="shared" si="196"/>
        <v>42549</v>
      </c>
      <c r="D1117" s="37" t="s">
        <v>1644</v>
      </c>
      <c r="E1117" s="190">
        <v>42549</v>
      </c>
      <c r="F1117" s="188" t="s">
        <v>809</v>
      </c>
      <c r="G1117" s="829" t="s">
        <v>854</v>
      </c>
      <c r="H1117" s="192" t="s">
        <v>445</v>
      </c>
      <c r="I1117" s="253">
        <v>8</v>
      </c>
      <c r="J1117" s="253">
        <v>43021</v>
      </c>
      <c r="K1117" s="584">
        <f t="shared" si="194"/>
        <v>344168</v>
      </c>
      <c r="L1117" s="585" t="s">
        <v>857</v>
      </c>
      <c r="M1117" s="585" t="s">
        <v>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26">
        <v>2</v>
      </c>
      <c r="AB1117" s="576" t="str">
        <f>IF(VLOOKUP(F1117,NXT!$C$12:$C$786,1,0)=F1117,"","x")</f>
        <v/>
      </c>
    </row>
    <row r="1118" spans="1:28" ht="15.75" customHeight="1">
      <c r="A1118" s="827" t="str">
        <f>IF(B1118&lt;&gt;"",IF(AND(B1118&gt;=_TM1,B1118&lt;=_TM2,OR(TH!L1118="1111",TH!M1118="1111")),TH!D1118,""),"")</f>
        <v/>
      </c>
      <c r="B1118" s="36">
        <f t="shared" si="195"/>
        <v>6</v>
      </c>
      <c r="C1118" s="190">
        <f t="shared" si="196"/>
        <v>42549</v>
      </c>
      <c r="D1118" s="37" t="s">
        <v>1644</v>
      </c>
      <c r="E1118" s="190">
        <v>42549</v>
      </c>
      <c r="F1118" s="40" t="s">
        <v>490</v>
      </c>
      <c r="G1118" s="829" t="s">
        <v>854</v>
      </c>
      <c r="H1118" s="192" t="s">
        <v>445</v>
      </c>
      <c r="I1118" s="253">
        <v>8</v>
      </c>
      <c r="J1118" s="253">
        <v>156966</v>
      </c>
      <c r="K1118" s="584">
        <f t="shared" si="194"/>
        <v>1255728</v>
      </c>
      <c r="L1118" s="585" t="s">
        <v>857</v>
      </c>
      <c r="M1118" s="585" t="s">
        <v>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26">
        <v>2</v>
      </c>
      <c r="AB1118" s="576" t="str">
        <f>IF(VLOOKUP(F1118,NXT!$C$12:$C$786,1,0)=F1118,"","x")</f>
        <v/>
      </c>
    </row>
    <row r="1119" spans="1:28" ht="15.75" customHeight="1">
      <c r="A1119" s="827" t="str">
        <f>IF(B1119&lt;&gt;"",IF(AND(B1119&gt;=_TM1,B1119&lt;=_TM2,OR(TH!L1119="1111",TH!M1119="1111")),TH!D1119,""),"")</f>
        <v/>
      </c>
      <c r="B1119" s="36">
        <f t="shared" si="195"/>
        <v>6</v>
      </c>
      <c r="C1119" s="190">
        <f t="shared" si="196"/>
        <v>42549</v>
      </c>
      <c r="D1119" s="37" t="s">
        <v>1644</v>
      </c>
      <c r="E1119" s="190">
        <v>42549</v>
      </c>
      <c r="F1119" s="191" t="s">
        <v>817</v>
      </c>
      <c r="G1119" s="829" t="s">
        <v>854</v>
      </c>
      <c r="H1119" s="192" t="s">
        <v>445</v>
      </c>
      <c r="I1119" s="253">
        <v>10</v>
      </c>
      <c r="J1119" s="253">
        <v>144547</v>
      </c>
      <c r="K1119" s="584">
        <f t="shared" si="194"/>
        <v>1445470</v>
      </c>
      <c r="L1119" s="585" t="s">
        <v>857</v>
      </c>
      <c r="M1119" s="585" t="s">
        <v>8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26">
        <v>2</v>
      </c>
      <c r="AB1119" s="576" t="str">
        <f>IF(VLOOKUP(F1119,NXT!$C$12:$C$786,1,0)=F1119,"","x")</f>
        <v/>
      </c>
    </row>
    <row r="1120" spans="1:28" ht="15.75" customHeight="1">
      <c r="A1120" s="827" t="str">
        <f>IF(B1120&lt;&gt;"",IF(AND(B1120&gt;=_TM1,B1120&lt;=_TM2,OR(TH!L1120="1111",TH!M1120="1111")),TH!D1120,""),"")</f>
        <v/>
      </c>
      <c r="B1120" s="36">
        <f t="shared" si="195"/>
        <v>6</v>
      </c>
      <c r="C1120" s="190">
        <f t="shared" si="196"/>
        <v>42549</v>
      </c>
      <c r="D1120" s="37" t="s">
        <v>1644</v>
      </c>
      <c r="E1120" s="190">
        <v>42549</v>
      </c>
      <c r="F1120" s="191" t="s">
        <v>809</v>
      </c>
      <c r="G1120" s="829" t="s">
        <v>854</v>
      </c>
      <c r="H1120" s="192" t="s">
        <v>445</v>
      </c>
      <c r="I1120" s="253">
        <v>12</v>
      </c>
      <c r="J1120" s="253">
        <v>43021</v>
      </c>
      <c r="K1120" s="584">
        <f t="shared" si="194"/>
        <v>516252</v>
      </c>
      <c r="L1120" s="585" t="s">
        <v>857</v>
      </c>
      <c r="M1120" s="585" t="s">
        <v>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26">
        <v>2</v>
      </c>
      <c r="AB1120" s="576" t="str">
        <f>IF(VLOOKUP(F1120,NXT!$C$12:$C$786,1,0)=F1120,"","x")</f>
        <v/>
      </c>
    </row>
    <row r="1121" spans="1:28" ht="15.75" customHeight="1">
      <c r="A1121" s="827" t="str">
        <f>IF(B1121&lt;&gt;"",IF(AND(B1121&gt;=_TM1,B1121&lt;=_TM2,OR(TH!L1121="1111",TH!M1121="1111")),TH!D1121,""),"")</f>
        <v/>
      </c>
      <c r="B1121" s="36">
        <f t="shared" si="195"/>
        <v>6</v>
      </c>
      <c r="C1121" s="190">
        <f t="shared" si="196"/>
        <v>42549</v>
      </c>
      <c r="D1121" s="37" t="s">
        <v>1644</v>
      </c>
      <c r="E1121" s="190">
        <v>42549</v>
      </c>
      <c r="F1121" s="292" t="s">
        <v>876</v>
      </c>
      <c r="G1121" s="829" t="s">
        <v>854</v>
      </c>
      <c r="H1121" s="192" t="s">
        <v>445</v>
      </c>
      <c r="I1121" s="253">
        <v>12</v>
      </c>
      <c r="J1121" s="253">
        <v>43908</v>
      </c>
      <c r="K1121" s="584">
        <f t="shared" si="194"/>
        <v>526896</v>
      </c>
      <c r="L1121" s="585" t="s">
        <v>857</v>
      </c>
      <c r="M1121" s="585" t="s">
        <v>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26">
        <v>2</v>
      </c>
      <c r="AB1121" s="576" t="str">
        <f>IF(VLOOKUP(F1121,NXT!$C$12:$C$786,1,0)=F1121,"","x")</f>
        <v/>
      </c>
    </row>
    <row r="1122" spans="1:28" ht="15.75" customHeight="1">
      <c r="A1122" s="827" t="str">
        <f>IF(B1122&lt;&gt;"",IF(AND(B1122&gt;=_TM1,B1122&lt;=_TM2,OR(TH!L1122="1111",TH!M1122="1111")),TH!D1122,""),"")</f>
        <v/>
      </c>
      <c r="B1122" s="36">
        <f t="shared" si="195"/>
        <v>6</v>
      </c>
      <c r="C1122" s="190">
        <f t="shared" si="196"/>
        <v>42549</v>
      </c>
      <c r="D1122" s="37" t="s">
        <v>1644</v>
      </c>
      <c r="E1122" s="190">
        <v>42549</v>
      </c>
      <c r="F1122" s="292" t="s">
        <v>821</v>
      </c>
      <c r="G1122" s="829" t="s">
        <v>854</v>
      </c>
      <c r="H1122" s="192" t="s">
        <v>445</v>
      </c>
      <c r="I1122" s="253">
        <v>12</v>
      </c>
      <c r="J1122" s="253">
        <v>47840</v>
      </c>
      <c r="K1122" s="584">
        <f t="shared" ref="K1122:K1153" si="197">ROUND(I1122*J1122,0)</f>
        <v>574080</v>
      </c>
      <c r="L1122" s="585" t="s">
        <v>857</v>
      </c>
      <c r="M1122" s="585" t="s">
        <v>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26">
        <v>2</v>
      </c>
      <c r="AB1122" s="576" t="str">
        <f>IF(VLOOKUP(F1122,NXT!$C$12:$C$786,1,0)=F1122,"","x")</f>
        <v/>
      </c>
    </row>
    <row r="1123" spans="1:28" ht="15.75" customHeight="1">
      <c r="A1123" s="827" t="str">
        <f>IF(B1123&lt;&gt;"",IF(AND(B1123&gt;=_TM1,B1123&lt;=_TM2,OR(TH!L1123="1111",TH!M1123="1111")),TH!D1123,""),"")</f>
        <v/>
      </c>
      <c r="B1123" s="36">
        <f t="shared" si="195"/>
        <v>6</v>
      </c>
      <c r="C1123" s="190">
        <f t="shared" si="196"/>
        <v>42549</v>
      </c>
      <c r="D1123" s="37" t="s">
        <v>1644</v>
      </c>
      <c r="E1123" s="190">
        <v>42549</v>
      </c>
      <c r="F1123" s="188" t="s">
        <v>818</v>
      </c>
      <c r="G1123" s="829" t="s">
        <v>854</v>
      </c>
      <c r="H1123" s="192" t="s">
        <v>445</v>
      </c>
      <c r="I1123" s="253">
        <v>9</v>
      </c>
      <c r="J1123" s="253">
        <v>77341</v>
      </c>
      <c r="K1123" s="584">
        <f t="shared" si="197"/>
        <v>696069</v>
      </c>
      <c r="L1123" s="585" t="s">
        <v>857</v>
      </c>
      <c r="M1123" s="585" t="s">
        <v>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26">
        <v>2</v>
      </c>
      <c r="AB1123" s="576" t="str">
        <f>IF(VLOOKUP(F1123,NXT!$C$12:$C$786,1,0)=F1123,"","x")</f>
        <v/>
      </c>
    </row>
    <row r="1124" spans="1:28" ht="15.75" customHeight="1">
      <c r="A1124" s="827" t="str">
        <f>IF(B1124&lt;&gt;"",IF(AND(B1124&gt;=_TM1,B1124&lt;=_TM2,OR(TH!L1124="1111",TH!M1124="1111")),TH!D1124,""),"")</f>
        <v/>
      </c>
      <c r="B1124" s="36">
        <f t="shared" si="195"/>
        <v>6</v>
      </c>
      <c r="C1124" s="190">
        <f t="shared" si="196"/>
        <v>42549</v>
      </c>
      <c r="D1124" s="37" t="s">
        <v>1644</v>
      </c>
      <c r="E1124" s="190">
        <v>42549</v>
      </c>
      <c r="F1124" s="188" t="s">
        <v>490</v>
      </c>
      <c r="G1124" s="829" t="s">
        <v>854</v>
      </c>
      <c r="H1124" s="192" t="s">
        <v>445</v>
      </c>
      <c r="I1124" s="253">
        <v>4</v>
      </c>
      <c r="J1124" s="253">
        <v>156966</v>
      </c>
      <c r="K1124" s="584">
        <f t="shared" si="197"/>
        <v>627864</v>
      </c>
      <c r="L1124" s="585" t="s">
        <v>857</v>
      </c>
      <c r="M1124" s="585" t="s">
        <v>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26">
        <v>2</v>
      </c>
      <c r="AB1124" s="576" t="str">
        <f>IF(VLOOKUP(F1124,NXT!$C$12:$C$786,1,0)=F1124,"","x")</f>
        <v/>
      </c>
    </row>
    <row r="1125" spans="1:28" ht="15.75" customHeight="1">
      <c r="A1125" s="827" t="str">
        <f>IF(B1125&lt;&gt;"",IF(AND(B1125&gt;=_TM1,B1125&lt;=_TM2,OR(TH!L1125="1111",TH!M1125="1111")),TH!D1125,""),"")</f>
        <v/>
      </c>
      <c r="B1125" s="36">
        <f t="shared" si="195"/>
        <v>6</v>
      </c>
      <c r="C1125" s="190">
        <f t="shared" si="196"/>
        <v>42549</v>
      </c>
      <c r="D1125" s="37" t="s">
        <v>1644</v>
      </c>
      <c r="E1125" s="190">
        <v>42549</v>
      </c>
      <c r="F1125" s="40" t="s">
        <v>515</v>
      </c>
      <c r="G1125" s="829" t="s">
        <v>854</v>
      </c>
      <c r="H1125" s="192" t="s">
        <v>445</v>
      </c>
      <c r="I1125" s="253">
        <v>4</v>
      </c>
      <c r="J1125" s="253">
        <v>79579</v>
      </c>
      <c r="K1125" s="584">
        <f t="shared" si="197"/>
        <v>318316</v>
      </c>
      <c r="L1125" s="585" t="s">
        <v>857</v>
      </c>
      <c r="M1125" s="585" t="s">
        <v>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26">
        <v>2</v>
      </c>
      <c r="AB1125" s="576" t="str">
        <f>IF(VLOOKUP(F1125,NXT!$C$12:$C$786,1,0)=F1125,"","x")</f>
        <v/>
      </c>
    </row>
    <row r="1126" spans="1:28" ht="15.75" customHeight="1">
      <c r="A1126" s="827" t="str">
        <f>IF(B1126&lt;&gt;"",IF(AND(B1126&gt;=_TM1,B1126&lt;=_TM2,OR(TH!L1126="1111",TH!M1126="1111")),TH!D1126,""),"")</f>
        <v/>
      </c>
      <c r="B1126" s="36">
        <f t="shared" si="195"/>
        <v>6</v>
      </c>
      <c r="C1126" s="190">
        <f t="shared" si="196"/>
        <v>42549</v>
      </c>
      <c r="D1126" s="37" t="s">
        <v>1644</v>
      </c>
      <c r="E1126" s="190">
        <v>42549</v>
      </c>
      <c r="F1126" s="188" t="s">
        <v>819</v>
      </c>
      <c r="G1126" s="829" t="s">
        <v>854</v>
      </c>
      <c r="H1126" s="192" t="s">
        <v>445</v>
      </c>
      <c r="I1126" s="767">
        <v>4</v>
      </c>
      <c r="J1126" s="253">
        <v>117883</v>
      </c>
      <c r="K1126" s="584">
        <f t="shared" si="197"/>
        <v>471532</v>
      </c>
      <c r="L1126" s="585" t="s">
        <v>857</v>
      </c>
      <c r="M1126" s="585" t="s">
        <v>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26">
        <v>2</v>
      </c>
      <c r="AB1126" s="576" t="str">
        <f>IF(VLOOKUP(F1126,NXT!$C$12:$C$786,1,0)=F1126,"","x")</f>
        <v/>
      </c>
    </row>
    <row r="1127" spans="1:28" ht="15.75" customHeight="1">
      <c r="A1127" s="827" t="str">
        <f>IF(B1127&lt;&gt;"",IF(AND(B1127&gt;=_TM1,B1127&lt;=_TM2,OR(TH!L1127="1111",TH!M1127="1111")),TH!D1127,""),"")</f>
        <v/>
      </c>
      <c r="B1127" s="36">
        <f t="shared" si="195"/>
        <v>6</v>
      </c>
      <c r="C1127" s="190">
        <f t="shared" si="196"/>
        <v>42549</v>
      </c>
      <c r="D1127" s="37" t="s">
        <v>1644</v>
      </c>
      <c r="E1127" s="190">
        <v>42549</v>
      </c>
      <c r="F1127" s="40" t="s">
        <v>877</v>
      </c>
      <c r="G1127" s="829" t="s">
        <v>854</v>
      </c>
      <c r="H1127" s="192" t="s">
        <v>445</v>
      </c>
      <c r="I1127" s="253">
        <v>6</v>
      </c>
      <c r="J1127" s="253">
        <v>214079</v>
      </c>
      <c r="K1127" s="584">
        <f t="shared" si="197"/>
        <v>1284474</v>
      </c>
      <c r="L1127" s="585" t="s">
        <v>857</v>
      </c>
      <c r="M1127" s="585" t="s">
        <v>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26">
        <v>2</v>
      </c>
      <c r="AB1127" s="576" t="str">
        <f>IF(VLOOKUP(F1127,NXT!$C$12:$C$786,1,0)=F1127,"","x")</f>
        <v/>
      </c>
    </row>
    <row r="1128" spans="1:28" ht="15.75" customHeight="1">
      <c r="A1128" s="827" t="str">
        <f>IF(B1128&lt;&gt;"",IF(AND(B1128&gt;=_TM1,B1128&lt;=_TM2,OR(TH!L1128="1111",TH!M1128="1111")),TH!D1128,""),"")</f>
        <v/>
      </c>
      <c r="B1128" s="36">
        <f t="shared" si="195"/>
        <v>6</v>
      </c>
      <c r="C1128" s="190">
        <f t="shared" si="196"/>
        <v>42549</v>
      </c>
      <c r="D1128" s="37" t="s">
        <v>1644</v>
      </c>
      <c r="E1128" s="190">
        <v>42549</v>
      </c>
      <c r="F1128" s="188" t="s">
        <v>878</v>
      </c>
      <c r="G1128" s="829" t="s">
        <v>854</v>
      </c>
      <c r="H1128" s="192" t="s">
        <v>445</v>
      </c>
      <c r="I1128" s="253">
        <v>14</v>
      </c>
      <c r="J1128" s="253">
        <v>43357</v>
      </c>
      <c r="K1128" s="584">
        <f t="shared" si="197"/>
        <v>606998</v>
      </c>
      <c r="L1128" s="585" t="s">
        <v>857</v>
      </c>
      <c r="M1128" s="585" t="s">
        <v>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26">
        <v>2</v>
      </c>
      <c r="AB1128" s="576" t="str">
        <f>IF(VLOOKUP(F1128,NXT!$C$12:$C$786,1,0)=F1128,"","x")</f>
        <v/>
      </c>
    </row>
    <row r="1129" spans="1:28" ht="15.75" customHeight="1">
      <c r="A1129" s="827" t="str">
        <f>IF(B1129&lt;&gt;"",IF(AND(B1129&gt;=_TM1,B1129&lt;=_TM2,OR(TH!L1129="1111",TH!M1129="1111")),TH!D1129,""),"")</f>
        <v/>
      </c>
      <c r="B1129" s="36">
        <f t="shared" si="195"/>
        <v>6</v>
      </c>
      <c r="C1129" s="190">
        <f t="shared" si="196"/>
        <v>42549</v>
      </c>
      <c r="D1129" s="37" t="s">
        <v>1644</v>
      </c>
      <c r="E1129" s="190">
        <v>42549</v>
      </c>
      <c r="F1129" s="188" t="s">
        <v>879</v>
      </c>
      <c r="G1129" s="829" t="s">
        <v>854</v>
      </c>
      <c r="H1129" s="192" t="s">
        <v>445</v>
      </c>
      <c r="I1129" s="253">
        <v>5</v>
      </c>
      <c r="J1129" s="253">
        <v>93593</v>
      </c>
      <c r="K1129" s="584">
        <f t="shared" si="197"/>
        <v>467965</v>
      </c>
      <c r="L1129" s="585" t="s">
        <v>857</v>
      </c>
      <c r="M1129" s="585" t="s">
        <v>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26">
        <v>2</v>
      </c>
      <c r="AB1129" s="576" t="str">
        <f>IF(VLOOKUP(F1129,NXT!$C$12:$C$786,1,0)=F1129,"","x")</f>
        <v/>
      </c>
    </row>
    <row r="1130" spans="1:28" ht="15.75" customHeight="1">
      <c r="A1130" s="827" t="str">
        <f>IF(B1130&lt;&gt;"",IF(AND(B1130&gt;=_TM1,B1130&lt;=_TM2,OR(TH!L1130="1111",TH!M1130="1111")),TH!D1130,""),"")</f>
        <v/>
      </c>
      <c r="B1130" s="36">
        <f t="shared" si="195"/>
        <v>6</v>
      </c>
      <c r="C1130" s="190">
        <f t="shared" si="196"/>
        <v>42549</v>
      </c>
      <c r="D1130" s="37" t="s">
        <v>1644</v>
      </c>
      <c r="E1130" s="190">
        <v>42549</v>
      </c>
      <c r="F1130" s="188" t="s">
        <v>880</v>
      </c>
      <c r="G1130" s="829" t="s">
        <v>854</v>
      </c>
      <c r="H1130" s="192" t="s">
        <v>445</v>
      </c>
      <c r="I1130" s="253">
        <v>10</v>
      </c>
      <c r="J1130" s="253">
        <v>138100</v>
      </c>
      <c r="K1130" s="584">
        <f t="shared" si="197"/>
        <v>1381000</v>
      </c>
      <c r="L1130" s="585" t="s">
        <v>857</v>
      </c>
      <c r="M1130" s="585" t="s">
        <v>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26">
        <v>2</v>
      </c>
      <c r="AB1130" s="576" t="str">
        <f>IF(VLOOKUP(F1130,NXT!$C$12:$C$786,1,0)=F1130,"","x")</f>
        <v/>
      </c>
    </row>
    <row r="1131" spans="1:28" ht="15.75" customHeight="1">
      <c r="A1131" s="827" t="str">
        <f>IF(B1131&lt;&gt;"",IF(AND(B1131&gt;=_TM1,B1131&lt;=_TM2,OR(TH!L1131="1111",TH!M1131="1111")),TH!D1131,""),"")</f>
        <v/>
      </c>
      <c r="B1131" s="36">
        <f t="shared" si="195"/>
        <v>6</v>
      </c>
      <c r="C1131" s="190">
        <f t="shared" si="196"/>
        <v>42549</v>
      </c>
      <c r="D1131" s="37" t="s">
        <v>1644</v>
      </c>
      <c r="E1131" s="190">
        <v>42549</v>
      </c>
      <c r="F1131" s="188" t="s">
        <v>881</v>
      </c>
      <c r="G1131" s="829" t="s">
        <v>854</v>
      </c>
      <c r="H1131" s="192" t="s">
        <v>445</v>
      </c>
      <c r="I1131" s="253">
        <v>5</v>
      </c>
      <c r="J1131" s="253">
        <v>157889</v>
      </c>
      <c r="K1131" s="584">
        <f t="shared" si="197"/>
        <v>789445</v>
      </c>
      <c r="L1131" s="585" t="s">
        <v>857</v>
      </c>
      <c r="M1131" s="585" t="s">
        <v>8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26">
        <v>2</v>
      </c>
      <c r="AB1131" s="576" t="str">
        <f>IF(VLOOKUP(F1131,NXT!$C$12:$C$786,1,0)=F1131,"","x")</f>
        <v/>
      </c>
    </row>
    <row r="1132" spans="1:28" ht="15.75" customHeight="1">
      <c r="A1132" s="827" t="str">
        <f>IF(B1132&lt;&gt;"",IF(AND(B1132&gt;=_TM1,B1132&lt;=_TM2,OR(TH!L1132="1111",TH!M1132="1111")),TH!D1132,""),"")</f>
        <v/>
      </c>
      <c r="B1132" s="36">
        <f t="shared" si="195"/>
        <v>6</v>
      </c>
      <c r="C1132" s="190">
        <f t="shared" si="196"/>
        <v>42549</v>
      </c>
      <c r="D1132" s="37" t="s">
        <v>1644</v>
      </c>
      <c r="E1132" s="190">
        <v>42549</v>
      </c>
      <c r="F1132" s="188" t="s">
        <v>493</v>
      </c>
      <c r="G1132" s="829" t="s">
        <v>854</v>
      </c>
      <c r="H1132" s="192" t="s">
        <v>445</v>
      </c>
      <c r="I1132" s="253">
        <v>14</v>
      </c>
      <c r="J1132" s="253">
        <v>53674</v>
      </c>
      <c r="K1132" s="584">
        <f t="shared" si="197"/>
        <v>751436</v>
      </c>
      <c r="L1132" s="585" t="s">
        <v>857</v>
      </c>
      <c r="M1132" s="585" t="s">
        <v>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26">
        <v>2</v>
      </c>
      <c r="AB1132" s="576" t="str">
        <f>IF(VLOOKUP(F1132,NXT!$C$12:$C$786,1,0)=F1132,"","x")</f>
        <v/>
      </c>
    </row>
    <row r="1133" spans="1:28" ht="15.75" customHeight="1">
      <c r="A1133" s="827" t="str">
        <f>IF(B1133&lt;&gt;"",IF(AND(B1133&gt;=_TM1,B1133&lt;=_TM2,OR(TH!L1133="1111",TH!M1133="1111")),TH!D1133,""),"")</f>
        <v/>
      </c>
      <c r="B1133" s="36">
        <f t="shared" si="195"/>
        <v>6</v>
      </c>
      <c r="C1133" s="190">
        <f t="shared" si="196"/>
        <v>42549</v>
      </c>
      <c r="D1133" s="37" t="s">
        <v>1644</v>
      </c>
      <c r="E1133" s="190">
        <v>42549</v>
      </c>
      <c r="F1133" s="191" t="s">
        <v>494</v>
      </c>
      <c r="G1133" s="829" t="s">
        <v>854</v>
      </c>
      <c r="H1133" s="192" t="s">
        <v>445</v>
      </c>
      <c r="I1133" s="253">
        <v>12</v>
      </c>
      <c r="J1133" s="253">
        <v>68995</v>
      </c>
      <c r="K1133" s="584">
        <f t="shared" si="197"/>
        <v>827940</v>
      </c>
      <c r="L1133" s="585" t="s">
        <v>857</v>
      </c>
      <c r="M1133" s="585" t="s">
        <v>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26">
        <v>2</v>
      </c>
      <c r="AB1133" s="576" t="str">
        <f>IF(VLOOKUP(F1133,NXT!$C$12:$C$786,1,0)=F1133,"","x")</f>
        <v/>
      </c>
    </row>
    <row r="1134" spans="1:28" ht="15.75" customHeight="1">
      <c r="A1134" s="827" t="str">
        <f>IF(B1134&lt;&gt;"",IF(AND(B1134&gt;=_TM1,B1134&lt;=_TM2,OR(TH!L1134="1111",TH!M1134="1111")),TH!D1134,""),"")</f>
        <v/>
      </c>
      <c r="B1134" s="36">
        <f t="shared" si="195"/>
        <v>6</v>
      </c>
      <c r="C1134" s="190">
        <f t="shared" si="196"/>
        <v>42549</v>
      </c>
      <c r="D1134" s="37" t="s">
        <v>1644</v>
      </c>
      <c r="E1134" s="190">
        <v>42549</v>
      </c>
      <c r="F1134" s="191" t="s">
        <v>809</v>
      </c>
      <c r="G1134" s="829" t="s">
        <v>854</v>
      </c>
      <c r="H1134" s="192" t="s">
        <v>445</v>
      </c>
      <c r="I1134" s="253">
        <v>24</v>
      </c>
      <c r="J1134" s="253">
        <v>40965</v>
      </c>
      <c r="K1134" s="584">
        <f t="shared" si="197"/>
        <v>983160</v>
      </c>
      <c r="L1134" s="585" t="s">
        <v>857</v>
      </c>
      <c r="M1134" s="585" t="s">
        <v>8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26">
        <v>2</v>
      </c>
      <c r="AB1134" s="576" t="str">
        <f>IF(VLOOKUP(F1134,NXT!$C$12:$C$786,1,0)=F1134,"","x")</f>
        <v/>
      </c>
    </row>
    <row r="1135" spans="1:28" ht="15.75" customHeight="1">
      <c r="A1135" s="827" t="str">
        <f>IF(B1135&lt;&gt;"",IF(AND(B1135&gt;=_TM1,B1135&lt;=_TM2,OR(TH!L1135="1111",TH!M1135="1111")),TH!D1135,""),"")</f>
        <v/>
      </c>
      <c r="B1135" s="36">
        <f t="shared" si="195"/>
        <v>6</v>
      </c>
      <c r="C1135" s="190">
        <f t="shared" si="196"/>
        <v>42549</v>
      </c>
      <c r="D1135" s="37" t="s">
        <v>1644</v>
      </c>
      <c r="E1135" s="190">
        <v>42549</v>
      </c>
      <c r="F1135" s="40" t="s">
        <v>820</v>
      </c>
      <c r="G1135" s="829" t="s">
        <v>854</v>
      </c>
      <c r="H1135" s="192" t="s">
        <v>445</v>
      </c>
      <c r="I1135" s="253">
        <v>8</v>
      </c>
      <c r="J1135" s="253">
        <v>99348</v>
      </c>
      <c r="K1135" s="584">
        <f t="shared" si="197"/>
        <v>794784</v>
      </c>
      <c r="L1135" s="585" t="s">
        <v>857</v>
      </c>
      <c r="M1135" s="585" t="s">
        <v>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26">
        <v>2</v>
      </c>
      <c r="AB1135" s="576" t="str">
        <f>IF(VLOOKUP(F1135,NXT!$C$12:$C$786,1,0)=F1135,"","x")</f>
        <v/>
      </c>
    </row>
    <row r="1136" spans="1:28" ht="15.75" customHeight="1">
      <c r="A1136" s="827" t="str">
        <f>IF(B1136&lt;&gt;"",IF(AND(B1136&gt;=_TM1,B1136&lt;=_TM2,OR(TH!L1136="1111",TH!M1136="1111")),TH!D1136,""),"")</f>
        <v/>
      </c>
      <c r="B1136" s="36">
        <f t="shared" si="195"/>
        <v>6</v>
      </c>
      <c r="C1136" s="190">
        <f t="shared" si="196"/>
        <v>42549</v>
      </c>
      <c r="D1136" s="37" t="s">
        <v>1644</v>
      </c>
      <c r="E1136" s="190">
        <v>42549</v>
      </c>
      <c r="F1136" s="188" t="s">
        <v>809</v>
      </c>
      <c r="G1136" s="829" t="s">
        <v>854</v>
      </c>
      <c r="H1136" s="192" t="s">
        <v>445</v>
      </c>
      <c r="I1136" s="253">
        <v>12</v>
      </c>
      <c r="J1136" s="253">
        <v>43021</v>
      </c>
      <c r="K1136" s="584">
        <f t="shared" si="197"/>
        <v>516252</v>
      </c>
      <c r="L1136" s="585" t="s">
        <v>857</v>
      </c>
      <c r="M1136" s="585" t="s">
        <v>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26">
        <v>2</v>
      </c>
      <c r="AB1136" s="576" t="str">
        <f>IF(VLOOKUP(F1136,NXT!$C$12:$C$786,1,0)=F1136,"","x")</f>
        <v/>
      </c>
    </row>
    <row r="1137" spans="1:28" ht="15.75" customHeight="1">
      <c r="A1137" s="827" t="str">
        <f>IF(B1137&lt;&gt;"",IF(AND(B1137&gt;=_TM1,B1137&lt;=_TM2,OR(TH!L1137="1111",TH!M1137="1111")),TH!D1137,""),"")</f>
        <v/>
      </c>
      <c r="B1137" s="36">
        <f t="shared" si="195"/>
        <v>6</v>
      </c>
      <c r="C1137" s="190">
        <f t="shared" si="196"/>
        <v>42549</v>
      </c>
      <c r="D1137" s="37" t="s">
        <v>1644</v>
      </c>
      <c r="E1137" s="190">
        <v>42549</v>
      </c>
      <c r="F1137" s="188" t="s">
        <v>822</v>
      </c>
      <c r="G1137" s="829" t="s">
        <v>854</v>
      </c>
      <c r="H1137" s="192" t="s">
        <v>445</v>
      </c>
      <c r="I1137" s="253">
        <v>12</v>
      </c>
      <c r="J1137" s="253">
        <v>108219</v>
      </c>
      <c r="K1137" s="584">
        <f t="shared" si="197"/>
        <v>1298628</v>
      </c>
      <c r="L1137" s="585" t="s">
        <v>857</v>
      </c>
      <c r="M1137" s="585" t="s">
        <v>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26">
        <v>2</v>
      </c>
      <c r="AB1137" s="576" t="str">
        <f>IF(VLOOKUP(F1137,NXT!$C$12:$C$786,1,0)=F1137,"","x")</f>
        <v/>
      </c>
    </row>
    <row r="1138" spans="1:28" ht="15.75" customHeight="1">
      <c r="A1138" s="827" t="str">
        <f>IF(B1138&lt;&gt;"",IF(AND(B1138&gt;=_TM1,B1138&lt;=_TM2,OR(TH!L1138="1111",TH!M1138="1111")),TH!D1138,""),"")</f>
        <v/>
      </c>
      <c r="B1138" s="36">
        <f t="shared" si="195"/>
        <v>6</v>
      </c>
      <c r="C1138" s="190">
        <f t="shared" si="196"/>
        <v>42549</v>
      </c>
      <c r="D1138" s="37" t="s">
        <v>1644</v>
      </c>
      <c r="E1138" s="190">
        <v>42549</v>
      </c>
      <c r="F1138" s="188" t="s">
        <v>882</v>
      </c>
      <c r="G1138" s="829" t="s">
        <v>854</v>
      </c>
      <c r="H1138" s="192" t="s">
        <v>445</v>
      </c>
      <c r="I1138" s="253">
        <v>16</v>
      </c>
      <c r="J1138" s="253">
        <v>66576</v>
      </c>
      <c r="K1138" s="584">
        <f t="shared" si="197"/>
        <v>1065216</v>
      </c>
      <c r="L1138" s="585" t="s">
        <v>857</v>
      </c>
      <c r="M1138" s="585" t="s">
        <v>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26">
        <v>2</v>
      </c>
      <c r="AB1138" s="576" t="str">
        <f>IF(VLOOKUP(F1138,NXT!$C$12:$C$786,1,0)=F1138,"","x")</f>
        <v/>
      </c>
    </row>
    <row r="1139" spans="1:28" ht="15.75" customHeight="1">
      <c r="A1139" s="827" t="str">
        <f>IF(B1139&lt;&gt;"",IF(AND(B1139&gt;=_TM1,B1139&lt;=_TM2,OR(TH!L1139="1111",TH!M1139="1111")),TH!D1139,""),"")</f>
        <v/>
      </c>
      <c r="B1139" s="36">
        <f t="shared" si="195"/>
        <v>6</v>
      </c>
      <c r="C1139" s="190">
        <f t="shared" si="196"/>
        <v>42549</v>
      </c>
      <c r="D1139" s="37" t="s">
        <v>1644</v>
      </c>
      <c r="E1139" s="190">
        <v>42549</v>
      </c>
      <c r="F1139" s="188" t="s">
        <v>883</v>
      </c>
      <c r="G1139" s="829" t="s">
        <v>854</v>
      </c>
      <c r="H1139" s="192" t="s">
        <v>445</v>
      </c>
      <c r="I1139" s="253">
        <v>7</v>
      </c>
      <c r="J1139" s="253">
        <v>47501</v>
      </c>
      <c r="K1139" s="584">
        <f t="shared" si="197"/>
        <v>332507</v>
      </c>
      <c r="L1139" s="585" t="s">
        <v>857</v>
      </c>
      <c r="M1139" s="585" t="s">
        <v>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26">
        <v>2</v>
      </c>
      <c r="AB1139" s="576" t="str">
        <f>IF(VLOOKUP(F1139,NXT!$C$12:$C$786,1,0)=F1139,"","x")</f>
        <v/>
      </c>
    </row>
    <row r="1140" spans="1:28" ht="15.75" customHeight="1">
      <c r="A1140" s="827" t="str">
        <f>IF(B1140&lt;&gt;"",IF(AND(B1140&gt;=_TM1,B1140&lt;=_TM2,OR(TH!L1140="1111",TH!M1140="1111")),TH!D1140,""),"")</f>
        <v/>
      </c>
      <c r="B1140" s="36">
        <f t="shared" si="195"/>
        <v>6</v>
      </c>
      <c r="C1140" s="190">
        <f t="shared" si="196"/>
        <v>42549</v>
      </c>
      <c r="D1140" s="37" t="s">
        <v>1644</v>
      </c>
      <c r="E1140" s="190">
        <v>42549</v>
      </c>
      <c r="F1140" s="188" t="s">
        <v>884</v>
      </c>
      <c r="G1140" s="829" t="s">
        <v>854</v>
      </c>
      <c r="H1140" s="192" t="s">
        <v>445</v>
      </c>
      <c r="I1140" s="253">
        <v>7</v>
      </c>
      <c r="J1140" s="253">
        <v>61895</v>
      </c>
      <c r="K1140" s="584">
        <f t="shared" si="197"/>
        <v>433265</v>
      </c>
      <c r="L1140" s="585" t="s">
        <v>857</v>
      </c>
      <c r="M1140" s="585" t="s">
        <v>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26">
        <v>2</v>
      </c>
      <c r="AB1140" s="576" t="str">
        <f>IF(VLOOKUP(F1140,NXT!$C$12:$C$786,1,0)=F1140,"","x")</f>
        <v/>
      </c>
    </row>
    <row r="1141" spans="1:28" ht="15.75" customHeight="1">
      <c r="A1141" s="827" t="str">
        <f>IF(B1141&lt;&gt;"",IF(AND(B1141&gt;=_TM1,B1141&lt;=_TM2,OR(TH!L1141="1111",TH!M1141="1111")),TH!D1141,""),"")</f>
        <v/>
      </c>
      <c r="B1141" s="36">
        <f t="shared" si="195"/>
        <v>6</v>
      </c>
      <c r="C1141" s="190">
        <f t="shared" si="196"/>
        <v>42549</v>
      </c>
      <c r="D1141" s="37" t="s">
        <v>1644</v>
      </c>
      <c r="E1141" s="190">
        <v>42549</v>
      </c>
      <c r="F1141" s="188" t="s">
        <v>515</v>
      </c>
      <c r="G1141" s="829" t="s">
        <v>854</v>
      </c>
      <c r="H1141" s="192" t="s">
        <v>445</v>
      </c>
      <c r="I1141" s="253">
        <v>5</v>
      </c>
      <c r="J1141" s="253">
        <v>79579</v>
      </c>
      <c r="K1141" s="584">
        <f t="shared" si="197"/>
        <v>397895</v>
      </c>
      <c r="L1141" s="585" t="s">
        <v>857</v>
      </c>
      <c r="M1141" s="585" t="s">
        <v>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26">
        <v>2</v>
      </c>
      <c r="AB1141" s="576" t="str">
        <f>IF(VLOOKUP(F1141,NXT!$C$12:$C$786,1,0)=F1141,"","x")</f>
        <v/>
      </c>
    </row>
    <row r="1142" spans="1:28" ht="15.75" customHeight="1">
      <c r="A1142" s="827" t="str">
        <f>IF(B1142&lt;&gt;"",IF(AND(B1142&gt;=_TM1,B1142&lt;=_TM2,OR(TH!L1142="1111",TH!M1142="1111")),TH!D1142,""),"")</f>
        <v/>
      </c>
      <c r="B1142" s="36">
        <f t="shared" si="195"/>
        <v>6</v>
      </c>
      <c r="C1142" s="190">
        <f t="shared" si="196"/>
        <v>42549</v>
      </c>
      <c r="D1142" s="37" t="s">
        <v>1644</v>
      </c>
      <c r="E1142" s="190">
        <v>42549</v>
      </c>
      <c r="F1142" s="188" t="s">
        <v>816</v>
      </c>
      <c r="G1142" s="829" t="s">
        <v>854</v>
      </c>
      <c r="H1142" s="192" t="s">
        <v>445</v>
      </c>
      <c r="I1142" s="767">
        <v>2</v>
      </c>
      <c r="J1142" s="253">
        <v>206076</v>
      </c>
      <c r="K1142" s="584">
        <f t="shared" si="197"/>
        <v>412152</v>
      </c>
      <c r="L1142" s="585" t="s">
        <v>857</v>
      </c>
      <c r="M1142" s="585" t="s">
        <v>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26">
        <v>2</v>
      </c>
      <c r="AB1142" s="576" t="str">
        <f>IF(VLOOKUP(F1142,NXT!$C$12:$C$786,1,0)=F1142,"","x")</f>
        <v/>
      </c>
    </row>
    <row r="1143" spans="1:28" ht="15.75" customHeight="1">
      <c r="A1143" s="827" t="str">
        <f>IF(B1143&lt;&gt;"",IF(AND(B1143&gt;=_TM1,B1143&lt;=_TM2,OR(TH!L1143="1111",TH!M1143="1111")),TH!D1143,""),"")</f>
        <v/>
      </c>
      <c r="B1143" s="36">
        <f t="shared" si="195"/>
        <v>6</v>
      </c>
      <c r="C1143" s="190">
        <f t="shared" si="196"/>
        <v>42549</v>
      </c>
      <c r="D1143" s="37" t="s">
        <v>1644</v>
      </c>
      <c r="E1143" s="190">
        <v>42549</v>
      </c>
      <c r="F1143" s="191" t="s">
        <v>490</v>
      </c>
      <c r="G1143" s="829" t="s">
        <v>854</v>
      </c>
      <c r="H1143" s="192" t="s">
        <v>445</v>
      </c>
      <c r="I1143" s="253">
        <v>2</v>
      </c>
      <c r="J1143" s="253">
        <v>156966</v>
      </c>
      <c r="K1143" s="584">
        <f t="shared" si="197"/>
        <v>313932</v>
      </c>
      <c r="L1143" s="585" t="s">
        <v>857</v>
      </c>
      <c r="M1143" s="585" t="s">
        <v>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26">
        <v>2</v>
      </c>
      <c r="AB1143" s="576" t="str">
        <f>IF(VLOOKUP(F1143,NXT!$C$12:$C$786,1,0)=F1143,"","x")</f>
        <v/>
      </c>
    </row>
    <row r="1144" spans="1:28" ht="15.75" customHeight="1">
      <c r="A1144" s="827" t="str">
        <f>IF(B1144&lt;&gt;"",IF(AND(B1144&gt;=_TM1,B1144&lt;=_TM2,OR(TH!L1144="1111",TH!M1144="1111")),TH!D1144,""),"")</f>
        <v/>
      </c>
      <c r="B1144" s="36">
        <f t="shared" si="195"/>
        <v>6</v>
      </c>
      <c r="C1144" s="190">
        <f t="shared" si="196"/>
        <v>42549</v>
      </c>
      <c r="D1144" s="37" t="s">
        <v>1644</v>
      </c>
      <c r="E1144" s="190">
        <v>42549</v>
      </c>
      <c r="F1144" s="191" t="s">
        <v>875</v>
      </c>
      <c r="G1144" s="829" t="s">
        <v>854</v>
      </c>
      <c r="H1144" s="192" t="s">
        <v>445</v>
      </c>
      <c r="I1144" s="253">
        <v>12</v>
      </c>
      <c r="J1144" s="253">
        <v>48182</v>
      </c>
      <c r="K1144" s="584">
        <f t="shared" si="197"/>
        <v>578184</v>
      </c>
      <c r="L1144" s="585" t="s">
        <v>857</v>
      </c>
      <c r="M1144" s="585" t="s">
        <v>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26">
        <v>2</v>
      </c>
      <c r="AB1144" s="576" t="str">
        <f>IF(VLOOKUP(F1144,NXT!$C$12:$C$786,1,0)=F1144,"","x")</f>
        <v/>
      </c>
    </row>
    <row r="1145" spans="1:28" ht="15.75" customHeight="1">
      <c r="A1145" s="827" t="str">
        <f>IF(B1145&lt;&gt;"",IF(AND(B1145&gt;=_TM1,B1145&lt;=_TM2,OR(TH!L1145="1111",TH!M1145="1111")),TH!D1145,""),"")</f>
        <v/>
      </c>
      <c r="B1145" s="36">
        <f t="shared" si="195"/>
        <v>6</v>
      </c>
      <c r="C1145" s="190">
        <f t="shared" si="196"/>
        <v>42549</v>
      </c>
      <c r="D1145" s="37" t="s">
        <v>1644</v>
      </c>
      <c r="E1145" s="190">
        <v>42549</v>
      </c>
      <c r="F1145" s="191" t="s">
        <v>875</v>
      </c>
      <c r="G1145" s="829" t="s">
        <v>854</v>
      </c>
      <c r="H1145" s="192" t="s">
        <v>445</v>
      </c>
      <c r="I1145" s="253">
        <v>28</v>
      </c>
      <c r="J1145" s="253">
        <v>48182</v>
      </c>
      <c r="K1145" s="584">
        <f t="shared" si="197"/>
        <v>1349096</v>
      </c>
      <c r="L1145" s="585" t="s">
        <v>857</v>
      </c>
      <c r="M1145" s="585" t="s">
        <v>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26">
        <v>2</v>
      </c>
      <c r="AB1145" s="576" t="str">
        <f>IF(VLOOKUP(F1145,NXT!$C$12:$C$786,1,0)=F1145,"","x")</f>
        <v/>
      </c>
    </row>
    <row r="1146" spans="1:28" ht="15.75" customHeight="1">
      <c r="A1146" s="827" t="str">
        <f>IF(B1146&lt;&gt;"",IF(AND(B1146&gt;=_TM1,B1146&lt;=_TM2,OR(TH!L1146="1111",TH!M1146="1111")),TH!D1146,""),"")</f>
        <v/>
      </c>
      <c r="B1146" s="36">
        <f t="shared" si="195"/>
        <v>6</v>
      </c>
      <c r="C1146" s="190">
        <f t="shared" si="196"/>
        <v>42549</v>
      </c>
      <c r="D1146" s="37" t="s">
        <v>1644</v>
      </c>
      <c r="E1146" s="190">
        <v>42549</v>
      </c>
      <c r="F1146" s="40" t="s">
        <v>885</v>
      </c>
      <c r="G1146" s="829" t="s">
        <v>854</v>
      </c>
      <c r="H1146" s="192" t="s">
        <v>445</v>
      </c>
      <c r="I1146" s="253">
        <v>6</v>
      </c>
      <c r="J1146" s="253">
        <v>68496</v>
      </c>
      <c r="K1146" s="584">
        <f t="shared" si="197"/>
        <v>410976</v>
      </c>
      <c r="L1146" s="585" t="s">
        <v>857</v>
      </c>
      <c r="M1146" s="585" t="s">
        <v>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26">
        <v>2</v>
      </c>
      <c r="AB1146" s="576" t="str">
        <f>IF(VLOOKUP(F1146,NXT!$C$12:$C$786,1,0)=F1146,"","x")</f>
        <v/>
      </c>
    </row>
    <row r="1147" spans="1:28" ht="15.75" customHeight="1">
      <c r="A1147" s="827" t="str">
        <f>IF(B1147&lt;&gt;"",IF(AND(B1147&gt;=_TM1,B1147&lt;=_TM2,OR(TH!L1147="1111",TH!M1147="1111")),TH!D1147,""),"")</f>
        <v/>
      </c>
      <c r="B1147" s="36">
        <f t="shared" si="195"/>
        <v>6</v>
      </c>
      <c r="C1147" s="190">
        <f t="shared" si="196"/>
        <v>42549</v>
      </c>
      <c r="D1147" s="37" t="s">
        <v>1644</v>
      </c>
      <c r="E1147" s="190">
        <v>42549</v>
      </c>
      <c r="F1147" s="40" t="s">
        <v>809</v>
      </c>
      <c r="G1147" s="829" t="s">
        <v>854</v>
      </c>
      <c r="H1147" s="192" t="s">
        <v>445</v>
      </c>
      <c r="I1147" s="253">
        <v>24</v>
      </c>
      <c r="J1147" s="253">
        <v>40962</v>
      </c>
      <c r="K1147" s="584">
        <f t="shared" si="197"/>
        <v>983088</v>
      </c>
      <c r="L1147" s="585" t="s">
        <v>857</v>
      </c>
      <c r="M1147" s="585" t="s">
        <v>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26">
        <v>2</v>
      </c>
      <c r="AB1147" s="576" t="str">
        <f>IF(VLOOKUP(F1147,NXT!$C$12:$C$786,1,0)=F1147,"","x")</f>
        <v/>
      </c>
    </row>
    <row r="1148" spans="1:28" ht="15.75" customHeight="1">
      <c r="A1148" s="827" t="str">
        <f>IF(B1148&lt;&gt;"",IF(AND(B1148&gt;=_TM1,B1148&lt;=_TM2,OR(TH!L1148="1111",TH!M1148="1111")),TH!D1148,""),"")</f>
        <v/>
      </c>
      <c r="B1148" s="36">
        <f t="shared" si="195"/>
        <v>6</v>
      </c>
      <c r="C1148" s="190">
        <f t="shared" si="196"/>
        <v>42549</v>
      </c>
      <c r="D1148" s="37" t="s">
        <v>1644</v>
      </c>
      <c r="E1148" s="190">
        <v>42549</v>
      </c>
      <c r="F1148" s="188" t="s">
        <v>820</v>
      </c>
      <c r="G1148" s="829" t="s">
        <v>854</v>
      </c>
      <c r="H1148" s="192" t="s">
        <v>445</v>
      </c>
      <c r="I1148" s="253">
        <v>6</v>
      </c>
      <c r="J1148" s="253">
        <v>10068</v>
      </c>
      <c r="K1148" s="584">
        <f t="shared" si="197"/>
        <v>60408</v>
      </c>
      <c r="L1148" s="585" t="s">
        <v>857</v>
      </c>
      <c r="M1148" s="585" t="s">
        <v>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26">
        <v>2</v>
      </c>
      <c r="AB1148" s="576" t="str">
        <f>IF(VLOOKUP(F1148,NXT!$C$12:$C$786,1,0)=F1148,"","x")</f>
        <v/>
      </c>
    </row>
    <row r="1149" spans="1:28" ht="15.75" customHeight="1">
      <c r="A1149" s="827" t="str">
        <f>IF(B1149&lt;&gt;"",IF(AND(B1149&gt;=_TM1,B1149&lt;=_TM2,OR(TH!L1149="1111",TH!M1149="1111")),TH!D1149,""),"")</f>
        <v/>
      </c>
      <c r="B1149" s="36">
        <f t="shared" si="195"/>
        <v>6</v>
      </c>
      <c r="C1149" s="190">
        <f t="shared" si="196"/>
        <v>42549</v>
      </c>
      <c r="D1149" s="37" t="s">
        <v>1644</v>
      </c>
      <c r="E1149" s="190">
        <v>42549</v>
      </c>
      <c r="F1149" s="188" t="s">
        <v>886</v>
      </c>
      <c r="G1149" s="829" t="s">
        <v>854</v>
      </c>
      <c r="H1149" s="192" t="s">
        <v>445</v>
      </c>
      <c r="I1149" s="253">
        <v>4</v>
      </c>
      <c r="J1149" s="253">
        <v>95800</v>
      </c>
      <c r="K1149" s="584">
        <f t="shared" si="197"/>
        <v>383200</v>
      </c>
      <c r="L1149" s="585" t="s">
        <v>857</v>
      </c>
      <c r="M1149" s="585" t="s">
        <v>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26">
        <v>2</v>
      </c>
      <c r="AB1149" s="576" t="str">
        <f>IF(VLOOKUP(F1149,NXT!$C$12:$C$786,1,0)=F1149,"","x")</f>
        <v/>
      </c>
    </row>
    <row r="1150" spans="1:28" ht="15.75" customHeight="1">
      <c r="A1150" s="827" t="str">
        <f>IF(B1150&lt;&gt;"",IF(AND(B1150&gt;=_TM1,B1150&lt;=_TM2,OR(TH!L1150="1111",TH!M1150="1111")),TH!D1150,""),"")</f>
        <v/>
      </c>
      <c r="B1150" s="36">
        <f t="shared" si="195"/>
        <v>6</v>
      </c>
      <c r="C1150" s="190">
        <f t="shared" si="196"/>
        <v>42549</v>
      </c>
      <c r="D1150" s="37" t="s">
        <v>1644</v>
      </c>
      <c r="E1150" s="190">
        <v>42549</v>
      </c>
      <c r="F1150" s="188" t="s">
        <v>822</v>
      </c>
      <c r="G1150" s="829" t="s">
        <v>854</v>
      </c>
      <c r="H1150" s="192" t="s">
        <v>445</v>
      </c>
      <c r="I1150" s="253">
        <v>6</v>
      </c>
      <c r="J1150" s="253">
        <v>108138</v>
      </c>
      <c r="K1150" s="584">
        <f t="shared" si="197"/>
        <v>648828</v>
      </c>
      <c r="L1150" s="585" t="s">
        <v>857</v>
      </c>
      <c r="M1150" s="585" t="s">
        <v>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26">
        <v>2</v>
      </c>
      <c r="AB1150" s="576" t="str">
        <f>IF(VLOOKUP(F1150,NXT!$C$12:$C$786,1,0)=F1150,"","x")</f>
        <v/>
      </c>
    </row>
    <row r="1151" spans="1:28" ht="15.75" customHeight="1">
      <c r="A1151" s="827" t="str">
        <f>IF(B1151&lt;&gt;"",IF(AND(B1151&gt;=_TM1,B1151&lt;=_TM2,OR(TH!L1151="1111",TH!M1151="1111")),TH!D1151,""),"")</f>
        <v/>
      </c>
      <c r="B1151" s="36">
        <f t="shared" si="195"/>
        <v>6</v>
      </c>
      <c r="C1151" s="190">
        <f t="shared" si="196"/>
        <v>42549</v>
      </c>
      <c r="D1151" s="37" t="s">
        <v>1644</v>
      </c>
      <c r="E1151" s="190">
        <v>42549</v>
      </c>
      <c r="F1151" s="188" t="s">
        <v>882</v>
      </c>
      <c r="G1151" s="829" t="s">
        <v>854</v>
      </c>
      <c r="H1151" s="192" t="s">
        <v>445</v>
      </c>
      <c r="I1151" s="253">
        <v>12</v>
      </c>
      <c r="J1151" s="253">
        <v>66576</v>
      </c>
      <c r="K1151" s="584">
        <f t="shared" si="197"/>
        <v>798912</v>
      </c>
      <c r="L1151" s="585" t="s">
        <v>857</v>
      </c>
      <c r="M1151" s="585" t="s">
        <v>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26">
        <v>2</v>
      </c>
      <c r="AB1151" s="576" t="str">
        <f>IF(VLOOKUP(F1151,NXT!$C$12:$C$786,1,0)=F1151,"","x")</f>
        <v/>
      </c>
    </row>
    <row r="1152" spans="1:28" ht="15.75" customHeight="1">
      <c r="A1152" s="827" t="str">
        <f>IF(B1152&lt;&gt;"",IF(AND(B1152&gt;=_TM1,B1152&lt;=_TM2,OR(TH!L1152="1111",TH!M1152="1111")),TH!D1152,""),"")</f>
        <v/>
      </c>
      <c r="B1152" s="36">
        <f t="shared" si="195"/>
        <v>6</v>
      </c>
      <c r="C1152" s="190">
        <f t="shared" si="196"/>
        <v>42549</v>
      </c>
      <c r="D1152" s="37" t="s">
        <v>1644</v>
      </c>
      <c r="E1152" s="190">
        <v>42549</v>
      </c>
      <c r="F1152" s="188" t="s">
        <v>883</v>
      </c>
      <c r="G1152" s="829" t="s">
        <v>854</v>
      </c>
      <c r="H1152" s="192" t="s">
        <v>445</v>
      </c>
      <c r="I1152" s="253">
        <v>14</v>
      </c>
      <c r="J1152" s="253">
        <v>44501</v>
      </c>
      <c r="K1152" s="584">
        <f t="shared" si="197"/>
        <v>623014</v>
      </c>
      <c r="L1152" s="585" t="s">
        <v>857</v>
      </c>
      <c r="M1152" s="585" t="s">
        <v>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26">
        <v>2</v>
      </c>
      <c r="AB1152" s="576" t="str">
        <f>IF(VLOOKUP(F1152,NXT!$C$12:$C$786,1,0)=F1152,"","x")</f>
        <v/>
      </c>
    </row>
    <row r="1153" spans="1:30" ht="15.75" customHeight="1">
      <c r="A1153" s="827" t="str">
        <f>IF(B1153&lt;&gt;"",IF(AND(B1153&gt;=_TM1,B1153&lt;=_TM2,OR(TH!L1153="1111",TH!M1153="1111")),TH!D1153,""),"")</f>
        <v/>
      </c>
      <c r="B1153" s="36">
        <f t="shared" si="195"/>
        <v>6</v>
      </c>
      <c r="C1153" s="190">
        <f t="shared" si="196"/>
        <v>42549</v>
      </c>
      <c r="D1153" s="37" t="s">
        <v>1644</v>
      </c>
      <c r="E1153" s="190">
        <v>42549</v>
      </c>
      <c r="F1153" s="188" t="s">
        <v>884</v>
      </c>
      <c r="G1153" s="829" t="s">
        <v>854</v>
      </c>
      <c r="H1153" s="192" t="s">
        <v>445</v>
      </c>
      <c r="I1153" s="253">
        <v>14</v>
      </c>
      <c r="J1153" s="253">
        <v>61895</v>
      </c>
      <c r="K1153" s="584">
        <f t="shared" si="197"/>
        <v>866530</v>
      </c>
      <c r="L1153" s="585" t="s">
        <v>857</v>
      </c>
      <c r="M1153" s="585" t="s">
        <v>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26">
        <v>2</v>
      </c>
      <c r="AB1153" s="576" t="str">
        <f>IF(VLOOKUP(F1153,NXT!$C$12:$C$786,1,0)=F1153,"","x")</f>
        <v/>
      </c>
    </row>
    <row r="1154" spans="1:30" ht="15.75" customHeight="1">
      <c r="A1154" s="827" t="str">
        <f>IF(B1154&lt;&gt;"",IF(AND(B1154&gt;=_TM1,B1154&lt;=_TM2,OR(TH!L1154="1111",TH!M1154="1111")),TH!D1154,""),"")</f>
        <v/>
      </c>
      <c r="B1154" s="36">
        <f t="shared" si="195"/>
        <v>6</v>
      </c>
      <c r="C1154" s="190">
        <f t="shared" si="196"/>
        <v>42549</v>
      </c>
      <c r="D1154" s="37" t="s">
        <v>1644</v>
      </c>
      <c r="E1154" s="190">
        <v>42549</v>
      </c>
      <c r="F1154" s="188" t="s">
        <v>887</v>
      </c>
      <c r="G1154" s="829" t="s">
        <v>854</v>
      </c>
      <c r="H1154" s="192" t="s">
        <v>445</v>
      </c>
      <c r="I1154" s="253">
        <v>11</v>
      </c>
      <c r="J1154" s="253">
        <v>72205</v>
      </c>
      <c r="K1154" s="584">
        <f t="shared" ref="K1154" si="198">ROUND(I1154*J1154,0)</f>
        <v>794255</v>
      </c>
      <c r="L1154" s="585" t="s">
        <v>857</v>
      </c>
      <c r="M1154" s="585" t="s">
        <v>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26">
        <v>2</v>
      </c>
      <c r="AB1154" s="576" t="str">
        <f>IF(VLOOKUP(F1154,NXT!$C$12:$C$786,1,0)=F1154,"","x")</f>
        <v/>
      </c>
    </row>
    <row r="1155" spans="1:30" ht="15.75" customHeight="1">
      <c r="A1155" s="827" t="str">
        <f>IF(B1155&lt;&gt;"",IF(AND(B1155&gt;=_TM1,B1155&lt;=_TM2,OR(TH!L1155="1111",TH!M1155="1111")),TH!D1155,""),"")</f>
        <v/>
      </c>
      <c r="B1155" s="36">
        <f t="shared" si="195"/>
        <v>6</v>
      </c>
      <c r="C1155" s="190">
        <f t="shared" si="196"/>
        <v>42549</v>
      </c>
      <c r="D1155" s="37" t="s">
        <v>1644</v>
      </c>
      <c r="E1155" s="190">
        <v>42549</v>
      </c>
      <c r="F1155" s="191" t="s">
        <v>461</v>
      </c>
      <c r="G1155" s="829" t="s">
        <v>854</v>
      </c>
      <c r="H1155" s="192" t="s">
        <v>445</v>
      </c>
      <c r="I1155" s="253"/>
      <c r="J1155" s="253"/>
      <c r="K1155" s="584">
        <v>15416714</v>
      </c>
      <c r="L1155" s="39" t="s">
        <v>9</v>
      </c>
      <c r="M1155" s="585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26">
        <v>2</v>
      </c>
      <c r="AB1155" s="576"/>
      <c r="AD1155" s="576"/>
    </row>
    <row r="1156" spans="1:30" ht="15.75" customHeight="1">
      <c r="A1156" s="827" t="str">
        <f>IF(B1156&lt;&gt;"",IF(AND(B1156&gt;=_TM1,B1156&lt;=_TM2,OR(TH!L1156="1111",TH!M1156="1111")),TH!D1156,""),"")</f>
        <v/>
      </c>
      <c r="B1156" s="36">
        <f t="shared" si="195"/>
        <v>6</v>
      </c>
      <c r="C1156" s="183">
        <f t="shared" si="196"/>
        <v>42551</v>
      </c>
      <c r="D1156" s="37" t="s">
        <v>1645</v>
      </c>
      <c r="E1156" s="183">
        <v>42551</v>
      </c>
      <c r="F1156" s="786" t="s">
        <v>1300</v>
      </c>
      <c r="G1156" s="829" t="s">
        <v>444</v>
      </c>
      <c r="H1156" s="192" t="s">
        <v>435</v>
      </c>
      <c r="I1156" s="253">
        <v>82</v>
      </c>
      <c r="J1156" s="253">
        <v>46951</v>
      </c>
      <c r="K1156" s="584">
        <f>ROUND(I1156*J1156,0)</f>
        <v>3849982</v>
      </c>
      <c r="L1156" s="585" t="s">
        <v>857</v>
      </c>
      <c r="M1156" s="585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26">
        <v>2</v>
      </c>
      <c r="AB1156" s="576" t="str">
        <f>IF(VLOOKUP(F1156,NXT!$C$12:$C$786,1,0)=F1156,"","x")</f>
        <v/>
      </c>
      <c r="AC1156" s="576"/>
      <c r="AD1156" s="576"/>
    </row>
    <row r="1157" spans="1:30" ht="15.75" customHeight="1">
      <c r="A1157" s="827" t="str">
        <f>IF(B1157&lt;&gt;"",IF(AND(B1157&gt;=_TM1,B1157&lt;=_TM2,OR(TH!L1157="1111",TH!M1157="1111")),TH!D1157,""),"")</f>
        <v/>
      </c>
      <c r="B1157" s="36">
        <f t="shared" si="195"/>
        <v>6</v>
      </c>
      <c r="C1157" s="183">
        <f t="shared" si="196"/>
        <v>42551</v>
      </c>
      <c r="D1157" s="37" t="s">
        <v>1645</v>
      </c>
      <c r="E1157" s="183">
        <v>42551</v>
      </c>
      <c r="F1157" s="786" t="s">
        <v>1300</v>
      </c>
      <c r="G1157" s="829" t="s">
        <v>444</v>
      </c>
      <c r="H1157" s="192" t="s">
        <v>435</v>
      </c>
      <c r="I1157" s="253">
        <v>82</v>
      </c>
      <c r="J1157" s="253">
        <v>49590</v>
      </c>
      <c r="K1157" s="584">
        <f>ROUND(I1157*J1157,0)</f>
        <v>4066380</v>
      </c>
      <c r="L1157" s="585" t="s">
        <v>857</v>
      </c>
      <c r="M1157" s="585" t="s">
        <v>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26">
        <v>2</v>
      </c>
      <c r="AB1157" s="576" t="str">
        <f>IF(VLOOKUP(F1157,NXT!$C$12:$C$786,1,0)=F1157,"","x")</f>
        <v/>
      </c>
      <c r="AC1157" s="576"/>
      <c r="AD1157" s="576"/>
    </row>
    <row r="1158" spans="1:30" ht="15.75" customHeight="1">
      <c r="A1158" s="827" t="str">
        <f>IF(B1158&lt;&gt;"",IF(AND(B1158&gt;=_TM1,B1158&lt;=_TM2,OR(TH!L1158="1111",TH!M1158="1111")),TH!D1158,""),"")</f>
        <v/>
      </c>
      <c r="B1158" s="36">
        <f t="shared" si="195"/>
        <v>6</v>
      </c>
      <c r="C1158" s="183">
        <f t="shared" si="196"/>
        <v>42551</v>
      </c>
      <c r="D1158" s="37" t="s">
        <v>1645</v>
      </c>
      <c r="E1158" s="183">
        <v>42551</v>
      </c>
      <c r="F1158" s="188" t="s">
        <v>443</v>
      </c>
      <c r="G1158" s="829" t="s">
        <v>444</v>
      </c>
      <c r="H1158" s="192" t="s">
        <v>435</v>
      </c>
      <c r="I1158" s="253"/>
      <c r="J1158" s="253"/>
      <c r="K1158" s="584">
        <v>791636</v>
      </c>
      <c r="L1158" s="39" t="s">
        <v>9</v>
      </c>
      <c r="M1158" s="585" t="s">
        <v>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26">
        <v>2</v>
      </c>
      <c r="AD1158" s="576"/>
    </row>
    <row r="1159" spans="1:30" ht="15.75" customHeight="1">
      <c r="A1159" s="827" t="str">
        <f>IF(B1159&lt;&gt;"",IF(AND(B1159&gt;=_TM1,B1159&lt;=_TM2,OR(TH!L1159="1111",TH!M1159="1111")),TH!D1159,""),"")</f>
        <v/>
      </c>
      <c r="B1159" s="36">
        <f t="shared" ref="B1159:B1190" si="199">IF(C1159&lt;&gt;"",MONTH(C1159),"")</f>
        <v>7</v>
      </c>
      <c r="C1159" s="190">
        <f t="shared" ref="C1159:C1190" si="200">E1159</f>
        <v>42556</v>
      </c>
      <c r="D1159" s="37" t="s">
        <v>1630</v>
      </c>
      <c r="E1159" s="740">
        <v>42556</v>
      </c>
      <c r="F1159" s="786" t="s">
        <v>1376</v>
      </c>
      <c r="G1159" s="837" t="s">
        <v>1375</v>
      </c>
      <c r="H1159" s="192" t="s">
        <v>435</v>
      </c>
      <c r="I1159" s="253">
        <v>40</v>
      </c>
      <c r="J1159" s="253">
        <v>29549</v>
      </c>
      <c r="K1159" s="584">
        <f>ROUND(I1159*J1159,0)</f>
        <v>1181960</v>
      </c>
      <c r="L1159" s="585" t="s">
        <v>857</v>
      </c>
      <c r="M1159" s="585" t="s">
        <v>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826">
        <v>3</v>
      </c>
      <c r="AB1159" s="576" t="str">
        <f>IF(VLOOKUP(F1159,NXT!$C$12:$C$786,1,0)=F1159,"","x")</f>
        <v/>
      </c>
    </row>
    <row r="1160" spans="1:30" ht="15.75" customHeight="1">
      <c r="A1160" s="827" t="str">
        <f>IF(B1160&lt;&gt;"",IF(AND(B1160&gt;=_TM1,B1160&lt;=_TM2,OR(TH!L1160="1111",TH!M1160="1111")),TH!D1160,""),"")</f>
        <v/>
      </c>
      <c r="B1160" s="36">
        <f t="shared" si="199"/>
        <v>7</v>
      </c>
      <c r="C1160" s="190">
        <f t="shared" si="200"/>
        <v>42556</v>
      </c>
      <c r="D1160" s="37" t="s">
        <v>1630</v>
      </c>
      <c r="E1160" s="740">
        <v>42556</v>
      </c>
      <c r="F1160" s="786" t="s">
        <v>1376</v>
      </c>
      <c r="G1160" s="837" t="s">
        <v>1375</v>
      </c>
      <c r="H1160" s="192" t="s">
        <v>435</v>
      </c>
      <c r="I1160" s="253">
        <v>40</v>
      </c>
      <c r="J1160" s="253">
        <v>20218</v>
      </c>
      <c r="K1160" s="584">
        <f>ROUND(I1160*J1160,0)</f>
        <v>808720</v>
      </c>
      <c r="L1160" s="585" t="s">
        <v>857</v>
      </c>
      <c r="M1160" s="585" t="s">
        <v>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826">
        <v>3</v>
      </c>
      <c r="AB1160" s="576" t="str">
        <f>IF(VLOOKUP(F1160,NXT!$C$12:$C$786,1,0)=F1160,"","x")</f>
        <v/>
      </c>
    </row>
    <row r="1161" spans="1:30" ht="15.75" customHeight="1">
      <c r="A1161" s="827" t="str">
        <f>IF(B1161&lt;&gt;"",IF(AND(B1161&gt;=_TM1,B1161&lt;=_TM2,OR(TH!L1161="1111",TH!M1161="1111")),TH!D1161,""),"")</f>
        <v/>
      </c>
      <c r="B1161" s="36">
        <f t="shared" si="199"/>
        <v>7</v>
      </c>
      <c r="C1161" s="190">
        <f t="shared" si="200"/>
        <v>42556</v>
      </c>
      <c r="D1161" s="37" t="s">
        <v>1630</v>
      </c>
      <c r="E1161" s="740">
        <v>42556</v>
      </c>
      <c r="F1161" s="786" t="s">
        <v>1298</v>
      </c>
      <c r="G1161" s="837" t="s">
        <v>1375</v>
      </c>
      <c r="H1161" s="192" t="s">
        <v>435</v>
      </c>
      <c r="I1161" s="253">
        <v>49</v>
      </c>
      <c r="J1161" s="253">
        <v>25137</v>
      </c>
      <c r="K1161" s="584">
        <f>ROUND(I1161*J1161,0)</f>
        <v>1231713</v>
      </c>
      <c r="L1161" s="585" t="s">
        <v>857</v>
      </c>
      <c r="M1161" s="585" t="s">
        <v>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826">
        <v>3</v>
      </c>
      <c r="AB1161" s="576" t="str">
        <f>IF(VLOOKUP(F1161,NXT!$C$12:$C$786,1,0)=F1161,"","x")</f>
        <v/>
      </c>
    </row>
    <row r="1162" spans="1:30" ht="15.75" customHeight="1">
      <c r="A1162" s="827" t="str">
        <f>IF(B1162&lt;&gt;"",IF(AND(B1162&gt;=_TM1,B1162&lt;=_TM2,OR(TH!L1162="1111",TH!M1162="1111")),TH!D1162,""),"")</f>
        <v/>
      </c>
      <c r="B1162" s="36">
        <f t="shared" si="199"/>
        <v>7</v>
      </c>
      <c r="C1162" s="190">
        <f t="shared" si="200"/>
        <v>42556</v>
      </c>
      <c r="D1162" s="37" t="s">
        <v>1630</v>
      </c>
      <c r="E1162" s="740">
        <v>42556</v>
      </c>
      <c r="F1162" s="786" t="s">
        <v>1298</v>
      </c>
      <c r="G1162" s="837" t="s">
        <v>1375</v>
      </c>
      <c r="H1162" s="192" t="s">
        <v>435</v>
      </c>
      <c r="I1162" s="253">
        <v>49</v>
      </c>
      <c r="J1162" s="253">
        <v>17199</v>
      </c>
      <c r="K1162" s="584">
        <f>ROUND(I1162*J1162,0)</f>
        <v>842751</v>
      </c>
      <c r="L1162" s="585" t="s">
        <v>857</v>
      </c>
      <c r="M1162" s="585" t="s">
        <v>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826">
        <v>3</v>
      </c>
      <c r="AB1162" s="576" t="str">
        <f>IF(VLOOKUP(F1162,NXT!$C$12:$C$786,1,0)=F1162,"","x")</f>
        <v/>
      </c>
    </row>
    <row r="1163" spans="1:30" ht="15.75" customHeight="1">
      <c r="A1163" s="827" t="str">
        <f>IF(B1163&lt;&gt;"",IF(AND(B1163&gt;=_TM1,B1163&lt;=_TM2,OR(TH!L1163="1111",TH!M1163="1111")),TH!D1163,""),"")</f>
        <v/>
      </c>
      <c r="B1163" s="36">
        <f t="shared" si="199"/>
        <v>7</v>
      </c>
      <c r="C1163" s="190">
        <f t="shared" si="200"/>
        <v>42556</v>
      </c>
      <c r="D1163" s="37" t="s">
        <v>1630</v>
      </c>
      <c r="E1163" s="740">
        <v>42556</v>
      </c>
      <c r="F1163" s="188" t="s">
        <v>443</v>
      </c>
      <c r="G1163" s="837" t="s">
        <v>1375</v>
      </c>
      <c r="H1163" s="192" t="s">
        <v>435</v>
      </c>
      <c r="I1163" s="253"/>
      <c r="J1163" s="253"/>
      <c r="K1163" s="584">
        <v>406514</v>
      </c>
      <c r="L1163" s="39" t="s">
        <v>9</v>
      </c>
      <c r="M1163" s="585" t="s">
        <v>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826">
        <v>3</v>
      </c>
    </row>
    <row r="1164" spans="1:30" ht="15.75" customHeight="1">
      <c r="A1164" s="827" t="str">
        <f>IF(B1164&lt;&gt;"",IF(AND(B1164&gt;=_TM1,B1164&lt;=_TM2,OR(TH!L1164="1111",TH!M1164="1111")),TH!D1164,""),"")</f>
        <v/>
      </c>
      <c r="B1164" s="36">
        <f t="shared" si="199"/>
        <v>7</v>
      </c>
      <c r="C1164" s="190">
        <f t="shared" si="200"/>
        <v>42562</v>
      </c>
      <c r="D1164" s="37" t="s">
        <v>1631</v>
      </c>
      <c r="E1164" s="740">
        <v>42562</v>
      </c>
      <c r="F1164" s="851" t="s">
        <v>479</v>
      </c>
      <c r="G1164" s="837" t="s">
        <v>1473</v>
      </c>
      <c r="H1164" s="192" t="s">
        <v>445</v>
      </c>
      <c r="I1164" s="253">
        <v>300</v>
      </c>
      <c r="J1164" s="253">
        <v>7628</v>
      </c>
      <c r="K1164" s="584">
        <f t="shared" ref="K1164:K1173" si="201">ROUND(I1164*J1164,0)</f>
        <v>2288400</v>
      </c>
      <c r="L1164" s="585" t="s">
        <v>857</v>
      </c>
      <c r="M1164" s="585" t="s">
        <v>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826">
        <v>3</v>
      </c>
      <c r="AB1164" s="576" t="str">
        <f>IF(VLOOKUP(F1164,NXT!$C$12:$C$786,1,0)=F1164,"","x")</f>
        <v/>
      </c>
    </row>
    <row r="1165" spans="1:30" ht="15.75" customHeight="1">
      <c r="A1165" s="827" t="str">
        <f>IF(B1165&lt;&gt;"",IF(AND(B1165&gt;=_TM1,B1165&lt;=_TM2,OR(TH!L1165="1111",TH!M1165="1111")),TH!D1165,""),"")</f>
        <v/>
      </c>
      <c r="B1165" s="36">
        <f t="shared" si="199"/>
        <v>7</v>
      </c>
      <c r="C1165" s="190">
        <f t="shared" si="200"/>
        <v>42562</v>
      </c>
      <c r="D1165" s="37" t="s">
        <v>1631</v>
      </c>
      <c r="E1165" s="740">
        <v>42562</v>
      </c>
      <c r="F1165" s="851" t="s">
        <v>1433</v>
      </c>
      <c r="G1165" s="837" t="s">
        <v>1473</v>
      </c>
      <c r="H1165" s="192" t="s">
        <v>445</v>
      </c>
      <c r="I1165" s="253">
        <v>60</v>
      </c>
      <c r="J1165" s="253">
        <v>36917</v>
      </c>
      <c r="K1165" s="584">
        <f t="shared" si="201"/>
        <v>2215020</v>
      </c>
      <c r="L1165" s="585" t="s">
        <v>857</v>
      </c>
      <c r="M1165" s="585" t="s">
        <v>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826">
        <v>3</v>
      </c>
      <c r="AB1165" s="576" t="str">
        <f>IF(VLOOKUP(F1165,NXT!$C$12:$C$786,1,0)=F1165,"","x")</f>
        <v/>
      </c>
    </row>
    <row r="1166" spans="1:30" ht="15.75" customHeight="1">
      <c r="A1166" s="827" t="str">
        <f>IF(B1166&lt;&gt;"",IF(AND(B1166&gt;=_TM1,B1166&lt;=_TM2,OR(TH!L1166="1111",TH!M1166="1111")),TH!D1166,""),"")</f>
        <v/>
      </c>
      <c r="B1166" s="36">
        <f t="shared" si="199"/>
        <v>7</v>
      </c>
      <c r="C1166" s="190">
        <f t="shared" si="200"/>
        <v>42562</v>
      </c>
      <c r="D1166" s="37" t="s">
        <v>1631</v>
      </c>
      <c r="E1166" s="740">
        <v>42562</v>
      </c>
      <c r="F1166" s="40" t="s">
        <v>1434</v>
      </c>
      <c r="G1166" s="837" t="s">
        <v>1473</v>
      </c>
      <c r="H1166" s="192" t="s">
        <v>445</v>
      </c>
      <c r="I1166" s="253">
        <v>80</v>
      </c>
      <c r="J1166" s="253">
        <v>32566</v>
      </c>
      <c r="K1166" s="584">
        <f t="shared" si="201"/>
        <v>2605280</v>
      </c>
      <c r="L1166" s="585" t="s">
        <v>857</v>
      </c>
      <c r="M1166" s="585" t="s">
        <v>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826">
        <v>3</v>
      </c>
      <c r="AB1166" s="576" t="str">
        <f>IF(VLOOKUP(F1166,NXT!$C$12:$C$786,1,0)=F1166,"","x")</f>
        <v/>
      </c>
    </row>
    <row r="1167" spans="1:30" ht="15.75" customHeight="1">
      <c r="A1167" s="827" t="str">
        <f>IF(B1167&lt;&gt;"",IF(AND(B1167&gt;=_TM1,B1167&lt;=_TM2,OR(TH!L1167="1111",TH!M1167="1111")),TH!D1167,""),"")</f>
        <v/>
      </c>
      <c r="B1167" s="36">
        <f t="shared" si="199"/>
        <v>7</v>
      </c>
      <c r="C1167" s="190">
        <f t="shared" si="200"/>
        <v>42562</v>
      </c>
      <c r="D1167" s="37" t="s">
        <v>1631</v>
      </c>
      <c r="E1167" s="740">
        <v>42562</v>
      </c>
      <c r="F1167" s="851" t="s">
        <v>867</v>
      </c>
      <c r="G1167" s="837" t="s">
        <v>1473</v>
      </c>
      <c r="H1167" s="192" t="s">
        <v>445</v>
      </c>
      <c r="I1167" s="253">
        <v>64</v>
      </c>
      <c r="J1167" s="253">
        <v>25982</v>
      </c>
      <c r="K1167" s="584">
        <f t="shared" si="201"/>
        <v>1662848</v>
      </c>
      <c r="L1167" s="585" t="s">
        <v>857</v>
      </c>
      <c r="M1167" s="585" t="s">
        <v>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826">
        <v>3</v>
      </c>
      <c r="AB1167" s="576" t="str">
        <f>IF(VLOOKUP(F1167,NXT!$C$12:$C$786,1,0)=F1167,"","x")</f>
        <v/>
      </c>
    </row>
    <row r="1168" spans="1:30" ht="15.75" customHeight="1">
      <c r="A1168" s="827" t="str">
        <f>IF(B1168&lt;&gt;"",IF(AND(B1168&gt;=_TM1,B1168&lt;=_TM2,OR(TH!L1168="1111",TH!M1168="1111")),TH!D1168,""),"")</f>
        <v/>
      </c>
      <c r="B1168" s="36">
        <f t="shared" si="199"/>
        <v>7</v>
      </c>
      <c r="C1168" s="190">
        <f t="shared" si="200"/>
        <v>42562</v>
      </c>
      <c r="D1168" s="37" t="s">
        <v>1631</v>
      </c>
      <c r="E1168" s="740">
        <v>42562</v>
      </c>
      <c r="F1168" s="851" t="s">
        <v>1435</v>
      </c>
      <c r="G1168" s="837" t="s">
        <v>1473</v>
      </c>
      <c r="H1168" s="192" t="s">
        <v>445</v>
      </c>
      <c r="I1168" s="253">
        <v>55</v>
      </c>
      <c r="J1168" s="253">
        <v>43827</v>
      </c>
      <c r="K1168" s="584">
        <f t="shared" si="201"/>
        <v>2410485</v>
      </c>
      <c r="L1168" s="585" t="s">
        <v>857</v>
      </c>
      <c r="M1168" s="585" t="s">
        <v>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826">
        <v>3</v>
      </c>
      <c r="AB1168" s="576" t="str">
        <f>IF(VLOOKUP(F1168,NXT!$C$12:$C$786,1,0)=F1168,"","x")</f>
        <v/>
      </c>
    </row>
    <row r="1169" spans="1:28" ht="15.75" customHeight="1">
      <c r="A1169" s="827" t="str">
        <f>IF(B1169&lt;&gt;"",IF(AND(B1169&gt;=_TM1,B1169&lt;=_TM2,OR(TH!L1169="1111",TH!M1169="1111")),TH!D1169,""),"")</f>
        <v/>
      </c>
      <c r="B1169" s="36">
        <f t="shared" si="199"/>
        <v>7</v>
      </c>
      <c r="C1169" s="190">
        <f t="shared" si="200"/>
        <v>42562</v>
      </c>
      <c r="D1169" s="37" t="s">
        <v>1631</v>
      </c>
      <c r="E1169" s="740">
        <v>42562</v>
      </c>
      <c r="F1169" s="40" t="s">
        <v>1438</v>
      </c>
      <c r="G1169" s="837" t="s">
        <v>1473</v>
      </c>
      <c r="H1169" s="192" t="s">
        <v>445</v>
      </c>
      <c r="I1169" s="253">
        <v>12</v>
      </c>
      <c r="J1169" s="253">
        <v>58264</v>
      </c>
      <c r="K1169" s="584">
        <f t="shared" si="201"/>
        <v>699168</v>
      </c>
      <c r="L1169" s="585" t="s">
        <v>857</v>
      </c>
      <c r="M1169" s="585" t="s">
        <v>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826">
        <v>3</v>
      </c>
      <c r="AB1169" s="576" t="str">
        <f>IF(VLOOKUP(F1169,NXT!$C$12:$C$786,1,0)=F1169,"","x")</f>
        <v/>
      </c>
    </row>
    <row r="1170" spans="1:28" ht="15.75" customHeight="1">
      <c r="A1170" s="827" t="str">
        <f>IF(B1170&lt;&gt;"",IF(AND(B1170&gt;=_TM1,B1170&lt;=_TM2,OR(TH!L1170="1111",TH!M1170="1111")),TH!D1170,""),"")</f>
        <v/>
      </c>
      <c r="B1170" s="36">
        <f t="shared" si="199"/>
        <v>7</v>
      </c>
      <c r="C1170" s="190">
        <f t="shared" si="200"/>
        <v>42562</v>
      </c>
      <c r="D1170" s="37" t="s">
        <v>1631</v>
      </c>
      <c r="E1170" s="740">
        <v>42562</v>
      </c>
      <c r="F1170" s="851" t="s">
        <v>1439</v>
      </c>
      <c r="G1170" s="837" t="s">
        <v>1473</v>
      </c>
      <c r="H1170" s="192" t="s">
        <v>445</v>
      </c>
      <c r="I1170" s="253">
        <v>12</v>
      </c>
      <c r="J1170" s="253">
        <v>39561</v>
      </c>
      <c r="K1170" s="584">
        <f t="shared" si="201"/>
        <v>474732</v>
      </c>
      <c r="L1170" s="585" t="s">
        <v>857</v>
      </c>
      <c r="M1170" s="585" t="s">
        <v>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826">
        <v>3</v>
      </c>
      <c r="AB1170" s="576" t="str">
        <f>IF(VLOOKUP(F1170,NXT!$C$12:$C$786,1,0)=F1170,"","x")</f>
        <v/>
      </c>
    </row>
    <row r="1171" spans="1:28" ht="15.75" customHeight="1">
      <c r="A1171" s="827" t="str">
        <f>IF(B1171&lt;&gt;"",IF(AND(B1171&gt;=_TM1,B1171&lt;=_TM2,OR(TH!L1171="1111",TH!M1171="1111")),TH!D1171,""),"")</f>
        <v/>
      </c>
      <c r="B1171" s="36">
        <f t="shared" si="199"/>
        <v>7</v>
      </c>
      <c r="C1171" s="190">
        <f t="shared" si="200"/>
        <v>42562</v>
      </c>
      <c r="D1171" s="37" t="s">
        <v>1631</v>
      </c>
      <c r="E1171" s="740">
        <v>42562</v>
      </c>
      <c r="F1171" s="851" t="s">
        <v>1440</v>
      </c>
      <c r="G1171" s="837" t="s">
        <v>1473</v>
      </c>
      <c r="H1171" s="192" t="s">
        <v>445</v>
      </c>
      <c r="I1171" s="253">
        <v>81</v>
      </c>
      <c r="J1171" s="253">
        <v>110065</v>
      </c>
      <c r="K1171" s="584">
        <f t="shared" si="201"/>
        <v>8915265</v>
      </c>
      <c r="L1171" s="585" t="s">
        <v>857</v>
      </c>
      <c r="M1171" s="585" t="s">
        <v>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826">
        <v>3</v>
      </c>
      <c r="AB1171" s="576" t="str">
        <f>IF(VLOOKUP(F1171,NXT!$C$12:$C$786,1,0)=F1171,"","x")</f>
        <v/>
      </c>
    </row>
    <row r="1172" spans="1:28" ht="15.75" customHeight="1">
      <c r="A1172" s="827" t="str">
        <f>IF(B1172&lt;&gt;"",IF(AND(B1172&gt;=_TM1,B1172&lt;=_TM2,OR(TH!L1172="1111",TH!M1172="1111")),TH!D1172,""),"")</f>
        <v/>
      </c>
      <c r="B1172" s="36">
        <f t="shared" si="199"/>
        <v>7</v>
      </c>
      <c r="C1172" s="190">
        <f t="shared" si="200"/>
        <v>42562</v>
      </c>
      <c r="D1172" s="37" t="s">
        <v>1631</v>
      </c>
      <c r="E1172" s="740">
        <v>42562</v>
      </c>
      <c r="F1172" s="851" t="s">
        <v>1441</v>
      </c>
      <c r="G1172" s="837" t="s">
        <v>1473</v>
      </c>
      <c r="H1172" s="192" t="s">
        <v>445</v>
      </c>
      <c r="I1172" s="253">
        <v>81</v>
      </c>
      <c r="J1172" s="253">
        <v>7851</v>
      </c>
      <c r="K1172" s="584">
        <f t="shared" si="201"/>
        <v>635931</v>
      </c>
      <c r="L1172" s="585" t="s">
        <v>857</v>
      </c>
      <c r="M1172" s="585" t="s">
        <v>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826">
        <v>3</v>
      </c>
      <c r="AB1172" s="576" t="str">
        <f>IF(VLOOKUP(F1172,NXT!$C$12:$C$786,1,0)=F1172,"","x")</f>
        <v/>
      </c>
    </row>
    <row r="1173" spans="1:28" ht="15.75" customHeight="1">
      <c r="A1173" s="827" t="str">
        <f>IF(B1173&lt;&gt;"",IF(AND(B1173&gt;=_TM1,B1173&lt;=_TM2,OR(TH!L1173="1111",TH!M1173="1111")),TH!D1173,""),"")</f>
        <v/>
      </c>
      <c r="B1173" s="36">
        <f t="shared" si="199"/>
        <v>7</v>
      </c>
      <c r="C1173" s="190">
        <f t="shared" si="200"/>
        <v>42562</v>
      </c>
      <c r="D1173" s="37" t="s">
        <v>1631</v>
      </c>
      <c r="E1173" s="740">
        <v>42562</v>
      </c>
      <c r="F1173" s="40" t="s">
        <v>1444</v>
      </c>
      <c r="G1173" s="837" t="s">
        <v>1473</v>
      </c>
      <c r="H1173" s="192" t="s">
        <v>445</v>
      </c>
      <c r="I1173" s="253">
        <v>200</v>
      </c>
      <c r="J1173" s="253">
        <v>12330</v>
      </c>
      <c r="K1173" s="584">
        <f t="shared" si="201"/>
        <v>2466000</v>
      </c>
      <c r="L1173" s="585" t="s">
        <v>857</v>
      </c>
      <c r="M1173" s="585" t="s">
        <v>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826">
        <v>3</v>
      </c>
      <c r="AB1173" s="576" t="str">
        <f>IF(VLOOKUP(F1173,NXT!$C$12:$C$786,1,0)=F1173,"","x")</f>
        <v/>
      </c>
    </row>
    <row r="1174" spans="1:28" ht="15.75" customHeight="1">
      <c r="A1174" s="827" t="str">
        <f>IF(B1174&lt;&gt;"",IF(AND(B1174&gt;=_TM1,B1174&lt;=_TM2,OR(TH!L1174="1111",TH!M1174="1111")),TH!D1174,""),"")</f>
        <v/>
      </c>
      <c r="B1174" s="36">
        <f t="shared" si="199"/>
        <v>7</v>
      </c>
      <c r="C1174" s="190">
        <f t="shared" si="200"/>
        <v>42562</v>
      </c>
      <c r="D1174" s="37" t="s">
        <v>1631</v>
      </c>
      <c r="E1174" s="740">
        <v>42562</v>
      </c>
      <c r="F1174" s="851" t="s">
        <v>461</v>
      </c>
      <c r="G1174" s="837" t="s">
        <v>1473</v>
      </c>
      <c r="H1174" s="192" t="s">
        <v>445</v>
      </c>
      <c r="I1174" s="253"/>
      <c r="J1174" s="253"/>
      <c r="K1174" s="584">
        <v>2437313</v>
      </c>
      <c r="L1174" s="39" t="s">
        <v>9</v>
      </c>
      <c r="M1174" s="585" t="s">
        <v>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826">
        <v>3</v>
      </c>
      <c r="AB1174" s="576"/>
    </row>
    <row r="1175" spans="1:28" ht="15.75" customHeight="1">
      <c r="A1175" s="827" t="str">
        <f>IF(B1175&lt;&gt;"",IF(AND(B1175&gt;=_TM1,B1175&lt;=_TM2,OR(TH!L1175="1111",TH!M1175="1111")),TH!D1175,""),"")</f>
        <v/>
      </c>
      <c r="B1175" s="36">
        <f t="shared" si="199"/>
        <v>7</v>
      </c>
      <c r="C1175" s="190">
        <f t="shared" si="200"/>
        <v>42571</v>
      </c>
      <c r="D1175" s="37" t="s">
        <v>1632</v>
      </c>
      <c r="E1175" s="740">
        <v>42571</v>
      </c>
      <c r="F1175" s="786" t="s">
        <v>1378</v>
      </c>
      <c r="G1175" s="837" t="s">
        <v>1377</v>
      </c>
      <c r="H1175" s="192" t="s">
        <v>435</v>
      </c>
      <c r="I1175" s="253">
        <v>46</v>
      </c>
      <c r="J1175" s="253">
        <v>49572</v>
      </c>
      <c r="K1175" s="584">
        <f>ROUND(I1175*J1175,0)</f>
        <v>2280312</v>
      </c>
      <c r="L1175" s="585" t="s">
        <v>857</v>
      </c>
      <c r="M1175" s="585" t="s">
        <v>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>x</v>
      </c>
      <c r="AA1175" s="826">
        <v>3</v>
      </c>
      <c r="AB1175" s="576" t="str">
        <f>IF(VLOOKUP(F1175,NXT!$C$12:$C$786,1,0)=F1175,"","x")</f>
        <v/>
      </c>
    </row>
    <row r="1176" spans="1:28" ht="15.75" customHeight="1">
      <c r="A1176" s="827" t="str">
        <f>IF(B1176&lt;&gt;"",IF(AND(B1176&gt;=_TM1,B1176&lt;=_TM2,OR(TH!L1176="1111",TH!M1176="1111")),TH!D1176,""),"")</f>
        <v/>
      </c>
      <c r="B1176" s="36">
        <f t="shared" si="199"/>
        <v>7</v>
      </c>
      <c r="C1176" s="190">
        <f t="shared" si="200"/>
        <v>42571</v>
      </c>
      <c r="D1176" s="37" t="s">
        <v>1632</v>
      </c>
      <c r="E1176" s="740">
        <v>42571</v>
      </c>
      <c r="F1176" s="188" t="s">
        <v>1379</v>
      </c>
      <c r="G1176" s="837" t="s">
        <v>1377</v>
      </c>
      <c r="H1176" s="192" t="s">
        <v>435</v>
      </c>
      <c r="I1176" s="253">
        <v>44</v>
      </c>
      <c r="J1176" s="253">
        <v>53961</v>
      </c>
      <c r="K1176" s="584">
        <f>ROUND(I1176*J1176,0)</f>
        <v>2374284</v>
      </c>
      <c r="L1176" s="585" t="s">
        <v>857</v>
      </c>
      <c r="M1176" s="585" t="s">
        <v>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826">
        <v>3</v>
      </c>
      <c r="AB1176" s="576" t="str">
        <f>IF(VLOOKUP(F1176,NXT!$C$12:$C$786,1,0)=F1176,"","x")</f>
        <v/>
      </c>
    </row>
    <row r="1177" spans="1:28" ht="15.75" customHeight="1">
      <c r="A1177" s="827" t="str">
        <f>IF(B1177&lt;&gt;"",IF(AND(B1177&gt;=_TM1,B1177&lt;=_TM2,OR(TH!L1177="1111",TH!M1177="1111")),TH!D1177,""),"")</f>
        <v/>
      </c>
      <c r="B1177" s="36">
        <f t="shared" si="199"/>
        <v>7</v>
      </c>
      <c r="C1177" s="190">
        <f t="shared" si="200"/>
        <v>42571</v>
      </c>
      <c r="D1177" s="37" t="s">
        <v>1632</v>
      </c>
      <c r="E1177" s="740">
        <v>42571</v>
      </c>
      <c r="F1177" s="786" t="s">
        <v>443</v>
      </c>
      <c r="G1177" s="837" t="s">
        <v>1377</v>
      </c>
      <c r="H1177" s="192" t="s">
        <v>435</v>
      </c>
      <c r="I1177" s="253"/>
      <c r="J1177" s="253"/>
      <c r="K1177" s="584">
        <v>465460</v>
      </c>
      <c r="L1177" s="39" t="s">
        <v>9</v>
      </c>
      <c r="M1177" s="585" t="s">
        <v>8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826">
        <v>3</v>
      </c>
    </row>
    <row r="1178" spans="1:28" ht="15.75" customHeight="1">
      <c r="A1178" s="827" t="str">
        <f>IF(B1178&lt;&gt;"",IF(AND(B1178&gt;=_TM1,B1178&lt;=_TM2,OR(TH!L1178="1111",TH!M1178="1111")),TH!D1178,""),"")</f>
        <v/>
      </c>
      <c r="B1178" s="36">
        <f t="shared" si="199"/>
        <v>7</v>
      </c>
      <c r="C1178" s="190">
        <f t="shared" si="200"/>
        <v>42574</v>
      </c>
      <c r="D1178" s="37" t="s">
        <v>1632</v>
      </c>
      <c r="E1178" s="740">
        <v>42574</v>
      </c>
      <c r="F1178" s="786" t="s">
        <v>1381</v>
      </c>
      <c r="G1178" s="837" t="s">
        <v>1380</v>
      </c>
      <c r="H1178" s="192" t="s">
        <v>435</v>
      </c>
      <c r="I1178" s="253">
        <v>195</v>
      </c>
      <c r="J1178" s="253">
        <v>20532</v>
      </c>
      <c r="K1178" s="584">
        <f>ROUND(I1178*J1178,0)</f>
        <v>4003740</v>
      </c>
      <c r="L1178" s="585" t="s">
        <v>857</v>
      </c>
      <c r="M1178" s="585" t="s">
        <v>8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826">
        <v>3</v>
      </c>
      <c r="AB1178" s="576" t="str">
        <f>IF(VLOOKUP(F1178,NXT!$C$12:$C$786,1,0)=F1178,"","x")</f>
        <v/>
      </c>
    </row>
    <row r="1179" spans="1:28" ht="15.75" customHeight="1">
      <c r="A1179" s="827" t="str">
        <f>IF(B1179&lt;&gt;"",IF(AND(B1179&gt;=_TM1,B1179&lt;=_TM2,OR(TH!L1179="1111",TH!M1179="1111")),TH!D1179,""),"")</f>
        <v/>
      </c>
      <c r="B1179" s="36">
        <f t="shared" si="199"/>
        <v>7</v>
      </c>
      <c r="C1179" s="190">
        <f t="shared" si="200"/>
        <v>42574</v>
      </c>
      <c r="D1179" s="37" t="s">
        <v>1632</v>
      </c>
      <c r="E1179" s="740">
        <v>42574</v>
      </c>
      <c r="F1179" s="786" t="s">
        <v>1382</v>
      </c>
      <c r="G1179" s="837" t="s">
        <v>1380</v>
      </c>
      <c r="H1179" s="192" t="s">
        <v>435</v>
      </c>
      <c r="I1179" s="253">
        <v>80</v>
      </c>
      <c r="J1179" s="253">
        <v>47200</v>
      </c>
      <c r="K1179" s="584">
        <f>ROUND(I1179*J1179,0)</f>
        <v>3776000</v>
      </c>
      <c r="L1179" s="585" t="s">
        <v>857</v>
      </c>
      <c r="M1179" s="585" t="s">
        <v>8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826">
        <v>3</v>
      </c>
      <c r="AB1179" s="576" t="str">
        <f>IF(VLOOKUP(F1179,NXT!$C$12:$C$786,1,0)=F1179,"","x")</f>
        <v/>
      </c>
    </row>
    <row r="1180" spans="1:28" ht="15.75" customHeight="1">
      <c r="A1180" s="827" t="str">
        <f>IF(B1180&lt;&gt;"",IF(AND(B1180&gt;=_TM1,B1180&lt;=_TM2,OR(TH!L1180="1111",TH!M1180="1111")),TH!D1180,""),"")</f>
        <v/>
      </c>
      <c r="B1180" s="36">
        <f t="shared" si="199"/>
        <v>7</v>
      </c>
      <c r="C1180" s="190">
        <f t="shared" si="200"/>
        <v>42574</v>
      </c>
      <c r="D1180" s="37" t="s">
        <v>1632</v>
      </c>
      <c r="E1180" s="740">
        <v>42574</v>
      </c>
      <c r="F1180" s="188" t="s">
        <v>443</v>
      </c>
      <c r="G1180" s="837" t="s">
        <v>1380</v>
      </c>
      <c r="H1180" s="192" t="s">
        <v>435</v>
      </c>
      <c r="I1180" s="253"/>
      <c r="J1180" s="253"/>
      <c r="K1180" s="584">
        <v>777974</v>
      </c>
      <c r="L1180" s="39" t="s">
        <v>9</v>
      </c>
      <c r="M1180" s="585" t="s">
        <v>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826">
        <v>3</v>
      </c>
    </row>
    <row r="1181" spans="1:28" ht="15.75" customHeight="1">
      <c r="A1181" s="827" t="str">
        <f>IF(B1181&lt;&gt;"",IF(AND(B1181&gt;=_TM1,B1181&lt;=_TM2,OR(TH!L1181="1111",TH!M1181="1111")),TH!D1181,""),"")</f>
        <v/>
      </c>
      <c r="B1181" s="36">
        <f t="shared" si="199"/>
        <v>7</v>
      </c>
      <c r="C1181" s="190">
        <f t="shared" si="200"/>
        <v>42576</v>
      </c>
      <c r="D1181" s="37" t="s">
        <v>1633</v>
      </c>
      <c r="E1181" s="740">
        <v>42576</v>
      </c>
      <c r="F1181" s="851" t="s">
        <v>921</v>
      </c>
      <c r="G1181" s="837" t="s">
        <v>1471</v>
      </c>
      <c r="H1181" s="192" t="s">
        <v>445</v>
      </c>
      <c r="I1181" s="253">
        <v>5000</v>
      </c>
      <c r="J1181" s="253">
        <v>8550</v>
      </c>
      <c r="K1181" s="584">
        <f t="shared" ref="K1181:K1187" si="202">ROUND(I1181*J1181,0)</f>
        <v>42750000</v>
      </c>
      <c r="L1181" s="585" t="s">
        <v>857</v>
      </c>
      <c r="M1181" s="585" t="s">
        <v>8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826">
        <v>3</v>
      </c>
      <c r="AB1181" s="576" t="str">
        <f>IF(VLOOKUP(F1181,NXT!$C$12:$C$786,1,0)=F1181,"","x")</f>
        <v/>
      </c>
    </row>
    <row r="1182" spans="1:28" ht="15.75" customHeight="1">
      <c r="A1182" s="827" t="str">
        <f>IF(B1182&lt;&gt;"",IF(AND(B1182&gt;=_TM1,B1182&lt;=_TM2,OR(TH!L1182="1111",TH!M1182="1111")),TH!D1182,""),"")</f>
        <v/>
      </c>
      <c r="B1182" s="36">
        <f t="shared" si="199"/>
        <v>7</v>
      </c>
      <c r="C1182" s="190">
        <f t="shared" si="200"/>
        <v>42576</v>
      </c>
      <c r="D1182" s="37" t="s">
        <v>1633</v>
      </c>
      <c r="E1182" s="740">
        <v>42576</v>
      </c>
      <c r="F1182" s="851" t="s">
        <v>1447</v>
      </c>
      <c r="G1182" s="837" t="s">
        <v>1471</v>
      </c>
      <c r="H1182" s="192" t="s">
        <v>445</v>
      </c>
      <c r="I1182" s="253">
        <v>500</v>
      </c>
      <c r="J1182" s="253">
        <v>19494</v>
      </c>
      <c r="K1182" s="584">
        <f t="shared" si="202"/>
        <v>9747000</v>
      </c>
      <c r="L1182" s="585" t="s">
        <v>857</v>
      </c>
      <c r="M1182" s="585" t="s">
        <v>8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826">
        <v>3</v>
      </c>
      <c r="AB1182" s="576" t="str">
        <f>IF(VLOOKUP(F1182,NXT!$C$12:$C$786,1,0)=F1182,"","x")</f>
        <v/>
      </c>
    </row>
    <row r="1183" spans="1:28" ht="15.75" customHeight="1">
      <c r="A1183" s="827" t="str">
        <f>IF(B1183&lt;&gt;"",IF(AND(B1183&gt;=_TM1,B1183&lt;=_TM2,OR(TH!L1183="1111",TH!M1183="1111")),TH!D1183,""),"")</f>
        <v/>
      </c>
      <c r="B1183" s="36">
        <f t="shared" si="199"/>
        <v>7</v>
      </c>
      <c r="C1183" s="190">
        <f t="shared" si="200"/>
        <v>42576</v>
      </c>
      <c r="D1183" s="37" t="s">
        <v>1633</v>
      </c>
      <c r="E1183" s="740">
        <v>42576</v>
      </c>
      <c r="F1183" s="188" t="s">
        <v>1450</v>
      </c>
      <c r="G1183" s="837" t="s">
        <v>1471</v>
      </c>
      <c r="H1183" s="192" t="s">
        <v>445</v>
      </c>
      <c r="I1183" s="253">
        <v>500</v>
      </c>
      <c r="J1183" s="253">
        <v>28433</v>
      </c>
      <c r="K1183" s="584">
        <f t="shared" si="202"/>
        <v>14216500</v>
      </c>
      <c r="L1183" s="585" t="s">
        <v>857</v>
      </c>
      <c r="M1183" s="585" t="s">
        <v>8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826">
        <v>3</v>
      </c>
      <c r="AB1183" s="576" t="str">
        <f>IF(VLOOKUP(F1183,NXT!$C$12:$C$786,1,0)=F1183,"","x")</f>
        <v/>
      </c>
    </row>
    <row r="1184" spans="1:28" ht="15.75" customHeight="1">
      <c r="A1184" s="827" t="str">
        <f>IF(B1184&lt;&gt;"",IF(AND(B1184&gt;=_TM1,B1184&lt;=_TM2,OR(TH!L1184="1111",TH!M1184="1111")),TH!D1184,""),"")</f>
        <v/>
      </c>
      <c r="B1184" s="36">
        <f t="shared" si="199"/>
        <v>7</v>
      </c>
      <c r="C1184" s="190">
        <f t="shared" si="200"/>
        <v>42576</v>
      </c>
      <c r="D1184" s="37" t="s">
        <v>1633</v>
      </c>
      <c r="E1184" s="740">
        <v>42576</v>
      </c>
      <c r="F1184" s="851" t="s">
        <v>1178</v>
      </c>
      <c r="G1184" s="837" t="s">
        <v>1471</v>
      </c>
      <c r="H1184" s="192" t="s">
        <v>445</v>
      </c>
      <c r="I1184" s="253">
        <v>450</v>
      </c>
      <c r="J1184" s="253">
        <v>33250</v>
      </c>
      <c r="K1184" s="584">
        <f t="shared" si="202"/>
        <v>14962500</v>
      </c>
      <c r="L1184" s="585" t="s">
        <v>857</v>
      </c>
      <c r="M1184" s="585" t="s">
        <v>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826">
        <v>3</v>
      </c>
      <c r="AB1184" s="576" t="str">
        <f>IF(VLOOKUP(F1184,NXT!$C$12:$C$786,1,0)=F1184,"","x")</f>
        <v/>
      </c>
    </row>
    <row r="1185" spans="1:31" ht="15.75" customHeight="1">
      <c r="A1185" s="827" t="str">
        <f>IF(B1185&lt;&gt;"",IF(AND(B1185&gt;=_TM1,B1185&lt;=_TM2,OR(TH!L1185="1111",TH!M1185="1111")),TH!D1185,""),"")</f>
        <v/>
      </c>
      <c r="B1185" s="36">
        <f t="shared" si="199"/>
        <v>7</v>
      </c>
      <c r="C1185" s="190">
        <f t="shared" si="200"/>
        <v>42576</v>
      </c>
      <c r="D1185" s="37" t="s">
        <v>1633</v>
      </c>
      <c r="E1185" s="740">
        <v>42576</v>
      </c>
      <c r="F1185" s="40" t="s">
        <v>1179</v>
      </c>
      <c r="G1185" s="837" t="s">
        <v>1471</v>
      </c>
      <c r="H1185" s="192" t="s">
        <v>445</v>
      </c>
      <c r="I1185" s="253">
        <v>600</v>
      </c>
      <c r="J1185" s="253">
        <v>30875</v>
      </c>
      <c r="K1185" s="584">
        <f t="shared" si="202"/>
        <v>18525000</v>
      </c>
      <c r="L1185" s="585" t="s">
        <v>857</v>
      </c>
      <c r="M1185" s="585" t="s">
        <v>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826">
        <v>3</v>
      </c>
      <c r="AB1185" s="576" t="str">
        <f>IF(VLOOKUP(F1185,NXT!$C$12:$C$786,1,0)=F1185,"","x")</f>
        <v/>
      </c>
    </row>
    <row r="1186" spans="1:31" ht="15.75" customHeight="1">
      <c r="A1186" s="827" t="str">
        <f>IF(B1186&lt;&gt;"",IF(AND(B1186&gt;=_TM1,B1186&lt;=_TM2,OR(TH!L1186="1111",TH!M1186="1111")),TH!D1186,""),"")</f>
        <v/>
      </c>
      <c r="B1186" s="36">
        <f t="shared" si="199"/>
        <v>7</v>
      </c>
      <c r="C1186" s="190">
        <f t="shared" si="200"/>
        <v>42576</v>
      </c>
      <c r="D1186" s="37" t="s">
        <v>1633</v>
      </c>
      <c r="E1186" s="740">
        <v>42576</v>
      </c>
      <c r="F1186" s="290" t="s">
        <v>451</v>
      </c>
      <c r="G1186" s="837" t="s">
        <v>1471</v>
      </c>
      <c r="H1186" s="192" t="s">
        <v>445</v>
      </c>
      <c r="I1186" s="253">
        <v>2900</v>
      </c>
      <c r="J1186" s="253">
        <v>17575</v>
      </c>
      <c r="K1186" s="584">
        <f t="shared" si="202"/>
        <v>50967500</v>
      </c>
      <c r="L1186" s="585" t="s">
        <v>857</v>
      </c>
      <c r="M1186" s="585" t="s">
        <v>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>x</v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826">
        <v>3</v>
      </c>
      <c r="AB1186" s="576" t="str">
        <f>IF(VLOOKUP(F1186,NXT!$C$12:$C$786,1,0)=F1186,"","x")</f>
        <v/>
      </c>
    </row>
    <row r="1187" spans="1:31" ht="15.75" customHeight="1">
      <c r="A1187" s="827" t="str">
        <f>IF(B1187&lt;&gt;"",IF(AND(B1187&gt;=_TM1,B1187&lt;=_TM2,OR(TH!L1187="1111",TH!M1187="1111")),TH!D1187,""),"")</f>
        <v/>
      </c>
      <c r="B1187" s="36">
        <f t="shared" si="199"/>
        <v>7</v>
      </c>
      <c r="C1187" s="190">
        <f t="shared" si="200"/>
        <v>42576</v>
      </c>
      <c r="D1187" s="37" t="s">
        <v>1633</v>
      </c>
      <c r="E1187" s="740">
        <v>42576</v>
      </c>
      <c r="F1187" s="292" t="s">
        <v>450</v>
      </c>
      <c r="G1187" s="837" t="s">
        <v>1471</v>
      </c>
      <c r="H1187" s="192" t="s">
        <v>445</v>
      </c>
      <c r="I1187" s="253">
        <v>2850</v>
      </c>
      <c r="J1187" s="253">
        <v>17575</v>
      </c>
      <c r="K1187" s="584">
        <f t="shared" si="202"/>
        <v>50088750</v>
      </c>
      <c r="L1187" s="585" t="s">
        <v>857</v>
      </c>
      <c r="M1187" s="585" t="s">
        <v>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826">
        <v>3</v>
      </c>
      <c r="AB1187" s="576" t="str">
        <f>IF(VLOOKUP(F1187,NXT!$C$12:$C$786,1,0)=F1187,"","x")</f>
        <v/>
      </c>
    </row>
    <row r="1188" spans="1:31" ht="15.75" customHeight="1">
      <c r="A1188" s="827" t="str">
        <f>IF(B1188&lt;&gt;"",IF(AND(B1188&gt;=_TM1,B1188&lt;=_TM2,OR(TH!L1188="1111",TH!M1188="1111")),TH!D1188,""),"")</f>
        <v/>
      </c>
      <c r="B1188" s="36">
        <f t="shared" si="199"/>
        <v>7</v>
      </c>
      <c r="C1188" s="190">
        <f t="shared" si="200"/>
        <v>42576</v>
      </c>
      <c r="D1188" s="37" t="s">
        <v>1633</v>
      </c>
      <c r="E1188" s="740">
        <v>42576</v>
      </c>
      <c r="F1188" s="851" t="s">
        <v>461</v>
      </c>
      <c r="G1188" s="837" t="s">
        <v>1471</v>
      </c>
      <c r="H1188" s="192" t="s">
        <v>445</v>
      </c>
      <c r="I1188" s="253"/>
      <c r="J1188" s="253"/>
      <c r="K1188" s="584">
        <v>20125725</v>
      </c>
      <c r="L1188" s="39" t="s">
        <v>9</v>
      </c>
      <c r="M1188" s="585" t="s">
        <v>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826">
        <v>3</v>
      </c>
      <c r="AB1188" s="576"/>
    </row>
    <row r="1189" spans="1:31" ht="15.75" customHeight="1">
      <c r="A1189" s="827" t="str">
        <f>IF(B1189&lt;&gt;"",IF(AND(B1189&gt;=_TM1,B1189&lt;=_TM2,OR(TH!L1189="1111",TH!M1189="1111")),TH!D1189,""),"")</f>
        <v/>
      </c>
      <c r="B1189" s="36">
        <f t="shared" si="199"/>
        <v>7</v>
      </c>
      <c r="C1189" s="190">
        <f t="shared" si="200"/>
        <v>42577</v>
      </c>
      <c r="D1189" s="37" t="s">
        <v>1634</v>
      </c>
      <c r="E1189" s="740">
        <v>42577</v>
      </c>
      <c r="F1189" s="851" t="s">
        <v>1455</v>
      </c>
      <c r="G1189" s="837" t="s">
        <v>1473</v>
      </c>
      <c r="H1189" s="192" t="s">
        <v>445</v>
      </c>
      <c r="I1189" s="253">
        <v>4100</v>
      </c>
      <c r="J1189" s="253">
        <v>8160</v>
      </c>
      <c r="K1189" s="584">
        <f>ROUND(I1189*J1189,0)</f>
        <v>33456000</v>
      </c>
      <c r="L1189" s="585" t="s">
        <v>857</v>
      </c>
      <c r="M1189" s="585" t="s">
        <v>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826">
        <v>3</v>
      </c>
      <c r="AB1189" s="576" t="str">
        <f>IF(VLOOKUP(F1189,NXT!$C$12:$C$786,1,0)=F1189,"","x")</f>
        <v/>
      </c>
    </row>
    <row r="1190" spans="1:31" ht="15.75" customHeight="1">
      <c r="A1190" s="827" t="str">
        <f>IF(B1190&lt;&gt;"",IF(AND(B1190&gt;=_TM1,B1190&lt;=_TM2,OR(TH!L1190="1111",TH!M1190="1111")),TH!D1190,""),"")</f>
        <v/>
      </c>
      <c r="B1190" s="36">
        <f t="shared" si="199"/>
        <v>7</v>
      </c>
      <c r="C1190" s="190">
        <f t="shared" si="200"/>
        <v>42577</v>
      </c>
      <c r="D1190" s="37" t="s">
        <v>1634</v>
      </c>
      <c r="E1190" s="740">
        <v>42577</v>
      </c>
      <c r="F1190" s="851" t="s">
        <v>1021</v>
      </c>
      <c r="G1190" s="837" t="s">
        <v>1473</v>
      </c>
      <c r="H1190" s="192" t="s">
        <v>445</v>
      </c>
      <c r="I1190" s="253"/>
      <c r="J1190" s="253"/>
      <c r="K1190" s="584">
        <v>3345600</v>
      </c>
      <c r="L1190" s="39" t="s">
        <v>9</v>
      </c>
      <c r="M1190" s="585" t="s">
        <v>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826">
        <v>3</v>
      </c>
      <c r="AB1190" s="576"/>
    </row>
    <row r="1191" spans="1:31" ht="15.75" customHeight="1">
      <c r="A1191" s="827" t="str">
        <f>IF(B1191&lt;&gt;"",IF(AND(B1191&gt;=_TM1,B1191&lt;=_TM2,OR(TH!L1191="1111",TH!M1191="1111")),TH!D1191,""),"")</f>
        <v/>
      </c>
      <c r="B1191" s="838">
        <f t="shared" ref="B1191:B1222" si="203">IF(C1191&lt;&gt;"",MONTH(C1191),"")</f>
        <v>7</v>
      </c>
      <c r="C1191" s="839">
        <f t="shared" ref="C1191:C1222" si="204">E1191</f>
        <v>42579</v>
      </c>
      <c r="D1191" s="37" t="s">
        <v>1635</v>
      </c>
      <c r="E1191" s="899">
        <v>42579</v>
      </c>
      <c r="F1191" s="933" t="s">
        <v>451</v>
      </c>
      <c r="G1191" s="929" t="s">
        <v>1472</v>
      </c>
      <c r="H1191" s="841" t="s">
        <v>445</v>
      </c>
      <c r="I1191" s="842">
        <v>2337</v>
      </c>
      <c r="J1191" s="842">
        <v>10500</v>
      </c>
      <c r="K1191" s="843">
        <f t="shared" ref="K1191:K1235" si="205">ROUND(I1191*J1191,0)</f>
        <v>24538500</v>
      </c>
      <c r="L1191" s="930" t="s">
        <v>857</v>
      </c>
      <c r="M1191" s="930" t="s">
        <v>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>x</v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846">
        <v>3</v>
      </c>
      <c r="AB1191" s="847" t="str">
        <f>IF(VLOOKUP(F1191,NXT!$C$12:$C$786,1,0)=F1191,"","x")</f>
        <v/>
      </c>
      <c r="AC1191" s="848"/>
      <c r="AD1191" s="848"/>
      <c r="AE1191" s="848"/>
    </row>
    <row r="1192" spans="1:31" ht="15.75" customHeight="1">
      <c r="A1192" s="827" t="str">
        <f>IF(B1192&lt;&gt;"",IF(AND(B1192&gt;=_TM1,B1192&lt;=_TM2,OR(TH!L1192="1111",TH!M1192="1111")),TH!D1192,""),"")</f>
        <v/>
      </c>
      <c r="B1192" s="36">
        <f t="shared" si="203"/>
        <v>7</v>
      </c>
      <c r="C1192" s="190">
        <f t="shared" si="204"/>
        <v>42579</v>
      </c>
      <c r="D1192" s="37" t="s">
        <v>1635</v>
      </c>
      <c r="E1192" s="740">
        <v>42579</v>
      </c>
      <c r="F1192" s="851" t="s">
        <v>1464</v>
      </c>
      <c r="G1192" s="837" t="s">
        <v>1472</v>
      </c>
      <c r="H1192" s="192" t="s">
        <v>445</v>
      </c>
      <c r="I1192" s="253">
        <v>5</v>
      </c>
      <c r="J1192" s="253">
        <v>103000</v>
      </c>
      <c r="K1192" s="584">
        <f t="shared" si="205"/>
        <v>515000</v>
      </c>
      <c r="L1192" s="585" t="s">
        <v>857</v>
      </c>
      <c r="M1192" s="585" t="s">
        <v>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826">
        <v>3</v>
      </c>
      <c r="AB1192" s="576" t="str">
        <f>IF(VLOOKUP(F1192,NXT!$C$12:$C$786,1,0)=F1192,"","x")</f>
        <v/>
      </c>
    </row>
    <row r="1193" spans="1:31" ht="15.75" customHeight="1">
      <c r="A1193" s="827" t="str">
        <f>IF(B1193&lt;&gt;"",IF(AND(B1193&gt;=_TM1,B1193&lt;=_TM2,OR(TH!L1193="1111",TH!M1193="1111")),TH!D1193,""),"")</f>
        <v/>
      </c>
      <c r="B1193" s="36">
        <f t="shared" si="203"/>
        <v>7</v>
      </c>
      <c r="C1193" s="190">
        <f t="shared" si="204"/>
        <v>42579</v>
      </c>
      <c r="D1193" s="37" t="s">
        <v>1635</v>
      </c>
      <c r="E1193" s="740">
        <v>42579</v>
      </c>
      <c r="F1193" s="851" t="s">
        <v>491</v>
      </c>
      <c r="G1193" s="837" t="s">
        <v>1472</v>
      </c>
      <c r="H1193" s="192" t="s">
        <v>445</v>
      </c>
      <c r="I1193" s="253">
        <v>5</v>
      </c>
      <c r="J1193" s="253">
        <v>105200</v>
      </c>
      <c r="K1193" s="584">
        <f t="shared" si="205"/>
        <v>526000</v>
      </c>
      <c r="L1193" s="585" t="s">
        <v>857</v>
      </c>
      <c r="M1193" s="585" t="s">
        <v>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826">
        <v>3</v>
      </c>
      <c r="AB1193" s="576" t="str">
        <f>IF(VLOOKUP(F1193,NXT!$C$12:$C$786,1,0)=F1193,"","x")</f>
        <v/>
      </c>
    </row>
    <row r="1194" spans="1:31" ht="15.75" customHeight="1">
      <c r="A1194" s="827" t="str">
        <f>IF(B1194&lt;&gt;"",IF(AND(B1194&gt;=_TM1,B1194&lt;=_TM2,OR(TH!L1194="1111",TH!M1194="1111")),TH!D1194,""),"")</f>
        <v/>
      </c>
      <c r="B1194" s="36">
        <f t="shared" si="203"/>
        <v>7</v>
      </c>
      <c r="C1194" s="190">
        <f t="shared" si="204"/>
        <v>42579</v>
      </c>
      <c r="D1194" s="37" t="s">
        <v>1635</v>
      </c>
      <c r="E1194" s="740">
        <v>42579</v>
      </c>
      <c r="F1194" s="851" t="s">
        <v>817</v>
      </c>
      <c r="G1194" s="837" t="s">
        <v>1472</v>
      </c>
      <c r="H1194" s="192" t="s">
        <v>445</v>
      </c>
      <c r="I1194" s="253">
        <v>8</v>
      </c>
      <c r="J1194" s="253">
        <v>173960</v>
      </c>
      <c r="K1194" s="584">
        <f t="shared" si="205"/>
        <v>1391680</v>
      </c>
      <c r="L1194" s="585" t="s">
        <v>857</v>
      </c>
      <c r="M1194" s="585" t="s">
        <v>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826">
        <v>3</v>
      </c>
      <c r="AB1194" s="576" t="str">
        <f>IF(VLOOKUP(F1194,NXT!$C$12:$C$786,1,0)=F1194,"","x")</f>
        <v/>
      </c>
    </row>
    <row r="1195" spans="1:31" ht="15.75" customHeight="1">
      <c r="A1195" s="827" t="str">
        <f>IF(B1195&lt;&gt;"",IF(AND(B1195&gt;=_TM1,B1195&lt;=_TM2,OR(TH!L1195="1111",TH!M1195="1111")),TH!D1195,""),"")</f>
        <v/>
      </c>
      <c r="B1195" s="36">
        <f t="shared" si="203"/>
        <v>7</v>
      </c>
      <c r="C1195" s="190">
        <f t="shared" si="204"/>
        <v>42579</v>
      </c>
      <c r="D1195" s="37" t="s">
        <v>1635</v>
      </c>
      <c r="E1195" s="740">
        <v>42579</v>
      </c>
      <c r="F1195" s="851" t="s">
        <v>1457</v>
      </c>
      <c r="G1195" s="837" t="s">
        <v>1472</v>
      </c>
      <c r="H1195" s="192" t="s">
        <v>445</v>
      </c>
      <c r="I1195" s="253">
        <v>30</v>
      </c>
      <c r="J1195" s="253">
        <v>48010</v>
      </c>
      <c r="K1195" s="584">
        <f t="shared" si="205"/>
        <v>1440300</v>
      </c>
      <c r="L1195" s="585" t="s">
        <v>857</v>
      </c>
      <c r="M1195" s="585" t="s">
        <v>8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826">
        <v>3</v>
      </c>
      <c r="AB1195" s="576" t="str">
        <f>IF(VLOOKUP(F1195,NXT!$C$12:$C$786,1,0)=F1195,"","x")</f>
        <v/>
      </c>
    </row>
    <row r="1196" spans="1:31" ht="15.75" customHeight="1">
      <c r="A1196" s="827" t="str">
        <f>IF(B1196&lt;&gt;"",IF(AND(B1196&gt;=_TM1,B1196&lt;=_TM2,OR(TH!L1196="1111",TH!M1196="1111")),TH!D1196,""),"")</f>
        <v/>
      </c>
      <c r="B1196" s="36">
        <f t="shared" si="203"/>
        <v>7</v>
      </c>
      <c r="C1196" s="190">
        <f t="shared" si="204"/>
        <v>42579</v>
      </c>
      <c r="D1196" s="37" t="s">
        <v>1635</v>
      </c>
      <c r="E1196" s="740">
        <v>42579</v>
      </c>
      <c r="F1196" s="851" t="s">
        <v>823</v>
      </c>
      <c r="G1196" s="837" t="s">
        <v>1472</v>
      </c>
      <c r="H1196" s="192" t="s">
        <v>445</v>
      </c>
      <c r="I1196" s="253">
        <v>1</v>
      </c>
      <c r="J1196" s="253">
        <v>216470</v>
      </c>
      <c r="K1196" s="584">
        <f t="shared" si="205"/>
        <v>216470</v>
      </c>
      <c r="L1196" s="585" t="s">
        <v>857</v>
      </c>
      <c r="M1196" s="585" t="s">
        <v>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826">
        <v>3</v>
      </c>
      <c r="AB1196" s="576" t="str">
        <f>IF(VLOOKUP(F1196,NXT!$C$12:$C$786,1,0)=F1196,"","x")</f>
        <v/>
      </c>
    </row>
    <row r="1197" spans="1:31" ht="15.75" customHeight="1">
      <c r="A1197" s="827" t="str">
        <f>IF(B1197&lt;&gt;"",IF(AND(B1197&gt;=_TM1,B1197&lt;=_TM2,OR(TH!L1197="1111",TH!M1197="1111")),TH!D1197,""),"")</f>
        <v/>
      </c>
      <c r="B1197" s="36">
        <f t="shared" si="203"/>
        <v>7</v>
      </c>
      <c r="C1197" s="190">
        <f t="shared" si="204"/>
        <v>42579</v>
      </c>
      <c r="D1197" s="37" t="s">
        <v>1635</v>
      </c>
      <c r="E1197" s="740">
        <v>42579</v>
      </c>
      <c r="F1197" s="851" t="s">
        <v>564</v>
      </c>
      <c r="G1197" s="837" t="s">
        <v>1472</v>
      </c>
      <c r="H1197" s="192" t="s">
        <v>445</v>
      </c>
      <c r="I1197" s="253">
        <v>48</v>
      </c>
      <c r="J1197" s="253">
        <v>8250</v>
      </c>
      <c r="K1197" s="584">
        <f t="shared" si="205"/>
        <v>396000</v>
      </c>
      <c r="L1197" s="585" t="s">
        <v>857</v>
      </c>
      <c r="M1197" s="585" t="s">
        <v>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826">
        <v>3</v>
      </c>
      <c r="AB1197" s="576" t="str">
        <f>IF(VLOOKUP(F1197,NXT!$C$12:$C$786,1,0)=F1197,"","x")</f>
        <v/>
      </c>
    </row>
    <row r="1198" spans="1:31" ht="15.75" customHeight="1">
      <c r="A1198" s="827" t="str">
        <f>IF(B1198&lt;&gt;"",IF(AND(B1198&gt;=_TM1,B1198&lt;=_TM2,OR(TH!L1198="1111",TH!M1198="1111")),TH!D1198,""),"")</f>
        <v/>
      </c>
      <c r="B1198" s="36">
        <f t="shared" si="203"/>
        <v>7</v>
      </c>
      <c r="C1198" s="190">
        <f t="shared" si="204"/>
        <v>42579</v>
      </c>
      <c r="D1198" s="37" t="s">
        <v>1635</v>
      </c>
      <c r="E1198" s="740">
        <v>42579</v>
      </c>
      <c r="F1198" s="851" t="s">
        <v>808</v>
      </c>
      <c r="G1198" s="837" t="s">
        <v>1472</v>
      </c>
      <c r="H1198" s="192" t="s">
        <v>445</v>
      </c>
      <c r="I1198" s="253">
        <v>18</v>
      </c>
      <c r="J1198" s="253">
        <v>13250</v>
      </c>
      <c r="K1198" s="584">
        <f t="shared" si="205"/>
        <v>238500</v>
      </c>
      <c r="L1198" s="585" t="s">
        <v>857</v>
      </c>
      <c r="M1198" s="585" t="s">
        <v>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826">
        <v>3</v>
      </c>
      <c r="AB1198" s="576" t="str">
        <f>IF(VLOOKUP(F1198,NXT!$C$12:$C$786,1,0)=F1198,"","x")</f>
        <v/>
      </c>
    </row>
    <row r="1199" spans="1:31" ht="15.75" customHeight="1">
      <c r="A1199" s="827" t="str">
        <f>IF(B1199&lt;&gt;"",IF(AND(B1199&gt;=_TM1,B1199&lt;=_TM2,OR(TH!L1199="1111",TH!M1199="1111")),TH!D1199,""),"")</f>
        <v/>
      </c>
      <c r="B1199" s="36">
        <f t="shared" si="203"/>
        <v>7</v>
      </c>
      <c r="C1199" s="190">
        <f t="shared" si="204"/>
        <v>42579</v>
      </c>
      <c r="D1199" s="37" t="s">
        <v>1635</v>
      </c>
      <c r="E1199" s="740">
        <v>42579</v>
      </c>
      <c r="F1199" s="851" t="s">
        <v>547</v>
      </c>
      <c r="G1199" s="837" t="s">
        <v>1472</v>
      </c>
      <c r="H1199" s="192" t="s">
        <v>445</v>
      </c>
      <c r="I1199" s="253">
        <v>36</v>
      </c>
      <c r="J1199" s="253">
        <v>17060</v>
      </c>
      <c r="K1199" s="584">
        <f t="shared" si="205"/>
        <v>614160</v>
      </c>
      <c r="L1199" s="585" t="s">
        <v>857</v>
      </c>
      <c r="M1199" s="585" t="s">
        <v>8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826">
        <v>3</v>
      </c>
      <c r="AB1199" s="576" t="str">
        <f>IF(VLOOKUP(F1199,NXT!$C$12:$C$786,1,0)=F1199,"","x")</f>
        <v/>
      </c>
    </row>
    <row r="1200" spans="1:31" ht="15.75" customHeight="1">
      <c r="A1200" s="827" t="str">
        <f>IF(B1200&lt;&gt;"",IF(AND(B1200&gt;=_TM1,B1200&lt;=_TM2,OR(TH!L1200="1111",TH!M1200="1111")),TH!D1200,""),"")</f>
        <v/>
      </c>
      <c r="B1200" s="36">
        <f t="shared" si="203"/>
        <v>7</v>
      </c>
      <c r="C1200" s="190">
        <f t="shared" si="204"/>
        <v>42579</v>
      </c>
      <c r="D1200" s="37" t="s">
        <v>1635</v>
      </c>
      <c r="E1200" s="740">
        <v>42579</v>
      </c>
      <c r="F1200" s="851" t="s">
        <v>525</v>
      </c>
      <c r="G1200" s="837" t="s">
        <v>1472</v>
      </c>
      <c r="H1200" s="192" t="s">
        <v>445</v>
      </c>
      <c r="I1200" s="253">
        <v>156</v>
      </c>
      <c r="J1200" s="253">
        <v>18207</v>
      </c>
      <c r="K1200" s="584">
        <f t="shared" si="205"/>
        <v>2840292</v>
      </c>
      <c r="L1200" s="585" t="s">
        <v>857</v>
      </c>
      <c r="M1200" s="585" t="s">
        <v>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826">
        <v>3</v>
      </c>
      <c r="AB1200" s="576" t="str">
        <f>IF(VLOOKUP(F1200,NXT!$C$12:$C$786,1,0)=F1200,"","x")</f>
        <v/>
      </c>
    </row>
    <row r="1201" spans="1:28" ht="15.75" customHeight="1">
      <c r="A1201" s="827" t="str">
        <f>IF(B1201&lt;&gt;"",IF(AND(B1201&gt;=_TM1,B1201&lt;=_TM2,OR(TH!L1201="1111",TH!M1201="1111")),TH!D1201,""),"")</f>
        <v/>
      </c>
      <c r="B1201" s="36">
        <f t="shared" si="203"/>
        <v>7</v>
      </c>
      <c r="C1201" s="190">
        <f t="shared" si="204"/>
        <v>42579</v>
      </c>
      <c r="D1201" s="37" t="s">
        <v>1635</v>
      </c>
      <c r="E1201" s="740">
        <v>42579</v>
      </c>
      <c r="F1201" s="851" t="s">
        <v>874</v>
      </c>
      <c r="G1201" s="837" t="s">
        <v>1472</v>
      </c>
      <c r="H1201" s="192" t="s">
        <v>445</v>
      </c>
      <c r="I1201" s="253">
        <v>6</v>
      </c>
      <c r="J1201" s="253">
        <v>37030</v>
      </c>
      <c r="K1201" s="584">
        <f t="shared" si="205"/>
        <v>222180</v>
      </c>
      <c r="L1201" s="585" t="s">
        <v>857</v>
      </c>
      <c r="M1201" s="585" t="s">
        <v>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826">
        <v>3</v>
      </c>
      <c r="AB1201" s="576" t="str">
        <f>IF(VLOOKUP(F1201,NXT!$C$12:$C$786,1,0)=F1201,"","x")</f>
        <v/>
      </c>
    </row>
    <row r="1202" spans="1:28" ht="15.75" customHeight="1">
      <c r="A1202" s="827" t="str">
        <f>IF(B1202&lt;&gt;"",IF(AND(B1202&gt;=_TM1,B1202&lt;=_TM2,OR(TH!L1202="1111",TH!M1202="1111")),TH!D1202,""),"")</f>
        <v/>
      </c>
      <c r="B1202" s="36">
        <f t="shared" si="203"/>
        <v>7</v>
      </c>
      <c r="C1202" s="190">
        <f t="shared" si="204"/>
        <v>42579</v>
      </c>
      <c r="D1202" s="37" t="s">
        <v>1635</v>
      </c>
      <c r="E1202" s="740">
        <v>42579</v>
      </c>
      <c r="F1202" s="851" t="s">
        <v>1469</v>
      </c>
      <c r="G1202" s="837" t="s">
        <v>1472</v>
      </c>
      <c r="H1202" s="192" t="s">
        <v>445</v>
      </c>
      <c r="I1202" s="253">
        <v>9</v>
      </c>
      <c r="J1202" s="253">
        <v>12040</v>
      </c>
      <c r="K1202" s="584">
        <f t="shared" si="205"/>
        <v>108360</v>
      </c>
      <c r="L1202" s="585" t="s">
        <v>857</v>
      </c>
      <c r="M1202" s="585" t="s">
        <v>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826">
        <v>3</v>
      </c>
      <c r="AB1202" s="576" t="str">
        <f>IF(VLOOKUP(F1202,NXT!$C$12:$C$786,1,0)=F1202,"","x")</f>
        <v/>
      </c>
    </row>
    <row r="1203" spans="1:28" ht="15.75" customHeight="1">
      <c r="A1203" s="827" t="str">
        <f>IF(B1203&lt;&gt;"",IF(AND(B1203&gt;=_TM1,B1203&lt;=_TM2,OR(TH!L1203="1111",TH!M1203="1111")),TH!D1203,""),"")</f>
        <v/>
      </c>
      <c r="B1203" s="36">
        <f t="shared" si="203"/>
        <v>7</v>
      </c>
      <c r="C1203" s="190">
        <f t="shared" si="204"/>
        <v>42579</v>
      </c>
      <c r="D1203" s="37" t="s">
        <v>1635</v>
      </c>
      <c r="E1203" s="740">
        <v>42579</v>
      </c>
      <c r="F1203" s="191" t="s">
        <v>511</v>
      </c>
      <c r="G1203" s="837" t="s">
        <v>1472</v>
      </c>
      <c r="H1203" s="192" t="s">
        <v>445</v>
      </c>
      <c r="I1203" s="253">
        <v>36</v>
      </c>
      <c r="J1203" s="253">
        <v>31250</v>
      </c>
      <c r="K1203" s="584">
        <f t="shared" si="205"/>
        <v>1125000</v>
      </c>
      <c r="L1203" s="585" t="s">
        <v>857</v>
      </c>
      <c r="M1203" s="585" t="s">
        <v>8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826">
        <v>3</v>
      </c>
      <c r="AB1203" s="576" t="str">
        <f>IF(VLOOKUP(F1203,NXT!$C$12:$C$786,1,0)=F1203,"","x")</f>
        <v/>
      </c>
    </row>
    <row r="1204" spans="1:28" ht="15.75" customHeight="1">
      <c r="A1204" s="827" t="str">
        <f>IF(B1204&lt;&gt;"",IF(AND(B1204&gt;=_TM1,B1204&lt;=_TM2,OR(TH!L1204="1111",TH!M1204="1111")),TH!D1204,""),"")</f>
        <v/>
      </c>
      <c r="B1204" s="36">
        <f t="shared" si="203"/>
        <v>7</v>
      </c>
      <c r="C1204" s="190">
        <f t="shared" si="204"/>
        <v>42579</v>
      </c>
      <c r="D1204" s="37" t="s">
        <v>1635</v>
      </c>
      <c r="E1204" s="740">
        <v>42579</v>
      </c>
      <c r="F1204" s="851" t="s">
        <v>1460</v>
      </c>
      <c r="G1204" s="837" t="s">
        <v>1472</v>
      </c>
      <c r="H1204" s="192" t="s">
        <v>445</v>
      </c>
      <c r="I1204" s="253">
        <v>50</v>
      </c>
      <c r="J1204" s="253">
        <v>39700</v>
      </c>
      <c r="K1204" s="584">
        <f t="shared" si="205"/>
        <v>1985000</v>
      </c>
      <c r="L1204" s="585" t="s">
        <v>857</v>
      </c>
      <c r="M1204" s="585" t="s">
        <v>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826">
        <v>3</v>
      </c>
      <c r="AB1204" s="576" t="str">
        <f>IF(VLOOKUP(F1204,NXT!$C$12:$C$786,1,0)=F1204,"","x")</f>
        <v/>
      </c>
    </row>
    <row r="1205" spans="1:28" ht="15.75" customHeight="1">
      <c r="A1205" s="827" t="str">
        <f>IF(B1205&lt;&gt;"",IF(AND(B1205&gt;=_TM1,B1205&lt;=_TM2,OR(TH!L1205="1111",TH!M1205="1111")),TH!D1205,""),"")</f>
        <v/>
      </c>
      <c r="B1205" s="36">
        <f t="shared" si="203"/>
        <v>7</v>
      </c>
      <c r="C1205" s="190">
        <f t="shared" si="204"/>
        <v>42579</v>
      </c>
      <c r="D1205" s="37" t="s">
        <v>1635</v>
      </c>
      <c r="E1205" s="740">
        <v>42579</v>
      </c>
      <c r="F1205" s="851" t="s">
        <v>712</v>
      </c>
      <c r="G1205" s="837" t="s">
        <v>1472</v>
      </c>
      <c r="H1205" s="192" t="s">
        <v>445</v>
      </c>
      <c r="I1205" s="253">
        <v>12</v>
      </c>
      <c r="J1205" s="253">
        <v>21500</v>
      </c>
      <c r="K1205" s="584">
        <f t="shared" si="205"/>
        <v>258000</v>
      </c>
      <c r="L1205" s="585" t="s">
        <v>857</v>
      </c>
      <c r="M1205" s="585" t="s">
        <v>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826">
        <v>3</v>
      </c>
      <c r="AB1205" s="576" t="str">
        <f>IF(VLOOKUP(F1205,NXT!$C$12:$C$786,1,0)=F1205,"","x")</f>
        <v/>
      </c>
    </row>
    <row r="1206" spans="1:28" ht="15.75" customHeight="1">
      <c r="A1206" s="827" t="str">
        <f>IF(B1206&lt;&gt;"",IF(AND(B1206&gt;=_TM1,B1206&lt;=_TM2,OR(TH!L1206="1111",TH!M1206="1111")),TH!D1206,""),"")</f>
        <v/>
      </c>
      <c r="B1206" s="36">
        <f t="shared" si="203"/>
        <v>7</v>
      </c>
      <c r="C1206" s="190">
        <f t="shared" si="204"/>
        <v>42579</v>
      </c>
      <c r="D1206" s="37" t="s">
        <v>1635</v>
      </c>
      <c r="E1206" s="740">
        <v>42579</v>
      </c>
      <c r="F1206" s="851" t="s">
        <v>1468</v>
      </c>
      <c r="G1206" s="837" t="s">
        <v>1472</v>
      </c>
      <c r="H1206" s="192" t="s">
        <v>445</v>
      </c>
      <c r="I1206" s="253">
        <v>12</v>
      </c>
      <c r="J1206" s="253">
        <v>21200</v>
      </c>
      <c r="K1206" s="584">
        <f t="shared" si="205"/>
        <v>254400</v>
      </c>
      <c r="L1206" s="585" t="s">
        <v>857</v>
      </c>
      <c r="M1206" s="585" t="s">
        <v>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826">
        <v>3</v>
      </c>
      <c r="AB1206" s="576" t="str">
        <f>IF(VLOOKUP(F1206,NXT!$C$12:$C$786,1,0)=F1206,"","x")</f>
        <v/>
      </c>
    </row>
    <row r="1207" spans="1:28" ht="15.75" customHeight="1">
      <c r="A1207" s="827" t="str">
        <f>IF(B1207&lt;&gt;"",IF(AND(B1207&gt;=_TM1,B1207&lt;=_TM2,OR(TH!L1207="1111",TH!M1207="1111")),TH!D1207,""),"")</f>
        <v/>
      </c>
      <c r="B1207" s="36">
        <f t="shared" si="203"/>
        <v>7</v>
      </c>
      <c r="C1207" s="190">
        <f t="shared" si="204"/>
        <v>42579</v>
      </c>
      <c r="D1207" s="37" t="s">
        <v>1635</v>
      </c>
      <c r="E1207" s="740">
        <v>42579</v>
      </c>
      <c r="F1207" s="851" t="s">
        <v>552</v>
      </c>
      <c r="G1207" s="837" t="s">
        <v>1472</v>
      </c>
      <c r="H1207" s="192" t="s">
        <v>445</v>
      </c>
      <c r="I1207" s="253">
        <v>24</v>
      </c>
      <c r="J1207" s="253">
        <v>36200</v>
      </c>
      <c r="K1207" s="584">
        <f t="shared" si="205"/>
        <v>868800</v>
      </c>
      <c r="L1207" s="585" t="s">
        <v>857</v>
      </c>
      <c r="M1207" s="585" t="s">
        <v>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826">
        <v>3</v>
      </c>
      <c r="AB1207" s="576" t="str">
        <f>IF(VLOOKUP(F1207,NXT!$C$12:$C$786,1,0)=F1207,"","x")</f>
        <v/>
      </c>
    </row>
    <row r="1208" spans="1:28" ht="15.75" customHeight="1">
      <c r="A1208" s="827" t="str">
        <f>IF(B1208&lt;&gt;"",IF(AND(B1208&gt;=_TM1,B1208&lt;=_TM2,OR(TH!L1208="1111",TH!M1208="1111")),TH!D1208,""),"")</f>
        <v/>
      </c>
      <c r="B1208" s="36">
        <f t="shared" si="203"/>
        <v>7</v>
      </c>
      <c r="C1208" s="190">
        <f t="shared" si="204"/>
        <v>42579</v>
      </c>
      <c r="D1208" s="37" t="s">
        <v>1635</v>
      </c>
      <c r="E1208" s="740">
        <v>42579</v>
      </c>
      <c r="F1208" s="851" t="s">
        <v>1466</v>
      </c>
      <c r="G1208" s="837" t="s">
        <v>1472</v>
      </c>
      <c r="H1208" s="192" t="s">
        <v>445</v>
      </c>
      <c r="I1208" s="253">
        <v>50</v>
      </c>
      <c r="J1208" s="253">
        <v>33000</v>
      </c>
      <c r="K1208" s="584">
        <f t="shared" si="205"/>
        <v>1650000</v>
      </c>
      <c r="L1208" s="585" t="s">
        <v>857</v>
      </c>
      <c r="M1208" s="585" t="s">
        <v>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826">
        <v>3</v>
      </c>
      <c r="AB1208" s="576" t="str">
        <f>IF(VLOOKUP(F1208,NXT!$C$12:$C$786,1,0)=F1208,"","x")</f>
        <v/>
      </c>
    </row>
    <row r="1209" spans="1:28" ht="15.75" customHeight="1">
      <c r="A1209" s="827" t="str">
        <f>IF(B1209&lt;&gt;"",IF(AND(B1209&gt;=_TM1,B1209&lt;=_TM2,OR(TH!L1209="1111",TH!M1209="1111")),TH!D1209,""),"")</f>
        <v/>
      </c>
      <c r="B1209" s="36">
        <f t="shared" si="203"/>
        <v>7</v>
      </c>
      <c r="C1209" s="190">
        <f t="shared" si="204"/>
        <v>42579</v>
      </c>
      <c r="D1209" s="37" t="s">
        <v>1635</v>
      </c>
      <c r="E1209" s="740">
        <v>42579</v>
      </c>
      <c r="F1209" s="851" t="s">
        <v>1467</v>
      </c>
      <c r="G1209" s="837" t="s">
        <v>1472</v>
      </c>
      <c r="H1209" s="192" t="s">
        <v>445</v>
      </c>
      <c r="I1209" s="253">
        <v>20</v>
      </c>
      <c r="J1209" s="253">
        <v>38500</v>
      </c>
      <c r="K1209" s="584">
        <f t="shared" si="205"/>
        <v>770000</v>
      </c>
      <c r="L1209" s="585" t="s">
        <v>857</v>
      </c>
      <c r="M1209" s="585" t="s">
        <v>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826">
        <v>3</v>
      </c>
      <c r="AB1209" s="576" t="str">
        <f>IF(VLOOKUP(F1209,NXT!$C$12:$C$786,1,0)=F1209,"","x")</f>
        <v/>
      </c>
    </row>
    <row r="1210" spans="1:28" ht="15.75" customHeight="1">
      <c r="A1210" s="827" t="str">
        <f>IF(B1210&lt;&gt;"",IF(AND(B1210&gt;=_TM1,B1210&lt;=_TM2,OR(TH!L1210="1111",TH!M1210="1111")),TH!D1210,""),"")</f>
        <v/>
      </c>
      <c r="B1210" s="36">
        <f t="shared" si="203"/>
        <v>7</v>
      </c>
      <c r="C1210" s="190">
        <f t="shared" si="204"/>
        <v>42579</v>
      </c>
      <c r="D1210" s="37" t="s">
        <v>1635</v>
      </c>
      <c r="E1210" s="740">
        <v>42579</v>
      </c>
      <c r="F1210" s="851" t="s">
        <v>809</v>
      </c>
      <c r="G1210" s="837" t="s">
        <v>1472</v>
      </c>
      <c r="H1210" s="192" t="s">
        <v>445</v>
      </c>
      <c r="I1210" s="253">
        <v>140</v>
      </c>
      <c r="J1210" s="253">
        <v>42400</v>
      </c>
      <c r="K1210" s="584">
        <f t="shared" si="205"/>
        <v>5936000</v>
      </c>
      <c r="L1210" s="585" t="s">
        <v>857</v>
      </c>
      <c r="M1210" s="585" t="s">
        <v>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826">
        <v>3</v>
      </c>
      <c r="AB1210" s="576" t="str">
        <f>IF(VLOOKUP(F1210,NXT!$C$12:$C$786,1,0)=F1210,"","x")</f>
        <v/>
      </c>
    </row>
    <row r="1211" spans="1:28" ht="15.75" customHeight="1">
      <c r="A1211" s="827" t="str">
        <f>IF(B1211&lt;&gt;"",IF(AND(B1211&gt;=_TM1,B1211&lt;=_TM2,OR(TH!L1211="1111",TH!M1211="1111")),TH!D1211,""),"")</f>
        <v/>
      </c>
      <c r="B1211" s="36">
        <f t="shared" si="203"/>
        <v>7</v>
      </c>
      <c r="C1211" s="190">
        <f t="shared" si="204"/>
        <v>42579</v>
      </c>
      <c r="D1211" s="37" t="s">
        <v>1635</v>
      </c>
      <c r="E1211" s="740">
        <v>42579</v>
      </c>
      <c r="F1211" s="851" t="s">
        <v>1456</v>
      </c>
      <c r="G1211" s="837" t="s">
        <v>1472</v>
      </c>
      <c r="H1211" s="192" t="s">
        <v>445</v>
      </c>
      <c r="I1211" s="253">
        <v>12</v>
      </c>
      <c r="J1211" s="253">
        <v>45300</v>
      </c>
      <c r="K1211" s="584">
        <f t="shared" si="205"/>
        <v>543600</v>
      </c>
      <c r="L1211" s="585" t="s">
        <v>857</v>
      </c>
      <c r="M1211" s="585" t="s">
        <v>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826">
        <v>3</v>
      </c>
      <c r="AB1211" s="576" t="str">
        <f>IF(VLOOKUP(F1211,NXT!$C$12:$C$786,1,0)=F1211,"","x")</f>
        <v/>
      </c>
    </row>
    <row r="1212" spans="1:28" ht="15.75" customHeight="1">
      <c r="A1212" s="827" t="str">
        <f>IF(B1212&lt;&gt;"",IF(AND(B1212&gt;=_TM1,B1212&lt;=_TM2,OR(TH!L1212="1111",TH!M1212="1111")),TH!D1212,""),"")</f>
        <v/>
      </c>
      <c r="B1212" s="36">
        <f t="shared" si="203"/>
        <v>7</v>
      </c>
      <c r="C1212" s="190">
        <f t="shared" si="204"/>
        <v>42579</v>
      </c>
      <c r="D1212" s="37" t="s">
        <v>1635</v>
      </c>
      <c r="E1212" s="740">
        <v>42579</v>
      </c>
      <c r="F1212" s="851" t="s">
        <v>821</v>
      </c>
      <c r="G1212" s="837" t="s">
        <v>1472</v>
      </c>
      <c r="H1212" s="192" t="s">
        <v>445</v>
      </c>
      <c r="I1212" s="253">
        <v>12</v>
      </c>
      <c r="J1212" s="253">
        <v>49500</v>
      </c>
      <c r="K1212" s="584">
        <f t="shared" si="205"/>
        <v>594000</v>
      </c>
      <c r="L1212" s="585" t="s">
        <v>857</v>
      </c>
      <c r="M1212" s="585" t="s">
        <v>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826">
        <v>3</v>
      </c>
      <c r="AB1212" s="576" t="str">
        <f>IF(VLOOKUP(F1212,NXT!$C$12:$C$786,1,0)=F1212,"","x")</f>
        <v/>
      </c>
    </row>
    <row r="1213" spans="1:28" ht="15.75" customHeight="1">
      <c r="A1213" s="827" t="str">
        <f>IF(B1213&lt;&gt;"",IF(AND(B1213&gt;=_TM1,B1213&lt;=_TM2,OR(TH!L1213="1111",TH!M1213="1111")),TH!D1213,""),"")</f>
        <v/>
      </c>
      <c r="B1213" s="36">
        <f t="shared" si="203"/>
        <v>7</v>
      </c>
      <c r="C1213" s="190">
        <f t="shared" si="204"/>
        <v>42579</v>
      </c>
      <c r="D1213" s="37" t="s">
        <v>1635</v>
      </c>
      <c r="E1213" s="740">
        <v>42579</v>
      </c>
      <c r="F1213" s="851" t="s">
        <v>1462</v>
      </c>
      <c r="G1213" s="837" t="s">
        <v>1472</v>
      </c>
      <c r="H1213" s="192" t="s">
        <v>445</v>
      </c>
      <c r="I1213" s="253">
        <v>30</v>
      </c>
      <c r="J1213" s="253">
        <v>67500</v>
      </c>
      <c r="K1213" s="584">
        <f t="shared" si="205"/>
        <v>2025000</v>
      </c>
      <c r="L1213" s="585" t="s">
        <v>857</v>
      </c>
      <c r="M1213" s="585" t="s">
        <v>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826">
        <v>3</v>
      </c>
      <c r="AB1213" s="576" t="str">
        <f>IF(VLOOKUP(F1213,NXT!$C$12:$C$786,1,0)=F1213,"","x")</f>
        <v/>
      </c>
    </row>
    <row r="1214" spans="1:28" ht="15.75" customHeight="1">
      <c r="A1214" s="827" t="str">
        <f>IF(B1214&lt;&gt;"",IF(AND(B1214&gt;=_TM1,B1214&lt;=_TM2,OR(TH!L1214="1111",TH!M1214="1111")),TH!D1214,""),"")</f>
        <v/>
      </c>
      <c r="B1214" s="36">
        <f t="shared" si="203"/>
        <v>7</v>
      </c>
      <c r="C1214" s="190">
        <f t="shared" si="204"/>
        <v>42579</v>
      </c>
      <c r="D1214" s="37" t="s">
        <v>1635</v>
      </c>
      <c r="E1214" s="740">
        <v>42579</v>
      </c>
      <c r="F1214" s="851" t="s">
        <v>1461</v>
      </c>
      <c r="G1214" s="837" t="s">
        <v>1472</v>
      </c>
      <c r="H1214" s="192" t="s">
        <v>445</v>
      </c>
      <c r="I1214" s="253">
        <v>30</v>
      </c>
      <c r="J1214" s="253">
        <v>61500</v>
      </c>
      <c r="K1214" s="584">
        <f t="shared" si="205"/>
        <v>1845000</v>
      </c>
      <c r="L1214" s="585" t="s">
        <v>857</v>
      </c>
      <c r="M1214" s="585" t="s">
        <v>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826">
        <v>3</v>
      </c>
      <c r="AB1214" s="576" t="str">
        <f>IF(VLOOKUP(F1214,NXT!$C$12:$C$786,1,0)=F1214,"","x")</f>
        <v/>
      </c>
    </row>
    <row r="1215" spans="1:28" ht="15.75" customHeight="1">
      <c r="A1215" s="827" t="str">
        <f>IF(B1215&lt;&gt;"",IF(AND(B1215&gt;=_TM1,B1215&lt;=_TM2,OR(TH!L1215="1111",TH!M1215="1111")),TH!D1215,""),"")</f>
        <v/>
      </c>
      <c r="B1215" s="36">
        <f t="shared" si="203"/>
        <v>7</v>
      </c>
      <c r="C1215" s="190">
        <f t="shared" si="204"/>
        <v>42579</v>
      </c>
      <c r="D1215" s="37" t="s">
        <v>1635</v>
      </c>
      <c r="E1215" s="740">
        <v>42579</v>
      </c>
      <c r="F1215" s="851" t="s">
        <v>826</v>
      </c>
      <c r="G1215" s="837" t="s">
        <v>1472</v>
      </c>
      <c r="H1215" s="192" t="s">
        <v>445</v>
      </c>
      <c r="I1215" s="253">
        <v>24</v>
      </c>
      <c r="J1215" s="253">
        <v>49000</v>
      </c>
      <c r="K1215" s="584">
        <f t="shared" si="205"/>
        <v>1176000</v>
      </c>
      <c r="L1215" s="585" t="s">
        <v>857</v>
      </c>
      <c r="M1215" s="585" t="s">
        <v>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826">
        <v>3</v>
      </c>
      <c r="AB1215" s="576" t="str">
        <f>IF(VLOOKUP(F1215,NXT!$C$12:$C$786,1,0)=F1215,"","x")</f>
        <v/>
      </c>
    </row>
    <row r="1216" spans="1:28" ht="15.75" customHeight="1">
      <c r="A1216" s="827" t="str">
        <f>IF(B1216&lt;&gt;"",IF(AND(B1216&gt;=_TM1,B1216&lt;=_TM2,OR(TH!L1216="1111",TH!M1216="1111")),TH!D1216,""),"")</f>
        <v/>
      </c>
      <c r="B1216" s="36">
        <f t="shared" si="203"/>
        <v>7</v>
      </c>
      <c r="C1216" s="190">
        <f t="shared" si="204"/>
        <v>42579</v>
      </c>
      <c r="D1216" s="37" t="s">
        <v>1635</v>
      </c>
      <c r="E1216" s="740">
        <v>42579</v>
      </c>
      <c r="F1216" s="851" t="s">
        <v>559</v>
      </c>
      <c r="G1216" s="837" t="s">
        <v>1472</v>
      </c>
      <c r="H1216" s="192" t="s">
        <v>445</v>
      </c>
      <c r="I1216" s="253">
        <v>24</v>
      </c>
      <c r="J1216" s="253">
        <v>49100</v>
      </c>
      <c r="K1216" s="584">
        <f t="shared" si="205"/>
        <v>1178400</v>
      </c>
      <c r="L1216" s="585" t="s">
        <v>857</v>
      </c>
      <c r="M1216" s="585" t="s">
        <v>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826">
        <v>3</v>
      </c>
      <c r="AB1216" s="576" t="str">
        <f>IF(VLOOKUP(F1216,NXT!$C$12:$C$786,1,0)=F1216,"","x")</f>
        <v/>
      </c>
    </row>
    <row r="1217" spans="1:28" ht="15.75" customHeight="1">
      <c r="A1217" s="827" t="str">
        <f>IF(B1217&lt;&gt;"",IF(AND(B1217&gt;=_TM1,B1217&lt;=_TM2,OR(TH!L1217="1111",TH!M1217="1111")),TH!D1217,""),"")</f>
        <v/>
      </c>
      <c r="B1217" s="36">
        <f t="shared" si="203"/>
        <v>7</v>
      </c>
      <c r="C1217" s="190">
        <f t="shared" si="204"/>
        <v>42579</v>
      </c>
      <c r="D1217" s="37" t="s">
        <v>1635</v>
      </c>
      <c r="E1217" s="740">
        <v>42579</v>
      </c>
      <c r="F1217" s="851" t="s">
        <v>813</v>
      </c>
      <c r="G1217" s="837" t="s">
        <v>1472</v>
      </c>
      <c r="H1217" s="192" t="s">
        <v>445</v>
      </c>
      <c r="I1217" s="253">
        <v>10</v>
      </c>
      <c r="J1217" s="253">
        <v>72400</v>
      </c>
      <c r="K1217" s="584">
        <f t="shared" si="205"/>
        <v>724000</v>
      </c>
      <c r="L1217" s="585" t="s">
        <v>857</v>
      </c>
      <c r="M1217" s="585" t="s">
        <v>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826">
        <v>3</v>
      </c>
      <c r="AB1217" s="576" t="str">
        <f>IF(VLOOKUP(F1217,NXT!$C$12:$C$786,1,0)=F1217,"","x")</f>
        <v/>
      </c>
    </row>
    <row r="1218" spans="1:28" ht="15.75" customHeight="1">
      <c r="A1218" s="827" t="str">
        <f>IF(B1218&lt;&gt;"",IF(AND(B1218&gt;=_TM1,B1218&lt;=_TM2,OR(TH!L1218="1111",TH!M1218="1111")),TH!D1218,""),"")</f>
        <v/>
      </c>
      <c r="B1218" s="36">
        <f t="shared" si="203"/>
        <v>7</v>
      </c>
      <c r="C1218" s="190">
        <f t="shared" si="204"/>
        <v>42579</v>
      </c>
      <c r="D1218" s="37" t="s">
        <v>1635</v>
      </c>
      <c r="E1218" s="740">
        <v>42579</v>
      </c>
      <c r="F1218" s="851" t="s">
        <v>562</v>
      </c>
      <c r="G1218" s="837" t="s">
        <v>1472</v>
      </c>
      <c r="H1218" s="192" t="s">
        <v>445</v>
      </c>
      <c r="I1218" s="253">
        <v>48</v>
      </c>
      <c r="J1218" s="253">
        <v>12200</v>
      </c>
      <c r="K1218" s="584">
        <f t="shared" si="205"/>
        <v>585600</v>
      </c>
      <c r="L1218" s="585" t="s">
        <v>857</v>
      </c>
      <c r="M1218" s="585" t="s">
        <v>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826">
        <v>3</v>
      </c>
      <c r="AB1218" s="576" t="str">
        <f>IF(VLOOKUP(F1218,NXT!$C$12:$C$786,1,0)=F1218,"","x")</f>
        <v/>
      </c>
    </row>
    <row r="1219" spans="1:28" ht="15.75" customHeight="1">
      <c r="A1219" s="827" t="str">
        <f>IF(B1219&lt;&gt;"",IF(AND(B1219&gt;=_TM1,B1219&lt;=_TM2,OR(TH!L1219="1111",TH!M1219="1111")),TH!D1219,""),"")</f>
        <v/>
      </c>
      <c r="B1219" s="36">
        <f t="shared" si="203"/>
        <v>7</v>
      </c>
      <c r="C1219" s="190">
        <f t="shared" si="204"/>
        <v>42579</v>
      </c>
      <c r="D1219" s="37" t="s">
        <v>1635</v>
      </c>
      <c r="E1219" s="740">
        <v>42579</v>
      </c>
      <c r="F1219" s="40" t="s">
        <v>1463</v>
      </c>
      <c r="G1219" s="837" t="s">
        <v>1472</v>
      </c>
      <c r="H1219" s="192" t="s">
        <v>445</v>
      </c>
      <c r="I1219" s="253">
        <v>11</v>
      </c>
      <c r="J1219" s="253">
        <v>75000</v>
      </c>
      <c r="K1219" s="584">
        <f t="shared" si="205"/>
        <v>825000</v>
      </c>
      <c r="L1219" s="585" t="s">
        <v>857</v>
      </c>
      <c r="M1219" s="585" t="s">
        <v>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826">
        <v>3</v>
      </c>
      <c r="AB1219" s="576" t="str">
        <f>IF(VLOOKUP(F1219,NXT!$C$12:$C$786,1,0)=F1219,"","x")</f>
        <v/>
      </c>
    </row>
    <row r="1220" spans="1:28" ht="15.75" customHeight="1">
      <c r="A1220" s="827" t="str">
        <f>IF(B1220&lt;&gt;"",IF(AND(B1220&gt;=_TM1,B1220&lt;=_TM2,OR(TH!L1220="1111",TH!M1220="1111")),TH!D1220,""),"")</f>
        <v/>
      </c>
      <c r="B1220" s="36">
        <f t="shared" si="203"/>
        <v>7</v>
      </c>
      <c r="C1220" s="190">
        <f t="shared" si="204"/>
        <v>42579</v>
      </c>
      <c r="D1220" s="37" t="s">
        <v>1635</v>
      </c>
      <c r="E1220" s="740">
        <v>42579</v>
      </c>
      <c r="F1220" s="40" t="s">
        <v>1465</v>
      </c>
      <c r="G1220" s="837" t="s">
        <v>1472</v>
      </c>
      <c r="H1220" s="192" t="s">
        <v>445</v>
      </c>
      <c r="I1220" s="253">
        <v>20</v>
      </c>
      <c r="J1220" s="253">
        <v>71399</v>
      </c>
      <c r="K1220" s="584">
        <f t="shared" si="205"/>
        <v>1427980</v>
      </c>
      <c r="L1220" s="585" t="s">
        <v>857</v>
      </c>
      <c r="M1220" s="585" t="s">
        <v>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826">
        <v>3</v>
      </c>
      <c r="AB1220" s="576" t="str">
        <f>IF(VLOOKUP(F1220,NXT!$C$12:$C$786,1,0)=F1220,"","x")</f>
        <v/>
      </c>
    </row>
    <row r="1221" spans="1:28" ht="15.75" customHeight="1">
      <c r="A1221" s="827" t="str">
        <f>IF(B1221&lt;&gt;"",IF(AND(B1221&gt;=_TM1,B1221&lt;=_TM2,OR(TH!L1221="1111",TH!M1221="1111")),TH!D1221,""),"")</f>
        <v/>
      </c>
      <c r="B1221" s="36">
        <f t="shared" si="203"/>
        <v>7</v>
      </c>
      <c r="C1221" s="190">
        <f t="shared" si="204"/>
        <v>42579</v>
      </c>
      <c r="D1221" s="37" t="s">
        <v>1635</v>
      </c>
      <c r="E1221" s="740">
        <v>42579</v>
      </c>
      <c r="F1221" s="40" t="s">
        <v>882</v>
      </c>
      <c r="G1221" s="837" t="s">
        <v>1472</v>
      </c>
      <c r="H1221" s="192" t="s">
        <v>445</v>
      </c>
      <c r="I1221" s="253">
        <v>16</v>
      </c>
      <c r="J1221" s="253">
        <v>74000</v>
      </c>
      <c r="K1221" s="584">
        <f t="shared" si="205"/>
        <v>1184000</v>
      </c>
      <c r="L1221" s="585" t="s">
        <v>857</v>
      </c>
      <c r="M1221" s="585" t="s">
        <v>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826">
        <v>3</v>
      </c>
      <c r="AB1221" s="576" t="str">
        <f>IF(VLOOKUP(F1221,NXT!$C$12:$C$786,1,0)=F1221,"","x")</f>
        <v/>
      </c>
    </row>
    <row r="1222" spans="1:28" ht="15.75" customHeight="1">
      <c r="A1222" s="827" t="str">
        <f>IF(B1222&lt;&gt;"",IF(AND(B1222&gt;=_TM1,B1222&lt;=_TM2,OR(TH!L1222="1111",TH!M1222="1111")),TH!D1222,""),"")</f>
        <v/>
      </c>
      <c r="B1222" s="36">
        <f t="shared" si="203"/>
        <v>7</v>
      </c>
      <c r="C1222" s="190">
        <f t="shared" si="204"/>
        <v>42579</v>
      </c>
      <c r="D1222" s="37" t="s">
        <v>1635</v>
      </c>
      <c r="E1222" s="740">
        <v>42579</v>
      </c>
      <c r="F1222" s="851" t="s">
        <v>515</v>
      </c>
      <c r="G1222" s="837" t="s">
        <v>1472</v>
      </c>
      <c r="H1222" s="192" t="s">
        <v>445</v>
      </c>
      <c r="I1222" s="253">
        <v>9</v>
      </c>
      <c r="J1222" s="253">
        <v>82500</v>
      </c>
      <c r="K1222" s="584">
        <f t="shared" si="205"/>
        <v>742500</v>
      </c>
      <c r="L1222" s="585" t="s">
        <v>857</v>
      </c>
      <c r="M1222" s="585" t="s">
        <v>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826">
        <v>3</v>
      </c>
      <c r="AB1222" s="576" t="str">
        <f>IF(VLOOKUP(F1222,NXT!$C$12:$C$786,1,0)=F1222,"","x")</f>
        <v/>
      </c>
    </row>
    <row r="1223" spans="1:28" ht="15.75" customHeight="1">
      <c r="A1223" s="827" t="str">
        <f>IF(B1223&lt;&gt;"",IF(AND(B1223&gt;=_TM1,B1223&lt;=_TM2,OR(TH!L1223="1111",TH!M1223="1111")),TH!D1223,""),"")</f>
        <v/>
      </c>
      <c r="B1223" s="36">
        <f t="shared" ref="B1223:B1254" si="206">IF(C1223&lt;&gt;"",MONTH(C1223),"")</f>
        <v>7</v>
      </c>
      <c r="C1223" s="190">
        <f t="shared" ref="C1223:C1254" si="207">E1223</f>
        <v>42579</v>
      </c>
      <c r="D1223" s="37" t="s">
        <v>1635</v>
      </c>
      <c r="E1223" s="740">
        <v>42579</v>
      </c>
      <c r="F1223" s="40" t="s">
        <v>549</v>
      </c>
      <c r="G1223" s="837" t="s">
        <v>1472</v>
      </c>
      <c r="H1223" s="192" t="s">
        <v>445</v>
      </c>
      <c r="I1223" s="253">
        <v>12</v>
      </c>
      <c r="J1223" s="253">
        <v>47300</v>
      </c>
      <c r="K1223" s="584">
        <f t="shared" si="205"/>
        <v>567600</v>
      </c>
      <c r="L1223" s="585" t="s">
        <v>857</v>
      </c>
      <c r="M1223" s="585" t="s">
        <v>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826">
        <v>3</v>
      </c>
      <c r="AB1223" s="576" t="str">
        <f>IF(VLOOKUP(F1223,NXT!$C$12:$C$786,1,0)=F1223,"","x")</f>
        <v/>
      </c>
    </row>
    <row r="1224" spans="1:28" ht="15.75" customHeight="1">
      <c r="A1224" s="827" t="str">
        <f>IF(B1224&lt;&gt;"",IF(AND(B1224&gt;=_TM1,B1224&lt;=_TM2,OR(TH!L1224="1111",TH!M1224="1111")),TH!D1224,""),"")</f>
        <v/>
      </c>
      <c r="B1224" s="36">
        <f t="shared" si="206"/>
        <v>7</v>
      </c>
      <c r="C1224" s="190">
        <f t="shared" si="207"/>
        <v>42579</v>
      </c>
      <c r="D1224" s="37" t="s">
        <v>1635</v>
      </c>
      <c r="E1224" s="740">
        <v>42579</v>
      </c>
      <c r="F1224" s="40" t="s">
        <v>1458</v>
      </c>
      <c r="G1224" s="837" t="s">
        <v>1472</v>
      </c>
      <c r="H1224" s="192" t="s">
        <v>445</v>
      </c>
      <c r="I1224" s="253">
        <v>40</v>
      </c>
      <c r="J1224" s="253">
        <v>41400</v>
      </c>
      <c r="K1224" s="584">
        <f t="shared" si="205"/>
        <v>1656000</v>
      </c>
      <c r="L1224" s="585" t="s">
        <v>857</v>
      </c>
      <c r="M1224" s="585" t="s">
        <v>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826">
        <v>3</v>
      </c>
      <c r="AB1224" s="576" t="str">
        <f>IF(VLOOKUP(F1224,NXT!$C$12:$C$786,1,0)=F1224,"","x")</f>
        <v/>
      </c>
    </row>
    <row r="1225" spans="1:28" ht="15.75" customHeight="1">
      <c r="A1225" s="827" t="str">
        <f>IF(B1225&lt;&gt;"",IF(AND(B1225&gt;=_TM1,B1225&lt;=_TM2,OR(TH!L1225="1111",TH!M1225="1111")),TH!D1225,""),"")</f>
        <v/>
      </c>
      <c r="B1225" s="36">
        <f t="shared" si="206"/>
        <v>7</v>
      </c>
      <c r="C1225" s="190">
        <f t="shared" si="207"/>
        <v>42579</v>
      </c>
      <c r="D1225" s="37" t="s">
        <v>1635</v>
      </c>
      <c r="E1225" s="740">
        <v>42579</v>
      </c>
      <c r="F1225" s="851" t="s">
        <v>504</v>
      </c>
      <c r="G1225" s="837" t="s">
        <v>1472</v>
      </c>
      <c r="H1225" s="192" t="s">
        <v>445</v>
      </c>
      <c r="I1225" s="253">
        <v>6</v>
      </c>
      <c r="J1225" s="253">
        <v>107200</v>
      </c>
      <c r="K1225" s="584">
        <f t="shared" si="205"/>
        <v>643200</v>
      </c>
      <c r="L1225" s="585" t="s">
        <v>857</v>
      </c>
      <c r="M1225" s="585" t="s">
        <v>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826">
        <v>3</v>
      </c>
      <c r="AB1225" s="576" t="str">
        <f>IF(VLOOKUP(F1225,NXT!$C$12:$C$786,1,0)=F1225,"","x")</f>
        <v/>
      </c>
    </row>
    <row r="1226" spans="1:28" ht="15.75" customHeight="1">
      <c r="A1226" s="827" t="str">
        <f>IF(B1226&lt;&gt;"",IF(AND(B1226&gt;=_TM1,B1226&lt;=_TM2,OR(TH!L1226="1111",TH!M1226="1111")),TH!D1226,""),"")</f>
        <v/>
      </c>
      <c r="B1226" s="36">
        <f t="shared" si="206"/>
        <v>7</v>
      </c>
      <c r="C1226" s="190">
        <f t="shared" si="207"/>
        <v>42579</v>
      </c>
      <c r="D1226" s="37" t="s">
        <v>1635</v>
      </c>
      <c r="E1226" s="740">
        <v>42579</v>
      </c>
      <c r="F1226" s="851" t="s">
        <v>494</v>
      </c>
      <c r="G1226" s="837" t="s">
        <v>1472</v>
      </c>
      <c r="H1226" s="192" t="s">
        <v>445</v>
      </c>
      <c r="I1226" s="253">
        <v>12</v>
      </c>
      <c r="J1226" s="253">
        <v>74500</v>
      </c>
      <c r="K1226" s="584">
        <f t="shared" si="205"/>
        <v>894000</v>
      </c>
      <c r="L1226" s="585" t="s">
        <v>857</v>
      </c>
      <c r="M1226" s="585" t="s">
        <v>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826">
        <v>3</v>
      </c>
      <c r="AB1226" s="576" t="str">
        <f>IF(VLOOKUP(F1226,NXT!$C$12:$C$786,1,0)=F1226,"","x")</f>
        <v/>
      </c>
    </row>
    <row r="1227" spans="1:28" ht="15.75" customHeight="1">
      <c r="A1227" s="827" t="str">
        <f>IF(B1227&lt;&gt;"",IF(AND(B1227&gt;=_TM1,B1227&lt;=_TM2,OR(TH!L1227="1111",TH!M1227="1111")),TH!D1227,""),"")</f>
        <v/>
      </c>
      <c r="B1227" s="36">
        <f t="shared" si="206"/>
        <v>7</v>
      </c>
      <c r="C1227" s="190">
        <f t="shared" si="207"/>
        <v>42579</v>
      </c>
      <c r="D1227" s="37" t="s">
        <v>1635</v>
      </c>
      <c r="E1227" s="740">
        <v>42579</v>
      </c>
      <c r="F1227" s="40" t="s">
        <v>819</v>
      </c>
      <c r="G1227" s="837" t="s">
        <v>1472</v>
      </c>
      <c r="H1227" s="192" t="s">
        <v>445</v>
      </c>
      <c r="I1227" s="253">
        <v>4</v>
      </c>
      <c r="J1227" s="253">
        <v>127517</v>
      </c>
      <c r="K1227" s="584">
        <f t="shared" si="205"/>
        <v>510068</v>
      </c>
      <c r="L1227" s="585" t="s">
        <v>857</v>
      </c>
      <c r="M1227" s="585" t="s">
        <v>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826">
        <v>3</v>
      </c>
      <c r="AB1227" s="576" t="str">
        <f>IF(VLOOKUP(F1227,NXT!$C$12:$C$786,1,0)=F1227,"","x")</f>
        <v/>
      </c>
    </row>
    <row r="1228" spans="1:28" ht="15.75" customHeight="1">
      <c r="A1228" s="827" t="str">
        <f>IF(B1228&lt;&gt;"",IF(AND(B1228&gt;=_TM1,B1228&lt;=_TM2,OR(TH!L1228="1111",TH!M1228="1111")),TH!D1228,""),"")</f>
        <v/>
      </c>
      <c r="B1228" s="36">
        <f t="shared" si="206"/>
        <v>7</v>
      </c>
      <c r="C1228" s="190">
        <f t="shared" si="207"/>
        <v>42579</v>
      </c>
      <c r="D1228" s="37" t="s">
        <v>1635</v>
      </c>
      <c r="E1228" s="740">
        <v>42579</v>
      </c>
      <c r="F1228" s="40" t="s">
        <v>1459</v>
      </c>
      <c r="G1228" s="837" t="s">
        <v>1472</v>
      </c>
      <c r="H1228" s="192" t="s">
        <v>445</v>
      </c>
      <c r="I1228" s="253">
        <v>30</v>
      </c>
      <c r="J1228" s="253">
        <v>83000</v>
      </c>
      <c r="K1228" s="584">
        <f t="shared" si="205"/>
        <v>2490000</v>
      </c>
      <c r="L1228" s="585" t="s">
        <v>857</v>
      </c>
      <c r="M1228" s="585" t="s">
        <v>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826">
        <v>3</v>
      </c>
      <c r="AB1228" s="576" t="str">
        <f>IF(VLOOKUP(F1228,NXT!$C$12:$C$786,1,0)=F1228,"","x")</f>
        <v/>
      </c>
    </row>
    <row r="1229" spans="1:28" ht="15.75" customHeight="1">
      <c r="A1229" s="827" t="str">
        <f>IF(B1229&lt;&gt;"",IF(AND(B1229&gt;=_TM1,B1229&lt;=_TM2,OR(TH!L1229="1111",TH!M1229="1111")),TH!D1229,""),"")</f>
        <v/>
      </c>
      <c r="B1229" s="36">
        <f t="shared" si="206"/>
        <v>7</v>
      </c>
      <c r="C1229" s="190">
        <f t="shared" si="207"/>
        <v>42579</v>
      </c>
      <c r="D1229" s="37" t="s">
        <v>1635</v>
      </c>
      <c r="E1229" s="740">
        <v>42579</v>
      </c>
      <c r="F1229" s="40" t="s">
        <v>1475</v>
      </c>
      <c r="G1229" s="837" t="s">
        <v>1472</v>
      </c>
      <c r="H1229" s="192" t="s">
        <v>445</v>
      </c>
      <c r="I1229" s="253">
        <v>200</v>
      </c>
      <c r="J1229" s="253">
        <v>6800</v>
      </c>
      <c r="K1229" s="584">
        <f t="shared" si="205"/>
        <v>1360000</v>
      </c>
      <c r="L1229" s="585" t="s">
        <v>857</v>
      </c>
      <c r="M1229" s="585" t="s">
        <v>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826">
        <v>3</v>
      </c>
      <c r="AB1229" s="576" t="str">
        <f>IF(VLOOKUP(F1229,NXT!$C$12:$C$786,1,0)=F1229,"","x")</f>
        <v/>
      </c>
    </row>
    <row r="1230" spans="1:28" ht="15.75" customHeight="1">
      <c r="A1230" s="827" t="str">
        <f>IF(B1230&lt;&gt;"",IF(AND(B1230&gt;=_TM1,B1230&lt;=_TM2,OR(TH!L1230="1111",TH!M1230="1111")),TH!D1230,""),"")</f>
        <v/>
      </c>
      <c r="B1230" s="36">
        <f t="shared" si="206"/>
        <v>7</v>
      </c>
      <c r="C1230" s="190">
        <f t="shared" si="207"/>
        <v>42579</v>
      </c>
      <c r="D1230" s="37" t="s">
        <v>1635</v>
      </c>
      <c r="E1230" s="740">
        <v>42579</v>
      </c>
      <c r="F1230" s="40" t="s">
        <v>1476</v>
      </c>
      <c r="G1230" s="837" t="s">
        <v>1472</v>
      </c>
      <c r="H1230" s="192" t="s">
        <v>445</v>
      </c>
      <c r="I1230" s="253">
        <v>300</v>
      </c>
      <c r="J1230" s="253">
        <v>7200</v>
      </c>
      <c r="K1230" s="584">
        <f t="shared" si="205"/>
        <v>2160000</v>
      </c>
      <c r="L1230" s="585" t="s">
        <v>857</v>
      </c>
      <c r="M1230" s="585" t="s">
        <v>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826">
        <v>3</v>
      </c>
      <c r="AB1230" s="576" t="str">
        <f>IF(VLOOKUP(F1230,NXT!$C$12:$C$786,1,0)=F1230,"","x")</f>
        <v/>
      </c>
    </row>
    <row r="1231" spans="1:28" ht="15.75" customHeight="1">
      <c r="A1231" s="827" t="str">
        <f>IF(B1231&lt;&gt;"",IF(AND(B1231&gt;=_TM1,B1231&lt;=_TM2,OR(TH!L1231="1111",TH!M1231="1111")),TH!D1231,""),"")</f>
        <v/>
      </c>
      <c r="B1231" s="36">
        <f t="shared" si="206"/>
        <v>7</v>
      </c>
      <c r="C1231" s="190">
        <f t="shared" si="207"/>
        <v>42579</v>
      </c>
      <c r="D1231" s="37" t="s">
        <v>1635</v>
      </c>
      <c r="E1231" s="740">
        <v>42579</v>
      </c>
      <c r="F1231" s="40" t="s">
        <v>1477</v>
      </c>
      <c r="G1231" s="837" t="s">
        <v>1472</v>
      </c>
      <c r="H1231" s="192" t="s">
        <v>445</v>
      </c>
      <c r="I1231" s="253">
        <v>300</v>
      </c>
      <c r="J1231" s="253">
        <v>13500</v>
      </c>
      <c r="K1231" s="584">
        <f t="shared" si="205"/>
        <v>4050000</v>
      </c>
      <c r="L1231" s="585" t="s">
        <v>857</v>
      </c>
      <c r="M1231" s="585" t="s">
        <v>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826">
        <v>3</v>
      </c>
      <c r="AB1231" s="576" t="str">
        <f>IF(VLOOKUP(F1231,NXT!$C$12:$C$786,1,0)=F1231,"","x")</f>
        <v/>
      </c>
    </row>
    <row r="1232" spans="1:28" ht="15.75" customHeight="1">
      <c r="A1232" s="827" t="str">
        <f>IF(B1232&lt;&gt;"",IF(AND(B1232&gt;=_TM1,B1232&lt;=_TM2,OR(TH!L1232="1111",TH!M1232="1111")),TH!D1232,""),"")</f>
        <v/>
      </c>
      <c r="B1232" s="36">
        <f t="shared" si="206"/>
        <v>7</v>
      </c>
      <c r="C1232" s="190">
        <f t="shared" si="207"/>
        <v>42579</v>
      </c>
      <c r="D1232" s="37" t="s">
        <v>1635</v>
      </c>
      <c r="E1232" s="740">
        <v>42579</v>
      </c>
      <c r="F1232" s="40" t="s">
        <v>1479</v>
      </c>
      <c r="G1232" s="837" t="s">
        <v>1472</v>
      </c>
      <c r="H1232" s="192" t="s">
        <v>445</v>
      </c>
      <c r="I1232" s="253">
        <v>200</v>
      </c>
      <c r="J1232" s="253">
        <v>10976</v>
      </c>
      <c r="K1232" s="584">
        <f t="shared" si="205"/>
        <v>2195200</v>
      </c>
      <c r="L1232" s="585" t="s">
        <v>857</v>
      </c>
      <c r="M1232" s="585" t="s">
        <v>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826">
        <v>3</v>
      </c>
      <c r="AB1232" s="576" t="str">
        <f>IF(VLOOKUP(F1232,NXT!$C$12:$C$786,1,0)=F1232,"","x")</f>
        <v/>
      </c>
    </row>
    <row r="1233" spans="1:31" ht="15.75" customHeight="1">
      <c r="A1233" s="827" t="str">
        <f>IF(B1233&lt;&gt;"",IF(AND(B1233&gt;=_TM1,B1233&lt;=_TM2,OR(TH!L1233="1111",TH!M1233="1111")),TH!D1233,""),"")</f>
        <v/>
      </c>
      <c r="B1233" s="36">
        <f t="shared" si="206"/>
        <v>7</v>
      </c>
      <c r="C1233" s="190">
        <f t="shared" si="207"/>
        <v>42579</v>
      </c>
      <c r="D1233" s="37" t="s">
        <v>1635</v>
      </c>
      <c r="E1233" s="740">
        <v>42579</v>
      </c>
      <c r="F1233" s="40" t="s">
        <v>1478</v>
      </c>
      <c r="G1233" s="837" t="s">
        <v>1472</v>
      </c>
      <c r="H1233" s="192" t="s">
        <v>445</v>
      </c>
      <c r="I1233" s="253">
        <v>400</v>
      </c>
      <c r="J1233" s="253">
        <v>14050</v>
      </c>
      <c r="K1233" s="584">
        <f t="shared" si="205"/>
        <v>5620000</v>
      </c>
      <c r="L1233" s="585" t="s">
        <v>857</v>
      </c>
      <c r="M1233" s="585" t="s">
        <v>8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826">
        <v>3</v>
      </c>
      <c r="AB1233" s="576" t="str">
        <f>IF(VLOOKUP(F1233,NXT!$C$12:$C$786,1,0)=F1233,"","x")</f>
        <v/>
      </c>
    </row>
    <row r="1234" spans="1:31" ht="15.75" customHeight="1">
      <c r="A1234" s="827" t="str">
        <f>IF(B1234&lt;&gt;"",IF(AND(B1234&gt;=_TM1,B1234&lt;=_TM2,OR(TH!L1234="1111",TH!M1234="1111")),TH!D1234,""),"")</f>
        <v/>
      </c>
      <c r="B1234" s="36">
        <f t="shared" si="206"/>
        <v>7</v>
      </c>
      <c r="C1234" s="190">
        <f t="shared" si="207"/>
        <v>42579</v>
      </c>
      <c r="D1234" s="37" t="s">
        <v>1635</v>
      </c>
      <c r="E1234" s="740">
        <v>42579</v>
      </c>
      <c r="F1234" s="191" t="s">
        <v>696</v>
      </c>
      <c r="G1234" s="837" t="s">
        <v>1472</v>
      </c>
      <c r="H1234" s="192" t="s">
        <v>445</v>
      </c>
      <c r="I1234" s="253">
        <v>1100</v>
      </c>
      <c r="J1234" s="253">
        <v>11500</v>
      </c>
      <c r="K1234" s="584">
        <f t="shared" si="205"/>
        <v>12650000</v>
      </c>
      <c r="L1234" s="585" t="s">
        <v>857</v>
      </c>
      <c r="M1234" s="585" t="s">
        <v>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826">
        <v>3</v>
      </c>
      <c r="AB1234" s="576" t="str">
        <f>IF(VLOOKUP(F1234,NXT!$C$12:$C$786,1,0)=F1234,"","x")</f>
        <v/>
      </c>
    </row>
    <row r="1235" spans="1:31" ht="15.75" customHeight="1">
      <c r="A1235" s="827" t="str">
        <f>IF(B1235&lt;&gt;"",IF(AND(B1235&gt;=_TM1,B1235&lt;=_TM2,OR(TH!L1235="1111",TH!M1235="1111")),TH!D1235,""),"")</f>
        <v/>
      </c>
      <c r="B1235" s="36">
        <f t="shared" si="206"/>
        <v>7</v>
      </c>
      <c r="C1235" s="190">
        <f t="shared" si="207"/>
        <v>42579</v>
      </c>
      <c r="D1235" s="37" t="s">
        <v>1635</v>
      </c>
      <c r="E1235" s="740">
        <v>42579</v>
      </c>
      <c r="F1235" s="40" t="s">
        <v>812</v>
      </c>
      <c r="G1235" s="837" t="s">
        <v>1472</v>
      </c>
      <c r="H1235" s="192" t="s">
        <v>445</v>
      </c>
      <c r="I1235" s="253">
        <v>465</v>
      </c>
      <c r="J1235" s="253">
        <v>24828</v>
      </c>
      <c r="K1235" s="584">
        <f t="shared" si="205"/>
        <v>11545020</v>
      </c>
      <c r="L1235" s="585" t="s">
        <v>857</v>
      </c>
      <c r="M1235" s="585" t="s">
        <v>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826">
        <v>3</v>
      </c>
      <c r="AB1235" s="576" t="str">
        <f>IF(VLOOKUP(F1235,NXT!$C$12:$C$786,1,0)=F1235,"","x")</f>
        <v/>
      </c>
    </row>
    <row r="1236" spans="1:31" ht="15.75" customHeight="1">
      <c r="A1236" s="827" t="str">
        <f>IF(B1236&lt;&gt;"",IF(AND(B1236&gt;=_TM1,B1236&lt;=_TM2,OR(TH!L1236="1111",TH!M1236="1111")),TH!D1236,""),"")</f>
        <v/>
      </c>
      <c r="B1236" s="36">
        <f t="shared" si="206"/>
        <v>7</v>
      </c>
      <c r="C1236" s="190">
        <f t="shared" si="207"/>
        <v>42579</v>
      </c>
      <c r="D1236" s="37" t="s">
        <v>1635</v>
      </c>
      <c r="E1236" s="740">
        <v>42579</v>
      </c>
      <c r="F1236" s="40" t="s">
        <v>461</v>
      </c>
      <c r="G1236" s="837" t="s">
        <v>1472</v>
      </c>
      <c r="H1236" s="192" t="s">
        <v>445</v>
      </c>
      <c r="I1236" s="253"/>
      <c r="J1236" s="253"/>
      <c r="K1236" s="584">
        <v>10508681</v>
      </c>
      <c r="L1236" s="39" t="s">
        <v>9</v>
      </c>
      <c r="M1236" s="585" t="s">
        <v>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826">
        <v>3</v>
      </c>
      <c r="AB1236" s="847"/>
      <c r="AC1236" s="928">
        <v>105086810</v>
      </c>
      <c r="AD1236" s="928">
        <f>AC1236-SUM(K1191:K1235)</f>
        <v>0</v>
      </c>
      <c r="AE1236" s="848"/>
    </row>
    <row r="1237" spans="1:31" ht="15.75" customHeight="1">
      <c r="A1237" s="827" t="str">
        <f>IF(B1237&lt;&gt;"",IF(AND(B1237&gt;=_TM1,B1237&lt;=_TM2,OR(TH!L1237="1111",TH!M1237="1111")),TH!D1237,""),"")</f>
        <v/>
      </c>
      <c r="B1237" s="36">
        <f t="shared" si="206"/>
        <v>8</v>
      </c>
      <c r="C1237" s="190">
        <f t="shared" si="207"/>
        <v>42587</v>
      </c>
      <c r="D1237" s="37" t="s">
        <v>1636</v>
      </c>
      <c r="E1237" s="740">
        <v>42587</v>
      </c>
      <c r="F1237" s="40" t="s">
        <v>1496</v>
      </c>
      <c r="G1237" s="837" t="s">
        <v>1480</v>
      </c>
      <c r="H1237" s="192" t="s">
        <v>445</v>
      </c>
      <c r="I1237" s="253">
        <v>172</v>
      </c>
      <c r="J1237" s="253">
        <v>9200</v>
      </c>
      <c r="K1237" s="584">
        <f t="shared" ref="K1237:K1253" si="208">ROUND(I1237*J1237,0)</f>
        <v>1582400</v>
      </c>
      <c r="L1237" s="585" t="s">
        <v>857</v>
      </c>
      <c r="M1237" s="585" t="s">
        <v>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826">
        <v>3</v>
      </c>
      <c r="AB1237" s="576" t="str">
        <f>IF(VLOOKUP(F1237,NXT!$C$12:$C$786,1,0)=F1237,"","x")</f>
        <v/>
      </c>
    </row>
    <row r="1238" spans="1:31" ht="15.75" customHeight="1">
      <c r="A1238" s="827" t="str">
        <f>IF(B1238&lt;&gt;"",IF(AND(B1238&gt;=_TM1,B1238&lt;=_TM2,OR(TH!L1238="1111",TH!M1238="1111")),TH!D1238,""),"")</f>
        <v/>
      </c>
      <c r="B1238" s="36">
        <f t="shared" si="206"/>
        <v>8</v>
      </c>
      <c r="C1238" s="190">
        <f t="shared" si="207"/>
        <v>42587</v>
      </c>
      <c r="D1238" s="37" t="s">
        <v>1636</v>
      </c>
      <c r="E1238" s="740">
        <v>42587</v>
      </c>
      <c r="F1238" s="40" t="s">
        <v>1497</v>
      </c>
      <c r="G1238" s="837" t="s">
        <v>1480</v>
      </c>
      <c r="H1238" s="192" t="s">
        <v>445</v>
      </c>
      <c r="I1238" s="253">
        <v>172</v>
      </c>
      <c r="J1238" s="253">
        <v>5400</v>
      </c>
      <c r="K1238" s="584">
        <f t="shared" si="208"/>
        <v>928800</v>
      </c>
      <c r="L1238" s="585" t="s">
        <v>857</v>
      </c>
      <c r="M1238" s="585" t="s">
        <v>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826">
        <v>3</v>
      </c>
      <c r="AB1238" s="576" t="str">
        <f>IF(VLOOKUP(F1238,NXT!$C$12:$C$786,1,0)=F1238,"","x")</f>
        <v/>
      </c>
    </row>
    <row r="1239" spans="1:31" ht="15.75" customHeight="1">
      <c r="A1239" s="827" t="str">
        <f>IF(B1239&lt;&gt;"",IF(AND(B1239&gt;=_TM1,B1239&lt;=_TM2,OR(TH!L1239="1111",TH!M1239="1111")),TH!D1239,""),"")</f>
        <v/>
      </c>
      <c r="B1239" s="36">
        <f t="shared" si="206"/>
        <v>8</v>
      </c>
      <c r="C1239" s="190">
        <f t="shared" si="207"/>
        <v>42587</v>
      </c>
      <c r="D1239" s="37" t="s">
        <v>1636</v>
      </c>
      <c r="E1239" s="740">
        <v>42587</v>
      </c>
      <c r="F1239" s="40" t="s">
        <v>1498</v>
      </c>
      <c r="G1239" s="837" t="s">
        <v>1480</v>
      </c>
      <c r="H1239" s="192" t="s">
        <v>445</v>
      </c>
      <c r="I1239" s="253">
        <v>172</v>
      </c>
      <c r="J1239" s="253">
        <v>8000</v>
      </c>
      <c r="K1239" s="584">
        <f t="shared" si="208"/>
        <v>1376000</v>
      </c>
      <c r="L1239" s="585" t="s">
        <v>857</v>
      </c>
      <c r="M1239" s="585" t="s">
        <v>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826">
        <v>3</v>
      </c>
      <c r="AB1239" s="576" t="str">
        <f>IF(VLOOKUP(F1239,NXT!$C$12:$C$786,1,0)=F1239,"","x")</f>
        <v/>
      </c>
    </row>
    <row r="1240" spans="1:31" ht="15.75" customHeight="1">
      <c r="A1240" s="827" t="str">
        <f>IF(B1240&lt;&gt;"",IF(AND(B1240&gt;=_TM1,B1240&lt;=_TM2,OR(TH!L1240="1111",TH!M1240="1111")),TH!D1240,""),"")</f>
        <v/>
      </c>
      <c r="B1240" s="36">
        <f t="shared" si="206"/>
        <v>8</v>
      </c>
      <c r="C1240" s="190">
        <f t="shared" si="207"/>
        <v>42587</v>
      </c>
      <c r="D1240" s="37" t="s">
        <v>1636</v>
      </c>
      <c r="E1240" s="740">
        <v>42587</v>
      </c>
      <c r="F1240" s="40" t="s">
        <v>1499</v>
      </c>
      <c r="G1240" s="837" t="s">
        <v>1480</v>
      </c>
      <c r="H1240" s="192" t="s">
        <v>445</v>
      </c>
      <c r="I1240" s="253">
        <v>172</v>
      </c>
      <c r="J1240" s="253">
        <v>6200</v>
      </c>
      <c r="K1240" s="584">
        <f t="shared" si="208"/>
        <v>1066400</v>
      </c>
      <c r="L1240" s="585" t="s">
        <v>857</v>
      </c>
      <c r="M1240" s="585" t="s">
        <v>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826">
        <v>3</v>
      </c>
      <c r="AB1240" s="576" t="str">
        <f>IF(VLOOKUP(F1240,NXT!$C$12:$C$786,1,0)=F1240,"","x")</f>
        <v/>
      </c>
    </row>
    <row r="1241" spans="1:31" s="848" customFormat="1" ht="15.75" customHeight="1">
      <c r="A1241" s="827" t="str">
        <f>IF(B1241&lt;&gt;"",IF(AND(B1241&gt;=_TM1,B1241&lt;=_TM2,OR(TH!L1241="1111",TH!M1241="1111")),TH!D1241,""),"")</f>
        <v/>
      </c>
      <c r="B1241" s="36">
        <f t="shared" si="206"/>
        <v>8</v>
      </c>
      <c r="C1241" s="190">
        <f t="shared" si="207"/>
        <v>42587</v>
      </c>
      <c r="D1241" s="37" t="s">
        <v>1636</v>
      </c>
      <c r="E1241" s="740">
        <v>42587</v>
      </c>
      <c r="F1241" s="40" t="s">
        <v>1500</v>
      </c>
      <c r="G1241" s="837" t="s">
        <v>1480</v>
      </c>
      <c r="H1241" s="192" t="s">
        <v>445</v>
      </c>
      <c r="I1241" s="253">
        <v>200</v>
      </c>
      <c r="J1241" s="253">
        <v>7900</v>
      </c>
      <c r="K1241" s="584">
        <f t="shared" si="208"/>
        <v>1580000</v>
      </c>
      <c r="L1241" s="585" t="s">
        <v>857</v>
      </c>
      <c r="M1241" s="585" t="s">
        <v>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826">
        <v>3</v>
      </c>
      <c r="AB1241" s="576" t="str">
        <f>IF(VLOOKUP(F1241,NXT!$C$12:$C$786,1,0)=F1241,"","x")</f>
        <v/>
      </c>
      <c r="AC1241" s="205"/>
      <c r="AD1241" s="205"/>
      <c r="AE1241" s="205"/>
    </row>
    <row r="1242" spans="1:31" ht="15.75" customHeight="1">
      <c r="A1242" s="827" t="str">
        <f>IF(B1242&lt;&gt;"",IF(AND(B1242&gt;=_TM1,B1242&lt;=_TM2,OR(TH!L1242="1111",TH!M1242="1111")),TH!D1242,""),"")</f>
        <v/>
      </c>
      <c r="B1242" s="36">
        <f t="shared" si="206"/>
        <v>8</v>
      </c>
      <c r="C1242" s="190">
        <f t="shared" si="207"/>
        <v>42587</v>
      </c>
      <c r="D1242" s="37" t="s">
        <v>1636</v>
      </c>
      <c r="E1242" s="740">
        <v>42587</v>
      </c>
      <c r="F1242" s="40" t="s">
        <v>1501</v>
      </c>
      <c r="G1242" s="837" t="s">
        <v>1480</v>
      </c>
      <c r="H1242" s="192" t="s">
        <v>445</v>
      </c>
      <c r="I1242" s="253">
        <v>200</v>
      </c>
      <c r="J1242" s="253">
        <v>5600</v>
      </c>
      <c r="K1242" s="584">
        <f t="shared" si="208"/>
        <v>1120000</v>
      </c>
      <c r="L1242" s="585" t="s">
        <v>857</v>
      </c>
      <c r="M1242" s="585" t="s">
        <v>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826">
        <v>3</v>
      </c>
      <c r="AB1242" s="576" t="str">
        <f>IF(VLOOKUP(F1242,NXT!$C$12:$C$786,1,0)=F1242,"","x")</f>
        <v/>
      </c>
    </row>
    <row r="1243" spans="1:31" ht="15.75" customHeight="1">
      <c r="A1243" s="827" t="str">
        <f>IF(B1243&lt;&gt;"",IF(AND(B1243&gt;=_TM1,B1243&lt;=_TM2,OR(TH!L1243="1111",TH!M1243="1111")),TH!D1243,""),"")</f>
        <v/>
      </c>
      <c r="B1243" s="36">
        <f t="shared" si="206"/>
        <v>8</v>
      </c>
      <c r="C1243" s="190">
        <f t="shared" si="207"/>
        <v>42587</v>
      </c>
      <c r="D1243" s="37" t="s">
        <v>1636</v>
      </c>
      <c r="E1243" s="740">
        <v>42587</v>
      </c>
      <c r="F1243" s="40" t="s">
        <v>1504</v>
      </c>
      <c r="G1243" s="837" t="s">
        <v>1480</v>
      </c>
      <c r="H1243" s="192" t="s">
        <v>445</v>
      </c>
      <c r="I1243" s="253">
        <v>172</v>
      </c>
      <c r="J1243" s="253">
        <v>10300</v>
      </c>
      <c r="K1243" s="584">
        <f t="shared" si="208"/>
        <v>1771600</v>
      </c>
      <c r="L1243" s="585" t="s">
        <v>857</v>
      </c>
      <c r="M1243" s="585" t="s">
        <v>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826">
        <v>3</v>
      </c>
      <c r="AB1243" s="576" t="str">
        <f>IF(VLOOKUP(F1243,NXT!$C$12:$C$786,1,0)=F1243,"","x")</f>
        <v/>
      </c>
    </row>
    <row r="1244" spans="1:31" ht="15.75" customHeight="1">
      <c r="A1244" s="827" t="str">
        <f>IF(B1244&lt;&gt;"",IF(AND(B1244&gt;=_TM1,B1244&lt;=_TM2,OR(TH!L1244="1111",TH!M1244="1111")),TH!D1244,""),"")</f>
        <v/>
      </c>
      <c r="B1244" s="36">
        <f t="shared" si="206"/>
        <v>8</v>
      </c>
      <c r="C1244" s="190">
        <f t="shared" si="207"/>
        <v>42587</v>
      </c>
      <c r="D1244" s="37" t="s">
        <v>1636</v>
      </c>
      <c r="E1244" s="740">
        <v>42587</v>
      </c>
      <c r="F1244" s="40" t="s">
        <v>1505</v>
      </c>
      <c r="G1244" s="837" t="s">
        <v>1480</v>
      </c>
      <c r="H1244" s="192" t="s">
        <v>445</v>
      </c>
      <c r="I1244" s="253">
        <v>172</v>
      </c>
      <c r="J1244" s="253">
        <v>12500</v>
      </c>
      <c r="K1244" s="584">
        <f t="shared" si="208"/>
        <v>2150000</v>
      </c>
      <c r="L1244" s="585" t="s">
        <v>857</v>
      </c>
      <c r="M1244" s="585" t="s">
        <v>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826">
        <v>3</v>
      </c>
      <c r="AB1244" s="576" t="str">
        <f>IF(VLOOKUP(F1244,NXT!$C$12:$C$786,1,0)=F1244,"","x")</f>
        <v/>
      </c>
    </row>
    <row r="1245" spans="1:31" ht="15.75" customHeight="1">
      <c r="A1245" s="827" t="str">
        <f>IF(B1245&lt;&gt;"",IF(AND(B1245&gt;=_TM1,B1245&lt;=_TM2,OR(TH!L1245="1111",TH!M1245="1111")),TH!D1245,""),"")</f>
        <v/>
      </c>
      <c r="B1245" s="36">
        <f t="shared" si="206"/>
        <v>8</v>
      </c>
      <c r="C1245" s="190">
        <f t="shared" si="207"/>
        <v>42587</v>
      </c>
      <c r="D1245" s="37" t="s">
        <v>1636</v>
      </c>
      <c r="E1245" s="740">
        <v>42587</v>
      </c>
      <c r="F1245" s="40" t="s">
        <v>1507</v>
      </c>
      <c r="G1245" s="837" t="s">
        <v>1480</v>
      </c>
      <c r="H1245" s="192" t="s">
        <v>445</v>
      </c>
      <c r="I1245" s="253">
        <v>172</v>
      </c>
      <c r="J1245" s="253">
        <v>5800</v>
      </c>
      <c r="K1245" s="584">
        <f t="shared" si="208"/>
        <v>997600</v>
      </c>
      <c r="L1245" s="585" t="s">
        <v>857</v>
      </c>
      <c r="M1245" s="585" t="s">
        <v>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826">
        <v>3</v>
      </c>
      <c r="AB1245" s="576" t="str">
        <f>IF(VLOOKUP(F1245,NXT!$C$12:$C$786,1,0)=F1245,"","x")</f>
        <v/>
      </c>
    </row>
    <row r="1246" spans="1:31" ht="15.75" customHeight="1">
      <c r="A1246" s="827" t="str">
        <f>IF(B1246&lt;&gt;"",IF(AND(B1246&gt;=_TM1,B1246&lt;=_TM2,OR(TH!L1246="1111",TH!M1246="1111")),TH!D1246,""),"")</f>
        <v/>
      </c>
      <c r="B1246" s="36">
        <f t="shared" si="206"/>
        <v>8</v>
      </c>
      <c r="C1246" s="190">
        <f t="shared" si="207"/>
        <v>42587</v>
      </c>
      <c r="D1246" s="37" t="s">
        <v>1636</v>
      </c>
      <c r="E1246" s="740">
        <v>42587</v>
      </c>
      <c r="F1246" s="40" t="s">
        <v>1506</v>
      </c>
      <c r="G1246" s="837" t="s">
        <v>1480</v>
      </c>
      <c r="H1246" s="192" t="s">
        <v>445</v>
      </c>
      <c r="I1246" s="253">
        <v>172</v>
      </c>
      <c r="J1246" s="253">
        <v>10250</v>
      </c>
      <c r="K1246" s="584">
        <f t="shared" si="208"/>
        <v>1763000</v>
      </c>
      <c r="L1246" s="585" t="s">
        <v>857</v>
      </c>
      <c r="M1246" s="585" t="s">
        <v>8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826">
        <v>3</v>
      </c>
      <c r="AB1246" s="576" t="str">
        <f>IF(VLOOKUP(F1246,NXT!$C$12:$C$786,1,0)=F1246,"","x")</f>
        <v/>
      </c>
    </row>
    <row r="1247" spans="1:31" ht="15.75" customHeight="1">
      <c r="A1247" s="827" t="str">
        <f>IF(B1247&lt;&gt;"",IF(AND(B1247&gt;=_TM1,B1247&lt;=_TM2,OR(TH!L1247="1111",TH!M1247="1111")),TH!D1247,""),"")</f>
        <v/>
      </c>
      <c r="B1247" s="36">
        <f t="shared" si="206"/>
        <v>8</v>
      </c>
      <c r="C1247" s="190">
        <f t="shared" si="207"/>
        <v>42587</v>
      </c>
      <c r="D1247" s="37" t="s">
        <v>1636</v>
      </c>
      <c r="E1247" s="740">
        <v>42587</v>
      </c>
      <c r="F1247" s="40" t="s">
        <v>1508</v>
      </c>
      <c r="G1247" s="837" t="s">
        <v>1480</v>
      </c>
      <c r="H1247" s="192" t="s">
        <v>445</v>
      </c>
      <c r="I1247" s="253">
        <v>172</v>
      </c>
      <c r="J1247" s="253">
        <v>11150</v>
      </c>
      <c r="K1247" s="584">
        <f t="shared" si="208"/>
        <v>1917800</v>
      </c>
      <c r="L1247" s="585" t="s">
        <v>857</v>
      </c>
      <c r="M1247" s="585" t="s">
        <v>8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826">
        <v>3</v>
      </c>
      <c r="AB1247" s="576" t="str">
        <f>IF(VLOOKUP(F1247,NXT!$C$12:$C$786,1,0)=F1247,"","x")</f>
        <v/>
      </c>
    </row>
    <row r="1248" spans="1:31" ht="15.75" customHeight="1">
      <c r="A1248" s="827" t="str">
        <f>IF(B1248&lt;&gt;"",IF(AND(B1248&gt;=_TM1,B1248&lt;=_TM2,OR(TH!L1248="1111",TH!M1248="1111")),TH!D1248,""),"")</f>
        <v/>
      </c>
      <c r="B1248" s="36">
        <f t="shared" si="206"/>
        <v>8</v>
      </c>
      <c r="C1248" s="190">
        <f t="shared" si="207"/>
        <v>42587</v>
      </c>
      <c r="D1248" s="37" t="s">
        <v>1636</v>
      </c>
      <c r="E1248" s="740">
        <v>42587</v>
      </c>
      <c r="F1248" s="40" t="s">
        <v>1509</v>
      </c>
      <c r="G1248" s="837" t="s">
        <v>1480</v>
      </c>
      <c r="H1248" s="192" t="s">
        <v>445</v>
      </c>
      <c r="I1248" s="253">
        <v>172</v>
      </c>
      <c r="J1248" s="253">
        <v>6700</v>
      </c>
      <c r="K1248" s="584">
        <f t="shared" si="208"/>
        <v>1152400</v>
      </c>
      <c r="L1248" s="585" t="s">
        <v>857</v>
      </c>
      <c r="M1248" s="585" t="s">
        <v>8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826">
        <v>3</v>
      </c>
      <c r="AB1248" s="576" t="str">
        <f>IF(VLOOKUP(F1248,NXT!$C$12:$C$786,1,0)=F1248,"","x")</f>
        <v/>
      </c>
    </row>
    <row r="1249" spans="1:30" ht="15.75" customHeight="1">
      <c r="A1249" s="827" t="str">
        <f>IF(B1249&lt;&gt;"",IF(AND(B1249&gt;=_TM1,B1249&lt;=_TM2,OR(TH!L1249="1111",TH!M1249="1111")),TH!D1249,""),"")</f>
        <v/>
      </c>
      <c r="B1249" s="36">
        <f t="shared" si="206"/>
        <v>8</v>
      </c>
      <c r="C1249" s="190">
        <f t="shared" si="207"/>
        <v>42587</v>
      </c>
      <c r="D1249" s="37" t="s">
        <v>1636</v>
      </c>
      <c r="E1249" s="740">
        <v>42587</v>
      </c>
      <c r="F1249" s="40" t="s">
        <v>1510</v>
      </c>
      <c r="G1249" s="837" t="s">
        <v>1480</v>
      </c>
      <c r="H1249" s="192" t="s">
        <v>445</v>
      </c>
      <c r="I1249" s="253">
        <v>200</v>
      </c>
      <c r="J1249" s="253">
        <v>9350</v>
      </c>
      <c r="K1249" s="584">
        <f t="shared" si="208"/>
        <v>1870000</v>
      </c>
      <c r="L1249" s="585" t="s">
        <v>857</v>
      </c>
      <c r="M1249" s="585" t="s">
        <v>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826">
        <v>3</v>
      </c>
      <c r="AB1249" s="576" t="str">
        <f>IF(VLOOKUP(F1249,NXT!$C$12:$C$786,1,0)=F1249,"","x")</f>
        <v/>
      </c>
    </row>
    <row r="1250" spans="1:30" ht="15.75" customHeight="1">
      <c r="A1250" s="827" t="str">
        <f>IF(B1250&lt;&gt;"",IF(AND(B1250&gt;=_TM1,B1250&lt;=_TM2,OR(TH!L1250="1111",TH!M1250="1111")),TH!D1250,""),"")</f>
        <v/>
      </c>
      <c r="B1250" s="36">
        <f t="shared" si="206"/>
        <v>8</v>
      </c>
      <c r="C1250" s="190">
        <f t="shared" si="207"/>
        <v>42587</v>
      </c>
      <c r="D1250" s="37" t="s">
        <v>1636</v>
      </c>
      <c r="E1250" s="740">
        <v>42587</v>
      </c>
      <c r="F1250" s="40" t="s">
        <v>1511</v>
      </c>
      <c r="G1250" s="837" t="s">
        <v>1480</v>
      </c>
      <c r="H1250" s="192" t="s">
        <v>445</v>
      </c>
      <c r="I1250" s="253">
        <v>200</v>
      </c>
      <c r="J1250" s="253">
        <v>11080</v>
      </c>
      <c r="K1250" s="584">
        <f t="shared" si="208"/>
        <v>2216000</v>
      </c>
      <c r="L1250" s="585" t="s">
        <v>857</v>
      </c>
      <c r="M1250" s="585" t="s">
        <v>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826">
        <v>3</v>
      </c>
      <c r="AB1250" s="576" t="str">
        <f>IF(VLOOKUP(F1250,NXT!$C$12:$C$786,1,0)=F1250,"","x")</f>
        <v/>
      </c>
    </row>
    <row r="1251" spans="1:30" ht="15.75" customHeight="1">
      <c r="A1251" s="827" t="str">
        <f>IF(B1251&lt;&gt;"",IF(AND(B1251&gt;=_TM1,B1251&lt;=_TM2,OR(TH!L1251="1111",TH!M1251="1111")),TH!D1251,""),"")</f>
        <v/>
      </c>
      <c r="B1251" s="36">
        <f t="shared" si="206"/>
        <v>8</v>
      </c>
      <c r="C1251" s="190">
        <f t="shared" si="207"/>
        <v>42587</v>
      </c>
      <c r="D1251" s="37" t="s">
        <v>1636</v>
      </c>
      <c r="E1251" s="740">
        <v>42587</v>
      </c>
      <c r="F1251" s="40" t="s">
        <v>1512</v>
      </c>
      <c r="G1251" s="837" t="s">
        <v>1480</v>
      </c>
      <c r="H1251" s="192" t="s">
        <v>445</v>
      </c>
      <c r="I1251" s="253">
        <v>200</v>
      </c>
      <c r="J1251" s="253">
        <v>6145</v>
      </c>
      <c r="K1251" s="584">
        <f t="shared" si="208"/>
        <v>1229000</v>
      </c>
      <c r="L1251" s="585" t="s">
        <v>857</v>
      </c>
      <c r="M1251" s="585" t="s">
        <v>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826">
        <v>3</v>
      </c>
      <c r="AB1251" s="576" t="str">
        <f>IF(VLOOKUP(F1251,NXT!$C$12:$C$786,1,0)=F1251,"","x")</f>
        <v/>
      </c>
    </row>
    <row r="1252" spans="1:30" ht="15.75" customHeight="1">
      <c r="A1252" s="827" t="str">
        <f>IF(B1252&lt;&gt;"",IF(AND(B1252&gt;=_TM1,B1252&lt;=_TM2,OR(TH!L1252="1111",TH!M1252="1111")),TH!D1252,""),"")</f>
        <v/>
      </c>
      <c r="B1252" s="36">
        <f t="shared" si="206"/>
        <v>8</v>
      </c>
      <c r="C1252" s="190">
        <f t="shared" si="207"/>
        <v>42587</v>
      </c>
      <c r="D1252" s="37" t="s">
        <v>1636</v>
      </c>
      <c r="E1252" s="740">
        <v>42587</v>
      </c>
      <c r="F1252" s="40" t="s">
        <v>812</v>
      </c>
      <c r="G1252" s="837" t="s">
        <v>1480</v>
      </c>
      <c r="H1252" s="192" t="s">
        <v>445</v>
      </c>
      <c r="I1252" s="253">
        <v>975</v>
      </c>
      <c r="J1252" s="253">
        <v>24828</v>
      </c>
      <c r="K1252" s="584">
        <f t="shared" si="208"/>
        <v>24207300</v>
      </c>
      <c r="L1252" s="585" t="s">
        <v>857</v>
      </c>
      <c r="M1252" s="585" t="s">
        <v>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826">
        <v>3</v>
      </c>
      <c r="AB1252" s="576" t="str">
        <f>IF(VLOOKUP(F1252,NXT!$C$12:$C$786,1,0)=F1252,"","x")</f>
        <v/>
      </c>
    </row>
    <row r="1253" spans="1:30" ht="15.75" customHeight="1">
      <c r="A1253" s="827" t="str">
        <f>IF(B1253&lt;&gt;"",IF(AND(B1253&gt;=_TM1,B1253&lt;=_TM2,OR(TH!L1253="1111",TH!M1253="1111")),TH!D1253,""),"")</f>
        <v/>
      </c>
      <c r="B1253" s="36">
        <f t="shared" si="206"/>
        <v>8</v>
      </c>
      <c r="C1253" s="190">
        <f t="shared" si="207"/>
        <v>42587</v>
      </c>
      <c r="D1253" s="37" t="s">
        <v>1636</v>
      </c>
      <c r="E1253" s="740">
        <v>42587</v>
      </c>
      <c r="F1253" s="292" t="s">
        <v>1546</v>
      </c>
      <c r="G1253" s="837" t="s">
        <v>1480</v>
      </c>
      <c r="H1253" s="192" t="s">
        <v>445</v>
      </c>
      <c r="I1253" s="253">
        <v>3</v>
      </c>
      <c r="J1253" s="253">
        <v>50556.6</v>
      </c>
      <c r="K1253" s="584">
        <f t="shared" si="208"/>
        <v>151670</v>
      </c>
      <c r="L1253" s="585" t="s">
        <v>857</v>
      </c>
      <c r="M1253" s="585" t="s">
        <v>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826">
        <v>3</v>
      </c>
      <c r="AB1253" s="576" t="str">
        <f>IF(VLOOKUP(F1253,NXT!$C$12:$C$786,1,0)=F1253,"","x")</f>
        <v/>
      </c>
    </row>
    <row r="1254" spans="1:30" ht="15.75" customHeight="1">
      <c r="A1254" s="827" t="str">
        <f>IF(B1254&lt;&gt;"",IF(AND(B1254&gt;=_TM1,B1254&lt;=_TM2,OR(TH!L1254="1111",TH!M1254="1111")),TH!D1254,""),"")</f>
        <v/>
      </c>
      <c r="B1254" s="36">
        <f t="shared" si="206"/>
        <v>8</v>
      </c>
      <c r="C1254" s="190">
        <f t="shared" si="207"/>
        <v>42587</v>
      </c>
      <c r="D1254" s="37" t="s">
        <v>1636</v>
      </c>
      <c r="E1254" s="740">
        <v>42587</v>
      </c>
      <c r="F1254" s="40" t="s">
        <v>461</v>
      </c>
      <c r="G1254" s="837" t="s">
        <v>1480</v>
      </c>
      <c r="H1254" s="192" t="s">
        <v>445</v>
      </c>
      <c r="I1254" s="253"/>
      <c r="J1254" s="253"/>
      <c r="K1254" s="584">
        <v>4707997</v>
      </c>
      <c r="L1254" s="39" t="s">
        <v>9</v>
      </c>
      <c r="M1254" s="585" t="s">
        <v>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826">
        <v>3</v>
      </c>
      <c r="AB1254" s="576"/>
      <c r="AC1254" s="928">
        <v>47079970</v>
      </c>
      <c r="AD1254" s="928">
        <f>AC1254-SUM(K1237:K1253)</f>
        <v>0</v>
      </c>
    </row>
    <row r="1255" spans="1:30" ht="15.75" customHeight="1">
      <c r="A1255" s="827" t="str">
        <f>IF(B1255&lt;&gt;"",IF(AND(B1255&gt;=_TM1,B1255&lt;=_TM2,OR(TH!L1255="1111",TH!M1255="1111")),TH!D1255,""),"")</f>
        <v/>
      </c>
      <c r="B1255" s="36">
        <f t="shared" ref="B1255:B1365" si="209">IF(C1255&lt;&gt;"",MONTH(C1255),"")</f>
        <v>8</v>
      </c>
      <c r="C1255" s="190">
        <f t="shared" ref="C1255:C1365" si="210">E1255</f>
        <v>42588</v>
      </c>
      <c r="D1255" s="37" t="s">
        <v>1637</v>
      </c>
      <c r="E1255" s="740">
        <v>42588</v>
      </c>
      <c r="F1255" s="188" t="s">
        <v>1384</v>
      </c>
      <c r="G1255" s="837" t="s">
        <v>1383</v>
      </c>
      <c r="H1255" s="192" t="s">
        <v>435</v>
      </c>
      <c r="I1255" s="253">
        <v>20</v>
      </c>
      <c r="J1255" s="253">
        <v>47613</v>
      </c>
      <c r="K1255" s="584">
        <f>ROUND(I1255*J1255,0)</f>
        <v>952260</v>
      </c>
      <c r="L1255" s="585" t="s">
        <v>857</v>
      </c>
      <c r="M1255" s="585" t="s">
        <v>8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826">
        <v>3</v>
      </c>
      <c r="AB1255" s="576" t="str">
        <f>IF(VLOOKUP(F1255,NXT!$C$12:$C$786,1,0)=F1255,"","x")</f>
        <v/>
      </c>
    </row>
    <row r="1256" spans="1:30" ht="15.75" customHeight="1">
      <c r="A1256" s="827" t="str">
        <f>IF(B1256&lt;&gt;"",IF(AND(B1256&gt;=_TM1,B1256&lt;=_TM2,OR(TH!L1256="1111",TH!M1256="1111")),TH!D1256,""),"")</f>
        <v/>
      </c>
      <c r="B1256" s="36">
        <f t="shared" si="209"/>
        <v>8</v>
      </c>
      <c r="C1256" s="190">
        <f t="shared" si="210"/>
        <v>42588</v>
      </c>
      <c r="D1256" s="37" t="s">
        <v>1637</v>
      </c>
      <c r="E1256" s="740">
        <v>42588</v>
      </c>
      <c r="F1256" s="188" t="s">
        <v>1382</v>
      </c>
      <c r="G1256" s="837" t="s">
        <v>1383</v>
      </c>
      <c r="H1256" s="192" t="s">
        <v>435</v>
      </c>
      <c r="I1256" s="253">
        <v>40</v>
      </c>
      <c r="J1256" s="253">
        <v>47200</v>
      </c>
      <c r="K1256" s="584">
        <f>ROUND(I1256*J1256,0)</f>
        <v>1888000</v>
      </c>
      <c r="L1256" s="585" t="s">
        <v>857</v>
      </c>
      <c r="M1256" s="585" t="s">
        <v>8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826">
        <v>3</v>
      </c>
      <c r="AB1256" s="576" t="str">
        <f>IF(VLOOKUP(F1256,NXT!$C$12:$C$786,1,0)=F1256,"","x")</f>
        <v/>
      </c>
    </row>
    <row r="1257" spans="1:30" ht="15.75" customHeight="1">
      <c r="A1257" s="827" t="str">
        <f>IF(B1257&lt;&gt;"",IF(AND(B1257&gt;=_TM1,B1257&lt;=_TM2,OR(TH!L1257="1111",TH!M1257="1111")),TH!D1257,""),"")</f>
        <v/>
      </c>
      <c r="B1257" s="36">
        <f t="shared" si="209"/>
        <v>8</v>
      </c>
      <c r="C1257" s="190">
        <f t="shared" si="210"/>
        <v>42588</v>
      </c>
      <c r="D1257" s="37" t="s">
        <v>1637</v>
      </c>
      <c r="E1257" s="740">
        <v>42588</v>
      </c>
      <c r="F1257" s="188" t="s">
        <v>1385</v>
      </c>
      <c r="G1257" s="837" t="s">
        <v>1383</v>
      </c>
      <c r="H1257" s="192" t="s">
        <v>435</v>
      </c>
      <c r="I1257" s="253">
        <v>38</v>
      </c>
      <c r="J1257" s="253">
        <v>26316</v>
      </c>
      <c r="K1257" s="584">
        <f>ROUND(I1257*J1257,0)</f>
        <v>1000008</v>
      </c>
      <c r="L1257" s="585" t="s">
        <v>857</v>
      </c>
      <c r="M1257" s="585" t="s">
        <v>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826">
        <v>3</v>
      </c>
      <c r="AB1257" s="576" t="str">
        <f>IF(VLOOKUP(F1257,NXT!$C$12:$C$786,1,0)=F1257,"","x")</f>
        <v/>
      </c>
    </row>
    <row r="1258" spans="1:30" ht="15.75" customHeight="1">
      <c r="A1258" s="827" t="str">
        <f>IF(B1258&lt;&gt;"",IF(AND(B1258&gt;=_TM1,B1258&lt;=_TM2,OR(TH!L1258="1111",TH!M1258="1111")),TH!D1258,""),"")</f>
        <v/>
      </c>
      <c r="B1258" s="36">
        <f t="shared" si="209"/>
        <v>8</v>
      </c>
      <c r="C1258" s="190">
        <f t="shared" si="210"/>
        <v>42588</v>
      </c>
      <c r="D1258" s="37" t="s">
        <v>1637</v>
      </c>
      <c r="E1258" s="740">
        <v>42588</v>
      </c>
      <c r="F1258" s="188" t="s">
        <v>443</v>
      </c>
      <c r="G1258" s="837" t="s">
        <v>1383</v>
      </c>
      <c r="H1258" s="192" t="s">
        <v>435</v>
      </c>
      <c r="I1258" s="253"/>
      <c r="J1258" s="253"/>
      <c r="K1258" s="584">
        <v>384027</v>
      </c>
      <c r="L1258" s="193" t="s">
        <v>9</v>
      </c>
      <c r="M1258" s="585" t="s">
        <v>8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826">
        <v>3</v>
      </c>
    </row>
    <row r="1259" spans="1:30" ht="15.75" customHeight="1">
      <c r="A1259" s="827" t="str">
        <f>IF(B1259&lt;&gt;"",IF(AND(B1259&gt;=_TM1,B1259&lt;=_TM2,OR(TH!L1259="1111",TH!M1259="1111")),TH!D1259,""),"")</f>
        <v/>
      </c>
      <c r="B1259" s="36">
        <f t="shared" si="209"/>
        <v>8</v>
      </c>
      <c r="C1259" s="190">
        <f t="shared" si="210"/>
        <v>42591</v>
      </c>
      <c r="D1259" s="37" t="s">
        <v>1638</v>
      </c>
      <c r="E1259" s="740">
        <v>42591</v>
      </c>
      <c r="F1259" s="188" t="s">
        <v>1387</v>
      </c>
      <c r="G1259" s="837" t="s">
        <v>1386</v>
      </c>
      <c r="H1259" s="192" t="s">
        <v>435</v>
      </c>
      <c r="I1259" s="253">
        <v>32</v>
      </c>
      <c r="J1259" s="253">
        <v>28355</v>
      </c>
      <c r="K1259" s="584">
        <f>ROUND(I1259*J1259,0)</f>
        <v>907360</v>
      </c>
      <c r="L1259" s="585" t="s">
        <v>857</v>
      </c>
      <c r="M1259" s="585" t="s">
        <v>8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826">
        <v>3</v>
      </c>
      <c r="AB1259" s="576" t="str">
        <f>IF(VLOOKUP(F1259,NXT!$C$12:$C$786,1,0)=F1259,"","x")</f>
        <v/>
      </c>
    </row>
    <row r="1260" spans="1:30" ht="15.75" customHeight="1">
      <c r="A1260" s="827" t="str">
        <f>IF(B1260&lt;&gt;"",IF(AND(B1260&gt;=_TM1,B1260&lt;=_TM2,OR(TH!L1260="1111",TH!M1260="1111")),TH!D1260,""),"")</f>
        <v/>
      </c>
      <c r="B1260" s="36">
        <f t="shared" si="209"/>
        <v>8</v>
      </c>
      <c r="C1260" s="190">
        <f t="shared" si="210"/>
        <v>42591</v>
      </c>
      <c r="D1260" s="37" t="s">
        <v>1638</v>
      </c>
      <c r="E1260" s="740">
        <v>42591</v>
      </c>
      <c r="F1260" s="188" t="s">
        <v>1379</v>
      </c>
      <c r="G1260" s="837" t="s">
        <v>1386</v>
      </c>
      <c r="H1260" s="192" t="s">
        <v>435</v>
      </c>
      <c r="I1260" s="253">
        <v>30</v>
      </c>
      <c r="J1260" s="253">
        <v>53961</v>
      </c>
      <c r="K1260" s="584">
        <f>ROUND(I1260*J1260,0)</f>
        <v>1618830</v>
      </c>
      <c r="L1260" s="585" t="s">
        <v>857</v>
      </c>
      <c r="M1260" s="585" t="s">
        <v>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826">
        <v>3</v>
      </c>
      <c r="AB1260" s="576" t="str">
        <f>IF(VLOOKUP(F1260,NXT!$C$12:$C$786,1,0)=F1260,"","x")</f>
        <v/>
      </c>
    </row>
    <row r="1261" spans="1:30" ht="15.75" customHeight="1">
      <c r="A1261" s="827" t="str">
        <f>IF(B1261&lt;&gt;"",IF(AND(B1261&gt;=_TM1,B1261&lt;=_TM2,OR(TH!L1261="1111",TH!M1261="1111")),TH!D1261,""),"")</f>
        <v/>
      </c>
      <c r="B1261" s="36">
        <f t="shared" si="209"/>
        <v>8</v>
      </c>
      <c r="C1261" s="190">
        <f t="shared" si="210"/>
        <v>42591</v>
      </c>
      <c r="D1261" s="37" t="s">
        <v>1638</v>
      </c>
      <c r="E1261" s="740">
        <v>42591</v>
      </c>
      <c r="F1261" s="188" t="s">
        <v>443</v>
      </c>
      <c r="G1261" s="837" t="s">
        <v>1386</v>
      </c>
      <c r="H1261" s="192" t="s">
        <v>435</v>
      </c>
      <c r="I1261" s="253"/>
      <c r="J1261" s="253"/>
      <c r="K1261" s="584">
        <v>252619</v>
      </c>
      <c r="L1261" s="193" t="s">
        <v>9</v>
      </c>
      <c r="M1261" s="585" t="s">
        <v>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826">
        <v>3</v>
      </c>
    </row>
    <row r="1262" spans="1:30" ht="15.75" customHeight="1">
      <c r="A1262" s="827" t="str">
        <f>IF(B1262&lt;&gt;"",IF(AND(B1262&gt;=_TM1,B1262&lt;=_TM2,OR(TH!L1262="1111",TH!M1262="1111")),TH!D1262,""),"")</f>
        <v/>
      </c>
      <c r="B1262" s="36">
        <f t="shared" si="209"/>
        <v>8</v>
      </c>
      <c r="C1262" s="190">
        <f t="shared" si="210"/>
        <v>42595</v>
      </c>
      <c r="D1262" s="37" t="s">
        <v>1639</v>
      </c>
      <c r="E1262" s="740">
        <v>42595</v>
      </c>
      <c r="F1262" s="188" t="s">
        <v>1389</v>
      </c>
      <c r="G1262" s="837" t="s">
        <v>1388</v>
      </c>
      <c r="H1262" s="192" t="s">
        <v>435</v>
      </c>
      <c r="I1262" s="253">
        <v>24</v>
      </c>
      <c r="J1262" s="253">
        <v>32069</v>
      </c>
      <c r="K1262" s="584">
        <f>ROUND(I1262*J1262,0)</f>
        <v>769656</v>
      </c>
      <c r="L1262" s="585" t="s">
        <v>857</v>
      </c>
      <c r="M1262" s="585" t="s">
        <v>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826">
        <v>3</v>
      </c>
      <c r="AB1262" s="576" t="str">
        <f>IF(VLOOKUP(F1262,NXT!$C$12:$C$786,1,0)=F1262,"","x")</f>
        <v/>
      </c>
    </row>
    <row r="1263" spans="1:30" ht="15.75" customHeight="1">
      <c r="A1263" s="827" t="str">
        <f>IF(B1263&lt;&gt;"",IF(AND(B1263&gt;=_TM1,B1263&lt;=_TM2,OR(TH!L1263="1111",TH!M1263="1111")),TH!D1263,""),"")</f>
        <v/>
      </c>
      <c r="B1263" s="36">
        <f t="shared" si="209"/>
        <v>8</v>
      </c>
      <c r="C1263" s="190">
        <f t="shared" si="210"/>
        <v>42595</v>
      </c>
      <c r="D1263" s="37" t="s">
        <v>1639</v>
      </c>
      <c r="E1263" s="740">
        <v>42595</v>
      </c>
      <c r="F1263" s="188" t="s">
        <v>1390</v>
      </c>
      <c r="G1263" s="837" t="s">
        <v>1388</v>
      </c>
      <c r="H1263" s="192" t="s">
        <v>435</v>
      </c>
      <c r="I1263" s="253">
        <v>35</v>
      </c>
      <c r="J1263" s="253">
        <v>31063</v>
      </c>
      <c r="K1263" s="584">
        <f>ROUND(I1263*J1263,0)</f>
        <v>1087205</v>
      </c>
      <c r="L1263" s="585" t="s">
        <v>857</v>
      </c>
      <c r="M1263" s="585" t="s">
        <v>8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826">
        <v>3</v>
      </c>
      <c r="AB1263" s="576" t="str">
        <f>IF(VLOOKUP(F1263,NXT!$C$12:$C$786,1,0)=F1263,"","x")</f>
        <v/>
      </c>
    </row>
    <row r="1264" spans="1:30" ht="15.75" customHeight="1">
      <c r="A1264" s="827" t="str">
        <f>IF(B1264&lt;&gt;"",IF(AND(B1264&gt;=_TM1,B1264&lt;=_TM2,OR(TH!L1264="1111",TH!M1264="1111")),TH!D1264,""),"")</f>
        <v/>
      </c>
      <c r="B1264" s="36">
        <f t="shared" si="209"/>
        <v>8</v>
      </c>
      <c r="C1264" s="190">
        <f t="shared" si="210"/>
        <v>42595</v>
      </c>
      <c r="D1264" s="37" t="s">
        <v>1639</v>
      </c>
      <c r="E1264" s="740">
        <v>42595</v>
      </c>
      <c r="F1264" s="188" t="s">
        <v>1391</v>
      </c>
      <c r="G1264" s="837" t="s">
        <v>1388</v>
      </c>
      <c r="H1264" s="192" t="s">
        <v>435</v>
      </c>
      <c r="I1264" s="253">
        <v>30</v>
      </c>
      <c r="J1264" s="253">
        <v>26024</v>
      </c>
      <c r="K1264" s="584">
        <f>ROUND(I1264*J1264,0)</f>
        <v>780720</v>
      </c>
      <c r="L1264" s="585" t="s">
        <v>857</v>
      </c>
      <c r="M1264" s="585" t="s">
        <v>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826">
        <v>3</v>
      </c>
      <c r="AB1264" s="576" t="str">
        <f>IF(VLOOKUP(F1264,NXT!$C$12:$C$786,1,0)=F1264,"","x")</f>
        <v/>
      </c>
    </row>
    <row r="1265" spans="1:28" ht="15.75" customHeight="1">
      <c r="A1265" s="827" t="str">
        <f>IF(B1265&lt;&gt;"",IF(AND(B1265&gt;=_TM1,B1265&lt;=_TM2,OR(TH!L1265="1111",TH!M1265="1111")),TH!D1265,""),"")</f>
        <v/>
      </c>
      <c r="B1265" s="36">
        <f t="shared" si="209"/>
        <v>8</v>
      </c>
      <c r="C1265" s="190">
        <f t="shared" si="210"/>
        <v>42595</v>
      </c>
      <c r="D1265" s="37" t="s">
        <v>1639</v>
      </c>
      <c r="E1265" s="740">
        <v>42595</v>
      </c>
      <c r="F1265" s="188" t="s">
        <v>443</v>
      </c>
      <c r="G1265" s="837" t="s">
        <v>1388</v>
      </c>
      <c r="H1265" s="192" t="s">
        <v>435</v>
      </c>
      <c r="I1265" s="253"/>
      <c r="J1265" s="253"/>
      <c r="K1265" s="584">
        <v>263758</v>
      </c>
      <c r="L1265" s="193" t="s">
        <v>9</v>
      </c>
      <c r="M1265" s="585" t="s">
        <v>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826">
        <v>3</v>
      </c>
    </row>
    <row r="1266" spans="1:28" ht="15.75" customHeight="1">
      <c r="A1266" s="827" t="str">
        <f>IF(B1266&lt;&gt;"",IF(AND(B1266&gt;=_TM1,B1266&lt;=_TM2,OR(TH!L1266="1111",TH!M1266="1111")),TH!D1266,""),"")</f>
        <v/>
      </c>
      <c r="B1266" s="36">
        <f t="shared" si="209"/>
        <v>8</v>
      </c>
      <c r="C1266" s="190">
        <f t="shared" si="210"/>
        <v>42596</v>
      </c>
      <c r="D1266" s="37" t="s">
        <v>1640</v>
      </c>
      <c r="E1266" s="740">
        <v>42596</v>
      </c>
      <c r="F1266" s="40" t="s">
        <v>1481</v>
      </c>
      <c r="G1266" s="837" t="s">
        <v>605</v>
      </c>
      <c r="H1266" s="192" t="s">
        <v>445</v>
      </c>
      <c r="I1266" s="253">
        <v>5000</v>
      </c>
      <c r="J1266" s="253">
        <v>8550</v>
      </c>
      <c r="K1266" s="584">
        <f>ROUND(I1266*J1266,0)</f>
        <v>42750000</v>
      </c>
      <c r="L1266" s="585" t="s">
        <v>857</v>
      </c>
      <c r="M1266" s="585" t="s">
        <v>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826">
        <v>3</v>
      </c>
      <c r="AB1266" s="576" t="str">
        <f>IF(VLOOKUP(F1266,NXT!$C$12:$C$786,1,0)=F1266,"","x")</f>
        <v/>
      </c>
    </row>
    <row r="1267" spans="1:28" ht="15.75" customHeight="1">
      <c r="A1267" s="827" t="str">
        <f>IF(B1267&lt;&gt;"",IF(AND(B1267&gt;=_TM1,B1267&lt;=_TM2,OR(TH!L1267="1111",TH!M1267="1111")),TH!D1267,""),"")</f>
        <v/>
      </c>
      <c r="B1267" s="36">
        <f t="shared" si="209"/>
        <v>8</v>
      </c>
      <c r="C1267" s="190">
        <f t="shared" si="210"/>
        <v>42596</v>
      </c>
      <c r="D1267" s="37" t="s">
        <v>1640</v>
      </c>
      <c r="E1267" s="740">
        <v>42596</v>
      </c>
      <c r="F1267" s="40" t="s">
        <v>1482</v>
      </c>
      <c r="G1267" s="837" t="s">
        <v>605</v>
      </c>
      <c r="H1267" s="192" t="s">
        <v>445</v>
      </c>
      <c r="I1267" s="253">
        <v>70</v>
      </c>
      <c r="J1267" s="253">
        <v>26700</v>
      </c>
      <c r="K1267" s="584">
        <f>ROUND(I1267*J1267,0)</f>
        <v>1869000</v>
      </c>
      <c r="L1267" s="585" t="s">
        <v>857</v>
      </c>
      <c r="M1267" s="585" t="s">
        <v>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826">
        <v>3</v>
      </c>
      <c r="AB1267" s="576" t="str">
        <f>IF(VLOOKUP(F1267,NXT!$C$12:$C$786,1,0)=F1267,"","x")</f>
        <v/>
      </c>
    </row>
    <row r="1268" spans="1:28" ht="15.75" customHeight="1">
      <c r="A1268" s="827" t="str">
        <f>IF(B1268&lt;&gt;"",IF(AND(B1268&gt;=_TM1,B1268&lt;=_TM2,OR(TH!L1268="1111",TH!M1268="1111")),TH!D1268,""),"")</f>
        <v/>
      </c>
      <c r="B1268" s="36">
        <f t="shared" si="209"/>
        <v>8</v>
      </c>
      <c r="C1268" s="190">
        <f t="shared" si="210"/>
        <v>42596</v>
      </c>
      <c r="D1268" s="37" t="s">
        <v>1640</v>
      </c>
      <c r="E1268" s="740">
        <v>42596</v>
      </c>
      <c r="F1268" s="40" t="s">
        <v>1483</v>
      </c>
      <c r="G1268" s="837" t="s">
        <v>605</v>
      </c>
      <c r="H1268" s="192" t="s">
        <v>445</v>
      </c>
      <c r="I1268" s="253">
        <v>90</v>
      </c>
      <c r="J1268" s="253">
        <v>33000</v>
      </c>
      <c r="K1268" s="584">
        <f>ROUND(I1268*J1268,0)</f>
        <v>2970000</v>
      </c>
      <c r="L1268" s="585" t="s">
        <v>857</v>
      </c>
      <c r="M1268" s="585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826">
        <v>3</v>
      </c>
      <c r="AB1268" s="576" t="str">
        <f>IF(VLOOKUP(F1268,NXT!$C$12:$C$786,1,0)=F1268,"","x")</f>
        <v/>
      </c>
    </row>
    <row r="1269" spans="1:28" ht="15.75" customHeight="1">
      <c r="A1269" s="827" t="str">
        <f>IF(B1269&lt;&gt;"",IF(AND(B1269&gt;=_TM1,B1269&lt;=_TM2,OR(TH!L1269="1111",TH!M1269="1111")),TH!D1269,""),"")</f>
        <v/>
      </c>
      <c r="B1269" s="36">
        <f t="shared" si="209"/>
        <v>8</v>
      </c>
      <c r="C1269" s="190">
        <f t="shared" si="210"/>
        <v>42596</v>
      </c>
      <c r="D1269" s="37" t="s">
        <v>1640</v>
      </c>
      <c r="E1269" s="740">
        <v>42596</v>
      </c>
      <c r="F1269" s="40" t="s">
        <v>1484</v>
      </c>
      <c r="G1269" s="837" t="s">
        <v>605</v>
      </c>
      <c r="H1269" s="192" t="s">
        <v>445</v>
      </c>
      <c r="I1269" s="253">
        <v>150</v>
      </c>
      <c r="J1269" s="253">
        <v>47500</v>
      </c>
      <c r="K1269" s="584">
        <f>ROUND(I1269*J1269,0)</f>
        <v>7125000</v>
      </c>
      <c r="L1269" s="585" t="s">
        <v>857</v>
      </c>
      <c r="M1269" s="585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826">
        <v>3</v>
      </c>
      <c r="AB1269" s="576" t="str">
        <f>IF(VLOOKUP(F1269,NXT!$C$12:$C$786,1,0)=F1269,"","x")</f>
        <v/>
      </c>
    </row>
    <row r="1270" spans="1:28" ht="15.75" customHeight="1">
      <c r="A1270" s="827" t="str">
        <f>IF(B1270&lt;&gt;"",IF(AND(B1270&gt;=_TM1,B1270&lt;=_TM2,OR(TH!L1270="1111",TH!M1270="1111")),TH!D1270,""),"")</f>
        <v/>
      </c>
      <c r="B1270" s="36">
        <f t="shared" si="209"/>
        <v>8</v>
      </c>
      <c r="C1270" s="190">
        <f t="shared" si="210"/>
        <v>42596</v>
      </c>
      <c r="D1270" s="37" t="s">
        <v>1640</v>
      </c>
      <c r="E1270" s="740">
        <v>42596</v>
      </c>
      <c r="F1270" s="40" t="s">
        <v>1485</v>
      </c>
      <c r="G1270" s="837" t="s">
        <v>605</v>
      </c>
      <c r="H1270" s="192" t="s">
        <v>445</v>
      </c>
      <c r="I1270" s="253">
        <v>210</v>
      </c>
      <c r="J1270" s="253">
        <v>38000</v>
      </c>
      <c r="K1270" s="584">
        <f>ROUND(I1270*J1270,0)</f>
        <v>7980000</v>
      </c>
      <c r="L1270" s="585" t="s">
        <v>857</v>
      </c>
      <c r="M1270" s="585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826">
        <v>3</v>
      </c>
      <c r="AB1270" s="576" t="str">
        <f>IF(VLOOKUP(F1270,NXT!$C$12:$C$786,1,0)=F1270,"","x")</f>
        <v/>
      </c>
    </row>
    <row r="1271" spans="1:28" ht="15.75" customHeight="1">
      <c r="A1271" s="827" t="str">
        <f>IF(B1271&lt;&gt;"",IF(AND(B1271&gt;=_TM1,B1271&lt;=_TM2,OR(TH!L1271="1111",TH!M1271="1111")),TH!D1271,""),"")</f>
        <v/>
      </c>
      <c r="B1271" s="36">
        <f t="shared" si="209"/>
        <v>8</v>
      </c>
      <c r="C1271" s="190">
        <f t="shared" si="210"/>
        <v>42596</v>
      </c>
      <c r="D1271" s="37" t="s">
        <v>1640</v>
      </c>
      <c r="E1271" s="740">
        <v>42596</v>
      </c>
      <c r="F1271" s="40" t="s">
        <v>461</v>
      </c>
      <c r="G1271" s="837" t="s">
        <v>605</v>
      </c>
      <c r="H1271" s="192" t="s">
        <v>445</v>
      </c>
      <c r="I1271" s="253"/>
      <c r="J1271" s="253"/>
      <c r="K1271" s="584">
        <v>6269400</v>
      </c>
      <c r="L1271" s="39" t="s">
        <v>9</v>
      </c>
      <c r="M1271" s="585" t="s">
        <v>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826">
        <v>3</v>
      </c>
      <c r="AB1271" s="847"/>
    </row>
    <row r="1272" spans="1:28" ht="15.75" customHeight="1">
      <c r="A1272" s="827" t="str">
        <f>IF(B1272&lt;&gt;"",IF(AND(B1272&gt;=_TM1,B1272&lt;=_TM2,OR(TH!L1272="1111",TH!M1272="1111")),TH!D1272,""),"")</f>
        <v/>
      </c>
      <c r="B1272" s="36">
        <f t="shared" si="209"/>
        <v>8</v>
      </c>
      <c r="C1272" s="190">
        <f t="shared" si="210"/>
        <v>42598</v>
      </c>
      <c r="D1272" s="37" t="s">
        <v>1641</v>
      </c>
      <c r="E1272" s="740">
        <v>42598</v>
      </c>
      <c r="F1272" s="188" t="s">
        <v>1393</v>
      </c>
      <c r="G1272" s="837" t="s">
        <v>1392</v>
      </c>
      <c r="H1272" s="192" t="s">
        <v>435</v>
      </c>
      <c r="I1272" s="253">
        <v>130</v>
      </c>
      <c r="J1272" s="253">
        <v>13391</v>
      </c>
      <c r="K1272" s="584">
        <f>ROUND(I1272*J1272,0)</f>
        <v>1740830</v>
      </c>
      <c r="L1272" s="585" t="s">
        <v>857</v>
      </c>
      <c r="M1272" s="585" t="s">
        <v>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826">
        <v>3</v>
      </c>
      <c r="AB1272" s="576" t="str">
        <f>IF(VLOOKUP(F1272,NXT!$C$12:$C$786,1,0)=F1272,"","x")</f>
        <v/>
      </c>
    </row>
    <row r="1273" spans="1:28" ht="15.75" customHeight="1">
      <c r="A1273" s="827" t="str">
        <f>IF(B1273&lt;&gt;"",IF(AND(B1273&gt;=_TM1,B1273&lt;=_TM2,OR(TH!L1273="1111",TH!M1273="1111")),TH!D1273,""),"")</f>
        <v/>
      </c>
      <c r="B1273" s="36">
        <f t="shared" si="209"/>
        <v>8</v>
      </c>
      <c r="C1273" s="190">
        <f t="shared" si="210"/>
        <v>42598</v>
      </c>
      <c r="D1273" s="37" t="s">
        <v>1641</v>
      </c>
      <c r="E1273" s="740">
        <v>42598</v>
      </c>
      <c r="F1273" s="188" t="s">
        <v>1394</v>
      </c>
      <c r="G1273" s="837" t="s">
        <v>1392</v>
      </c>
      <c r="H1273" s="192" t="s">
        <v>435</v>
      </c>
      <c r="I1273" s="253">
        <v>130</v>
      </c>
      <c r="J1273" s="253">
        <v>14662</v>
      </c>
      <c r="K1273" s="584">
        <f>ROUND(I1273*J1273,0)</f>
        <v>1906060</v>
      </c>
      <c r="L1273" s="585" t="s">
        <v>857</v>
      </c>
      <c r="M1273" s="585" t="s">
        <v>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826">
        <v>3</v>
      </c>
      <c r="AB1273" s="576" t="str">
        <f>IF(VLOOKUP(F1273,NXT!$C$12:$C$786,1,0)=F1273,"","x")</f>
        <v/>
      </c>
    </row>
    <row r="1274" spans="1:28" ht="15.75" customHeight="1">
      <c r="A1274" s="827" t="str">
        <f>IF(B1274&lt;&gt;"",IF(AND(B1274&gt;=_TM1,B1274&lt;=_TM2,OR(TH!L1274="1111",TH!M1274="1111")),TH!D1274,""),"")</f>
        <v/>
      </c>
      <c r="B1274" s="36">
        <f t="shared" si="209"/>
        <v>8</v>
      </c>
      <c r="C1274" s="190">
        <f t="shared" si="210"/>
        <v>42598</v>
      </c>
      <c r="D1274" s="37" t="s">
        <v>1641</v>
      </c>
      <c r="E1274" s="740">
        <v>42598</v>
      </c>
      <c r="F1274" s="188" t="s">
        <v>443</v>
      </c>
      <c r="G1274" s="837" t="s">
        <v>1392</v>
      </c>
      <c r="H1274" s="192" t="s">
        <v>435</v>
      </c>
      <c r="I1274" s="253"/>
      <c r="J1274" s="253"/>
      <c r="K1274" s="584">
        <v>364689</v>
      </c>
      <c r="L1274" s="193" t="s">
        <v>9</v>
      </c>
      <c r="M1274" s="585" t="s">
        <v>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826">
        <v>3</v>
      </c>
    </row>
    <row r="1275" spans="1:28" ht="15.75" customHeight="1">
      <c r="A1275" s="827" t="str">
        <f>IF(B1275&lt;&gt;"",IF(AND(B1275&gt;=_TM1,B1275&lt;=_TM2,OR(TH!L1275="1111",TH!M1275="1111")),TH!D1275,""),"")</f>
        <v/>
      </c>
      <c r="B1275" s="36">
        <f t="shared" si="209"/>
        <v>8</v>
      </c>
      <c r="C1275" s="190">
        <f t="shared" si="210"/>
        <v>42598</v>
      </c>
      <c r="D1275" s="37" t="s">
        <v>1642</v>
      </c>
      <c r="E1275" s="740">
        <v>42598</v>
      </c>
      <c r="F1275" s="188" t="s">
        <v>1396</v>
      </c>
      <c r="G1275" s="837" t="s">
        <v>1395</v>
      </c>
      <c r="H1275" s="192" t="s">
        <v>435</v>
      </c>
      <c r="I1275" s="253">
        <v>52</v>
      </c>
      <c r="J1275" s="253">
        <v>48807</v>
      </c>
      <c r="K1275" s="584">
        <f>ROUND(I1275*J1275,0)</f>
        <v>2537964</v>
      </c>
      <c r="L1275" s="585" t="s">
        <v>857</v>
      </c>
      <c r="M1275" s="585" t="s">
        <v>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826">
        <v>3</v>
      </c>
      <c r="AB1275" s="576" t="str">
        <f>IF(VLOOKUP(F1275,NXT!$C$12:$C$786,1,0)=F1275,"","x")</f>
        <v/>
      </c>
    </row>
    <row r="1276" spans="1:28" ht="15.75" customHeight="1">
      <c r="A1276" s="827" t="str">
        <f>IF(B1276&lt;&gt;"",IF(AND(B1276&gt;=_TM1,B1276&lt;=_TM2,OR(TH!L1276="1111",TH!M1276="1111")),TH!D1276,""),"")</f>
        <v/>
      </c>
      <c r="B1276" s="36">
        <f t="shared" si="209"/>
        <v>8</v>
      </c>
      <c r="C1276" s="190">
        <f t="shared" si="210"/>
        <v>42598</v>
      </c>
      <c r="D1276" s="37" t="s">
        <v>1642</v>
      </c>
      <c r="E1276" s="740">
        <v>42598</v>
      </c>
      <c r="F1276" s="188" t="s">
        <v>443</v>
      </c>
      <c r="G1276" s="837" t="s">
        <v>1395</v>
      </c>
      <c r="H1276" s="192" t="s">
        <v>435</v>
      </c>
      <c r="I1276" s="253"/>
      <c r="J1276" s="253"/>
      <c r="K1276" s="584">
        <v>253796</v>
      </c>
      <c r="L1276" s="193" t="s">
        <v>9</v>
      </c>
      <c r="M1276" s="585" t="s">
        <v>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826">
        <v>3</v>
      </c>
    </row>
    <row r="1277" spans="1:28" ht="15.75" customHeight="1">
      <c r="A1277" s="827" t="str">
        <f>IF(B1277&lt;&gt;"",IF(AND(B1277&gt;=_TM1,B1277&lt;=_TM2,OR(TH!L1277="1111",TH!M1277="1111")),TH!D1277,""),"")</f>
        <v/>
      </c>
      <c r="B1277" s="36">
        <f t="shared" si="209"/>
        <v>8</v>
      </c>
      <c r="C1277" s="190">
        <f t="shared" si="210"/>
        <v>42602</v>
      </c>
      <c r="D1277" s="37" t="s">
        <v>1643</v>
      </c>
      <c r="E1277" s="740">
        <v>42602</v>
      </c>
      <c r="F1277" s="191" t="s">
        <v>1178</v>
      </c>
      <c r="G1277" s="837" t="s">
        <v>1486</v>
      </c>
      <c r="H1277" s="192" t="s">
        <v>445</v>
      </c>
      <c r="I1277" s="253">
        <v>1500</v>
      </c>
      <c r="J1277" s="253">
        <v>33250</v>
      </c>
      <c r="K1277" s="584">
        <f>ROUND(I1277*J1277,0)</f>
        <v>49875000</v>
      </c>
      <c r="L1277" s="585" t="s">
        <v>857</v>
      </c>
      <c r="M1277" s="585" t="s">
        <v>8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826">
        <v>3</v>
      </c>
      <c r="AB1277" s="576" t="str">
        <f>IF(VLOOKUP(F1277,NXT!$C$12:$C$786,1,0)=F1277,"","x")</f>
        <v/>
      </c>
    </row>
    <row r="1278" spans="1:28" ht="15.75" customHeight="1">
      <c r="A1278" s="827" t="str">
        <f>IF(B1278&lt;&gt;"",IF(AND(B1278&gt;=_TM1,B1278&lt;=_TM2,OR(TH!L1278="1111",TH!M1278="1111")),TH!D1278,""),"")</f>
        <v/>
      </c>
      <c r="B1278" s="36">
        <f t="shared" si="209"/>
        <v>8</v>
      </c>
      <c r="C1278" s="190">
        <f t="shared" si="210"/>
        <v>42602</v>
      </c>
      <c r="D1278" s="37" t="s">
        <v>1643</v>
      </c>
      <c r="E1278" s="740">
        <v>42602</v>
      </c>
      <c r="F1278" s="191" t="s">
        <v>1179</v>
      </c>
      <c r="G1278" s="837" t="s">
        <v>1486</v>
      </c>
      <c r="H1278" s="192" t="s">
        <v>445</v>
      </c>
      <c r="I1278" s="253">
        <v>1500</v>
      </c>
      <c r="J1278" s="253">
        <v>30875</v>
      </c>
      <c r="K1278" s="584">
        <f>ROUND(I1278*J1278,0)</f>
        <v>46312500</v>
      </c>
      <c r="L1278" s="585" t="s">
        <v>857</v>
      </c>
      <c r="M1278" s="585" t="s">
        <v>8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826">
        <v>3</v>
      </c>
      <c r="AB1278" s="576" t="str">
        <f>IF(VLOOKUP(F1278,NXT!$C$12:$C$786,1,0)=F1278,"","x")</f>
        <v/>
      </c>
    </row>
    <row r="1279" spans="1:28" ht="15.75" customHeight="1">
      <c r="A1279" s="827" t="str">
        <f>IF(B1279&lt;&gt;"",IF(AND(B1279&gt;=_TM1,B1279&lt;=_TM2,OR(TH!L1279="1111",TH!M1279="1111")),TH!D1279,""),"")</f>
        <v/>
      </c>
      <c r="B1279" s="36">
        <f t="shared" si="209"/>
        <v>8</v>
      </c>
      <c r="C1279" s="190">
        <f t="shared" si="210"/>
        <v>42602</v>
      </c>
      <c r="D1279" s="37" t="s">
        <v>1643</v>
      </c>
      <c r="E1279" s="740">
        <v>42602</v>
      </c>
      <c r="F1279" s="292" t="s">
        <v>451</v>
      </c>
      <c r="G1279" s="837" t="s">
        <v>1486</v>
      </c>
      <c r="H1279" s="192" t="s">
        <v>445</v>
      </c>
      <c r="I1279" s="253">
        <v>4400</v>
      </c>
      <c r="J1279" s="253">
        <v>17575</v>
      </c>
      <c r="K1279" s="584">
        <f>ROUND(I1279*J1279,0)</f>
        <v>77330000</v>
      </c>
      <c r="L1279" s="585" t="s">
        <v>857</v>
      </c>
      <c r="M1279" s="585" t="s">
        <v>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>x</v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826">
        <v>3</v>
      </c>
      <c r="AB1279" s="576" t="str">
        <f>IF(VLOOKUP(F1279,NXT!$C$12:$C$786,1,0)=F1279,"","x")</f>
        <v/>
      </c>
    </row>
    <row r="1280" spans="1:28" ht="15.75" customHeight="1">
      <c r="A1280" s="827" t="str">
        <f>IF(B1280&lt;&gt;"",IF(AND(B1280&gt;=_TM1,B1280&lt;=_TM2,OR(TH!L1280="1111",TH!M1280="1111")),TH!D1280,""),"")</f>
        <v/>
      </c>
      <c r="B1280" s="36">
        <f t="shared" si="209"/>
        <v>8</v>
      </c>
      <c r="C1280" s="190">
        <f t="shared" si="210"/>
        <v>42602</v>
      </c>
      <c r="D1280" s="37" t="s">
        <v>1643</v>
      </c>
      <c r="E1280" s="740">
        <v>42602</v>
      </c>
      <c r="F1280" s="292" t="s">
        <v>450</v>
      </c>
      <c r="G1280" s="837" t="s">
        <v>1486</v>
      </c>
      <c r="H1280" s="192" t="s">
        <v>445</v>
      </c>
      <c r="I1280" s="253">
        <v>4100</v>
      </c>
      <c r="J1280" s="253">
        <v>17575</v>
      </c>
      <c r="K1280" s="584">
        <f>ROUND(I1280*J1280,0)</f>
        <v>72057500</v>
      </c>
      <c r="L1280" s="585" t="s">
        <v>857</v>
      </c>
      <c r="M1280" s="585" t="s">
        <v>8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826">
        <v>3</v>
      </c>
      <c r="AB1280" s="576" t="str">
        <f>IF(VLOOKUP(F1280,NXT!$C$12:$C$786,1,0)=F1280,"","x")</f>
        <v/>
      </c>
    </row>
    <row r="1281" spans="1:28" ht="15.75" customHeight="1">
      <c r="A1281" s="827" t="str">
        <f>IF(B1281&lt;&gt;"",IF(AND(B1281&gt;=_TM1,B1281&lt;=_TM2,OR(TH!L1281="1111",TH!M1281="1111")),TH!D1281,""),"")</f>
        <v/>
      </c>
      <c r="B1281" s="36">
        <f t="shared" si="209"/>
        <v>8</v>
      </c>
      <c r="C1281" s="190">
        <f t="shared" si="210"/>
        <v>42602</v>
      </c>
      <c r="D1281" s="37" t="s">
        <v>1643</v>
      </c>
      <c r="E1281" s="740">
        <v>42602</v>
      </c>
      <c r="F1281" s="40" t="s">
        <v>461</v>
      </c>
      <c r="G1281" s="837" t="s">
        <v>1486</v>
      </c>
      <c r="H1281" s="192" t="s">
        <v>445</v>
      </c>
      <c r="I1281" s="253"/>
      <c r="J1281" s="253"/>
      <c r="K1281" s="584">
        <v>24557500</v>
      </c>
      <c r="L1281" s="39" t="s">
        <v>9</v>
      </c>
      <c r="M1281" s="585" t="s">
        <v>8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826">
        <v>3</v>
      </c>
      <c r="AB1281" s="847"/>
    </row>
    <row r="1282" spans="1:28" ht="15.75" customHeight="1">
      <c r="A1282" s="827" t="str">
        <f>IF(B1282&lt;&gt;"",IF(AND(B1282&gt;=_TM1,B1282&lt;=_TM2,OR(TH!L1282="1111",TH!M1282="1111")),TH!D1282,""),"")</f>
        <v/>
      </c>
      <c r="B1282" s="36">
        <f t="shared" si="209"/>
        <v>8</v>
      </c>
      <c r="C1282" s="190">
        <f t="shared" si="210"/>
        <v>42606</v>
      </c>
      <c r="D1282" s="37" t="s">
        <v>1644</v>
      </c>
      <c r="E1282" s="740">
        <v>42606</v>
      </c>
      <c r="F1282" s="188" t="s">
        <v>1398</v>
      </c>
      <c r="G1282" s="837" t="s">
        <v>1397</v>
      </c>
      <c r="H1282" s="192" t="s">
        <v>435</v>
      </c>
      <c r="I1282" s="253">
        <v>167</v>
      </c>
      <c r="J1282" s="253">
        <v>13493</v>
      </c>
      <c r="K1282" s="584">
        <f>ROUND(I1282*J1282,0)</f>
        <v>2253331</v>
      </c>
      <c r="L1282" s="585" t="s">
        <v>857</v>
      </c>
      <c r="M1282" s="585" t="s">
        <v>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826">
        <v>3</v>
      </c>
      <c r="AB1282" s="576" t="str">
        <f>IF(VLOOKUP(F1282,NXT!$C$12:$C$786,1,0)=F1282,"","x")</f>
        <v/>
      </c>
    </row>
    <row r="1283" spans="1:28" ht="15.75" customHeight="1">
      <c r="A1283" s="827" t="str">
        <f>IF(B1283&lt;&gt;"",IF(AND(B1283&gt;=_TM1,B1283&lt;=_TM2,OR(TH!L1283="1111",TH!M1283="1111")),TH!D1283,""),"")</f>
        <v/>
      </c>
      <c r="B1283" s="36">
        <f t="shared" si="209"/>
        <v>8</v>
      </c>
      <c r="C1283" s="190">
        <f t="shared" si="210"/>
        <v>42606</v>
      </c>
      <c r="D1283" s="37" t="s">
        <v>1644</v>
      </c>
      <c r="E1283" s="740">
        <v>42606</v>
      </c>
      <c r="F1283" s="188" t="s">
        <v>443</v>
      </c>
      <c r="G1283" s="837" t="s">
        <v>1397</v>
      </c>
      <c r="H1283" s="192" t="s">
        <v>435</v>
      </c>
      <c r="I1283" s="253"/>
      <c r="J1283" s="253"/>
      <c r="K1283" s="584">
        <v>225333</v>
      </c>
      <c r="L1283" s="193" t="s">
        <v>9</v>
      </c>
      <c r="M1283" s="585" t="s">
        <v>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826">
        <v>3</v>
      </c>
    </row>
    <row r="1284" spans="1:28" ht="15.75" customHeight="1">
      <c r="A1284" s="827" t="str">
        <f>IF(B1284&lt;&gt;"",IF(AND(B1284&gt;=_TM1,B1284&lt;=_TM2,OR(TH!L1284="1111",TH!M1284="1111")),TH!D1284,""),"")</f>
        <v/>
      </c>
      <c r="B1284" s="36">
        <f t="shared" si="209"/>
        <v>8</v>
      </c>
      <c r="C1284" s="190">
        <f t="shared" si="210"/>
        <v>42610</v>
      </c>
      <c r="D1284" s="37" t="s">
        <v>1643</v>
      </c>
      <c r="E1284" s="740">
        <v>42610</v>
      </c>
      <c r="F1284" s="292" t="s">
        <v>1301</v>
      </c>
      <c r="G1284" s="837" t="s">
        <v>1708</v>
      </c>
      <c r="H1284" s="192" t="s">
        <v>1111</v>
      </c>
      <c r="I1284" s="253">
        <v>1100</v>
      </c>
      <c r="J1284" s="253">
        <v>520</v>
      </c>
      <c r="K1284" s="584">
        <f t="shared" ref="K1284:K1315" si="211">ROUND(I1284*J1284,0)</f>
        <v>572000</v>
      </c>
      <c r="L1284" s="585" t="s">
        <v>857</v>
      </c>
      <c r="M1284" s="585" t="s">
        <v>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826">
        <v>3</v>
      </c>
      <c r="AB1284" s="576" t="str">
        <f>IF(VLOOKUP(F1284,NXT!$C$12:$C$786,1,0)=F1284,"","x")</f>
        <v/>
      </c>
    </row>
    <row r="1285" spans="1:28" ht="15.75" customHeight="1">
      <c r="A1285" s="827" t="str">
        <f>IF(B1285&lt;&gt;"",IF(AND(B1285&gt;=_TM1,B1285&lt;=_TM2,OR(TH!L1285="1111",TH!M1285="1111")),TH!D1285,""),"")</f>
        <v/>
      </c>
      <c r="B1285" s="36">
        <f t="shared" ref="B1285:B1300" si="212">IF(C1285&lt;&gt;"",MONTH(C1285),"")</f>
        <v>8</v>
      </c>
      <c r="C1285" s="190">
        <f t="shared" ref="C1285:C1300" si="213">E1285</f>
        <v>42610</v>
      </c>
      <c r="D1285" s="37" t="s">
        <v>1643</v>
      </c>
      <c r="E1285" s="740">
        <v>42610</v>
      </c>
      <c r="F1285" s="292" t="s">
        <v>534</v>
      </c>
      <c r="G1285" s="837" t="s">
        <v>1708</v>
      </c>
      <c r="H1285" s="192" t="s">
        <v>1111</v>
      </c>
      <c r="I1285" s="253">
        <v>16</v>
      </c>
      <c r="J1285" s="253">
        <v>98560</v>
      </c>
      <c r="K1285" s="584">
        <f t="shared" si="211"/>
        <v>1576960</v>
      </c>
      <c r="L1285" s="585" t="s">
        <v>857</v>
      </c>
      <c r="M1285" s="585" t="s">
        <v>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826">
        <v>3</v>
      </c>
      <c r="AB1285" s="576" t="str">
        <f>IF(VLOOKUP(F1285,NXT!$C$12:$C$786,1,0)=F1285,"","x")</f>
        <v/>
      </c>
    </row>
    <row r="1286" spans="1:28" ht="15.75" customHeight="1">
      <c r="A1286" s="827" t="str">
        <f>IF(B1286&lt;&gt;"",IF(AND(B1286&gt;=_TM1,B1286&lt;=_TM2,OR(TH!L1286="1111",TH!M1286="1111")),TH!D1286,""),"")</f>
        <v/>
      </c>
      <c r="B1286" s="36">
        <f t="shared" si="212"/>
        <v>8</v>
      </c>
      <c r="C1286" s="190">
        <f t="shared" si="213"/>
        <v>42610</v>
      </c>
      <c r="D1286" s="37" t="s">
        <v>1643</v>
      </c>
      <c r="E1286" s="740">
        <v>42610</v>
      </c>
      <c r="F1286" s="292" t="s">
        <v>468</v>
      </c>
      <c r="G1286" s="837" t="s">
        <v>1708</v>
      </c>
      <c r="H1286" s="192" t="s">
        <v>1111</v>
      </c>
      <c r="I1286" s="253">
        <v>25</v>
      </c>
      <c r="J1286" s="253">
        <v>82100</v>
      </c>
      <c r="K1286" s="584">
        <f t="shared" si="211"/>
        <v>2052500</v>
      </c>
      <c r="L1286" s="585" t="s">
        <v>857</v>
      </c>
      <c r="M1286" s="585" t="s">
        <v>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826">
        <v>3</v>
      </c>
      <c r="AB1286" s="576" t="str">
        <f>IF(VLOOKUP(F1286,NXT!$C$12:$C$786,1,0)=F1286,"","x")</f>
        <v/>
      </c>
    </row>
    <row r="1287" spans="1:28" ht="15.75" customHeight="1">
      <c r="A1287" s="827" t="str">
        <f>IF(B1287&lt;&gt;"",IF(AND(B1287&gt;=_TM1,B1287&lt;=_TM2,OR(TH!L1287="1111",TH!M1287="1111")),TH!D1287,""),"")</f>
        <v/>
      </c>
      <c r="B1287" s="36">
        <f t="shared" si="212"/>
        <v>8</v>
      </c>
      <c r="C1287" s="190">
        <f t="shared" si="213"/>
        <v>42610</v>
      </c>
      <c r="D1287" s="37" t="s">
        <v>1643</v>
      </c>
      <c r="E1287" s="740">
        <v>42610</v>
      </c>
      <c r="F1287" s="292" t="s">
        <v>720</v>
      </c>
      <c r="G1287" s="837" t="s">
        <v>1708</v>
      </c>
      <c r="H1287" s="192" t="s">
        <v>1111</v>
      </c>
      <c r="I1287" s="253">
        <v>16</v>
      </c>
      <c r="J1287" s="253">
        <v>87000</v>
      </c>
      <c r="K1287" s="584">
        <f t="shared" si="211"/>
        <v>1392000</v>
      </c>
      <c r="L1287" s="585" t="s">
        <v>857</v>
      </c>
      <c r="M1287" s="585" t="s">
        <v>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826">
        <v>3</v>
      </c>
      <c r="AB1287" s="576" t="str">
        <f>IF(VLOOKUP(F1287,NXT!$C$12:$C$786,1,0)=F1287,"","x")</f>
        <v/>
      </c>
    </row>
    <row r="1288" spans="1:28" ht="15.75" customHeight="1">
      <c r="A1288" s="827" t="str">
        <f>IF(B1288&lt;&gt;"",IF(AND(B1288&gt;=_TM1,B1288&lt;=_TM2,OR(TH!L1288="1111",TH!M1288="1111")),TH!D1288,""),"")</f>
        <v/>
      </c>
      <c r="B1288" s="36">
        <f t="shared" si="212"/>
        <v>8</v>
      </c>
      <c r="C1288" s="190">
        <f t="shared" si="213"/>
        <v>42610</v>
      </c>
      <c r="D1288" s="37" t="s">
        <v>1643</v>
      </c>
      <c r="E1288" s="740">
        <v>42610</v>
      </c>
      <c r="F1288" s="292" t="s">
        <v>470</v>
      </c>
      <c r="G1288" s="837" t="s">
        <v>1708</v>
      </c>
      <c r="H1288" s="192" t="s">
        <v>1111</v>
      </c>
      <c r="I1288" s="253">
        <v>12</v>
      </c>
      <c r="J1288" s="253">
        <v>91500</v>
      </c>
      <c r="K1288" s="584">
        <f t="shared" si="211"/>
        <v>1098000</v>
      </c>
      <c r="L1288" s="585" t="s">
        <v>857</v>
      </c>
      <c r="M1288" s="585" t="s">
        <v>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826">
        <v>3</v>
      </c>
      <c r="AB1288" s="576" t="str">
        <f>IF(VLOOKUP(F1288,NXT!$C$12:$C$786,1,0)=F1288,"","x")</f>
        <v/>
      </c>
    </row>
    <row r="1289" spans="1:28" ht="15.75" customHeight="1">
      <c r="A1289" s="827" t="str">
        <f>IF(B1289&lt;&gt;"",IF(AND(B1289&gt;=_TM1,B1289&lt;=_TM2,OR(TH!L1289="1111",TH!M1289="1111")),TH!D1289,""),"")</f>
        <v/>
      </c>
      <c r="B1289" s="36">
        <f t="shared" si="212"/>
        <v>8</v>
      </c>
      <c r="C1289" s="190">
        <f t="shared" si="213"/>
        <v>42610</v>
      </c>
      <c r="D1289" s="37" t="s">
        <v>1643</v>
      </c>
      <c r="E1289" s="740">
        <v>42610</v>
      </c>
      <c r="F1289" s="292" t="s">
        <v>807</v>
      </c>
      <c r="G1289" s="837" t="s">
        <v>1708</v>
      </c>
      <c r="H1289" s="192" t="s">
        <v>1111</v>
      </c>
      <c r="I1289" s="253">
        <v>12</v>
      </c>
      <c r="J1289" s="253">
        <v>7500</v>
      </c>
      <c r="K1289" s="584">
        <f t="shared" si="211"/>
        <v>90000</v>
      </c>
      <c r="L1289" s="585" t="s">
        <v>857</v>
      </c>
      <c r="M1289" s="585" t="s">
        <v>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826">
        <v>3</v>
      </c>
      <c r="AB1289" s="576" t="str">
        <f>IF(VLOOKUP(F1289,NXT!$C$12:$C$786,1,0)=F1289,"","x")</f>
        <v/>
      </c>
    </row>
    <row r="1290" spans="1:28" ht="15.75" customHeight="1">
      <c r="A1290" s="827" t="str">
        <f>IF(B1290&lt;&gt;"",IF(AND(B1290&gt;=_TM1,B1290&lt;=_TM2,OR(TH!L1290="1111",TH!M1290="1111")),TH!D1290,""),"")</f>
        <v/>
      </c>
      <c r="B1290" s="36">
        <f t="shared" si="212"/>
        <v>8</v>
      </c>
      <c r="C1290" s="190">
        <f t="shared" si="213"/>
        <v>42610</v>
      </c>
      <c r="D1290" s="37" t="s">
        <v>1643</v>
      </c>
      <c r="E1290" s="740">
        <v>42610</v>
      </c>
      <c r="F1290" s="292" t="s">
        <v>565</v>
      </c>
      <c r="G1290" s="837" t="s">
        <v>1708</v>
      </c>
      <c r="H1290" s="192" t="s">
        <v>1111</v>
      </c>
      <c r="I1290" s="253">
        <v>24</v>
      </c>
      <c r="J1290" s="253">
        <v>9500</v>
      </c>
      <c r="K1290" s="584">
        <f t="shared" si="211"/>
        <v>228000</v>
      </c>
      <c r="L1290" s="585" t="s">
        <v>857</v>
      </c>
      <c r="M1290" s="585" t="s">
        <v>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826">
        <v>3</v>
      </c>
      <c r="AB1290" s="576" t="str">
        <f>IF(VLOOKUP(F1290,NXT!$C$12:$C$786,1,0)=F1290,"","x")</f>
        <v/>
      </c>
    </row>
    <row r="1291" spans="1:28" ht="15.75" customHeight="1">
      <c r="A1291" s="827" t="str">
        <f>IF(B1291&lt;&gt;"",IF(AND(B1291&gt;=_TM1,B1291&lt;=_TM2,OR(TH!L1291="1111",TH!M1291="1111")),TH!D1291,""),"")</f>
        <v/>
      </c>
      <c r="B1291" s="36">
        <f t="shared" si="212"/>
        <v>8</v>
      </c>
      <c r="C1291" s="190">
        <f t="shared" si="213"/>
        <v>42610</v>
      </c>
      <c r="D1291" s="37" t="s">
        <v>1643</v>
      </c>
      <c r="E1291" s="740">
        <v>42610</v>
      </c>
      <c r="F1291" s="292" t="s">
        <v>812</v>
      </c>
      <c r="G1291" s="837" t="s">
        <v>1708</v>
      </c>
      <c r="H1291" s="192" t="s">
        <v>1111</v>
      </c>
      <c r="I1291" s="253">
        <v>550</v>
      </c>
      <c r="J1291" s="253">
        <v>25000</v>
      </c>
      <c r="K1291" s="584">
        <f t="shared" si="211"/>
        <v>13750000</v>
      </c>
      <c r="L1291" s="585" t="s">
        <v>857</v>
      </c>
      <c r="M1291" s="585" t="s">
        <v>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826">
        <v>3</v>
      </c>
      <c r="AB1291" s="576" t="str">
        <f>IF(VLOOKUP(F1291,NXT!$C$12:$C$786,1,0)=F1291,"","x")</f>
        <v/>
      </c>
    </row>
    <row r="1292" spans="1:28" ht="15.75" customHeight="1">
      <c r="A1292" s="827" t="str">
        <f>IF(B1292&lt;&gt;"",IF(AND(B1292&gt;=_TM1,B1292&lt;=_TM2,OR(TH!L1292="1111",TH!M1292="1111")),TH!D1292,""),"")</f>
        <v/>
      </c>
      <c r="B1292" s="36">
        <f t="shared" si="212"/>
        <v>8</v>
      </c>
      <c r="C1292" s="190">
        <f t="shared" si="213"/>
        <v>42610</v>
      </c>
      <c r="D1292" s="37" t="s">
        <v>1643</v>
      </c>
      <c r="E1292" s="740">
        <v>42610</v>
      </c>
      <c r="F1292" s="292" t="s">
        <v>869</v>
      </c>
      <c r="G1292" s="837" t="s">
        <v>1708</v>
      </c>
      <c r="H1292" s="192" t="s">
        <v>1111</v>
      </c>
      <c r="I1292" s="253">
        <v>40</v>
      </c>
      <c r="J1292" s="253">
        <v>19400</v>
      </c>
      <c r="K1292" s="584">
        <f t="shared" si="211"/>
        <v>776000</v>
      </c>
      <c r="L1292" s="585" t="s">
        <v>857</v>
      </c>
      <c r="M1292" s="585" t="s">
        <v>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826">
        <v>3</v>
      </c>
      <c r="AB1292" s="576" t="str">
        <f>IF(VLOOKUP(F1292,NXT!$C$12:$C$786,1,0)=F1292,"","x")</f>
        <v/>
      </c>
    </row>
    <row r="1293" spans="1:28" ht="15.75" customHeight="1">
      <c r="A1293" s="827" t="str">
        <f>IF(B1293&lt;&gt;"",IF(AND(B1293&gt;=_TM1,B1293&lt;=_TM2,OR(TH!L1293="1111",TH!M1293="1111")),TH!D1293,""),"")</f>
        <v/>
      </c>
      <c r="B1293" s="36">
        <f t="shared" si="212"/>
        <v>8</v>
      </c>
      <c r="C1293" s="190">
        <f t="shared" si="213"/>
        <v>42610</v>
      </c>
      <c r="D1293" s="37" t="s">
        <v>1643</v>
      </c>
      <c r="E1293" s="740">
        <v>42610</v>
      </c>
      <c r="F1293" s="292" t="s">
        <v>725</v>
      </c>
      <c r="G1293" s="837" t="s">
        <v>1708</v>
      </c>
      <c r="H1293" s="192" t="s">
        <v>1111</v>
      </c>
      <c r="I1293" s="253">
        <v>16</v>
      </c>
      <c r="J1293" s="253">
        <v>21200</v>
      </c>
      <c r="K1293" s="584">
        <f t="shared" si="211"/>
        <v>339200</v>
      </c>
      <c r="L1293" s="585" t="s">
        <v>857</v>
      </c>
      <c r="M1293" s="585" t="s">
        <v>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826">
        <v>3</v>
      </c>
      <c r="AB1293" s="576" t="str">
        <f>IF(VLOOKUP(F1293,NXT!$C$12:$C$786,1,0)=F1293,"","x")</f>
        <v/>
      </c>
    </row>
    <row r="1294" spans="1:28" ht="15.75" customHeight="1">
      <c r="A1294" s="827" t="str">
        <f>IF(B1294&lt;&gt;"",IF(AND(B1294&gt;=_TM1,B1294&lt;=_TM2,OR(TH!L1294="1111",TH!M1294="1111")),TH!D1294,""),"")</f>
        <v/>
      </c>
      <c r="B1294" s="36">
        <f t="shared" si="212"/>
        <v>8</v>
      </c>
      <c r="C1294" s="190">
        <f t="shared" si="213"/>
        <v>42610</v>
      </c>
      <c r="D1294" s="37" t="s">
        <v>1643</v>
      </c>
      <c r="E1294" s="740">
        <v>42610</v>
      </c>
      <c r="F1294" s="292" t="s">
        <v>511</v>
      </c>
      <c r="G1294" s="837" t="s">
        <v>1708</v>
      </c>
      <c r="H1294" s="192" t="s">
        <v>1111</v>
      </c>
      <c r="I1294" s="253">
        <v>124</v>
      </c>
      <c r="J1294" s="253">
        <v>25000</v>
      </c>
      <c r="K1294" s="584">
        <f t="shared" si="211"/>
        <v>3100000</v>
      </c>
      <c r="L1294" s="585" t="s">
        <v>857</v>
      </c>
      <c r="M1294" s="585" t="s">
        <v>8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826">
        <v>3</v>
      </c>
      <c r="AB1294" s="576" t="str">
        <f>IF(VLOOKUP(F1294,NXT!$C$12:$C$786,1,0)=F1294,"","x")</f>
        <v/>
      </c>
    </row>
    <row r="1295" spans="1:28" ht="15.75" customHeight="1">
      <c r="A1295" s="827" t="str">
        <f>IF(B1295&lt;&gt;"",IF(AND(B1295&gt;=_TM1,B1295&lt;=_TM2,OR(TH!L1295="1111",TH!M1295="1111")),TH!D1295,""),"")</f>
        <v/>
      </c>
      <c r="B1295" s="36">
        <f t="shared" si="212"/>
        <v>8</v>
      </c>
      <c r="C1295" s="190">
        <f t="shared" si="213"/>
        <v>42610</v>
      </c>
      <c r="D1295" s="37" t="s">
        <v>1643</v>
      </c>
      <c r="E1295" s="740">
        <v>42610</v>
      </c>
      <c r="F1295" s="292" t="s">
        <v>479</v>
      </c>
      <c r="G1295" s="837" t="s">
        <v>1708</v>
      </c>
      <c r="H1295" s="192" t="s">
        <v>1111</v>
      </c>
      <c r="I1295" s="253">
        <v>210</v>
      </c>
      <c r="J1295" s="253">
        <v>8500</v>
      </c>
      <c r="K1295" s="584">
        <f t="shared" si="211"/>
        <v>1785000</v>
      </c>
      <c r="L1295" s="585" t="s">
        <v>857</v>
      </c>
      <c r="M1295" s="585" t="s">
        <v>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826">
        <v>3</v>
      </c>
      <c r="AB1295" s="576" t="str">
        <f>IF(VLOOKUP(F1295,NXT!$C$12:$C$786,1,0)=F1295,"","x")</f>
        <v/>
      </c>
    </row>
    <row r="1296" spans="1:28" ht="15.75" customHeight="1">
      <c r="A1296" s="827" t="str">
        <f>IF(B1296&lt;&gt;"",IF(AND(B1296&gt;=_TM1,B1296&lt;=_TM2,OR(TH!L1296="1111",TH!M1296="1111")),TH!D1296,""),"")</f>
        <v/>
      </c>
      <c r="B1296" s="36">
        <f t="shared" si="212"/>
        <v>8</v>
      </c>
      <c r="C1296" s="190">
        <f t="shared" si="213"/>
        <v>42610</v>
      </c>
      <c r="D1296" s="37" t="s">
        <v>1643</v>
      </c>
      <c r="E1296" s="740">
        <v>42610</v>
      </c>
      <c r="F1296" s="292" t="s">
        <v>863</v>
      </c>
      <c r="G1296" s="837" t="s">
        <v>1708</v>
      </c>
      <c r="H1296" s="192" t="s">
        <v>1111</v>
      </c>
      <c r="I1296" s="253">
        <v>56</v>
      </c>
      <c r="J1296" s="253">
        <v>20200</v>
      </c>
      <c r="K1296" s="584">
        <f t="shared" si="211"/>
        <v>1131200</v>
      </c>
      <c r="L1296" s="585" t="s">
        <v>857</v>
      </c>
      <c r="M1296" s="585" t="s">
        <v>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826">
        <v>3</v>
      </c>
      <c r="AB1296" s="576" t="str">
        <f>IF(VLOOKUP(F1296,NXT!$C$12:$C$786,1,0)=F1296,"","x")</f>
        <v/>
      </c>
    </row>
    <row r="1297" spans="1:28" ht="15.75" customHeight="1">
      <c r="A1297" s="827" t="str">
        <f>IF(B1297&lt;&gt;"",IF(AND(B1297&gt;=_TM1,B1297&lt;=_TM2,OR(TH!L1297="1111",TH!M1297="1111")),TH!D1297,""),"")</f>
        <v/>
      </c>
      <c r="B1297" s="36">
        <f t="shared" si="212"/>
        <v>8</v>
      </c>
      <c r="C1297" s="190">
        <f t="shared" si="213"/>
        <v>42610</v>
      </c>
      <c r="D1297" s="37" t="s">
        <v>1643</v>
      </c>
      <c r="E1297" s="740">
        <v>42610</v>
      </c>
      <c r="F1297" s="292" t="s">
        <v>700</v>
      </c>
      <c r="G1297" s="837" t="s">
        <v>1708</v>
      </c>
      <c r="H1297" s="192" t="s">
        <v>1111</v>
      </c>
      <c r="I1297" s="253">
        <v>36</v>
      </c>
      <c r="J1297" s="253">
        <v>21000</v>
      </c>
      <c r="K1297" s="584">
        <f t="shared" si="211"/>
        <v>756000</v>
      </c>
      <c r="L1297" s="585" t="s">
        <v>857</v>
      </c>
      <c r="M1297" s="585" t="s">
        <v>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826">
        <v>3</v>
      </c>
      <c r="AB1297" s="576" t="str">
        <f>IF(VLOOKUP(F1297,NXT!$C$12:$C$786,1,0)=F1297,"","x")</f>
        <v/>
      </c>
    </row>
    <row r="1298" spans="1:28" ht="15.75" customHeight="1">
      <c r="A1298" s="827" t="str">
        <f>IF(B1298&lt;&gt;"",IF(AND(B1298&gt;=_TM1,B1298&lt;=_TM2,OR(TH!L1298="1111",TH!M1298="1111")),TH!D1298,""),"")</f>
        <v/>
      </c>
      <c r="B1298" s="36">
        <f t="shared" si="212"/>
        <v>8</v>
      </c>
      <c r="C1298" s="190">
        <f t="shared" si="213"/>
        <v>42610</v>
      </c>
      <c r="D1298" s="37" t="s">
        <v>1643</v>
      </c>
      <c r="E1298" s="740">
        <v>42610</v>
      </c>
      <c r="F1298" s="292" t="s">
        <v>552</v>
      </c>
      <c r="G1298" s="837" t="s">
        <v>1708</v>
      </c>
      <c r="H1298" s="192" t="s">
        <v>1111</v>
      </c>
      <c r="I1298" s="253">
        <v>24</v>
      </c>
      <c r="J1298" s="253">
        <v>26000</v>
      </c>
      <c r="K1298" s="584">
        <f t="shared" si="211"/>
        <v>624000</v>
      </c>
      <c r="L1298" s="585" t="s">
        <v>857</v>
      </c>
      <c r="M1298" s="585" t="s">
        <v>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826">
        <v>3</v>
      </c>
      <c r="AB1298" s="576" t="str">
        <f>IF(VLOOKUP(F1298,NXT!$C$12:$C$786,1,0)=F1298,"","x")</f>
        <v/>
      </c>
    </row>
    <row r="1299" spans="1:28" ht="15.75" customHeight="1">
      <c r="A1299" s="827" t="str">
        <f>IF(B1299&lt;&gt;"",IF(AND(B1299&gt;=_TM1,B1299&lt;=_TM2,OR(TH!L1299="1111",TH!M1299="1111")),TH!D1299,""),"")</f>
        <v/>
      </c>
      <c r="B1299" s="36">
        <f t="shared" si="212"/>
        <v>8</v>
      </c>
      <c r="C1299" s="190">
        <f t="shared" si="213"/>
        <v>42610</v>
      </c>
      <c r="D1299" s="37" t="s">
        <v>1643</v>
      </c>
      <c r="E1299" s="740">
        <v>42610</v>
      </c>
      <c r="F1299" s="292" t="s">
        <v>514</v>
      </c>
      <c r="G1299" s="837" t="s">
        <v>1708</v>
      </c>
      <c r="H1299" s="192" t="s">
        <v>1111</v>
      </c>
      <c r="I1299" s="253">
        <v>30</v>
      </c>
      <c r="J1299" s="253">
        <v>29000</v>
      </c>
      <c r="K1299" s="584">
        <f t="shared" si="211"/>
        <v>870000</v>
      </c>
      <c r="L1299" s="585" t="s">
        <v>857</v>
      </c>
      <c r="M1299" s="585" t="s">
        <v>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826">
        <v>3</v>
      </c>
      <c r="AB1299" s="576" t="str">
        <f>IF(VLOOKUP(F1299,NXT!$C$12:$C$786,1,0)=F1299,"","x")</f>
        <v/>
      </c>
    </row>
    <row r="1300" spans="1:28" ht="15.75" customHeight="1">
      <c r="A1300" s="827" t="str">
        <f>IF(B1300&lt;&gt;"",IF(AND(B1300&gt;=_TM1,B1300&lt;=_TM2,OR(TH!L1300="1111",TH!M1300="1111")),TH!D1300,""),"")</f>
        <v/>
      </c>
      <c r="B1300" s="36">
        <f t="shared" si="212"/>
        <v>8</v>
      </c>
      <c r="C1300" s="190">
        <f t="shared" si="213"/>
        <v>42610</v>
      </c>
      <c r="D1300" s="37" t="s">
        <v>1643</v>
      </c>
      <c r="E1300" s="740">
        <v>42610</v>
      </c>
      <c r="F1300" s="292" t="s">
        <v>553</v>
      </c>
      <c r="G1300" s="837" t="s">
        <v>1708</v>
      </c>
      <c r="H1300" s="192" t="s">
        <v>1111</v>
      </c>
      <c r="I1300" s="253">
        <v>24</v>
      </c>
      <c r="J1300" s="253">
        <v>40500</v>
      </c>
      <c r="K1300" s="584">
        <f t="shared" si="211"/>
        <v>972000</v>
      </c>
      <c r="L1300" s="585" t="s">
        <v>857</v>
      </c>
      <c r="M1300" s="585" t="s">
        <v>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826">
        <v>3</v>
      </c>
      <c r="AB1300" s="576" t="str">
        <f>IF(VLOOKUP(F1300,NXT!$C$12:$C$786,1,0)=F1300,"","x")</f>
        <v/>
      </c>
    </row>
    <row r="1301" spans="1:28" ht="15.75" customHeight="1">
      <c r="A1301" s="827" t="str">
        <f>IF(B1301&lt;&gt;"",IF(AND(B1301&gt;=_TM1,B1301&lt;=_TM2,OR(TH!L1301="1111",TH!M1301="1111")),TH!D1301,""),"")</f>
        <v/>
      </c>
      <c r="B1301" s="36">
        <f t="shared" si="209"/>
        <v>8</v>
      </c>
      <c r="C1301" s="190">
        <f t="shared" si="210"/>
        <v>42610</v>
      </c>
      <c r="D1301" s="37" t="s">
        <v>1643</v>
      </c>
      <c r="E1301" s="740">
        <v>42610</v>
      </c>
      <c r="F1301" s="292" t="s">
        <v>1004</v>
      </c>
      <c r="G1301" s="837" t="s">
        <v>1708</v>
      </c>
      <c r="H1301" s="192" t="s">
        <v>1111</v>
      </c>
      <c r="I1301" s="253">
        <v>74</v>
      </c>
      <c r="J1301" s="253">
        <v>41000</v>
      </c>
      <c r="K1301" s="584">
        <f t="shared" si="211"/>
        <v>3034000</v>
      </c>
      <c r="L1301" s="585" t="s">
        <v>857</v>
      </c>
      <c r="M1301" s="585" t="s">
        <v>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826">
        <v>3</v>
      </c>
      <c r="AB1301" s="576" t="str">
        <f>IF(VLOOKUP(F1301,NXT!$C$12:$C$786,1,0)=F1301,"","x")</f>
        <v/>
      </c>
    </row>
    <row r="1302" spans="1:28" ht="15.75" customHeight="1">
      <c r="A1302" s="827" t="str">
        <f>IF(B1302&lt;&gt;"",IF(AND(B1302&gt;=_TM1,B1302&lt;=_TM2,OR(TH!L1302="1111",TH!M1302="1111")),TH!D1302,""),"")</f>
        <v/>
      </c>
      <c r="B1302" s="36">
        <f t="shared" si="209"/>
        <v>8</v>
      </c>
      <c r="C1302" s="190">
        <f t="shared" si="210"/>
        <v>42610</v>
      </c>
      <c r="D1302" s="37" t="s">
        <v>1643</v>
      </c>
      <c r="E1302" s="740">
        <v>42610</v>
      </c>
      <c r="F1302" s="292" t="s">
        <v>542</v>
      </c>
      <c r="G1302" s="837" t="s">
        <v>1708</v>
      </c>
      <c r="H1302" s="192" t="s">
        <v>1111</v>
      </c>
      <c r="I1302" s="253">
        <v>8</v>
      </c>
      <c r="J1302" s="253">
        <v>46000</v>
      </c>
      <c r="K1302" s="584">
        <f t="shared" si="211"/>
        <v>368000</v>
      </c>
      <c r="L1302" s="585" t="s">
        <v>857</v>
      </c>
      <c r="M1302" s="585" t="s">
        <v>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826">
        <v>3</v>
      </c>
      <c r="AB1302" s="576" t="str">
        <f>IF(VLOOKUP(F1302,NXT!$C$12:$C$786,1,0)=F1302,"","x")</f>
        <v/>
      </c>
    </row>
    <row r="1303" spans="1:28" ht="15.75" customHeight="1">
      <c r="A1303" s="827" t="str">
        <f>IF(B1303&lt;&gt;"",IF(AND(B1303&gt;=_TM1,B1303&lt;=_TM2,OR(TH!L1303="1111",TH!M1303="1111")),TH!D1303,""),"")</f>
        <v/>
      </c>
      <c r="B1303" s="36">
        <f t="shared" si="209"/>
        <v>8</v>
      </c>
      <c r="C1303" s="190">
        <f t="shared" si="210"/>
        <v>42610</v>
      </c>
      <c r="D1303" s="37" t="s">
        <v>1643</v>
      </c>
      <c r="E1303" s="740">
        <v>42610</v>
      </c>
      <c r="F1303" s="292" t="s">
        <v>503</v>
      </c>
      <c r="G1303" s="837" t="s">
        <v>1708</v>
      </c>
      <c r="H1303" s="192" t="s">
        <v>1111</v>
      </c>
      <c r="I1303" s="253">
        <v>30</v>
      </c>
      <c r="J1303" s="253">
        <v>25000</v>
      </c>
      <c r="K1303" s="584">
        <f t="shared" si="211"/>
        <v>750000</v>
      </c>
      <c r="L1303" s="585" t="s">
        <v>857</v>
      </c>
      <c r="M1303" s="585" t="s">
        <v>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826">
        <v>3</v>
      </c>
      <c r="AB1303" s="576" t="str">
        <f>IF(VLOOKUP(F1303,NXT!$C$12:$C$786,1,0)=F1303,"","x")</f>
        <v/>
      </c>
    </row>
    <row r="1304" spans="1:28" ht="15.75" customHeight="1">
      <c r="A1304" s="827" t="str">
        <f>IF(B1304&lt;&gt;"",IF(AND(B1304&gt;=_TM1,B1304&lt;=_TM2,OR(TH!L1304="1111",TH!M1304="1111")),TH!D1304,""),"")</f>
        <v/>
      </c>
      <c r="B1304" s="36">
        <f t="shared" si="209"/>
        <v>8</v>
      </c>
      <c r="C1304" s="190">
        <f t="shared" si="210"/>
        <v>42610</v>
      </c>
      <c r="D1304" s="37" t="s">
        <v>1643</v>
      </c>
      <c r="E1304" s="740">
        <v>42610</v>
      </c>
      <c r="F1304" s="292" t="s">
        <v>485</v>
      </c>
      <c r="G1304" s="837" t="s">
        <v>1708</v>
      </c>
      <c r="H1304" s="192" t="s">
        <v>1111</v>
      </c>
      <c r="I1304" s="253">
        <v>10</v>
      </c>
      <c r="J1304" s="253">
        <v>51500</v>
      </c>
      <c r="K1304" s="584">
        <f t="shared" si="211"/>
        <v>515000</v>
      </c>
      <c r="L1304" s="585" t="s">
        <v>857</v>
      </c>
      <c r="M1304" s="585" t="s">
        <v>8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826">
        <v>3</v>
      </c>
      <c r="AB1304" s="576" t="str">
        <f>IF(VLOOKUP(F1304,NXT!$C$12:$C$786,1,0)=F1304,"","x")</f>
        <v/>
      </c>
    </row>
    <row r="1305" spans="1:28" ht="15.75" customHeight="1">
      <c r="A1305" s="827" t="str">
        <f>IF(B1305&lt;&gt;"",IF(AND(B1305&gt;=_TM1,B1305&lt;=_TM2,OR(TH!L1305="1111",TH!M1305="1111")),TH!D1305,""),"")</f>
        <v/>
      </c>
      <c r="B1305" s="36">
        <f t="shared" si="209"/>
        <v>8</v>
      </c>
      <c r="C1305" s="190">
        <f t="shared" si="210"/>
        <v>42610</v>
      </c>
      <c r="D1305" s="37" t="s">
        <v>1643</v>
      </c>
      <c r="E1305" s="740">
        <v>42610</v>
      </c>
      <c r="F1305" s="292" t="s">
        <v>813</v>
      </c>
      <c r="G1305" s="837" t="s">
        <v>1708</v>
      </c>
      <c r="H1305" s="192" t="s">
        <v>1111</v>
      </c>
      <c r="I1305" s="253">
        <v>50</v>
      </c>
      <c r="J1305" s="253">
        <v>49100</v>
      </c>
      <c r="K1305" s="584">
        <f t="shared" si="211"/>
        <v>2455000</v>
      </c>
      <c r="L1305" s="585" t="s">
        <v>857</v>
      </c>
      <c r="M1305" s="585" t="s">
        <v>8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826">
        <v>3</v>
      </c>
      <c r="AB1305" s="576" t="str">
        <f>IF(VLOOKUP(F1305,NXT!$C$12:$C$786,1,0)=F1305,"","x")</f>
        <v/>
      </c>
    </row>
    <row r="1306" spans="1:28" ht="15.75" customHeight="1">
      <c r="A1306" s="827" t="str">
        <f>IF(B1306&lt;&gt;"",IF(AND(B1306&gt;=_TM1,B1306&lt;=_TM2,OR(TH!L1306="1111",TH!M1306="1111")),TH!D1306,""),"")</f>
        <v/>
      </c>
      <c r="B1306" s="36">
        <f t="shared" si="209"/>
        <v>8</v>
      </c>
      <c r="C1306" s="190">
        <f t="shared" si="210"/>
        <v>42610</v>
      </c>
      <c r="D1306" s="37" t="s">
        <v>1643</v>
      </c>
      <c r="E1306" s="740">
        <v>42610</v>
      </c>
      <c r="F1306" s="292" t="s">
        <v>476</v>
      </c>
      <c r="G1306" s="837" t="s">
        <v>1708</v>
      </c>
      <c r="H1306" s="192" t="s">
        <v>1111</v>
      </c>
      <c r="I1306" s="253">
        <v>13</v>
      </c>
      <c r="J1306" s="253">
        <v>40000</v>
      </c>
      <c r="K1306" s="584">
        <f t="shared" si="211"/>
        <v>520000</v>
      </c>
      <c r="L1306" s="585" t="s">
        <v>857</v>
      </c>
      <c r="M1306" s="585" t="s">
        <v>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826">
        <v>3</v>
      </c>
      <c r="AB1306" s="576" t="str">
        <f>IF(VLOOKUP(F1306,NXT!$C$12:$C$786,1,0)=F1306,"","x")</f>
        <v/>
      </c>
    </row>
    <row r="1307" spans="1:28" ht="15.75" customHeight="1">
      <c r="A1307" s="827" t="str">
        <f>IF(B1307&lt;&gt;"",IF(AND(B1307&gt;=_TM1,B1307&lt;=_TM2,OR(TH!L1307="1111",TH!M1307="1111")),TH!D1307,""),"")</f>
        <v/>
      </c>
      <c r="B1307" s="36">
        <f t="shared" si="209"/>
        <v>8</v>
      </c>
      <c r="C1307" s="190">
        <f t="shared" si="210"/>
        <v>42610</v>
      </c>
      <c r="D1307" s="37" t="s">
        <v>1643</v>
      </c>
      <c r="E1307" s="740">
        <v>42610</v>
      </c>
      <c r="F1307" s="292" t="s">
        <v>871</v>
      </c>
      <c r="G1307" s="837" t="s">
        <v>1708</v>
      </c>
      <c r="H1307" s="192" t="s">
        <v>1111</v>
      </c>
      <c r="I1307" s="253">
        <v>10</v>
      </c>
      <c r="J1307" s="253">
        <v>43000</v>
      </c>
      <c r="K1307" s="584">
        <f t="shared" si="211"/>
        <v>430000</v>
      </c>
      <c r="L1307" s="585" t="s">
        <v>857</v>
      </c>
      <c r="M1307" s="585" t="s">
        <v>8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826">
        <v>3</v>
      </c>
      <c r="AB1307" s="576" t="str">
        <f>IF(VLOOKUP(F1307,NXT!$C$12:$C$786,1,0)=F1307,"","x")</f>
        <v/>
      </c>
    </row>
    <row r="1308" spans="1:28" ht="15.75" customHeight="1">
      <c r="A1308" s="827" t="str">
        <f>IF(B1308&lt;&gt;"",IF(AND(B1308&gt;=_TM1,B1308&lt;=_TM2,OR(TH!L1308="1111",TH!M1308="1111")),TH!D1308,""),"")</f>
        <v/>
      </c>
      <c r="B1308" s="36">
        <f t="shared" si="209"/>
        <v>8</v>
      </c>
      <c r="C1308" s="190">
        <f t="shared" si="210"/>
        <v>42610</v>
      </c>
      <c r="D1308" s="37" t="s">
        <v>1643</v>
      </c>
      <c r="E1308" s="740">
        <v>42610</v>
      </c>
      <c r="F1308" s="292" t="s">
        <v>493</v>
      </c>
      <c r="G1308" s="837" t="s">
        <v>1708</v>
      </c>
      <c r="H1308" s="192" t="s">
        <v>1111</v>
      </c>
      <c r="I1308" s="253">
        <v>28</v>
      </c>
      <c r="J1308" s="253">
        <v>51000</v>
      </c>
      <c r="K1308" s="584">
        <f t="shared" si="211"/>
        <v>1428000</v>
      </c>
      <c r="L1308" s="585" t="s">
        <v>857</v>
      </c>
      <c r="M1308" s="585" t="s">
        <v>8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826">
        <v>3</v>
      </c>
      <c r="AB1308" s="576" t="str">
        <f>IF(VLOOKUP(F1308,NXT!$C$12:$C$786,1,0)=F1308,"","x")</f>
        <v/>
      </c>
    </row>
    <row r="1309" spans="1:28" ht="15.75" customHeight="1">
      <c r="A1309" s="827" t="str">
        <f>IF(B1309&lt;&gt;"",IF(AND(B1309&gt;=_TM1,B1309&lt;=_TM2,OR(TH!L1309="1111",TH!M1309="1111")),TH!D1309,""),"")</f>
        <v/>
      </c>
      <c r="B1309" s="36">
        <f t="shared" si="209"/>
        <v>8</v>
      </c>
      <c r="C1309" s="190">
        <f t="shared" si="210"/>
        <v>42610</v>
      </c>
      <c r="D1309" s="37" t="s">
        <v>1643</v>
      </c>
      <c r="E1309" s="740">
        <v>42610</v>
      </c>
      <c r="F1309" s="292" t="s">
        <v>499</v>
      </c>
      <c r="G1309" s="837" t="s">
        <v>1708</v>
      </c>
      <c r="H1309" s="192" t="s">
        <v>1111</v>
      </c>
      <c r="I1309" s="253">
        <v>24</v>
      </c>
      <c r="J1309" s="253">
        <v>35000</v>
      </c>
      <c r="K1309" s="584">
        <f t="shared" si="211"/>
        <v>840000</v>
      </c>
      <c r="L1309" s="585" t="s">
        <v>857</v>
      </c>
      <c r="M1309" s="585" t="s">
        <v>8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826">
        <v>3</v>
      </c>
      <c r="AB1309" s="576" t="str">
        <f>IF(VLOOKUP(F1309,NXT!$C$12:$C$786,1,0)=F1309,"","x")</f>
        <v/>
      </c>
    </row>
    <row r="1310" spans="1:28" ht="15.75" customHeight="1">
      <c r="A1310" s="827" t="str">
        <f>IF(B1310&lt;&gt;"",IF(AND(B1310&gt;=_TM1,B1310&lt;=_TM2,OR(TH!L1310="1111",TH!M1310="1111")),TH!D1310,""),"")</f>
        <v/>
      </c>
      <c r="B1310" s="36">
        <f t="shared" si="209"/>
        <v>8</v>
      </c>
      <c r="C1310" s="190">
        <f t="shared" si="210"/>
        <v>42610</v>
      </c>
      <c r="D1310" s="37" t="s">
        <v>1643</v>
      </c>
      <c r="E1310" s="740">
        <v>42610</v>
      </c>
      <c r="F1310" s="292" t="s">
        <v>489</v>
      </c>
      <c r="G1310" s="837" t="s">
        <v>1708</v>
      </c>
      <c r="H1310" s="192" t="s">
        <v>1111</v>
      </c>
      <c r="I1310" s="253">
        <v>18</v>
      </c>
      <c r="J1310" s="253">
        <v>37500</v>
      </c>
      <c r="K1310" s="584">
        <f t="shared" si="211"/>
        <v>675000</v>
      </c>
      <c r="L1310" s="585" t="s">
        <v>857</v>
      </c>
      <c r="M1310" s="585" t="s">
        <v>8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826">
        <v>3</v>
      </c>
      <c r="AB1310" s="576" t="str">
        <f>IF(VLOOKUP(F1310,NXT!$C$12:$C$786,1,0)=F1310,"","x")</f>
        <v/>
      </c>
    </row>
    <row r="1311" spans="1:28" ht="15.75" customHeight="1">
      <c r="A1311" s="827" t="str">
        <f>IF(B1311&lt;&gt;"",IF(AND(B1311&gt;=_TM1,B1311&lt;=_TM2,OR(TH!L1311="1111",TH!M1311="1111")),TH!D1311,""),"")</f>
        <v/>
      </c>
      <c r="B1311" s="36">
        <f t="shared" si="209"/>
        <v>8</v>
      </c>
      <c r="C1311" s="190">
        <f t="shared" si="210"/>
        <v>42610</v>
      </c>
      <c r="D1311" s="37" t="s">
        <v>1643</v>
      </c>
      <c r="E1311" s="740">
        <v>42610</v>
      </c>
      <c r="F1311" s="292" t="s">
        <v>1491</v>
      </c>
      <c r="G1311" s="837" t="s">
        <v>1708</v>
      </c>
      <c r="H1311" s="192" t="s">
        <v>1111</v>
      </c>
      <c r="I1311" s="253">
        <v>20</v>
      </c>
      <c r="J1311" s="253">
        <v>71000</v>
      </c>
      <c r="K1311" s="584">
        <f t="shared" si="211"/>
        <v>1420000</v>
      </c>
      <c r="L1311" s="585" t="s">
        <v>857</v>
      </c>
      <c r="M1311" s="585" t="s">
        <v>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826">
        <v>3</v>
      </c>
      <c r="AB1311" s="576" t="str">
        <f>IF(VLOOKUP(F1311,NXT!$C$12:$C$786,1,0)=F1311,"","x")</f>
        <v/>
      </c>
    </row>
    <row r="1312" spans="1:28" ht="15.75" customHeight="1">
      <c r="A1312" s="827" t="str">
        <f>IF(B1312&lt;&gt;"",IF(AND(B1312&gt;=_TM1,B1312&lt;=_TM2,OR(TH!L1312="1111",TH!M1312="1111")),TH!D1312,""),"")</f>
        <v/>
      </c>
      <c r="B1312" s="36">
        <f t="shared" si="209"/>
        <v>8</v>
      </c>
      <c r="C1312" s="190">
        <f t="shared" si="210"/>
        <v>42610</v>
      </c>
      <c r="D1312" s="37" t="s">
        <v>1643</v>
      </c>
      <c r="E1312" s="740">
        <v>42610</v>
      </c>
      <c r="F1312" s="292" t="s">
        <v>1492</v>
      </c>
      <c r="G1312" s="837" t="s">
        <v>1708</v>
      </c>
      <c r="H1312" s="192" t="s">
        <v>1111</v>
      </c>
      <c r="I1312" s="253">
        <v>8</v>
      </c>
      <c r="J1312" s="253">
        <v>82000</v>
      </c>
      <c r="K1312" s="584">
        <f t="shared" si="211"/>
        <v>656000</v>
      </c>
      <c r="L1312" s="585" t="s">
        <v>857</v>
      </c>
      <c r="M1312" s="585" t="s">
        <v>8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826">
        <v>3</v>
      </c>
      <c r="AB1312" s="576" t="str">
        <f>IF(VLOOKUP(F1312,NXT!$C$12:$C$786,1,0)=F1312,"","x")</f>
        <v/>
      </c>
    </row>
    <row r="1313" spans="1:28" ht="15.75" customHeight="1">
      <c r="A1313" s="827" t="str">
        <f>IF(B1313&lt;&gt;"",IF(AND(B1313&gt;=_TM1,B1313&lt;=_TM2,OR(TH!L1313="1111",TH!M1313="1111")),TH!D1313,""),"")</f>
        <v/>
      </c>
      <c r="B1313" s="36">
        <f t="shared" si="209"/>
        <v>8</v>
      </c>
      <c r="C1313" s="190">
        <f t="shared" si="210"/>
        <v>42610</v>
      </c>
      <c r="D1313" s="37" t="s">
        <v>1643</v>
      </c>
      <c r="E1313" s="740">
        <v>42610</v>
      </c>
      <c r="F1313" s="292" t="s">
        <v>1493</v>
      </c>
      <c r="G1313" s="837" t="s">
        <v>1708</v>
      </c>
      <c r="H1313" s="192" t="s">
        <v>1111</v>
      </c>
      <c r="I1313" s="253">
        <v>9</v>
      </c>
      <c r="J1313" s="253">
        <v>79200</v>
      </c>
      <c r="K1313" s="584">
        <f t="shared" si="211"/>
        <v>712800</v>
      </c>
      <c r="L1313" s="585" t="s">
        <v>857</v>
      </c>
      <c r="M1313" s="585" t="s">
        <v>8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826">
        <v>3</v>
      </c>
      <c r="AB1313" s="576" t="str">
        <f>IF(VLOOKUP(F1313,NXT!$C$12:$C$786,1,0)=F1313,"","x")</f>
        <v/>
      </c>
    </row>
    <row r="1314" spans="1:28" ht="15.75" customHeight="1">
      <c r="A1314" s="827" t="str">
        <f>IF(B1314&lt;&gt;"",IF(AND(B1314&gt;=_TM1,B1314&lt;=_TM2,OR(TH!L1314="1111",TH!M1314="1111")),TH!D1314,""),"")</f>
        <v/>
      </c>
      <c r="B1314" s="36">
        <f t="shared" si="209"/>
        <v>8</v>
      </c>
      <c r="C1314" s="190">
        <f t="shared" si="210"/>
        <v>42610</v>
      </c>
      <c r="D1314" s="37" t="s">
        <v>1643</v>
      </c>
      <c r="E1314" s="740">
        <v>42610</v>
      </c>
      <c r="F1314" s="292" t="s">
        <v>1517</v>
      </c>
      <c r="G1314" s="837" t="s">
        <v>1708</v>
      </c>
      <c r="H1314" s="192" t="s">
        <v>1111</v>
      </c>
      <c r="I1314" s="253">
        <v>700</v>
      </c>
      <c r="J1314" s="253">
        <v>4100</v>
      </c>
      <c r="K1314" s="584">
        <f t="shared" si="211"/>
        <v>2870000</v>
      </c>
      <c r="L1314" s="585" t="s">
        <v>857</v>
      </c>
      <c r="M1314" s="585" t="s">
        <v>8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826">
        <v>3</v>
      </c>
      <c r="AB1314" s="576" t="str">
        <f>IF(VLOOKUP(F1314,NXT!$C$12:$C$786,1,0)=F1314,"","x")</f>
        <v/>
      </c>
    </row>
    <row r="1315" spans="1:28" ht="15.75" customHeight="1">
      <c r="A1315" s="827" t="str">
        <f>IF(B1315&lt;&gt;"",IF(AND(B1315&gt;=_TM1,B1315&lt;=_TM2,OR(TH!L1315="1111",TH!M1315="1111")),TH!D1315,""),"")</f>
        <v/>
      </c>
      <c r="B1315" s="36">
        <f t="shared" si="209"/>
        <v>8</v>
      </c>
      <c r="C1315" s="190">
        <f t="shared" si="210"/>
        <v>42610</v>
      </c>
      <c r="D1315" s="37" t="s">
        <v>1643</v>
      </c>
      <c r="E1315" s="740">
        <v>42610</v>
      </c>
      <c r="F1315" s="292" t="s">
        <v>1518</v>
      </c>
      <c r="G1315" s="837" t="s">
        <v>1708</v>
      </c>
      <c r="H1315" s="192" t="s">
        <v>1111</v>
      </c>
      <c r="I1315" s="253">
        <v>700</v>
      </c>
      <c r="J1315" s="253">
        <v>360</v>
      </c>
      <c r="K1315" s="584">
        <f t="shared" si="211"/>
        <v>252000</v>
      </c>
      <c r="L1315" s="585" t="s">
        <v>857</v>
      </c>
      <c r="M1315" s="585" t="s">
        <v>8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826">
        <v>3</v>
      </c>
      <c r="AB1315" s="576" t="str">
        <f>IF(VLOOKUP(F1315,NXT!$C$12:$C$786,1,0)=F1315,"","x")</f>
        <v/>
      </c>
    </row>
    <row r="1316" spans="1:28" ht="15.75" customHeight="1">
      <c r="A1316" s="827" t="str">
        <f>IF(B1316&lt;&gt;"",IF(AND(B1316&gt;=_TM1,B1316&lt;=_TM2,OR(TH!L1316="1111",TH!M1316="1111")),TH!D1316,""),"")</f>
        <v/>
      </c>
      <c r="B1316" s="36">
        <f t="shared" ref="B1316:B1331" si="214">IF(C1316&lt;&gt;"",MONTH(C1316),"")</f>
        <v>8</v>
      </c>
      <c r="C1316" s="190">
        <f t="shared" ref="C1316:C1331" si="215">E1316</f>
        <v>42610</v>
      </c>
      <c r="D1316" s="37" t="s">
        <v>1643</v>
      </c>
      <c r="E1316" s="740">
        <v>42610</v>
      </c>
      <c r="F1316" s="292" t="s">
        <v>1519</v>
      </c>
      <c r="G1316" s="837" t="s">
        <v>1708</v>
      </c>
      <c r="H1316" s="192" t="s">
        <v>1111</v>
      </c>
      <c r="I1316" s="253">
        <v>3500</v>
      </c>
      <c r="J1316" s="253">
        <v>300</v>
      </c>
      <c r="K1316" s="584">
        <f t="shared" ref="K1316:K1347" si="216">ROUND(I1316*J1316,0)</f>
        <v>1050000</v>
      </c>
      <c r="L1316" s="585" t="s">
        <v>857</v>
      </c>
      <c r="M1316" s="585" t="s">
        <v>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826">
        <v>3</v>
      </c>
      <c r="AB1316" s="576" t="str">
        <f>IF(VLOOKUP(F1316,NXT!$C$12:$C$786,1,0)=F1316,"","x")</f>
        <v/>
      </c>
    </row>
    <row r="1317" spans="1:28" ht="15.75" customHeight="1">
      <c r="A1317" s="827" t="str">
        <f>IF(B1317&lt;&gt;"",IF(AND(B1317&gt;=_TM1,B1317&lt;=_TM2,OR(TH!L1317="1111",TH!M1317="1111")),TH!D1317,""),"")</f>
        <v/>
      </c>
      <c r="B1317" s="36">
        <f t="shared" si="214"/>
        <v>8</v>
      </c>
      <c r="C1317" s="190">
        <f t="shared" si="215"/>
        <v>42610</v>
      </c>
      <c r="D1317" s="37" t="s">
        <v>1643</v>
      </c>
      <c r="E1317" s="740">
        <v>42610</v>
      </c>
      <c r="F1317" s="292" t="s">
        <v>1521</v>
      </c>
      <c r="G1317" s="837" t="s">
        <v>1708</v>
      </c>
      <c r="H1317" s="192" t="s">
        <v>1111</v>
      </c>
      <c r="I1317" s="253">
        <v>400</v>
      </c>
      <c r="J1317" s="253">
        <v>9400</v>
      </c>
      <c r="K1317" s="584">
        <f t="shared" si="216"/>
        <v>3760000</v>
      </c>
      <c r="L1317" s="585" t="s">
        <v>857</v>
      </c>
      <c r="M1317" s="585" t="s">
        <v>8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826">
        <v>3</v>
      </c>
      <c r="AB1317" s="576" t="str">
        <f>IF(VLOOKUP(F1317,NXT!$C$12:$C$786,1,0)=F1317,"","x")</f>
        <v/>
      </c>
    </row>
    <row r="1318" spans="1:28" ht="15.75" customHeight="1">
      <c r="A1318" s="827" t="str">
        <f>IF(B1318&lt;&gt;"",IF(AND(B1318&gt;=_TM1,B1318&lt;=_TM2,OR(TH!L1318="1111",TH!M1318="1111")),TH!D1318,""),"")</f>
        <v/>
      </c>
      <c r="B1318" s="36">
        <f t="shared" si="214"/>
        <v>8</v>
      </c>
      <c r="C1318" s="190">
        <f t="shared" si="215"/>
        <v>42610</v>
      </c>
      <c r="D1318" s="37" t="s">
        <v>1643</v>
      </c>
      <c r="E1318" s="740">
        <v>42610</v>
      </c>
      <c r="F1318" s="292" t="s">
        <v>1529</v>
      </c>
      <c r="G1318" s="837" t="s">
        <v>1708</v>
      </c>
      <c r="H1318" s="192" t="s">
        <v>1111</v>
      </c>
      <c r="I1318" s="253">
        <v>300</v>
      </c>
      <c r="J1318" s="253">
        <v>10500</v>
      </c>
      <c r="K1318" s="584">
        <f t="shared" si="216"/>
        <v>3150000</v>
      </c>
      <c r="L1318" s="585" t="s">
        <v>857</v>
      </c>
      <c r="M1318" s="585" t="s">
        <v>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826">
        <v>3</v>
      </c>
      <c r="AB1318" s="576" t="str">
        <f>IF(VLOOKUP(F1318,NXT!$C$12:$C$786,1,0)=F1318,"","x")</f>
        <v/>
      </c>
    </row>
    <row r="1319" spans="1:28" ht="15.75" customHeight="1">
      <c r="A1319" s="827" t="str">
        <f>IF(B1319&lt;&gt;"",IF(AND(B1319&gt;=_TM1,B1319&lt;=_TM2,OR(TH!L1319="1111",TH!M1319="1111")),TH!D1319,""),"")</f>
        <v/>
      </c>
      <c r="B1319" s="36">
        <f t="shared" si="214"/>
        <v>8</v>
      </c>
      <c r="C1319" s="190">
        <f t="shared" si="215"/>
        <v>42610</v>
      </c>
      <c r="D1319" s="37" t="s">
        <v>1643</v>
      </c>
      <c r="E1319" s="740">
        <v>42610</v>
      </c>
      <c r="F1319" s="292" t="s">
        <v>1532</v>
      </c>
      <c r="G1319" s="837" t="s">
        <v>1708</v>
      </c>
      <c r="H1319" s="192" t="s">
        <v>1111</v>
      </c>
      <c r="I1319" s="253">
        <v>60</v>
      </c>
      <c r="J1319" s="253">
        <v>8100</v>
      </c>
      <c r="K1319" s="584">
        <f t="shared" si="216"/>
        <v>486000</v>
      </c>
      <c r="L1319" s="585" t="s">
        <v>857</v>
      </c>
      <c r="M1319" s="585" t="s">
        <v>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826">
        <v>3</v>
      </c>
      <c r="AB1319" s="576" t="str">
        <f>IF(VLOOKUP(F1319,NXT!$C$12:$C$786,1,0)=F1319,"","x")</f>
        <v/>
      </c>
    </row>
    <row r="1320" spans="1:28" ht="15.75" customHeight="1">
      <c r="A1320" s="827" t="str">
        <f>IF(B1320&lt;&gt;"",IF(AND(B1320&gt;=_TM1,B1320&lt;=_TM2,OR(TH!L1320="1111",TH!M1320="1111")),TH!D1320,""),"")</f>
        <v/>
      </c>
      <c r="B1320" s="36">
        <f t="shared" si="214"/>
        <v>8</v>
      </c>
      <c r="C1320" s="190">
        <f t="shared" si="215"/>
        <v>42610</v>
      </c>
      <c r="D1320" s="37" t="s">
        <v>1643</v>
      </c>
      <c r="E1320" s="740">
        <v>42610</v>
      </c>
      <c r="F1320" s="292" t="s">
        <v>1535</v>
      </c>
      <c r="G1320" s="837" t="s">
        <v>1708</v>
      </c>
      <c r="H1320" s="192" t="s">
        <v>1111</v>
      </c>
      <c r="I1320" s="253">
        <v>10</v>
      </c>
      <c r="J1320" s="253">
        <v>18100</v>
      </c>
      <c r="K1320" s="584">
        <f t="shared" si="216"/>
        <v>181000</v>
      </c>
      <c r="L1320" s="585" t="s">
        <v>857</v>
      </c>
      <c r="M1320" s="585" t="s">
        <v>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826">
        <v>3</v>
      </c>
      <c r="AB1320" s="576" t="str">
        <f>IF(VLOOKUP(F1320,NXT!$C$12:$C$786,1,0)=F1320,"","x")</f>
        <v/>
      </c>
    </row>
    <row r="1321" spans="1:28" ht="15.75" customHeight="1">
      <c r="A1321" s="827" t="str">
        <f>IF(B1321&lt;&gt;"",IF(AND(B1321&gt;=_TM1,B1321&lt;=_TM2,OR(TH!L1321="1111",TH!M1321="1111")),TH!D1321,""),"")</f>
        <v/>
      </c>
      <c r="B1321" s="36">
        <f t="shared" si="214"/>
        <v>8</v>
      </c>
      <c r="C1321" s="190">
        <f t="shared" si="215"/>
        <v>42610</v>
      </c>
      <c r="D1321" s="37" t="s">
        <v>1643</v>
      </c>
      <c r="E1321" s="740">
        <v>42610</v>
      </c>
      <c r="F1321" s="292" t="s">
        <v>1539</v>
      </c>
      <c r="G1321" s="837" t="s">
        <v>1708</v>
      </c>
      <c r="H1321" s="192" t="s">
        <v>1111</v>
      </c>
      <c r="I1321" s="253">
        <v>26</v>
      </c>
      <c r="J1321" s="253">
        <v>115100</v>
      </c>
      <c r="K1321" s="584">
        <f t="shared" si="216"/>
        <v>2992600</v>
      </c>
      <c r="L1321" s="585" t="s">
        <v>857</v>
      </c>
      <c r="M1321" s="585" t="s">
        <v>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826">
        <v>3</v>
      </c>
      <c r="AB1321" s="576" t="str">
        <f>IF(VLOOKUP(F1321,NXT!$C$12:$C$786,1,0)=F1321,"","x")</f>
        <v/>
      </c>
    </row>
    <row r="1322" spans="1:28" ht="15.75" customHeight="1">
      <c r="A1322" s="827" t="str">
        <f>IF(B1322&lt;&gt;"",IF(AND(B1322&gt;=_TM1,B1322&lt;=_TM2,OR(TH!L1322="1111",TH!M1322="1111")),TH!D1322,""),"")</f>
        <v/>
      </c>
      <c r="B1322" s="36">
        <f t="shared" si="214"/>
        <v>8</v>
      </c>
      <c r="C1322" s="190">
        <f t="shared" si="215"/>
        <v>42610</v>
      </c>
      <c r="D1322" s="37" t="s">
        <v>1643</v>
      </c>
      <c r="E1322" s="740">
        <v>42610</v>
      </c>
      <c r="F1322" s="292" t="s">
        <v>1538</v>
      </c>
      <c r="G1322" s="837" t="s">
        <v>1708</v>
      </c>
      <c r="H1322" s="192" t="s">
        <v>1111</v>
      </c>
      <c r="I1322" s="253">
        <v>26</v>
      </c>
      <c r="J1322" s="253">
        <v>8000</v>
      </c>
      <c r="K1322" s="584">
        <f t="shared" si="216"/>
        <v>208000</v>
      </c>
      <c r="L1322" s="585" t="s">
        <v>857</v>
      </c>
      <c r="M1322" s="585" t="s">
        <v>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826">
        <v>3</v>
      </c>
      <c r="AB1322" s="576" t="str">
        <f>IF(VLOOKUP(F1322,NXT!$C$12:$C$786,1,0)=F1322,"","x")</f>
        <v/>
      </c>
    </row>
    <row r="1323" spans="1:28" ht="15.75" customHeight="1">
      <c r="A1323" s="827" t="str">
        <f>IF(B1323&lt;&gt;"",IF(AND(B1323&gt;=_TM1,B1323&lt;=_TM2,OR(TH!L1323="1111",TH!M1323="1111")),TH!D1323,""),"")</f>
        <v/>
      </c>
      <c r="B1323" s="36">
        <f t="shared" si="214"/>
        <v>8</v>
      </c>
      <c r="C1323" s="190">
        <f t="shared" si="215"/>
        <v>42610</v>
      </c>
      <c r="D1323" s="37" t="s">
        <v>1643</v>
      </c>
      <c r="E1323" s="740">
        <v>42610</v>
      </c>
      <c r="F1323" s="292" t="s">
        <v>1540</v>
      </c>
      <c r="G1323" s="837" t="s">
        <v>1708</v>
      </c>
      <c r="H1323" s="192" t="s">
        <v>1111</v>
      </c>
      <c r="I1323" s="253">
        <v>35</v>
      </c>
      <c r="J1323" s="253">
        <v>51100</v>
      </c>
      <c r="K1323" s="584">
        <f t="shared" si="216"/>
        <v>1788500</v>
      </c>
      <c r="L1323" s="585" t="s">
        <v>857</v>
      </c>
      <c r="M1323" s="585" t="s">
        <v>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826">
        <v>3</v>
      </c>
      <c r="AB1323" s="576" t="str">
        <f>IF(VLOOKUP(F1323,NXT!$C$12:$C$786,1,0)=F1323,"","x")</f>
        <v/>
      </c>
    </row>
    <row r="1324" spans="1:28" ht="15.75" customHeight="1">
      <c r="A1324" s="827" t="str">
        <f>IF(B1324&lt;&gt;"",IF(AND(B1324&gt;=_TM1,B1324&lt;=_TM2,OR(TH!L1324="1111",TH!M1324="1111")),TH!D1324,""),"")</f>
        <v/>
      </c>
      <c r="B1324" s="36">
        <f t="shared" si="214"/>
        <v>8</v>
      </c>
      <c r="C1324" s="190">
        <f t="shared" si="215"/>
        <v>42610</v>
      </c>
      <c r="D1324" s="37" t="s">
        <v>1643</v>
      </c>
      <c r="E1324" s="740">
        <v>42610</v>
      </c>
      <c r="F1324" s="292" t="s">
        <v>1541</v>
      </c>
      <c r="G1324" s="837" t="s">
        <v>1708</v>
      </c>
      <c r="H1324" s="192" t="s">
        <v>1111</v>
      </c>
      <c r="I1324" s="253">
        <v>5</v>
      </c>
      <c r="J1324" s="253">
        <v>107000</v>
      </c>
      <c r="K1324" s="584">
        <f t="shared" si="216"/>
        <v>535000</v>
      </c>
      <c r="L1324" s="585" t="s">
        <v>857</v>
      </c>
      <c r="M1324" s="585" t="s">
        <v>8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826">
        <v>3</v>
      </c>
      <c r="AB1324" s="576" t="str">
        <f>IF(VLOOKUP(F1324,NXT!$C$12:$C$786,1,0)=F1324,"","x")</f>
        <v/>
      </c>
    </row>
    <row r="1325" spans="1:28" ht="15.75" customHeight="1">
      <c r="A1325" s="827" t="str">
        <f>IF(B1325&lt;&gt;"",IF(AND(B1325&gt;=_TM1,B1325&lt;=_TM2,OR(TH!L1325="1111",TH!M1325="1111")),TH!D1325,""),"")</f>
        <v/>
      </c>
      <c r="B1325" s="36">
        <f t="shared" si="214"/>
        <v>8</v>
      </c>
      <c r="C1325" s="190">
        <f t="shared" si="215"/>
        <v>42610</v>
      </c>
      <c r="D1325" s="37" t="s">
        <v>1643</v>
      </c>
      <c r="E1325" s="740">
        <v>42610</v>
      </c>
      <c r="F1325" s="292" t="s">
        <v>1542</v>
      </c>
      <c r="G1325" s="837" t="s">
        <v>1708</v>
      </c>
      <c r="H1325" s="192" t="s">
        <v>1111</v>
      </c>
      <c r="I1325" s="253">
        <v>26</v>
      </c>
      <c r="J1325" s="253">
        <v>60000</v>
      </c>
      <c r="K1325" s="584">
        <f t="shared" si="216"/>
        <v>1560000</v>
      </c>
      <c r="L1325" s="585" t="s">
        <v>857</v>
      </c>
      <c r="M1325" s="585" t="s">
        <v>8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826">
        <v>3</v>
      </c>
      <c r="AB1325" s="576" t="str">
        <f>IF(VLOOKUP(F1325,NXT!$C$12:$C$786,1,0)=F1325,"","x")</f>
        <v/>
      </c>
    </row>
    <row r="1326" spans="1:28" ht="15.75" customHeight="1">
      <c r="A1326" s="827" t="str">
        <f>IF(B1326&lt;&gt;"",IF(AND(B1326&gt;=_TM1,B1326&lt;=_TM2,OR(TH!L1326="1111",TH!M1326="1111")),TH!D1326,""),"")</f>
        <v/>
      </c>
      <c r="B1326" s="36">
        <f t="shared" si="214"/>
        <v>8</v>
      </c>
      <c r="C1326" s="190">
        <f t="shared" si="215"/>
        <v>42610</v>
      </c>
      <c r="D1326" s="37" t="s">
        <v>1643</v>
      </c>
      <c r="E1326" s="740">
        <v>42610</v>
      </c>
      <c r="F1326" s="292" t="s">
        <v>1543</v>
      </c>
      <c r="G1326" s="837" t="s">
        <v>1708</v>
      </c>
      <c r="H1326" s="192" t="s">
        <v>1111</v>
      </c>
      <c r="I1326" s="253">
        <v>21</v>
      </c>
      <c r="J1326" s="253">
        <v>61200</v>
      </c>
      <c r="K1326" s="584">
        <f t="shared" si="216"/>
        <v>1285200</v>
      </c>
      <c r="L1326" s="585" t="s">
        <v>857</v>
      </c>
      <c r="M1326" s="585" t="s">
        <v>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826">
        <v>3</v>
      </c>
      <c r="AB1326" s="576" t="str">
        <f>IF(VLOOKUP(F1326,NXT!$C$12:$C$786,1,0)=F1326,"","x")</f>
        <v/>
      </c>
    </row>
    <row r="1327" spans="1:28" ht="15.75" customHeight="1">
      <c r="A1327" s="827" t="str">
        <f>IF(B1327&lt;&gt;"",IF(AND(B1327&gt;=_TM1,B1327&lt;=_TM2,OR(TH!L1327="1111",TH!M1327="1111")),TH!D1327,""),"")</f>
        <v/>
      </c>
      <c r="B1327" s="36">
        <f t="shared" si="214"/>
        <v>8</v>
      </c>
      <c r="C1327" s="190">
        <f t="shared" si="215"/>
        <v>42610</v>
      </c>
      <c r="D1327" s="37" t="s">
        <v>1643</v>
      </c>
      <c r="E1327" s="740">
        <v>42610</v>
      </c>
      <c r="F1327" s="292" t="s">
        <v>1544</v>
      </c>
      <c r="G1327" s="837" t="s">
        <v>1708</v>
      </c>
      <c r="H1327" s="192" t="s">
        <v>1111</v>
      </c>
      <c r="I1327" s="253">
        <v>2</v>
      </c>
      <c r="J1327" s="253">
        <v>39300</v>
      </c>
      <c r="K1327" s="584">
        <f t="shared" si="216"/>
        <v>78600</v>
      </c>
      <c r="L1327" s="585" t="s">
        <v>857</v>
      </c>
      <c r="M1327" s="585" t="s">
        <v>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826">
        <v>3</v>
      </c>
      <c r="AB1327" s="576" t="str">
        <f>IF(VLOOKUP(F1327,NXT!$C$12:$C$786,1,0)=F1327,"","x")</f>
        <v/>
      </c>
    </row>
    <row r="1328" spans="1:28" ht="15.75" customHeight="1">
      <c r="A1328" s="827" t="str">
        <f>IF(B1328&lt;&gt;"",IF(AND(B1328&gt;=_TM1,B1328&lt;=_TM2,OR(TH!L1328="1111",TH!M1328="1111")),TH!D1328,""),"")</f>
        <v/>
      </c>
      <c r="B1328" s="36">
        <f t="shared" si="214"/>
        <v>8</v>
      </c>
      <c r="C1328" s="190">
        <f t="shared" si="215"/>
        <v>42610</v>
      </c>
      <c r="D1328" s="37" t="s">
        <v>1643</v>
      </c>
      <c r="E1328" s="740">
        <v>42610</v>
      </c>
      <c r="F1328" s="292" t="s">
        <v>1545</v>
      </c>
      <c r="G1328" s="837" t="s">
        <v>1708</v>
      </c>
      <c r="H1328" s="192" t="s">
        <v>1111</v>
      </c>
      <c r="I1328" s="253">
        <v>1</v>
      </c>
      <c r="J1328" s="253">
        <v>36000</v>
      </c>
      <c r="K1328" s="584">
        <f t="shared" si="216"/>
        <v>36000</v>
      </c>
      <c r="L1328" s="585" t="s">
        <v>857</v>
      </c>
      <c r="M1328" s="585" t="s">
        <v>8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826">
        <v>3</v>
      </c>
      <c r="AB1328" s="576" t="str">
        <f>IF(VLOOKUP(F1328,NXT!$C$12:$C$786,1,0)=F1328,"","x")</f>
        <v/>
      </c>
    </row>
    <row r="1329" spans="1:28" ht="15.75" customHeight="1">
      <c r="A1329" s="827" t="str">
        <f>IF(B1329&lt;&gt;"",IF(AND(B1329&gt;=_TM1,B1329&lt;=_TM2,OR(TH!L1329="1111",TH!M1329="1111")),TH!D1329,""),"")</f>
        <v/>
      </c>
      <c r="B1329" s="36">
        <f t="shared" si="214"/>
        <v>8</v>
      </c>
      <c r="C1329" s="190">
        <f t="shared" si="215"/>
        <v>42610</v>
      </c>
      <c r="D1329" s="37" t="s">
        <v>1643</v>
      </c>
      <c r="E1329" s="740">
        <v>42610</v>
      </c>
      <c r="F1329" s="292" t="s">
        <v>1547</v>
      </c>
      <c r="G1329" s="837" t="s">
        <v>1708</v>
      </c>
      <c r="H1329" s="192" t="s">
        <v>1111</v>
      </c>
      <c r="I1329" s="253">
        <v>2</v>
      </c>
      <c r="J1329" s="253">
        <v>92500</v>
      </c>
      <c r="K1329" s="584">
        <f t="shared" si="216"/>
        <v>185000</v>
      </c>
      <c r="L1329" s="585" t="s">
        <v>857</v>
      </c>
      <c r="M1329" s="585" t="s">
        <v>8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826">
        <v>3</v>
      </c>
      <c r="AB1329" s="576" t="str">
        <f>IF(VLOOKUP(F1329,NXT!$C$12:$C$786,1,0)=F1329,"","x")</f>
        <v/>
      </c>
    </row>
    <row r="1330" spans="1:28" ht="15.75" customHeight="1">
      <c r="A1330" s="827" t="str">
        <f>IF(B1330&lt;&gt;"",IF(AND(B1330&gt;=_TM1,B1330&lt;=_TM2,OR(TH!L1330="1111",TH!M1330="1111")),TH!D1330,""),"")</f>
        <v/>
      </c>
      <c r="B1330" s="36">
        <f t="shared" si="214"/>
        <v>8</v>
      </c>
      <c r="C1330" s="190">
        <f t="shared" si="215"/>
        <v>42610</v>
      </c>
      <c r="D1330" s="37" t="s">
        <v>1643</v>
      </c>
      <c r="E1330" s="740">
        <v>42610</v>
      </c>
      <c r="F1330" s="292" t="s">
        <v>1548</v>
      </c>
      <c r="G1330" s="837" t="s">
        <v>1708</v>
      </c>
      <c r="H1330" s="192" t="s">
        <v>1111</v>
      </c>
      <c r="I1330" s="253">
        <v>5</v>
      </c>
      <c r="J1330" s="253">
        <v>60000</v>
      </c>
      <c r="K1330" s="584">
        <f t="shared" si="216"/>
        <v>300000</v>
      </c>
      <c r="L1330" s="585" t="s">
        <v>857</v>
      </c>
      <c r="M1330" s="585" t="s">
        <v>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826">
        <v>3</v>
      </c>
      <c r="AB1330" s="576" t="str">
        <f>IF(VLOOKUP(F1330,NXT!$C$12:$C$786,1,0)=F1330,"","x")</f>
        <v/>
      </c>
    </row>
    <row r="1331" spans="1:28" ht="15.75" customHeight="1">
      <c r="A1331" s="827" t="str">
        <f>IF(B1331&lt;&gt;"",IF(AND(B1331&gt;=_TM1,B1331&lt;=_TM2,OR(TH!L1331="1111",TH!M1331="1111")),TH!D1331,""),"")</f>
        <v/>
      </c>
      <c r="B1331" s="36">
        <f t="shared" si="214"/>
        <v>8</v>
      </c>
      <c r="C1331" s="190">
        <f t="shared" si="215"/>
        <v>42610</v>
      </c>
      <c r="D1331" s="37" t="s">
        <v>1643</v>
      </c>
      <c r="E1331" s="740">
        <v>42610</v>
      </c>
      <c r="F1331" s="292" t="s">
        <v>1549</v>
      </c>
      <c r="G1331" s="837" t="s">
        <v>1708</v>
      </c>
      <c r="H1331" s="192" t="s">
        <v>1111</v>
      </c>
      <c r="I1331" s="253">
        <v>6</v>
      </c>
      <c r="J1331" s="253">
        <v>58500</v>
      </c>
      <c r="K1331" s="584">
        <f t="shared" si="216"/>
        <v>351000</v>
      </c>
      <c r="L1331" s="585" t="s">
        <v>857</v>
      </c>
      <c r="M1331" s="585" t="s">
        <v>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826">
        <v>3</v>
      </c>
      <c r="AB1331" s="576" t="str">
        <f>IF(VLOOKUP(F1331,NXT!$C$12:$C$786,1,0)=F1331,"","x")</f>
        <v/>
      </c>
    </row>
    <row r="1332" spans="1:28" ht="15.75" customHeight="1">
      <c r="A1332" s="827" t="str">
        <f>IF(B1332&lt;&gt;"",IF(AND(B1332&gt;=_TM1,B1332&lt;=_TM2,OR(TH!L1332="1111",TH!M1332="1111")),TH!D1332,""),"")</f>
        <v/>
      </c>
      <c r="B1332" s="36">
        <f t="shared" ref="B1332:B1347" si="217">IF(C1332&lt;&gt;"",MONTH(C1332),"")</f>
        <v>8</v>
      </c>
      <c r="C1332" s="190">
        <f t="shared" ref="C1332:C1347" si="218">E1332</f>
        <v>42610</v>
      </c>
      <c r="D1332" s="37" t="s">
        <v>1643</v>
      </c>
      <c r="E1332" s="740">
        <v>42610</v>
      </c>
      <c r="F1332" s="292" t="s">
        <v>1550</v>
      </c>
      <c r="G1332" s="837" t="s">
        <v>1708</v>
      </c>
      <c r="H1332" s="192" t="s">
        <v>1111</v>
      </c>
      <c r="I1332" s="253">
        <v>2</v>
      </c>
      <c r="J1332" s="253">
        <v>111000</v>
      </c>
      <c r="K1332" s="584">
        <f t="shared" si="216"/>
        <v>222000</v>
      </c>
      <c r="L1332" s="585" t="s">
        <v>857</v>
      </c>
      <c r="M1332" s="585" t="s">
        <v>8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826">
        <v>3</v>
      </c>
      <c r="AB1332" s="576" t="str">
        <f>IF(VLOOKUP(F1332,NXT!$C$12:$C$786,1,0)=F1332,"","x")</f>
        <v/>
      </c>
    </row>
    <row r="1333" spans="1:28" ht="15.75" customHeight="1">
      <c r="A1333" s="827" t="str">
        <f>IF(B1333&lt;&gt;"",IF(AND(B1333&gt;=_TM1,B1333&lt;=_TM2,OR(TH!L1333="1111",TH!M1333="1111")),TH!D1333,""),"")</f>
        <v/>
      </c>
      <c r="B1333" s="36">
        <f t="shared" si="217"/>
        <v>8</v>
      </c>
      <c r="C1333" s="190">
        <f t="shared" si="218"/>
        <v>42610</v>
      </c>
      <c r="D1333" s="37" t="s">
        <v>1643</v>
      </c>
      <c r="E1333" s="740">
        <v>42610</v>
      </c>
      <c r="F1333" s="292" t="s">
        <v>1551</v>
      </c>
      <c r="G1333" s="837" t="s">
        <v>1708</v>
      </c>
      <c r="H1333" s="192" t="s">
        <v>1111</v>
      </c>
      <c r="I1333" s="253">
        <v>52</v>
      </c>
      <c r="J1333" s="253">
        <v>46000</v>
      </c>
      <c r="K1333" s="584">
        <f t="shared" si="216"/>
        <v>2392000</v>
      </c>
      <c r="L1333" s="585" t="s">
        <v>857</v>
      </c>
      <c r="M1333" s="585" t="s">
        <v>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826">
        <v>3</v>
      </c>
      <c r="AB1333" s="576" t="str">
        <f>IF(VLOOKUP(F1333,NXT!$C$12:$C$786,1,0)=F1333,"","x")</f>
        <v/>
      </c>
    </row>
    <row r="1334" spans="1:28" ht="15.75" customHeight="1">
      <c r="A1334" s="827" t="str">
        <f>IF(B1334&lt;&gt;"",IF(AND(B1334&gt;=_TM1,B1334&lt;=_TM2,OR(TH!L1334="1111",TH!M1334="1111")),TH!D1334,""),"")</f>
        <v/>
      </c>
      <c r="B1334" s="36">
        <f t="shared" si="217"/>
        <v>8</v>
      </c>
      <c r="C1334" s="190">
        <f t="shared" si="218"/>
        <v>42610</v>
      </c>
      <c r="D1334" s="37" t="s">
        <v>1643</v>
      </c>
      <c r="E1334" s="740">
        <v>42610</v>
      </c>
      <c r="F1334" s="292" t="s">
        <v>1552</v>
      </c>
      <c r="G1334" s="837" t="s">
        <v>1708</v>
      </c>
      <c r="H1334" s="192" t="s">
        <v>1111</v>
      </c>
      <c r="I1334" s="253">
        <v>3</v>
      </c>
      <c r="J1334" s="253">
        <v>17200</v>
      </c>
      <c r="K1334" s="584">
        <f t="shared" si="216"/>
        <v>51600</v>
      </c>
      <c r="L1334" s="585" t="s">
        <v>857</v>
      </c>
      <c r="M1334" s="585" t="s">
        <v>8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826">
        <v>3</v>
      </c>
      <c r="AB1334" s="576" t="str">
        <f>IF(VLOOKUP(F1334,NXT!$C$12:$C$786,1,0)=F1334,"","x")</f>
        <v/>
      </c>
    </row>
    <row r="1335" spans="1:28" ht="15.75" customHeight="1">
      <c r="A1335" s="827" t="str">
        <f>IF(B1335&lt;&gt;"",IF(AND(B1335&gt;=_TM1,B1335&lt;=_TM2,OR(TH!L1335="1111",TH!M1335="1111")),TH!D1335,""),"")</f>
        <v/>
      </c>
      <c r="B1335" s="36">
        <f t="shared" si="217"/>
        <v>8</v>
      </c>
      <c r="C1335" s="190">
        <f t="shared" si="218"/>
        <v>42610</v>
      </c>
      <c r="D1335" s="37" t="s">
        <v>1643</v>
      </c>
      <c r="E1335" s="740">
        <v>42610</v>
      </c>
      <c r="F1335" s="292" t="s">
        <v>1553</v>
      </c>
      <c r="G1335" s="837" t="s">
        <v>1708</v>
      </c>
      <c r="H1335" s="192" t="s">
        <v>1111</v>
      </c>
      <c r="I1335" s="253">
        <v>3</v>
      </c>
      <c r="J1335" s="253">
        <v>86000</v>
      </c>
      <c r="K1335" s="584">
        <f t="shared" si="216"/>
        <v>258000</v>
      </c>
      <c r="L1335" s="585" t="s">
        <v>857</v>
      </c>
      <c r="M1335" s="585" t="s">
        <v>8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826">
        <v>3</v>
      </c>
      <c r="AB1335" s="576" t="str">
        <f>IF(VLOOKUP(F1335,NXT!$C$12:$C$786,1,0)=F1335,"","x")</f>
        <v/>
      </c>
    </row>
    <row r="1336" spans="1:28" ht="15.75" customHeight="1">
      <c r="A1336" s="827" t="str">
        <f>IF(B1336&lt;&gt;"",IF(AND(B1336&gt;=_TM1,B1336&lt;=_TM2,OR(TH!L1336="1111",TH!M1336="1111")),TH!D1336,""),"")</f>
        <v/>
      </c>
      <c r="B1336" s="36">
        <f t="shared" si="217"/>
        <v>8</v>
      </c>
      <c r="C1336" s="190">
        <f t="shared" si="218"/>
        <v>42610</v>
      </c>
      <c r="D1336" s="37" t="s">
        <v>1643</v>
      </c>
      <c r="E1336" s="740">
        <v>42610</v>
      </c>
      <c r="F1336" s="292" t="s">
        <v>1554</v>
      </c>
      <c r="G1336" s="837" t="s">
        <v>1708</v>
      </c>
      <c r="H1336" s="192" t="s">
        <v>1111</v>
      </c>
      <c r="I1336" s="253">
        <v>4</v>
      </c>
      <c r="J1336" s="253">
        <v>35000</v>
      </c>
      <c r="K1336" s="584">
        <f t="shared" si="216"/>
        <v>140000</v>
      </c>
      <c r="L1336" s="585" t="s">
        <v>857</v>
      </c>
      <c r="M1336" s="585" t="s">
        <v>8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826">
        <v>3</v>
      </c>
      <c r="AB1336" s="576" t="str">
        <f>IF(VLOOKUP(F1336,NXT!$C$12:$C$786,1,0)=F1336,"","x")</f>
        <v/>
      </c>
    </row>
    <row r="1337" spans="1:28" ht="15.75" customHeight="1">
      <c r="A1337" s="827" t="str">
        <f>IF(B1337&lt;&gt;"",IF(AND(B1337&gt;=_TM1,B1337&lt;=_TM2,OR(TH!L1337="1111",TH!M1337="1111")),TH!D1337,""),"")</f>
        <v/>
      </c>
      <c r="B1337" s="36">
        <f t="shared" si="217"/>
        <v>8</v>
      </c>
      <c r="C1337" s="190">
        <f t="shared" si="218"/>
        <v>42610</v>
      </c>
      <c r="D1337" s="37" t="s">
        <v>1643</v>
      </c>
      <c r="E1337" s="740">
        <v>42610</v>
      </c>
      <c r="F1337" s="292" t="s">
        <v>1555</v>
      </c>
      <c r="G1337" s="837" t="s">
        <v>1708</v>
      </c>
      <c r="H1337" s="192" t="s">
        <v>1111</v>
      </c>
      <c r="I1337" s="253">
        <v>4</v>
      </c>
      <c r="J1337" s="253">
        <v>47000</v>
      </c>
      <c r="K1337" s="584">
        <f t="shared" si="216"/>
        <v>188000</v>
      </c>
      <c r="L1337" s="585" t="s">
        <v>857</v>
      </c>
      <c r="M1337" s="585" t="s">
        <v>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826">
        <v>3</v>
      </c>
      <c r="AB1337" s="576" t="str">
        <f>IF(VLOOKUP(F1337,NXT!$C$12:$C$786,1,0)=F1337,"","x")</f>
        <v/>
      </c>
    </row>
    <row r="1338" spans="1:28" ht="15.75" customHeight="1">
      <c r="A1338" s="827" t="str">
        <f>IF(B1338&lt;&gt;"",IF(AND(B1338&gt;=_TM1,B1338&lt;=_TM2,OR(TH!L1338="1111",TH!M1338="1111")),TH!D1338,""),"")</f>
        <v/>
      </c>
      <c r="B1338" s="36">
        <f t="shared" si="217"/>
        <v>8</v>
      </c>
      <c r="C1338" s="190">
        <f t="shared" si="218"/>
        <v>42610</v>
      </c>
      <c r="D1338" s="37" t="s">
        <v>1643</v>
      </c>
      <c r="E1338" s="740">
        <v>42610</v>
      </c>
      <c r="F1338" s="292" t="s">
        <v>1556</v>
      </c>
      <c r="G1338" s="837" t="s">
        <v>1708</v>
      </c>
      <c r="H1338" s="192" t="s">
        <v>1111</v>
      </c>
      <c r="I1338" s="253">
        <v>20</v>
      </c>
      <c r="J1338" s="253">
        <v>47500</v>
      </c>
      <c r="K1338" s="584">
        <f t="shared" si="216"/>
        <v>950000</v>
      </c>
      <c r="L1338" s="585" t="s">
        <v>857</v>
      </c>
      <c r="M1338" s="585" t="s">
        <v>8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826">
        <v>3</v>
      </c>
      <c r="AB1338" s="576" t="str">
        <f>IF(VLOOKUP(F1338,NXT!$C$12:$C$786,1,0)=F1338,"","x")</f>
        <v/>
      </c>
    </row>
    <row r="1339" spans="1:28" ht="15.75" customHeight="1">
      <c r="A1339" s="827" t="str">
        <f>IF(B1339&lt;&gt;"",IF(AND(B1339&gt;=_TM1,B1339&lt;=_TM2,OR(TH!L1339="1111",TH!M1339="1111")),TH!D1339,""),"")</f>
        <v/>
      </c>
      <c r="B1339" s="36">
        <f t="shared" si="217"/>
        <v>8</v>
      </c>
      <c r="C1339" s="190">
        <f t="shared" si="218"/>
        <v>42610</v>
      </c>
      <c r="D1339" s="37" t="s">
        <v>1643</v>
      </c>
      <c r="E1339" s="740">
        <v>42610</v>
      </c>
      <c r="F1339" s="292" t="s">
        <v>1543</v>
      </c>
      <c r="G1339" s="837" t="s">
        <v>1708</v>
      </c>
      <c r="H1339" s="192" t="s">
        <v>1111</v>
      </c>
      <c r="I1339" s="253">
        <v>21</v>
      </c>
      <c r="J1339" s="253">
        <v>31200</v>
      </c>
      <c r="K1339" s="584">
        <f t="shared" si="216"/>
        <v>655200</v>
      </c>
      <c r="L1339" s="585" t="s">
        <v>857</v>
      </c>
      <c r="M1339" s="585" t="s">
        <v>8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826">
        <v>3</v>
      </c>
      <c r="AB1339" s="576" t="str">
        <f>IF(VLOOKUP(F1339,NXT!$C$12:$C$786,1,0)=F1339,"","x")</f>
        <v/>
      </c>
    </row>
    <row r="1340" spans="1:28" ht="15.75" customHeight="1">
      <c r="A1340" s="827" t="str">
        <f>IF(B1340&lt;&gt;"",IF(AND(B1340&gt;=_TM1,B1340&lt;=_TM2,OR(TH!L1340="1111",TH!M1340="1111")),TH!D1340,""),"")</f>
        <v/>
      </c>
      <c r="B1340" s="36">
        <f t="shared" si="217"/>
        <v>8</v>
      </c>
      <c r="C1340" s="190">
        <f t="shared" si="218"/>
        <v>42610</v>
      </c>
      <c r="D1340" s="37" t="s">
        <v>1643</v>
      </c>
      <c r="E1340" s="740">
        <v>42610</v>
      </c>
      <c r="F1340" s="292" t="s">
        <v>1551</v>
      </c>
      <c r="G1340" s="837" t="s">
        <v>1708</v>
      </c>
      <c r="H1340" s="192" t="s">
        <v>1111</v>
      </c>
      <c r="I1340" s="253">
        <v>52</v>
      </c>
      <c r="J1340" s="253">
        <v>46000</v>
      </c>
      <c r="K1340" s="584">
        <f t="shared" si="216"/>
        <v>2392000</v>
      </c>
      <c r="L1340" s="585" t="s">
        <v>857</v>
      </c>
      <c r="M1340" s="585" t="s">
        <v>8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826">
        <v>3</v>
      </c>
      <c r="AB1340" s="576" t="str">
        <f>IF(VLOOKUP(F1340,NXT!$C$12:$C$786,1,0)=F1340,"","x")</f>
        <v/>
      </c>
    </row>
    <row r="1341" spans="1:28" ht="15.75" customHeight="1">
      <c r="A1341" s="827" t="str">
        <f>IF(B1341&lt;&gt;"",IF(AND(B1341&gt;=_TM1,B1341&lt;=_TM2,OR(TH!L1341="1111",TH!M1341="1111")),TH!D1341,""),"")</f>
        <v/>
      </c>
      <c r="B1341" s="36">
        <f t="shared" si="217"/>
        <v>8</v>
      </c>
      <c r="C1341" s="190">
        <f t="shared" si="218"/>
        <v>42610</v>
      </c>
      <c r="D1341" s="37" t="s">
        <v>1643</v>
      </c>
      <c r="E1341" s="740">
        <v>42610</v>
      </c>
      <c r="F1341" s="292" t="s">
        <v>1557</v>
      </c>
      <c r="G1341" s="837" t="s">
        <v>1708</v>
      </c>
      <c r="H1341" s="192" t="s">
        <v>1111</v>
      </c>
      <c r="I1341" s="253">
        <v>10</v>
      </c>
      <c r="J1341" s="253">
        <v>162000</v>
      </c>
      <c r="K1341" s="584">
        <f t="shared" si="216"/>
        <v>1620000</v>
      </c>
      <c r="L1341" s="585" t="s">
        <v>857</v>
      </c>
      <c r="M1341" s="585" t="s">
        <v>8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826">
        <v>3</v>
      </c>
      <c r="AB1341" s="576" t="str">
        <f>IF(VLOOKUP(F1341,NXT!$C$12:$C$786,1,0)=F1341,"","x")</f>
        <v/>
      </c>
    </row>
    <row r="1342" spans="1:28" ht="15.75" customHeight="1">
      <c r="A1342" s="827" t="str">
        <f>IF(B1342&lt;&gt;"",IF(AND(B1342&gt;=_TM1,B1342&lt;=_TM2,OR(TH!L1342="1111",TH!M1342="1111")),TH!D1342,""),"")</f>
        <v/>
      </c>
      <c r="B1342" s="36">
        <f t="shared" si="217"/>
        <v>8</v>
      </c>
      <c r="C1342" s="190">
        <f t="shared" si="218"/>
        <v>42610</v>
      </c>
      <c r="D1342" s="37" t="s">
        <v>1643</v>
      </c>
      <c r="E1342" s="740">
        <v>42610</v>
      </c>
      <c r="F1342" s="292" t="s">
        <v>1558</v>
      </c>
      <c r="G1342" s="837" t="s">
        <v>1708</v>
      </c>
      <c r="H1342" s="192" t="s">
        <v>1111</v>
      </c>
      <c r="I1342" s="253">
        <v>10</v>
      </c>
      <c r="J1342" s="253">
        <v>27000</v>
      </c>
      <c r="K1342" s="584">
        <f t="shared" si="216"/>
        <v>270000</v>
      </c>
      <c r="L1342" s="585" t="s">
        <v>857</v>
      </c>
      <c r="M1342" s="585" t="s">
        <v>8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826">
        <v>3</v>
      </c>
      <c r="AB1342" s="576" t="str">
        <f>IF(VLOOKUP(F1342,NXT!$C$12:$C$786,1,0)=F1342,"","x")</f>
        <v/>
      </c>
    </row>
    <row r="1343" spans="1:28" ht="15.75" customHeight="1">
      <c r="A1343" s="827" t="str">
        <f>IF(B1343&lt;&gt;"",IF(AND(B1343&gt;=_TM1,B1343&lt;=_TM2,OR(TH!L1343="1111",TH!M1343="1111")),TH!D1343,""),"")</f>
        <v/>
      </c>
      <c r="B1343" s="36">
        <f t="shared" si="217"/>
        <v>8</v>
      </c>
      <c r="C1343" s="190">
        <f t="shared" si="218"/>
        <v>42610</v>
      </c>
      <c r="D1343" s="37" t="s">
        <v>1643</v>
      </c>
      <c r="E1343" s="740">
        <v>42610</v>
      </c>
      <c r="F1343" s="292" t="s">
        <v>1559</v>
      </c>
      <c r="G1343" s="837" t="s">
        <v>1708</v>
      </c>
      <c r="H1343" s="192" t="s">
        <v>1111</v>
      </c>
      <c r="I1343" s="253">
        <v>1</v>
      </c>
      <c r="J1343" s="253">
        <v>60000</v>
      </c>
      <c r="K1343" s="584">
        <f t="shared" si="216"/>
        <v>60000</v>
      </c>
      <c r="L1343" s="585" t="s">
        <v>857</v>
      </c>
      <c r="M1343" s="585" t="s">
        <v>8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826">
        <v>3</v>
      </c>
      <c r="AB1343" s="576" t="str">
        <f>IF(VLOOKUP(F1343,NXT!$C$12:$C$786,1,0)=F1343,"","x")</f>
        <v/>
      </c>
    </row>
    <row r="1344" spans="1:28" ht="15.75" customHeight="1">
      <c r="A1344" s="827" t="str">
        <f>IF(B1344&lt;&gt;"",IF(AND(B1344&gt;=_TM1,B1344&lt;=_TM2,OR(TH!L1344="1111",TH!M1344="1111")),TH!D1344,""),"")</f>
        <v/>
      </c>
      <c r="B1344" s="36">
        <f t="shared" si="217"/>
        <v>8</v>
      </c>
      <c r="C1344" s="190">
        <f t="shared" si="218"/>
        <v>42610</v>
      </c>
      <c r="D1344" s="37" t="s">
        <v>1643</v>
      </c>
      <c r="E1344" s="740">
        <v>42610</v>
      </c>
      <c r="F1344" s="292" t="s">
        <v>1560</v>
      </c>
      <c r="G1344" s="837" t="s">
        <v>1708</v>
      </c>
      <c r="H1344" s="192" t="s">
        <v>1111</v>
      </c>
      <c r="I1344" s="253">
        <v>40</v>
      </c>
      <c r="J1344" s="253">
        <v>54000</v>
      </c>
      <c r="K1344" s="584">
        <f t="shared" si="216"/>
        <v>2160000</v>
      </c>
      <c r="L1344" s="585" t="s">
        <v>857</v>
      </c>
      <c r="M1344" s="585" t="s">
        <v>8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826">
        <v>3</v>
      </c>
      <c r="AB1344" s="576" t="str">
        <f>IF(VLOOKUP(F1344,NXT!$C$12:$C$786,1,0)=F1344,"","x")</f>
        <v/>
      </c>
    </row>
    <row r="1345" spans="1:28" ht="15.75" customHeight="1">
      <c r="A1345" s="827" t="str">
        <f>IF(B1345&lt;&gt;"",IF(AND(B1345&gt;=_TM1,B1345&lt;=_TM2,OR(TH!L1345="1111",TH!M1345="1111")),TH!D1345,""),"")</f>
        <v/>
      </c>
      <c r="B1345" s="36">
        <f t="shared" si="217"/>
        <v>8</v>
      </c>
      <c r="C1345" s="190">
        <f t="shared" si="218"/>
        <v>42610</v>
      </c>
      <c r="D1345" s="37" t="s">
        <v>1643</v>
      </c>
      <c r="E1345" s="740">
        <v>42610</v>
      </c>
      <c r="F1345" s="292" t="s">
        <v>1561</v>
      </c>
      <c r="G1345" s="837" t="s">
        <v>1708</v>
      </c>
      <c r="H1345" s="192" t="s">
        <v>1111</v>
      </c>
      <c r="I1345" s="253">
        <v>18</v>
      </c>
      <c r="J1345" s="253">
        <v>20400</v>
      </c>
      <c r="K1345" s="584">
        <f t="shared" si="216"/>
        <v>367200</v>
      </c>
      <c r="L1345" s="585" t="s">
        <v>857</v>
      </c>
      <c r="M1345" s="585" t="s">
        <v>8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826">
        <v>3</v>
      </c>
      <c r="AB1345" s="576" t="str">
        <f>IF(VLOOKUP(F1345,NXT!$C$12:$C$786,1,0)=F1345,"","x")</f>
        <v/>
      </c>
    </row>
    <row r="1346" spans="1:28" ht="15.75" customHeight="1">
      <c r="A1346" s="827" t="str">
        <f>IF(B1346&lt;&gt;"",IF(AND(B1346&gt;=_TM1,B1346&lt;=_TM2,OR(TH!L1346="1111",TH!M1346="1111")),TH!D1346,""),"")</f>
        <v/>
      </c>
      <c r="B1346" s="36">
        <f t="shared" si="217"/>
        <v>8</v>
      </c>
      <c r="C1346" s="190">
        <f t="shared" si="218"/>
        <v>42610</v>
      </c>
      <c r="D1346" s="37" t="s">
        <v>1643</v>
      </c>
      <c r="E1346" s="740">
        <v>42610</v>
      </c>
      <c r="F1346" s="292" t="s">
        <v>1562</v>
      </c>
      <c r="G1346" s="837" t="s">
        <v>1708</v>
      </c>
      <c r="H1346" s="192" t="s">
        <v>1111</v>
      </c>
      <c r="I1346" s="253">
        <v>12</v>
      </c>
      <c r="J1346" s="253">
        <v>10200</v>
      </c>
      <c r="K1346" s="584">
        <f t="shared" si="216"/>
        <v>122400</v>
      </c>
      <c r="L1346" s="585" t="s">
        <v>857</v>
      </c>
      <c r="M1346" s="585" t="s">
        <v>8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826">
        <v>3</v>
      </c>
      <c r="AB1346" s="576" t="str">
        <f>IF(VLOOKUP(F1346,NXT!$C$12:$C$786,1,0)=F1346,"","x")</f>
        <v/>
      </c>
    </row>
    <row r="1347" spans="1:28" ht="15.75" customHeight="1">
      <c r="A1347" s="827" t="str">
        <f>IF(B1347&lt;&gt;"",IF(AND(B1347&gt;=_TM1,B1347&lt;=_TM2,OR(TH!L1347="1111",TH!M1347="1111")),TH!D1347,""),"")</f>
        <v/>
      </c>
      <c r="B1347" s="36">
        <f t="shared" si="217"/>
        <v>8</v>
      </c>
      <c r="C1347" s="190">
        <f t="shared" si="218"/>
        <v>42610</v>
      </c>
      <c r="D1347" s="37" t="s">
        <v>1643</v>
      </c>
      <c r="E1347" s="740">
        <v>42610</v>
      </c>
      <c r="F1347" s="292" t="s">
        <v>1563</v>
      </c>
      <c r="G1347" s="837" t="s">
        <v>1708</v>
      </c>
      <c r="H1347" s="192" t="s">
        <v>1111</v>
      </c>
      <c r="I1347" s="253">
        <v>18</v>
      </c>
      <c r="J1347" s="253">
        <v>7500</v>
      </c>
      <c r="K1347" s="584">
        <f t="shared" si="216"/>
        <v>135000</v>
      </c>
      <c r="L1347" s="585" t="s">
        <v>857</v>
      </c>
      <c r="M1347" s="585" t="s">
        <v>8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826">
        <v>3</v>
      </c>
      <c r="AB1347" s="576" t="str">
        <f>IF(VLOOKUP(F1347,NXT!$C$12:$C$786,1,0)=F1347,"","x")</f>
        <v/>
      </c>
    </row>
    <row r="1348" spans="1:28" ht="15.75" customHeight="1">
      <c r="A1348" s="827" t="str">
        <f>IF(B1348&lt;&gt;"",IF(AND(B1348&gt;=_TM1,B1348&lt;=_TM2,OR(TH!L1348="1111",TH!M1348="1111")),TH!D1348,""),"")</f>
        <v/>
      </c>
      <c r="B1348" s="36">
        <f t="shared" si="209"/>
        <v>8</v>
      </c>
      <c r="C1348" s="190">
        <f t="shared" si="210"/>
        <v>42610</v>
      </c>
      <c r="D1348" s="37" t="s">
        <v>1643</v>
      </c>
      <c r="E1348" s="740">
        <v>42610</v>
      </c>
      <c r="F1348" s="292" t="s">
        <v>1564</v>
      </c>
      <c r="G1348" s="837" t="s">
        <v>1708</v>
      </c>
      <c r="H1348" s="192" t="s">
        <v>1111</v>
      </c>
      <c r="I1348" s="253">
        <v>25</v>
      </c>
      <c r="J1348" s="253">
        <v>8100</v>
      </c>
      <c r="K1348" s="584">
        <f t="shared" ref="K1348:K1361" si="219">ROUND(I1348*J1348,0)</f>
        <v>202500</v>
      </c>
      <c r="L1348" s="585" t="s">
        <v>857</v>
      </c>
      <c r="M1348" s="585" t="s">
        <v>8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826">
        <v>3</v>
      </c>
      <c r="AB1348" s="576" t="str">
        <f>IF(VLOOKUP(F1348,NXT!$C$12:$C$786,1,0)=F1348,"","x")</f>
        <v/>
      </c>
    </row>
    <row r="1349" spans="1:28" ht="15.75" customHeight="1">
      <c r="A1349" s="827" t="str">
        <f>IF(B1349&lt;&gt;"",IF(AND(B1349&gt;=_TM1,B1349&lt;=_TM2,OR(TH!L1349="1111",TH!M1349="1111")),TH!D1349,""),"")</f>
        <v/>
      </c>
      <c r="B1349" s="36">
        <f t="shared" si="209"/>
        <v>8</v>
      </c>
      <c r="C1349" s="190">
        <f t="shared" si="210"/>
        <v>42610</v>
      </c>
      <c r="D1349" s="37" t="s">
        <v>1643</v>
      </c>
      <c r="E1349" s="740">
        <v>42610</v>
      </c>
      <c r="F1349" s="292" t="s">
        <v>1565</v>
      </c>
      <c r="G1349" s="837" t="s">
        <v>1708</v>
      </c>
      <c r="H1349" s="192" t="s">
        <v>1111</v>
      </c>
      <c r="I1349" s="253">
        <v>20</v>
      </c>
      <c r="J1349" s="253">
        <v>75000</v>
      </c>
      <c r="K1349" s="584">
        <f t="shared" si="219"/>
        <v>1500000</v>
      </c>
      <c r="L1349" s="585" t="s">
        <v>857</v>
      </c>
      <c r="M1349" s="585" t="s">
        <v>8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826">
        <v>3</v>
      </c>
      <c r="AB1349" s="576" t="str">
        <f>IF(VLOOKUP(F1349,NXT!$C$12:$C$786,1,0)=F1349,"","x")</f>
        <v/>
      </c>
    </row>
    <row r="1350" spans="1:28" ht="15.75" customHeight="1">
      <c r="A1350" s="827" t="str">
        <f>IF(B1350&lt;&gt;"",IF(AND(B1350&gt;=_TM1,B1350&lt;=_TM2,OR(TH!L1350="1111",TH!M1350="1111")),TH!D1350,""),"")</f>
        <v/>
      </c>
      <c r="B1350" s="36">
        <f t="shared" si="209"/>
        <v>8</v>
      </c>
      <c r="C1350" s="190">
        <f t="shared" si="210"/>
        <v>42610</v>
      </c>
      <c r="D1350" s="37" t="s">
        <v>1643</v>
      </c>
      <c r="E1350" s="740">
        <v>42610</v>
      </c>
      <c r="F1350" s="292" t="s">
        <v>1566</v>
      </c>
      <c r="G1350" s="837" t="s">
        <v>1708</v>
      </c>
      <c r="H1350" s="192" t="s">
        <v>1111</v>
      </c>
      <c r="I1350" s="253">
        <v>20</v>
      </c>
      <c r="J1350" s="253">
        <v>51000</v>
      </c>
      <c r="K1350" s="584">
        <f t="shared" si="219"/>
        <v>1020000</v>
      </c>
      <c r="L1350" s="585" t="s">
        <v>857</v>
      </c>
      <c r="M1350" s="585" t="s">
        <v>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826">
        <v>3</v>
      </c>
      <c r="AB1350" s="576" t="str">
        <f>IF(VLOOKUP(F1350,NXT!$C$12:$C$786,1,0)=F1350,"","x")</f>
        <v/>
      </c>
    </row>
    <row r="1351" spans="1:28" ht="15.75" customHeight="1">
      <c r="A1351" s="827" t="str">
        <f>IF(B1351&lt;&gt;"",IF(AND(B1351&gt;=_TM1,B1351&lt;=_TM2,OR(TH!L1351="1111",TH!M1351="1111")),TH!D1351,""),"")</f>
        <v/>
      </c>
      <c r="B1351" s="36">
        <f t="shared" si="209"/>
        <v>8</v>
      </c>
      <c r="C1351" s="190">
        <f t="shared" si="210"/>
        <v>42610</v>
      </c>
      <c r="D1351" s="37" t="s">
        <v>1643</v>
      </c>
      <c r="E1351" s="740">
        <v>42610</v>
      </c>
      <c r="F1351" s="292" t="s">
        <v>1567</v>
      </c>
      <c r="G1351" s="837" t="s">
        <v>1708</v>
      </c>
      <c r="H1351" s="192" t="s">
        <v>1111</v>
      </c>
      <c r="I1351" s="253">
        <v>53</v>
      </c>
      <c r="J1351" s="253">
        <v>26300</v>
      </c>
      <c r="K1351" s="584">
        <f t="shared" si="219"/>
        <v>1393900</v>
      </c>
      <c r="L1351" s="585" t="s">
        <v>857</v>
      </c>
      <c r="M1351" s="585" t="s">
        <v>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826">
        <v>3</v>
      </c>
      <c r="AB1351" s="576" t="str">
        <f>IF(VLOOKUP(F1351,NXT!$C$12:$C$786,1,0)=F1351,"","x")</f>
        <v/>
      </c>
    </row>
    <row r="1352" spans="1:28" ht="15.75" customHeight="1">
      <c r="A1352" s="827" t="str">
        <f>IF(B1352&lt;&gt;"",IF(AND(B1352&gt;=_TM1,B1352&lt;=_TM2,OR(TH!L1352="1111",TH!M1352="1111")),TH!D1352,""),"")</f>
        <v/>
      </c>
      <c r="B1352" s="36">
        <f t="shared" ref="B1352:B1355" si="220">IF(C1352&lt;&gt;"",MONTH(C1352),"")</f>
        <v>8</v>
      </c>
      <c r="C1352" s="190">
        <f t="shared" ref="C1352:C1355" si="221">E1352</f>
        <v>42610</v>
      </c>
      <c r="D1352" s="37" t="s">
        <v>1643</v>
      </c>
      <c r="E1352" s="740">
        <v>42610</v>
      </c>
      <c r="F1352" s="292" t="s">
        <v>1568</v>
      </c>
      <c r="G1352" s="837" t="s">
        <v>1708</v>
      </c>
      <c r="H1352" s="192" t="s">
        <v>1111</v>
      </c>
      <c r="I1352" s="253">
        <v>38</v>
      </c>
      <c r="J1352" s="253">
        <v>74200</v>
      </c>
      <c r="K1352" s="584">
        <f t="shared" si="219"/>
        <v>2819600</v>
      </c>
      <c r="L1352" s="585" t="s">
        <v>857</v>
      </c>
      <c r="M1352" s="585" t="s">
        <v>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826">
        <v>3</v>
      </c>
      <c r="AB1352" s="576" t="str">
        <f>IF(VLOOKUP(F1352,NXT!$C$12:$C$786,1,0)=F1352,"","x")</f>
        <v/>
      </c>
    </row>
    <row r="1353" spans="1:28" ht="15.75" customHeight="1">
      <c r="A1353" s="827" t="str">
        <f>IF(B1353&lt;&gt;"",IF(AND(B1353&gt;=_TM1,B1353&lt;=_TM2,OR(TH!L1353="1111",TH!M1353="1111")),TH!D1353,""),"")</f>
        <v/>
      </c>
      <c r="B1353" s="36">
        <f t="shared" si="220"/>
        <v>8</v>
      </c>
      <c r="C1353" s="190">
        <f t="shared" si="221"/>
        <v>42610</v>
      </c>
      <c r="D1353" s="37" t="s">
        <v>1643</v>
      </c>
      <c r="E1353" s="740">
        <v>42610</v>
      </c>
      <c r="F1353" s="292" t="s">
        <v>1569</v>
      </c>
      <c r="G1353" s="837" t="s">
        <v>1708</v>
      </c>
      <c r="H1353" s="192" t="s">
        <v>1111</v>
      </c>
      <c r="I1353" s="253">
        <v>10</v>
      </c>
      <c r="J1353" s="253">
        <v>55800</v>
      </c>
      <c r="K1353" s="584">
        <f t="shared" si="219"/>
        <v>558000</v>
      </c>
      <c r="L1353" s="585" t="s">
        <v>857</v>
      </c>
      <c r="M1353" s="585" t="s">
        <v>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826">
        <v>3</v>
      </c>
      <c r="AB1353" s="576" t="str">
        <f>IF(VLOOKUP(F1353,NXT!$C$12:$C$786,1,0)=F1353,"","x")</f>
        <v/>
      </c>
    </row>
    <row r="1354" spans="1:28" ht="15.75" customHeight="1">
      <c r="A1354" s="827" t="str">
        <f>IF(B1354&lt;&gt;"",IF(AND(B1354&gt;=_TM1,B1354&lt;=_TM2,OR(TH!L1354="1111",TH!M1354="1111")),TH!D1354,""),"")</f>
        <v/>
      </c>
      <c r="B1354" s="36">
        <f t="shared" si="220"/>
        <v>8</v>
      </c>
      <c r="C1354" s="190">
        <f t="shared" si="221"/>
        <v>42610</v>
      </c>
      <c r="D1354" s="37" t="s">
        <v>1643</v>
      </c>
      <c r="E1354" s="740">
        <v>42610</v>
      </c>
      <c r="F1354" s="292" t="s">
        <v>1570</v>
      </c>
      <c r="G1354" s="837" t="s">
        <v>1708</v>
      </c>
      <c r="H1354" s="192" t="s">
        <v>1111</v>
      </c>
      <c r="I1354" s="253">
        <v>8</v>
      </c>
      <c r="J1354" s="253">
        <v>43200</v>
      </c>
      <c r="K1354" s="584">
        <f t="shared" si="219"/>
        <v>345600</v>
      </c>
      <c r="L1354" s="585" t="s">
        <v>857</v>
      </c>
      <c r="M1354" s="585" t="s">
        <v>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826">
        <v>3</v>
      </c>
      <c r="AB1354" s="576" t="str">
        <f>IF(VLOOKUP(F1354,NXT!$C$12:$C$786,1,0)=F1354,"","x")</f>
        <v/>
      </c>
    </row>
    <row r="1355" spans="1:28" ht="15.75" customHeight="1">
      <c r="A1355" s="827" t="str">
        <f>IF(B1355&lt;&gt;"",IF(AND(B1355&gt;=_TM1,B1355&lt;=_TM2,OR(TH!L1355="1111",TH!M1355="1111")),TH!D1355,""),"")</f>
        <v/>
      </c>
      <c r="B1355" s="36">
        <f t="shared" si="220"/>
        <v>8</v>
      </c>
      <c r="C1355" s="190">
        <f t="shared" si="221"/>
        <v>42610</v>
      </c>
      <c r="D1355" s="37" t="s">
        <v>1643</v>
      </c>
      <c r="E1355" s="740">
        <v>42610</v>
      </c>
      <c r="F1355" s="292" t="s">
        <v>1571</v>
      </c>
      <c r="G1355" s="837" t="s">
        <v>1708</v>
      </c>
      <c r="H1355" s="192" t="s">
        <v>1111</v>
      </c>
      <c r="I1355" s="253">
        <v>54</v>
      </c>
      <c r="J1355" s="253">
        <v>43000</v>
      </c>
      <c r="K1355" s="584">
        <f t="shared" si="219"/>
        <v>2322000</v>
      </c>
      <c r="L1355" s="585" t="s">
        <v>857</v>
      </c>
      <c r="M1355" s="585" t="s">
        <v>8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826">
        <v>3</v>
      </c>
      <c r="AB1355" s="576" t="str">
        <f>IF(VLOOKUP(F1355,NXT!$C$12:$C$786,1,0)=F1355,"","x")</f>
        <v/>
      </c>
    </row>
    <row r="1356" spans="1:28" ht="15.75" customHeight="1">
      <c r="A1356" s="827" t="str">
        <f>IF(B1356&lt;&gt;"",IF(AND(B1356&gt;=_TM1,B1356&lt;=_TM2,OR(TH!L1356="1111",TH!M1356="1111")),TH!D1356,""),"")</f>
        <v/>
      </c>
      <c r="B1356" s="36">
        <f t="shared" ref="B1356:B1359" si="222">IF(C1356&lt;&gt;"",MONTH(C1356),"")</f>
        <v>8</v>
      </c>
      <c r="C1356" s="190">
        <f t="shared" ref="C1356:C1359" si="223">E1356</f>
        <v>42610</v>
      </c>
      <c r="D1356" s="37" t="s">
        <v>1643</v>
      </c>
      <c r="E1356" s="740">
        <v>42610</v>
      </c>
      <c r="F1356" s="292" t="s">
        <v>1572</v>
      </c>
      <c r="G1356" s="837" t="s">
        <v>1708</v>
      </c>
      <c r="H1356" s="192" t="s">
        <v>1111</v>
      </c>
      <c r="I1356" s="253">
        <v>4</v>
      </c>
      <c r="J1356" s="253">
        <v>71500</v>
      </c>
      <c r="K1356" s="584">
        <f t="shared" si="219"/>
        <v>286000</v>
      </c>
      <c r="L1356" s="585" t="s">
        <v>857</v>
      </c>
      <c r="M1356" s="585" t="s">
        <v>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826">
        <v>3</v>
      </c>
      <c r="AB1356" s="576" t="str">
        <f>IF(VLOOKUP(F1356,NXT!$C$12:$C$786,1,0)=F1356,"","x")</f>
        <v/>
      </c>
    </row>
    <row r="1357" spans="1:28" ht="15.75" customHeight="1">
      <c r="A1357" s="827" t="str">
        <f>IF(B1357&lt;&gt;"",IF(AND(B1357&gt;=_TM1,B1357&lt;=_TM2,OR(TH!L1357="1111",TH!M1357="1111")),TH!D1357,""),"")</f>
        <v/>
      </c>
      <c r="B1357" s="36">
        <f t="shared" si="222"/>
        <v>8</v>
      </c>
      <c r="C1357" s="190">
        <f t="shared" si="223"/>
        <v>42610</v>
      </c>
      <c r="D1357" s="37" t="s">
        <v>1643</v>
      </c>
      <c r="E1357" s="740">
        <v>42610</v>
      </c>
      <c r="F1357" s="292" t="s">
        <v>1573</v>
      </c>
      <c r="G1357" s="837" t="s">
        <v>1708</v>
      </c>
      <c r="H1357" s="192" t="s">
        <v>1111</v>
      </c>
      <c r="I1357" s="253">
        <v>6</v>
      </c>
      <c r="J1357" s="253">
        <v>94300</v>
      </c>
      <c r="K1357" s="584">
        <f t="shared" si="219"/>
        <v>565800</v>
      </c>
      <c r="L1357" s="585" t="s">
        <v>857</v>
      </c>
      <c r="M1357" s="585" t="s">
        <v>8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826">
        <v>3</v>
      </c>
      <c r="AB1357" s="576" t="str">
        <f>IF(VLOOKUP(F1357,NXT!$C$12:$C$786,1,0)=F1357,"","x")</f>
        <v/>
      </c>
    </row>
    <row r="1358" spans="1:28" ht="15.75" customHeight="1">
      <c r="A1358" s="827" t="str">
        <f>IF(B1358&lt;&gt;"",IF(AND(B1358&gt;=_TM1,B1358&lt;=_TM2,OR(TH!L1358="1111",TH!M1358="1111")),TH!D1358,""),"")</f>
        <v/>
      </c>
      <c r="B1358" s="36">
        <f t="shared" si="222"/>
        <v>8</v>
      </c>
      <c r="C1358" s="190">
        <f t="shared" si="223"/>
        <v>42610</v>
      </c>
      <c r="D1358" s="37" t="s">
        <v>1643</v>
      </c>
      <c r="E1358" s="740">
        <v>42610</v>
      </c>
      <c r="F1358" s="292" t="s">
        <v>1574</v>
      </c>
      <c r="G1358" s="837" t="s">
        <v>1708</v>
      </c>
      <c r="H1358" s="192" t="s">
        <v>1111</v>
      </c>
      <c r="I1358" s="253">
        <v>8</v>
      </c>
      <c r="J1358" s="253">
        <v>24700</v>
      </c>
      <c r="K1358" s="584">
        <f t="shared" si="219"/>
        <v>197600</v>
      </c>
      <c r="L1358" s="585" t="s">
        <v>857</v>
      </c>
      <c r="M1358" s="585" t="s">
        <v>8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826">
        <v>3</v>
      </c>
      <c r="AB1358" s="576" t="str">
        <f>IF(VLOOKUP(F1358,NXT!$C$12:$C$786,1,0)=F1358,"","x")</f>
        <v/>
      </c>
    </row>
    <row r="1359" spans="1:28" ht="15.75" customHeight="1">
      <c r="A1359" s="827" t="str">
        <f>IF(B1359&lt;&gt;"",IF(AND(B1359&gt;=_TM1,B1359&lt;=_TM2,OR(TH!L1359="1111",TH!M1359="1111")),TH!D1359,""),"")</f>
        <v/>
      </c>
      <c r="B1359" s="36">
        <f t="shared" si="222"/>
        <v>8</v>
      </c>
      <c r="C1359" s="190">
        <f t="shared" si="223"/>
        <v>42610</v>
      </c>
      <c r="D1359" s="37" t="s">
        <v>1643</v>
      </c>
      <c r="E1359" s="740">
        <v>42610</v>
      </c>
      <c r="F1359" s="292" t="s">
        <v>1575</v>
      </c>
      <c r="G1359" s="837" t="s">
        <v>1708</v>
      </c>
      <c r="H1359" s="192" t="s">
        <v>1111</v>
      </c>
      <c r="I1359" s="253">
        <v>8</v>
      </c>
      <c r="J1359" s="253">
        <v>51300</v>
      </c>
      <c r="K1359" s="584">
        <f t="shared" si="219"/>
        <v>410400</v>
      </c>
      <c r="L1359" s="585" t="s">
        <v>857</v>
      </c>
      <c r="M1359" s="585" t="s">
        <v>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826">
        <v>3</v>
      </c>
      <c r="AB1359" s="576" t="str">
        <f>IF(VLOOKUP(F1359,NXT!$C$12:$C$786,1,0)=F1359,"","x")</f>
        <v/>
      </c>
    </row>
    <row r="1360" spans="1:28" ht="15.75" customHeight="1">
      <c r="A1360" s="827" t="str">
        <f>IF(B1360&lt;&gt;"",IF(AND(B1360&gt;=_TM1,B1360&lt;=_TM2,OR(TH!L1360="1111",TH!M1360="1111")),TH!D1360,""),"")</f>
        <v/>
      </c>
      <c r="B1360" s="36">
        <f t="shared" si="209"/>
        <v>8</v>
      </c>
      <c r="C1360" s="190">
        <f t="shared" si="210"/>
        <v>42610</v>
      </c>
      <c r="D1360" s="37" t="s">
        <v>1643</v>
      </c>
      <c r="E1360" s="740">
        <v>42610</v>
      </c>
      <c r="F1360" s="292" t="s">
        <v>1576</v>
      </c>
      <c r="G1360" s="837" t="s">
        <v>1708</v>
      </c>
      <c r="H1360" s="192" t="s">
        <v>1111</v>
      </c>
      <c r="I1360" s="253">
        <v>8</v>
      </c>
      <c r="J1360" s="253">
        <v>47300</v>
      </c>
      <c r="K1360" s="584">
        <f t="shared" si="219"/>
        <v>378400</v>
      </c>
      <c r="L1360" s="585" t="s">
        <v>857</v>
      </c>
      <c r="M1360" s="585" t="s">
        <v>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826">
        <v>3</v>
      </c>
      <c r="AB1360" s="576" t="str">
        <f>IF(VLOOKUP(F1360,NXT!$C$12:$C$786,1,0)=F1360,"","x")</f>
        <v/>
      </c>
    </row>
    <row r="1361" spans="1:28" ht="15.75" customHeight="1">
      <c r="A1361" s="827" t="str">
        <f>IF(B1361&lt;&gt;"",IF(AND(B1361&gt;=_TM1,B1361&lt;=_TM2,OR(TH!L1361="1111",TH!M1361="1111")),TH!D1361,""),"")</f>
        <v/>
      </c>
      <c r="B1361" s="36">
        <f t="shared" si="209"/>
        <v>8</v>
      </c>
      <c r="C1361" s="190">
        <f t="shared" si="210"/>
        <v>42610</v>
      </c>
      <c r="D1361" s="37" t="s">
        <v>1643</v>
      </c>
      <c r="E1361" s="740">
        <v>42610</v>
      </c>
      <c r="F1361" s="292" t="s">
        <v>1577</v>
      </c>
      <c r="G1361" s="837" t="s">
        <v>1708</v>
      </c>
      <c r="H1361" s="192" t="s">
        <v>1111</v>
      </c>
      <c r="I1361" s="253">
        <v>8</v>
      </c>
      <c r="J1361" s="253">
        <v>131100</v>
      </c>
      <c r="K1361" s="584">
        <f t="shared" si="219"/>
        <v>1048800</v>
      </c>
      <c r="L1361" s="585" t="s">
        <v>857</v>
      </c>
      <c r="M1361" s="585" t="s">
        <v>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826">
        <v>3</v>
      </c>
      <c r="AB1361" s="576" t="str">
        <f>IF(VLOOKUP(F1361,NXT!$C$12:$C$786,1,0)=F1361,"","x")</f>
        <v/>
      </c>
    </row>
    <row r="1362" spans="1:28" ht="15.75" customHeight="1">
      <c r="A1362" s="827" t="str">
        <f>IF(B1362&lt;&gt;"",IF(AND(B1362&gt;=_TM1,B1362&lt;=_TM2,OR(TH!L1362="1111",TH!M1362="1111")),TH!D1362,""),"")</f>
        <v/>
      </c>
      <c r="B1362" s="36">
        <f t="shared" ref="B1362" si="224">IF(C1362&lt;&gt;"",MONTH(C1362),"")</f>
        <v>8</v>
      </c>
      <c r="C1362" s="190">
        <f t="shared" ref="C1362" si="225">E1362</f>
        <v>42610</v>
      </c>
      <c r="D1362" s="37" t="s">
        <v>1643</v>
      </c>
      <c r="E1362" s="740">
        <v>42610</v>
      </c>
      <c r="F1362" s="40" t="s">
        <v>461</v>
      </c>
      <c r="G1362" s="837" t="s">
        <v>1708</v>
      </c>
      <c r="H1362" s="192" t="s">
        <v>1111</v>
      </c>
      <c r="I1362" s="253"/>
      <c r="J1362" s="253"/>
      <c r="K1362" s="584">
        <v>9101756</v>
      </c>
      <c r="L1362" s="39" t="s">
        <v>9</v>
      </c>
      <c r="M1362" s="585" t="s">
        <v>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826">
        <v>3</v>
      </c>
      <c r="AB1362" s="847"/>
    </row>
    <row r="1363" spans="1:28" ht="15.75" customHeight="1">
      <c r="A1363" s="827" t="str">
        <f>IF(B1363&lt;&gt;"",IF(AND(B1363&gt;=_TM1,B1363&lt;=_TM2,OR(TH!L1363="1111",TH!M1363="1111")),TH!D1363,""),"")</f>
        <v/>
      </c>
      <c r="B1363" s="36">
        <f t="shared" si="209"/>
        <v>8</v>
      </c>
      <c r="C1363" s="190">
        <f t="shared" si="210"/>
        <v>42613</v>
      </c>
      <c r="D1363" s="37" t="s">
        <v>1645</v>
      </c>
      <c r="E1363" s="740">
        <v>42613</v>
      </c>
      <c r="F1363" s="188" t="s">
        <v>1401</v>
      </c>
      <c r="G1363" s="837" t="s">
        <v>1399</v>
      </c>
      <c r="H1363" s="192" t="s">
        <v>1400</v>
      </c>
      <c r="I1363" s="253">
        <v>151</v>
      </c>
      <c r="J1363" s="253">
        <v>17010</v>
      </c>
      <c r="K1363" s="584">
        <f t="shared" ref="K1363:K1489" si="226">ROUND(I1363*J1363,0)</f>
        <v>2568510</v>
      </c>
      <c r="L1363" s="585" t="s">
        <v>857</v>
      </c>
      <c r="M1363" s="585" t="s">
        <v>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826">
        <v>3</v>
      </c>
      <c r="AB1363" s="576" t="str">
        <f>IF(VLOOKUP(F1363,NXT!$C$12:$C$786,1,0)=F1363,"","x")</f>
        <v/>
      </c>
    </row>
    <row r="1364" spans="1:28" ht="15.75" customHeight="1">
      <c r="A1364" s="827" t="str">
        <f>IF(B1364&lt;&gt;"",IF(AND(B1364&gt;=_TM1,B1364&lt;=_TM2,OR(TH!L1364="1111",TH!M1364="1111")),TH!D1364,""),"")</f>
        <v/>
      </c>
      <c r="B1364" s="36">
        <f t="shared" si="209"/>
        <v>8</v>
      </c>
      <c r="C1364" s="190">
        <f t="shared" si="210"/>
        <v>42613</v>
      </c>
      <c r="D1364" s="37" t="s">
        <v>1645</v>
      </c>
      <c r="E1364" s="740">
        <v>42613</v>
      </c>
      <c r="F1364" s="188" t="s">
        <v>1402</v>
      </c>
      <c r="G1364" s="837" t="s">
        <v>1399</v>
      </c>
      <c r="H1364" s="192" t="s">
        <v>1400</v>
      </c>
      <c r="I1364" s="253">
        <v>200</v>
      </c>
      <c r="J1364" s="253">
        <v>19251</v>
      </c>
      <c r="K1364" s="584">
        <f t="shared" si="226"/>
        <v>3850200</v>
      </c>
      <c r="L1364" s="585" t="s">
        <v>857</v>
      </c>
      <c r="M1364" s="585" t="s">
        <v>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826">
        <v>3</v>
      </c>
      <c r="AB1364" s="576" t="str">
        <f>IF(VLOOKUP(F1364,NXT!$C$12:$C$786,1,0)=F1364,"","x")</f>
        <v/>
      </c>
    </row>
    <row r="1365" spans="1:28" ht="15.75" customHeight="1">
      <c r="A1365" s="827" t="str">
        <f>IF(B1365&lt;&gt;"",IF(AND(B1365&gt;=_TM1,B1365&lt;=_TM2,OR(TH!L1365="1111",TH!M1365="1111")),TH!D1365,""),"")</f>
        <v/>
      </c>
      <c r="B1365" s="36">
        <f t="shared" si="209"/>
        <v>8</v>
      </c>
      <c r="C1365" s="190">
        <f t="shared" si="210"/>
        <v>42613</v>
      </c>
      <c r="D1365" s="37" t="s">
        <v>1645</v>
      </c>
      <c r="E1365" s="740">
        <v>42613</v>
      </c>
      <c r="F1365" s="188" t="s">
        <v>1403</v>
      </c>
      <c r="G1365" s="837" t="s">
        <v>1399</v>
      </c>
      <c r="H1365" s="192" t="s">
        <v>1400</v>
      </c>
      <c r="I1365" s="253">
        <v>40</v>
      </c>
      <c r="J1365" s="253">
        <v>21375</v>
      </c>
      <c r="K1365" s="584">
        <f t="shared" si="226"/>
        <v>855000</v>
      </c>
      <c r="L1365" s="585" t="s">
        <v>857</v>
      </c>
      <c r="M1365" s="585" t="s">
        <v>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826">
        <v>3</v>
      </c>
      <c r="AB1365" s="576" t="str">
        <f>IF(VLOOKUP(F1365,NXT!$C$12:$C$786,1,0)=F1365,"","x")</f>
        <v/>
      </c>
    </row>
    <row r="1366" spans="1:28" ht="15.75" customHeight="1">
      <c r="A1366" s="827" t="str">
        <f>IF(B1366&lt;&gt;"",IF(AND(B1366&gt;=_TM1,B1366&lt;=_TM2,OR(TH!L1366="1111",TH!M1366="1111")),TH!D1366,""),"")</f>
        <v/>
      </c>
      <c r="B1366" s="36">
        <f t="shared" ref="B1366:B1414" si="227">IF(C1366&lt;&gt;"",MONTH(C1366),"")</f>
        <v>8</v>
      </c>
      <c r="C1366" s="190">
        <f t="shared" ref="C1366:C1414" si="228">E1366</f>
        <v>42613</v>
      </c>
      <c r="D1366" s="37" t="s">
        <v>1645</v>
      </c>
      <c r="E1366" s="740">
        <v>42613</v>
      </c>
      <c r="F1366" s="188" t="s">
        <v>1404</v>
      </c>
      <c r="G1366" s="837" t="s">
        <v>1399</v>
      </c>
      <c r="H1366" s="192" t="s">
        <v>1400</v>
      </c>
      <c r="I1366" s="253">
        <v>18</v>
      </c>
      <c r="J1366" s="253">
        <v>26325</v>
      </c>
      <c r="K1366" s="584">
        <f t="shared" si="226"/>
        <v>473850</v>
      </c>
      <c r="L1366" s="585" t="s">
        <v>857</v>
      </c>
      <c r="M1366" s="585" t="s">
        <v>8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826">
        <v>3</v>
      </c>
      <c r="AB1366" s="576" t="str">
        <f>IF(VLOOKUP(F1366,NXT!$C$12:$C$786,1,0)=F1366,"","x")</f>
        <v/>
      </c>
    </row>
    <row r="1367" spans="1:28" ht="15.75" customHeight="1">
      <c r="A1367" s="827" t="str">
        <f>IF(B1367&lt;&gt;"",IF(AND(B1367&gt;=_TM1,B1367&lt;=_TM2,OR(TH!L1367="1111",TH!M1367="1111")),TH!D1367,""),"")</f>
        <v/>
      </c>
      <c r="B1367" s="36">
        <f t="shared" si="227"/>
        <v>8</v>
      </c>
      <c r="C1367" s="190">
        <f t="shared" si="228"/>
        <v>42613</v>
      </c>
      <c r="D1367" s="37" t="s">
        <v>1645</v>
      </c>
      <c r="E1367" s="740">
        <v>42613</v>
      </c>
      <c r="F1367" s="188" t="s">
        <v>1405</v>
      </c>
      <c r="G1367" s="837" t="s">
        <v>1399</v>
      </c>
      <c r="H1367" s="192" t="s">
        <v>1400</v>
      </c>
      <c r="I1367" s="253">
        <v>49</v>
      </c>
      <c r="J1367" s="253">
        <v>18216</v>
      </c>
      <c r="K1367" s="584">
        <f t="shared" si="226"/>
        <v>892584</v>
      </c>
      <c r="L1367" s="585" t="s">
        <v>857</v>
      </c>
      <c r="M1367" s="585" t="s">
        <v>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826">
        <v>3</v>
      </c>
      <c r="AB1367" s="576" t="str">
        <f>IF(VLOOKUP(F1367,NXT!$C$12:$C$786,1,0)=F1367,"","x")</f>
        <v/>
      </c>
    </row>
    <row r="1368" spans="1:28" ht="15.75" customHeight="1">
      <c r="A1368" s="827" t="str">
        <f>IF(B1368&lt;&gt;"",IF(AND(B1368&gt;=_TM1,B1368&lt;=_TM2,OR(TH!L1368="1111",TH!M1368="1111")),TH!D1368,""),"")</f>
        <v/>
      </c>
      <c r="B1368" s="36">
        <f t="shared" si="227"/>
        <v>8</v>
      </c>
      <c r="C1368" s="190">
        <f t="shared" si="228"/>
        <v>42613</v>
      </c>
      <c r="D1368" s="37" t="s">
        <v>1645</v>
      </c>
      <c r="E1368" s="740">
        <v>42613</v>
      </c>
      <c r="F1368" s="188" t="s">
        <v>1406</v>
      </c>
      <c r="G1368" s="837" t="s">
        <v>1399</v>
      </c>
      <c r="H1368" s="192" t="s">
        <v>1400</v>
      </c>
      <c r="I1368" s="253">
        <v>350</v>
      </c>
      <c r="J1368" s="253">
        <v>19940</v>
      </c>
      <c r="K1368" s="584">
        <f t="shared" si="226"/>
        <v>6979000</v>
      </c>
      <c r="L1368" s="585" t="s">
        <v>857</v>
      </c>
      <c r="M1368" s="585" t="s">
        <v>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826">
        <v>3</v>
      </c>
      <c r="AB1368" s="576" t="str">
        <f>IF(VLOOKUP(F1368,NXT!$C$12:$C$786,1,0)=F1368,"","x")</f>
        <v/>
      </c>
    </row>
    <row r="1369" spans="1:28" ht="15.75" customHeight="1">
      <c r="A1369" s="827" t="str">
        <f>IF(B1369&lt;&gt;"",IF(AND(B1369&gt;=_TM1,B1369&lt;=_TM2,OR(TH!L1369="1111",TH!M1369="1111")),TH!D1369,""),"")</f>
        <v/>
      </c>
      <c r="B1369" s="36">
        <f t="shared" si="227"/>
        <v>8</v>
      </c>
      <c r="C1369" s="190">
        <f t="shared" si="228"/>
        <v>42613</v>
      </c>
      <c r="D1369" s="37" t="s">
        <v>1645</v>
      </c>
      <c r="E1369" s="740">
        <v>42613</v>
      </c>
      <c r="F1369" s="188" t="s">
        <v>1407</v>
      </c>
      <c r="G1369" s="837" t="s">
        <v>1399</v>
      </c>
      <c r="H1369" s="192" t="s">
        <v>1400</v>
      </c>
      <c r="I1369" s="253">
        <v>400</v>
      </c>
      <c r="J1369" s="253">
        <v>18216</v>
      </c>
      <c r="K1369" s="584">
        <f t="shared" si="226"/>
        <v>7286400</v>
      </c>
      <c r="L1369" s="585" t="s">
        <v>857</v>
      </c>
      <c r="M1369" s="585" t="s">
        <v>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826">
        <v>3</v>
      </c>
      <c r="AB1369" s="576" t="str">
        <f>IF(VLOOKUP(F1369,NXT!$C$12:$C$786,1,0)=F1369,"","x")</f>
        <v/>
      </c>
    </row>
    <row r="1370" spans="1:28" ht="15.75" customHeight="1">
      <c r="A1370" s="827" t="str">
        <f>IF(B1370&lt;&gt;"",IF(AND(B1370&gt;=_TM1,B1370&lt;=_TM2,OR(TH!L1370="1111",TH!M1370="1111")),TH!D1370,""),"")</f>
        <v/>
      </c>
      <c r="B1370" s="36">
        <f t="shared" si="227"/>
        <v>8</v>
      </c>
      <c r="C1370" s="190">
        <f t="shared" si="228"/>
        <v>42613</v>
      </c>
      <c r="D1370" s="37" t="s">
        <v>1645</v>
      </c>
      <c r="E1370" s="740">
        <v>42613</v>
      </c>
      <c r="F1370" s="188" t="s">
        <v>1408</v>
      </c>
      <c r="G1370" s="837" t="s">
        <v>1399</v>
      </c>
      <c r="H1370" s="192" t="s">
        <v>1400</v>
      </c>
      <c r="I1370" s="253">
        <v>118</v>
      </c>
      <c r="J1370" s="253">
        <v>13860</v>
      </c>
      <c r="K1370" s="584">
        <f t="shared" si="226"/>
        <v>1635480</v>
      </c>
      <c r="L1370" s="585" t="s">
        <v>857</v>
      </c>
      <c r="M1370" s="585" t="s">
        <v>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826">
        <v>3</v>
      </c>
      <c r="AB1370" s="576" t="str">
        <f>IF(VLOOKUP(F1370,NXT!$C$12:$C$786,1,0)=F1370,"","x")</f>
        <v/>
      </c>
    </row>
    <row r="1371" spans="1:28" ht="15.75" customHeight="1">
      <c r="A1371" s="827" t="str">
        <f>IF(B1371&lt;&gt;"",IF(AND(B1371&gt;=_TM1,B1371&lt;=_TM2,OR(TH!L1371="1111",TH!M1371="1111")),TH!D1371,""),"")</f>
        <v/>
      </c>
      <c r="B1371" s="36">
        <f t="shared" si="227"/>
        <v>8</v>
      </c>
      <c r="C1371" s="190">
        <f t="shared" si="228"/>
        <v>42613</v>
      </c>
      <c r="D1371" s="37" t="s">
        <v>1645</v>
      </c>
      <c r="E1371" s="740">
        <v>42613</v>
      </c>
      <c r="F1371" s="188" t="s">
        <v>1409</v>
      </c>
      <c r="G1371" s="837" t="s">
        <v>1399</v>
      </c>
      <c r="H1371" s="192" t="s">
        <v>1400</v>
      </c>
      <c r="I1371" s="253">
        <v>124</v>
      </c>
      <c r="J1371" s="253">
        <v>15246</v>
      </c>
      <c r="K1371" s="584">
        <f t="shared" si="226"/>
        <v>1890504</v>
      </c>
      <c r="L1371" s="585" t="s">
        <v>857</v>
      </c>
      <c r="M1371" s="585" t="s">
        <v>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826">
        <v>3</v>
      </c>
      <c r="AB1371" s="576" t="str">
        <f>IF(VLOOKUP(F1371,NXT!$C$12:$C$786,1,0)=F1371,"","x")</f>
        <v/>
      </c>
    </row>
    <row r="1372" spans="1:28" ht="15.75" customHeight="1">
      <c r="A1372" s="827" t="str">
        <f>IF(B1372&lt;&gt;"",IF(AND(B1372&gt;=_TM1,B1372&lt;=_TM2,OR(TH!L1372="1111",TH!M1372="1111")),TH!D1372,""),"")</f>
        <v/>
      </c>
      <c r="B1372" s="36">
        <f t="shared" si="227"/>
        <v>8</v>
      </c>
      <c r="C1372" s="190">
        <f t="shared" si="228"/>
        <v>42613</v>
      </c>
      <c r="D1372" s="37" t="s">
        <v>1645</v>
      </c>
      <c r="E1372" s="740">
        <v>42613</v>
      </c>
      <c r="F1372" s="188" t="s">
        <v>1410</v>
      </c>
      <c r="G1372" s="837" t="s">
        <v>1399</v>
      </c>
      <c r="H1372" s="192" t="s">
        <v>1400</v>
      </c>
      <c r="I1372" s="253">
        <v>138</v>
      </c>
      <c r="J1372" s="253">
        <v>17809</v>
      </c>
      <c r="K1372" s="584">
        <f t="shared" si="226"/>
        <v>2457642</v>
      </c>
      <c r="L1372" s="585" t="s">
        <v>857</v>
      </c>
      <c r="M1372" s="585" t="s">
        <v>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826">
        <v>3</v>
      </c>
      <c r="AB1372" s="576" t="str">
        <f>IF(VLOOKUP(F1372,NXT!$C$12:$C$786,1,0)=F1372,"","x")</f>
        <v/>
      </c>
    </row>
    <row r="1373" spans="1:28" ht="15.75" customHeight="1">
      <c r="A1373" s="827" t="str">
        <f>IF(B1373&lt;&gt;"",IF(AND(B1373&gt;=_TM1,B1373&lt;=_TM2,OR(TH!L1373="1111",TH!M1373="1111")),TH!D1373,""),"")</f>
        <v/>
      </c>
      <c r="B1373" s="36">
        <f t="shared" si="227"/>
        <v>8</v>
      </c>
      <c r="C1373" s="190">
        <f t="shared" si="228"/>
        <v>42613</v>
      </c>
      <c r="D1373" s="37" t="s">
        <v>1645</v>
      </c>
      <c r="E1373" s="740">
        <v>42613</v>
      </c>
      <c r="F1373" s="188" t="s">
        <v>1411</v>
      </c>
      <c r="G1373" s="837" t="s">
        <v>1399</v>
      </c>
      <c r="H1373" s="192" t="s">
        <v>1400</v>
      </c>
      <c r="I1373" s="253">
        <v>99</v>
      </c>
      <c r="J1373" s="253">
        <v>19810</v>
      </c>
      <c r="K1373" s="584">
        <f t="shared" si="226"/>
        <v>1961190</v>
      </c>
      <c r="L1373" s="585" t="s">
        <v>857</v>
      </c>
      <c r="M1373" s="585" t="s">
        <v>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826">
        <v>3</v>
      </c>
      <c r="AB1373" s="576" t="str">
        <f>IF(VLOOKUP(F1373,NXT!$C$12:$C$786,1,0)=F1373,"","x")</f>
        <v/>
      </c>
    </row>
    <row r="1374" spans="1:28" ht="15.75" customHeight="1">
      <c r="A1374" s="827" t="str">
        <f>IF(B1374&lt;&gt;"",IF(AND(B1374&gt;=_TM1,B1374&lt;=_TM2,OR(TH!L1374="1111",TH!M1374="1111")),TH!D1374,""),"")</f>
        <v/>
      </c>
      <c r="B1374" s="36">
        <f t="shared" si="227"/>
        <v>8</v>
      </c>
      <c r="C1374" s="190">
        <f t="shared" si="228"/>
        <v>42613</v>
      </c>
      <c r="D1374" s="37" t="s">
        <v>1645</v>
      </c>
      <c r="E1374" s="740">
        <v>42613</v>
      </c>
      <c r="F1374" s="188" t="s">
        <v>1412</v>
      </c>
      <c r="G1374" s="837" t="s">
        <v>1399</v>
      </c>
      <c r="H1374" s="192" t="s">
        <v>1400</v>
      </c>
      <c r="I1374" s="253">
        <v>201</v>
      </c>
      <c r="J1374" s="253">
        <v>23072</v>
      </c>
      <c r="K1374" s="584">
        <f t="shared" si="226"/>
        <v>4637472</v>
      </c>
      <c r="L1374" s="585" t="s">
        <v>857</v>
      </c>
      <c r="M1374" s="585" t="s">
        <v>8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826">
        <v>3</v>
      </c>
      <c r="AB1374" s="576" t="str">
        <f>IF(VLOOKUP(F1374,NXT!$C$12:$C$786,1,0)=F1374,"","x")</f>
        <v/>
      </c>
    </row>
    <row r="1375" spans="1:28" ht="15.75" customHeight="1">
      <c r="A1375" s="827" t="str">
        <f>IF(B1375&lt;&gt;"",IF(AND(B1375&gt;=_TM1,B1375&lt;=_TM2,OR(TH!L1375="1111",TH!M1375="1111")),TH!D1375,""),"")</f>
        <v/>
      </c>
      <c r="B1375" s="36">
        <f t="shared" si="227"/>
        <v>8</v>
      </c>
      <c r="C1375" s="190">
        <f t="shared" si="228"/>
        <v>42613</v>
      </c>
      <c r="D1375" s="37" t="s">
        <v>1645</v>
      </c>
      <c r="E1375" s="740">
        <v>42613</v>
      </c>
      <c r="F1375" s="188" t="s">
        <v>1412</v>
      </c>
      <c r="G1375" s="837" t="s">
        <v>1399</v>
      </c>
      <c r="H1375" s="192" t="s">
        <v>1400</v>
      </c>
      <c r="I1375" s="253">
        <v>74</v>
      </c>
      <c r="J1375" s="253">
        <v>14989</v>
      </c>
      <c r="K1375" s="584">
        <f t="shared" si="226"/>
        <v>1109186</v>
      </c>
      <c r="L1375" s="585" t="s">
        <v>857</v>
      </c>
      <c r="M1375" s="585" t="s">
        <v>8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826">
        <v>3</v>
      </c>
      <c r="AB1375" s="576" t="str">
        <f>IF(VLOOKUP(F1375,NXT!$C$12:$C$786,1,0)=F1375,"","x")</f>
        <v/>
      </c>
    </row>
    <row r="1376" spans="1:28" ht="15.75" customHeight="1">
      <c r="A1376" s="827" t="str">
        <f>IF(B1376&lt;&gt;"",IF(AND(B1376&gt;=_TM1,B1376&lt;=_TM2,OR(TH!L1376="1111",TH!M1376="1111")),TH!D1376,""),"")</f>
        <v/>
      </c>
      <c r="B1376" s="36">
        <f t="shared" si="227"/>
        <v>8</v>
      </c>
      <c r="C1376" s="190">
        <f t="shared" si="228"/>
        <v>42613</v>
      </c>
      <c r="D1376" s="37" t="s">
        <v>1645</v>
      </c>
      <c r="E1376" s="740">
        <v>42613</v>
      </c>
      <c r="F1376" s="188" t="s">
        <v>1413</v>
      </c>
      <c r="G1376" s="837" t="s">
        <v>1399</v>
      </c>
      <c r="H1376" s="192" t="s">
        <v>1400</v>
      </c>
      <c r="I1376" s="253">
        <v>140</v>
      </c>
      <c r="J1376" s="253">
        <v>29656</v>
      </c>
      <c r="K1376" s="584">
        <f t="shared" si="226"/>
        <v>4151840</v>
      </c>
      <c r="L1376" s="585" t="s">
        <v>857</v>
      </c>
      <c r="M1376" s="585" t="s">
        <v>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826">
        <v>3</v>
      </c>
      <c r="AB1376" s="576" t="str">
        <f>IF(VLOOKUP(F1376,NXT!$C$12:$C$786,1,0)=F1376,"","x")</f>
        <v/>
      </c>
    </row>
    <row r="1377" spans="1:28" ht="15.75" customHeight="1">
      <c r="A1377" s="827" t="str">
        <f>IF(B1377&lt;&gt;"",IF(AND(B1377&gt;=_TM1,B1377&lt;=_TM2,OR(TH!L1377="1111",TH!M1377="1111")),TH!D1377,""),"")</f>
        <v/>
      </c>
      <c r="B1377" s="36">
        <f t="shared" si="227"/>
        <v>8</v>
      </c>
      <c r="C1377" s="190">
        <f t="shared" si="228"/>
        <v>42613</v>
      </c>
      <c r="D1377" s="37" t="s">
        <v>1645</v>
      </c>
      <c r="E1377" s="740">
        <v>42613</v>
      </c>
      <c r="F1377" s="188" t="s">
        <v>1414</v>
      </c>
      <c r="G1377" s="837" t="s">
        <v>1399</v>
      </c>
      <c r="H1377" s="192" t="s">
        <v>1400</v>
      </c>
      <c r="I1377" s="253">
        <v>151</v>
      </c>
      <c r="J1377" s="253">
        <v>18053</v>
      </c>
      <c r="K1377" s="584">
        <f t="shared" si="226"/>
        <v>2726003</v>
      </c>
      <c r="L1377" s="585" t="s">
        <v>857</v>
      </c>
      <c r="M1377" s="585" t="s">
        <v>8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826">
        <v>3</v>
      </c>
      <c r="AB1377" s="576" t="str">
        <f>IF(VLOOKUP(F1377,NXT!$C$12:$C$786,1,0)=F1377,"","x")</f>
        <v/>
      </c>
    </row>
    <row r="1378" spans="1:28" ht="15.75" customHeight="1">
      <c r="A1378" s="827" t="str">
        <f>IF(B1378&lt;&gt;"",IF(AND(B1378&gt;=_TM1,B1378&lt;=_TM2,OR(TH!L1378="1111",TH!M1378="1111")),TH!D1378,""),"")</f>
        <v/>
      </c>
      <c r="B1378" s="36">
        <f t="shared" si="227"/>
        <v>8</v>
      </c>
      <c r="C1378" s="190">
        <f t="shared" si="228"/>
        <v>42613</v>
      </c>
      <c r="D1378" s="37" t="s">
        <v>1645</v>
      </c>
      <c r="E1378" s="740">
        <v>42613</v>
      </c>
      <c r="F1378" s="188" t="s">
        <v>1415</v>
      </c>
      <c r="G1378" s="837" t="s">
        <v>1399</v>
      </c>
      <c r="H1378" s="192" t="s">
        <v>1400</v>
      </c>
      <c r="I1378" s="253">
        <v>30</v>
      </c>
      <c r="J1378" s="253">
        <v>19967</v>
      </c>
      <c r="K1378" s="584">
        <f t="shared" si="226"/>
        <v>599010</v>
      </c>
      <c r="L1378" s="585" t="s">
        <v>857</v>
      </c>
      <c r="M1378" s="585" t="s">
        <v>8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826">
        <v>3</v>
      </c>
      <c r="AB1378" s="576" t="str">
        <f>IF(VLOOKUP(F1378,NXT!$C$12:$C$786,1,0)=F1378,"","x")</f>
        <v/>
      </c>
    </row>
    <row r="1379" spans="1:28" ht="15.75" customHeight="1">
      <c r="A1379" s="827" t="str">
        <f>IF(B1379&lt;&gt;"",IF(AND(B1379&gt;=_TM1,B1379&lt;=_TM2,OR(TH!L1379="1111",TH!M1379="1111")),TH!D1379,""),"")</f>
        <v/>
      </c>
      <c r="B1379" s="36">
        <f t="shared" si="227"/>
        <v>8</v>
      </c>
      <c r="C1379" s="190">
        <f t="shared" si="228"/>
        <v>42613</v>
      </c>
      <c r="D1379" s="37" t="s">
        <v>1645</v>
      </c>
      <c r="E1379" s="740">
        <v>42613</v>
      </c>
      <c r="F1379" s="188" t="s">
        <v>1416</v>
      </c>
      <c r="G1379" s="837" t="s">
        <v>1399</v>
      </c>
      <c r="H1379" s="192" t="s">
        <v>1400</v>
      </c>
      <c r="I1379" s="253">
        <v>250</v>
      </c>
      <c r="J1379" s="253">
        <v>12717</v>
      </c>
      <c r="K1379" s="584">
        <f t="shared" si="226"/>
        <v>3179250</v>
      </c>
      <c r="L1379" s="585" t="s">
        <v>857</v>
      </c>
      <c r="M1379" s="585" t="s">
        <v>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826">
        <v>3</v>
      </c>
      <c r="AB1379" s="576" t="str">
        <f>IF(VLOOKUP(F1379,NXT!$C$12:$C$786,1,0)=F1379,"","x")</f>
        <v/>
      </c>
    </row>
    <row r="1380" spans="1:28" ht="15.75" customHeight="1">
      <c r="A1380" s="827" t="str">
        <f>IF(B1380&lt;&gt;"",IF(AND(B1380&gt;=_TM1,B1380&lt;=_TM2,OR(TH!L1380="1111",TH!M1380="1111")),TH!D1380,""),"")</f>
        <v/>
      </c>
      <c r="B1380" s="36">
        <f t="shared" si="227"/>
        <v>8</v>
      </c>
      <c r="C1380" s="190">
        <f t="shared" si="228"/>
        <v>42613</v>
      </c>
      <c r="D1380" s="37" t="s">
        <v>1645</v>
      </c>
      <c r="E1380" s="740">
        <v>42613</v>
      </c>
      <c r="F1380" s="188" t="s">
        <v>1417</v>
      </c>
      <c r="G1380" s="837" t="s">
        <v>1399</v>
      </c>
      <c r="H1380" s="192" t="s">
        <v>1400</v>
      </c>
      <c r="I1380" s="253">
        <v>100</v>
      </c>
      <c r="J1380" s="253">
        <v>18612</v>
      </c>
      <c r="K1380" s="584">
        <f t="shared" si="226"/>
        <v>1861200</v>
      </c>
      <c r="L1380" s="585" t="s">
        <v>857</v>
      </c>
      <c r="M1380" s="585" t="s">
        <v>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826">
        <v>3</v>
      </c>
      <c r="AB1380" s="576" t="str">
        <f>IF(VLOOKUP(F1380,NXT!$C$12:$C$786,1,0)=F1380,"","x")</f>
        <v/>
      </c>
    </row>
    <row r="1381" spans="1:28" ht="15.75" customHeight="1">
      <c r="A1381" s="827" t="str">
        <f>IF(B1381&lt;&gt;"",IF(AND(B1381&gt;=_TM1,B1381&lt;=_TM2,OR(TH!L1381="1111",TH!M1381="1111")),TH!D1381,""),"")</f>
        <v/>
      </c>
      <c r="B1381" s="36">
        <f t="shared" si="227"/>
        <v>8</v>
      </c>
      <c r="C1381" s="190">
        <f t="shared" si="228"/>
        <v>42613</v>
      </c>
      <c r="D1381" s="37" t="s">
        <v>1645</v>
      </c>
      <c r="E1381" s="740">
        <v>42613</v>
      </c>
      <c r="F1381" s="188" t="s">
        <v>1418</v>
      </c>
      <c r="G1381" s="837" t="s">
        <v>1399</v>
      </c>
      <c r="H1381" s="192" t="s">
        <v>1400</v>
      </c>
      <c r="I1381" s="253">
        <v>76</v>
      </c>
      <c r="J1381" s="253">
        <v>28985</v>
      </c>
      <c r="K1381" s="584">
        <f t="shared" si="226"/>
        <v>2202860</v>
      </c>
      <c r="L1381" s="585" t="s">
        <v>857</v>
      </c>
      <c r="M1381" s="585" t="s">
        <v>8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826">
        <v>3</v>
      </c>
      <c r="AB1381" s="576" t="str">
        <f>IF(VLOOKUP(F1381,NXT!$C$12:$C$786,1,0)=F1381,"","x")</f>
        <v/>
      </c>
    </row>
    <row r="1382" spans="1:28" ht="15.75" customHeight="1">
      <c r="A1382" s="827" t="str">
        <f>IF(B1382&lt;&gt;"",IF(AND(B1382&gt;=_TM1,B1382&lt;=_TM2,OR(TH!L1382="1111",TH!M1382="1111")),TH!D1382,""),"")</f>
        <v/>
      </c>
      <c r="B1382" s="36">
        <f t="shared" si="227"/>
        <v>8</v>
      </c>
      <c r="C1382" s="190">
        <f t="shared" si="228"/>
        <v>42613</v>
      </c>
      <c r="D1382" s="37" t="s">
        <v>1645</v>
      </c>
      <c r="E1382" s="740">
        <v>42613</v>
      </c>
      <c r="F1382" s="188" t="s">
        <v>1419</v>
      </c>
      <c r="G1382" s="837" t="s">
        <v>1399</v>
      </c>
      <c r="H1382" s="192" t="s">
        <v>1400</v>
      </c>
      <c r="I1382" s="253">
        <v>136</v>
      </c>
      <c r="J1382" s="253">
        <v>49995</v>
      </c>
      <c r="K1382" s="584">
        <f t="shared" si="226"/>
        <v>6799320</v>
      </c>
      <c r="L1382" s="585" t="s">
        <v>857</v>
      </c>
      <c r="M1382" s="585" t="s">
        <v>8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826">
        <v>3</v>
      </c>
      <c r="AB1382" s="576" t="str">
        <f>IF(VLOOKUP(F1382,NXT!$C$12:$C$786,1,0)=F1382,"","x")</f>
        <v/>
      </c>
    </row>
    <row r="1383" spans="1:28" ht="15.75" customHeight="1">
      <c r="A1383" s="827" t="str">
        <f>IF(B1383&lt;&gt;"",IF(AND(B1383&gt;=_TM1,B1383&lt;=_TM2,OR(TH!L1383="1111",TH!M1383="1111")),TH!D1383,""),"")</f>
        <v/>
      </c>
      <c r="B1383" s="36">
        <f t="shared" si="227"/>
        <v>8</v>
      </c>
      <c r="C1383" s="190">
        <f t="shared" si="228"/>
        <v>42613</v>
      </c>
      <c r="D1383" s="37" t="s">
        <v>1645</v>
      </c>
      <c r="E1383" s="740">
        <v>42613</v>
      </c>
      <c r="F1383" s="188" t="s">
        <v>1420</v>
      </c>
      <c r="G1383" s="837" t="s">
        <v>1399</v>
      </c>
      <c r="H1383" s="192" t="s">
        <v>1400</v>
      </c>
      <c r="I1383" s="253">
        <v>800</v>
      </c>
      <c r="J1383" s="253">
        <v>44484</v>
      </c>
      <c r="K1383" s="584">
        <f t="shared" si="226"/>
        <v>35587200</v>
      </c>
      <c r="L1383" s="585" t="s">
        <v>857</v>
      </c>
      <c r="M1383" s="585" t="s">
        <v>8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826">
        <v>3</v>
      </c>
      <c r="AB1383" s="576" t="str">
        <f>IF(VLOOKUP(F1383,NXT!$C$12:$C$786,1,0)=F1383,"","x")</f>
        <v/>
      </c>
    </row>
    <row r="1384" spans="1:28" ht="15.75" customHeight="1">
      <c r="A1384" s="827" t="str">
        <f>IF(B1384&lt;&gt;"",IF(AND(B1384&gt;=_TM1,B1384&lt;=_TM2,OR(TH!L1384="1111",TH!M1384="1111")),TH!D1384,""),"")</f>
        <v/>
      </c>
      <c r="B1384" s="36">
        <f t="shared" si="227"/>
        <v>8</v>
      </c>
      <c r="C1384" s="190">
        <f t="shared" si="228"/>
        <v>42613</v>
      </c>
      <c r="D1384" s="37" t="s">
        <v>1645</v>
      </c>
      <c r="E1384" s="740">
        <v>42613</v>
      </c>
      <c r="F1384" s="188" t="s">
        <v>1421</v>
      </c>
      <c r="G1384" s="837" t="s">
        <v>1399</v>
      </c>
      <c r="H1384" s="192" t="s">
        <v>1400</v>
      </c>
      <c r="I1384" s="253">
        <v>183</v>
      </c>
      <c r="J1384" s="253">
        <v>31755</v>
      </c>
      <c r="K1384" s="584">
        <f t="shared" si="226"/>
        <v>5811165</v>
      </c>
      <c r="L1384" s="585" t="s">
        <v>857</v>
      </c>
      <c r="M1384" s="585" t="s">
        <v>8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826">
        <v>3</v>
      </c>
      <c r="AB1384" s="576" t="str">
        <f>IF(VLOOKUP(F1384,NXT!$C$12:$C$786,1,0)=F1384,"","x")</f>
        <v/>
      </c>
    </row>
    <row r="1385" spans="1:28" ht="15.75" customHeight="1">
      <c r="A1385" s="827" t="str">
        <f>IF(B1385&lt;&gt;"",IF(AND(B1385&gt;=_TM1,B1385&lt;=_TM2,OR(TH!L1385="1111",TH!M1385="1111")),TH!D1385,""),"")</f>
        <v/>
      </c>
      <c r="B1385" s="36">
        <f t="shared" si="227"/>
        <v>8</v>
      </c>
      <c r="C1385" s="190">
        <f t="shared" si="228"/>
        <v>42613</v>
      </c>
      <c r="D1385" s="37" t="s">
        <v>1645</v>
      </c>
      <c r="E1385" s="740">
        <v>42613</v>
      </c>
      <c r="F1385" s="188" t="s">
        <v>1422</v>
      </c>
      <c r="G1385" s="837" t="s">
        <v>1399</v>
      </c>
      <c r="H1385" s="192" t="s">
        <v>1400</v>
      </c>
      <c r="I1385" s="253">
        <v>154</v>
      </c>
      <c r="J1385" s="253">
        <v>13797</v>
      </c>
      <c r="K1385" s="584">
        <f t="shared" si="226"/>
        <v>2124738</v>
      </c>
      <c r="L1385" s="585" t="s">
        <v>857</v>
      </c>
      <c r="M1385" s="585" t="s">
        <v>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826">
        <v>3</v>
      </c>
      <c r="AB1385" s="576" t="str">
        <f>IF(VLOOKUP(F1385,NXT!$C$12:$C$786,1,0)=F1385,"","x")</f>
        <v/>
      </c>
    </row>
    <row r="1386" spans="1:28" ht="15.75" customHeight="1">
      <c r="A1386" s="827" t="str">
        <f>IF(B1386&lt;&gt;"",IF(AND(B1386&gt;=_TM1,B1386&lt;=_TM2,OR(TH!L1386="1111",TH!M1386="1111")),TH!D1386,""),"")</f>
        <v/>
      </c>
      <c r="B1386" s="36">
        <f t="shared" si="227"/>
        <v>8</v>
      </c>
      <c r="C1386" s="190">
        <f t="shared" si="228"/>
        <v>42613</v>
      </c>
      <c r="D1386" s="37" t="s">
        <v>1645</v>
      </c>
      <c r="E1386" s="740">
        <v>42613</v>
      </c>
      <c r="F1386" s="188" t="s">
        <v>1423</v>
      </c>
      <c r="G1386" s="837" t="s">
        <v>1399</v>
      </c>
      <c r="H1386" s="192" t="s">
        <v>1400</v>
      </c>
      <c r="I1386" s="253">
        <v>125</v>
      </c>
      <c r="J1386" s="253">
        <v>28476</v>
      </c>
      <c r="K1386" s="584">
        <f t="shared" si="226"/>
        <v>3559500</v>
      </c>
      <c r="L1386" s="585" t="s">
        <v>857</v>
      </c>
      <c r="M1386" s="585" t="s">
        <v>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826">
        <v>3</v>
      </c>
      <c r="AB1386" s="576" t="str">
        <f>IF(VLOOKUP(F1386,NXT!$C$12:$C$786,1,0)=F1386,"","x")</f>
        <v/>
      </c>
    </row>
    <row r="1387" spans="1:28" ht="15.75" customHeight="1">
      <c r="A1387" s="827" t="str">
        <f>IF(B1387&lt;&gt;"",IF(AND(B1387&gt;=_TM1,B1387&lt;=_TM2,OR(TH!L1387="1111",TH!M1387="1111")),TH!D1387,""),"")</f>
        <v/>
      </c>
      <c r="B1387" s="36">
        <f t="shared" si="227"/>
        <v>8</v>
      </c>
      <c r="C1387" s="190">
        <f t="shared" si="228"/>
        <v>42613</v>
      </c>
      <c r="D1387" s="37" t="s">
        <v>1645</v>
      </c>
      <c r="E1387" s="740">
        <v>42613</v>
      </c>
      <c r="F1387" s="188" t="s">
        <v>1424</v>
      </c>
      <c r="G1387" s="837" t="s">
        <v>1399</v>
      </c>
      <c r="H1387" s="192" t="s">
        <v>1400</v>
      </c>
      <c r="I1387" s="253">
        <v>123</v>
      </c>
      <c r="J1387" s="253">
        <v>25146</v>
      </c>
      <c r="K1387" s="584">
        <f t="shared" si="226"/>
        <v>3092958</v>
      </c>
      <c r="L1387" s="585" t="s">
        <v>857</v>
      </c>
      <c r="M1387" s="585" t="s">
        <v>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826">
        <v>3</v>
      </c>
      <c r="AB1387" s="576" t="str">
        <f>IF(VLOOKUP(F1387,NXT!$C$12:$C$786,1,0)=F1387,"","x")</f>
        <v/>
      </c>
    </row>
    <row r="1388" spans="1:28" ht="15.75" customHeight="1">
      <c r="A1388" s="827" t="str">
        <f>IF(B1388&lt;&gt;"",IF(AND(B1388&gt;=_TM1,B1388&lt;=_TM2,OR(TH!L1388="1111",TH!M1388="1111")),TH!D1388,""),"")</f>
        <v/>
      </c>
      <c r="B1388" s="36">
        <f t="shared" si="227"/>
        <v>8</v>
      </c>
      <c r="C1388" s="190">
        <f t="shared" si="228"/>
        <v>42613</v>
      </c>
      <c r="D1388" s="37" t="s">
        <v>1645</v>
      </c>
      <c r="E1388" s="740">
        <v>42613</v>
      </c>
      <c r="F1388" s="188" t="s">
        <v>1425</v>
      </c>
      <c r="G1388" s="837" t="s">
        <v>1399</v>
      </c>
      <c r="H1388" s="192" t="s">
        <v>1400</v>
      </c>
      <c r="I1388" s="253">
        <v>251</v>
      </c>
      <c r="J1388" s="253">
        <v>27729</v>
      </c>
      <c r="K1388" s="584">
        <f t="shared" si="226"/>
        <v>6959979</v>
      </c>
      <c r="L1388" s="585" t="s">
        <v>857</v>
      </c>
      <c r="M1388" s="585" t="s">
        <v>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826">
        <v>3</v>
      </c>
      <c r="AB1388" s="576" t="str">
        <f>IF(VLOOKUP(F1388,NXT!$C$12:$C$786,1,0)=F1388,"","x")</f>
        <v/>
      </c>
    </row>
    <row r="1389" spans="1:28" ht="15.75" customHeight="1">
      <c r="A1389" s="827" t="str">
        <f>IF(B1389&lt;&gt;"",IF(AND(B1389&gt;=_TM1,B1389&lt;=_TM2,OR(TH!L1389="1111",TH!M1389="1111")),TH!D1389,""),"")</f>
        <v/>
      </c>
      <c r="B1389" s="36">
        <f t="shared" si="227"/>
        <v>8</v>
      </c>
      <c r="C1389" s="190">
        <f t="shared" si="228"/>
        <v>42613</v>
      </c>
      <c r="D1389" s="37" t="s">
        <v>1645</v>
      </c>
      <c r="E1389" s="740">
        <v>42613</v>
      </c>
      <c r="F1389" s="188" t="s">
        <v>1426</v>
      </c>
      <c r="G1389" s="837" t="s">
        <v>1399</v>
      </c>
      <c r="H1389" s="192" t="s">
        <v>1400</v>
      </c>
      <c r="I1389" s="253">
        <v>249</v>
      </c>
      <c r="J1389" s="253">
        <v>22745</v>
      </c>
      <c r="K1389" s="584">
        <f t="shared" si="226"/>
        <v>5663505</v>
      </c>
      <c r="L1389" s="585" t="s">
        <v>857</v>
      </c>
      <c r="M1389" s="585" t="s">
        <v>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826">
        <v>3</v>
      </c>
      <c r="AB1389" s="576" t="str">
        <f>IF(VLOOKUP(F1389,NXT!$C$12:$C$786,1,0)=F1389,"","x")</f>
        <v/>
      </c>
    </row>
    <row r="1390" spans="1:28" ht="15.75" customHeight="1">
      <c r="A1390" s="827" t="str">
        <f>IF(B1390&lt;&gt;"",IF(AND(B1390&gt;=_TM1,B1390&lt;=_TM2,OR(TH!L1390="1111",TH!M1390="1111")),TH!D1390,""),"")</f>
        <v/>
      </c>
      <c r="B1390" s="36">
        <f t="shared" si="227"/>
        <v>8</v>
      </c>
      <c r="C1390" s="190">
        <f t="shared" si="228"/>
        <v>42613</v>
      </c>
      <c r="D1390" s="37" t="s">
        <v>1645</v>
      </c>
      <c r="E1390" s="740">
        <v>42613</v>
      </c>
      <c r="F1390" s="188" t="s">
        <v>1427</v>
      </c>
      <c r="G1390" s="837" t="s">
        <v>1399</v>
      </c>
      <c r="H1390" s="192" t="s">
        <v>1400</v>
      </c>
      <c r="I1390" s="253">
        <v>139</v>
      </c>
      <c r="J1390" s="253">
        <v>8874</v>
      </c>
      <c r="K1390" s="584">
        <f t="shared" si="226"/>
        <v>1233486</v>
      </c>
      <c r="L1390" s="585" t="s">
        <v>857</v>
      </c>
      <c r="M1390" s="585" t="s">
        <v>8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826">
        <v>3</v>
      </c>
      <c r="AB1390" s="576" t="str">
        <f>IF(VLOOKUP(F1390,NXT!$C$12:$C$786,1,0)=F1390,"","x")</f>
        <v/>
      </c>
    </row>
    <row r="1391" spans="1:28" ht="15.75" customHeight="1">
      <c r="A1391" s="827" t="str">
        <f>IF(B1391&lt;&gt;"",IF(AND(B1391&gt;=_TM1,B1391&lt;=_TM2,OR(TH!L1391="1111",TH!M1391="1111")),TH!D1391,""),"")</f>
        <v/>
      </c>
      <c r="B1391" s="36">
        <f t="shared" si="227"/>
        <v>8</v>
      </c>
      <c r="C1391" s="190">
        <f t="shared" si="228"/>
        <v>42613</v>
      </c>
      <c r="D1391" s="37" t="s">
        <v>1645</v>
      </c>
      <c r="E1391" s="740">
        <v>42613</v>
      </c>
      <c r="F1391" s="188" t="s">
        <v>1428</v>
      </c>
      <c r="G1391" s="837" t="s">
        <v>1399</v>
      </c>
      <c r="H1391" s="192" t="s">
        <v>1400</v>
      </c>
      <c r="I1391" s="253">
        <v>259</v>
      </c>
      <c r="J1391" s="253">
        <v>8478</v>
      </c>
      <c r="K1391" s="584">
        <f t="shared" si="226"/>
        <v>2195802</v>
      </c>
      <c r="L1391" s="585" t="s">
        <v>857</v>
      </c>
      <c r="M1391" s="585" t="s">
        <v>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826">
        <v>3</v>
      </c>
      <c r="AB1391" s="576" t="str">
        <f>IF(VLOOKUP(F1391,NXT!$C$12:$C$786,1,0)=F1391,"","x")</f>
        <v/>
      </c>
    </row>
    <row r="1392" spans="1:28" ht="15.75" customHeight="1">
      <c r="A1392" s="827" t="str">
        <f>IF(B1392&lt;&gt;"",IF(AND(B1392&gt;=_TM1,B1392&lt;=_TM2,OR(TH!L1392="1111",TH!M1392="1111")),TH!D1392,""),"")</f>
        <v/>
      </c>
      <c r="B1392" s="36">
        <f t="shared" si="227"/>
        <v>8</v>
      </c>
      <c r="C1392" s="190">
        <f t="shared" si="228"/>
        <v>42613</v>
      </c>
      <c r="D1392" s="37" t="s">
        <v>1645</v>
      </c>
      <c r="E1392" s="740">
        <v>42613</v>
      </c>
      <c r="F1392" s="786" t="s">
        <v>1429</v>
      </c>
      <c r="G1392" s="837" t="s">
        <v>1399</v>
      </c>
      <c r="H1392" s="192" t="s">
        <v>1400</v>
      </c>
      <c r="I1392" s="253">
        <v>123</v>
      </c>
      <c r="J1392" s="253">
        <v>13960</v>
      </c>
      <c r="K1392" s="584">
        <f t="shared" si="226"/>
        <v>1717080</v>
      </c>
      <c r="L1392" s="585" t="s">
        <v>857</v>
      </c>
      <c r="M1392" s="585" t="s">
        <v>8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826">
        <v>3</v>
      </c>
      <c r="AB1392" s="576" t="str">
        <f>IF(VLOOKUP(F1392,NXT!$C$12:$C$786,1,0)=F1392,"","x")</f>
        <v/>
      </c>
    </row>
    <row r="1393" spans="1:28" ht="15.75" customHeight="1">
      <c r="A1393" s="827" t="str">
        <f>IF(B1393&lt;&gt;"",IF(AND(B1393&gt;=_TM1,B1393&lt;=_TM2,OR(TH!L1393="1111",TH!M1393="1111")),TH!D1393,""),"")</f>
        <v/>
      </c>
      <c r="B1393" s="36">
        <f t="shared" si="227"/>
        <v>8</v>
      </c>
      <c r="C1393" s="190">
        <f t="shared" si="228"/>
        <v>42613</v>
      </c>
      <c r="D1393" s="37" t="s">
        <v>1645</v>
      </c>
      <c r="E1393" s="740">
        <v>42613</v>
      </c>
      <c r="F1393" s="786" t="s">
        <v>1430</v>
      </c>
      <c r="G1393" s="837" t="s">
        <v>1399</v>
      </c>
      <c r="H1393" s="192" t="s">
        <v>1400</v>
      </c>
      <c r="I1393" s="253">
        <v>140</v>
      </c>
      <c r="J1393" s="253">
        <v>21942</v>
      </c>
      <c r="K1393" s="584">
        <f t="shared" si="226"/>
        <v>3071880</v>
      </c>
      <c r="L1393" s="585" t="s">
        <v>857</v>
      </c>
      <c r="M1393" s="585" t="s">
        <v>8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826">
        <v>3</v>
      </c>
      <c r="AB1393" s="576" t="str">
        <f>IF(VLOOKUP(F1393,NXT!$C$12:$C$786,1,0)=F1393,"","x")</f>
        <v/>
      </c>
    </row>
    <row r="1394" spans="1:28" ht="15.75" customHeight="1">
      <c r="A1394" s="827" t="str">
        <f>IF(B1394&lt;&gt;"",IF(AND(B1394&gt;=_TM1,B1394&lt;=_TM2,OR(TH!L1394="1111",TH!M1394="1111")),TH!D1394,""),"")</f>
        <v/>
      </c>
      <c r="B1394" s="36">
        <f t="shared" si="227"/>
        <v>8</v>
      </c>
      <c r="C1394" s="190">
        <f t="shared" si="228"/>
        <v>42613</v>
      </c>
      <c r="D1394" s="37" t="s">
        <v>1645</v>
      </c>
      <c r="E1394" s="740">
        <v>42613</v>
      </c>
      <c r="F1394" s="188" t="s">
        <v>443</v>
      </c>
      <c r="G1394" s="837" t="s">
        <v>1399</v>
      </c>
      <c r="H1394" s="192" t="s">
        <v>1400</v>
      </c>
      <c r="I1394" s="253"/>
      <c r="J1394" s="253"/>
      <c r="K1394" s="584">
        <v>12913379</v>
      </c>
      <c r="L1394" s="193" t="s">
        <v>9</v>
      </c>
      <c r="M1394" s="585" t="s">
        <v>8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826">
        <v>3</v>
      </c>
    </row>
    <row r="1395" spans="1:28" s="848" customFormat="1" ht="15.75" customHeight="1">
      <c r="A1395" s="827" t="str">
        <f>IF(B1395&lt;&gt;"",IF(AND(B1395&gt;=_TM1,B1395&lt;=_TM2,OR(TH!L1395="1111",TH!M1395="1111")),TH!D1395,""),"")</f>
        <v/>
      </c>
      <c r="B1395" s="838">
        <f t="shared" ref="B1395:B1402" si="229">IF(C1395&lt;&gt;"",MONTH(C1395),"")</f>
        <v>9</v>
      </c>
      <c r="C1395" s="839">
        <f t="shared" ref="C1395:C1402" si="230">E1395</f>
        <v>42629</v>
      </c>
      <c r="D1395" s="937"/>
      <c r="E1395" s="899">
        <v>42629</v>
      </c>
      <c r="F1395" s="855" t="s">
        <v>1682</v>
      </c>
      <c r="G1395" s="929" t="s">
        <v>1705</v>
      </c>
      <c r="H1395" s="841" t="s">
        <v>445</v>
      </c>
      <c r="I1395" s="842">
        <v>6</v>
      </c>
      <c r="J1395" s="842">
        <v>42719</v>
      </c>
      <c r="K1395" s="584">
        <f t="shared" si="226"/>
        <v>256314</v>
      </c>
      <c r="L1395" s="930" t="s">
        <v>857</v>
      </c>
      <c r="M1395" s="930" t="s">
        <v>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846">
        <v>3</v>
      </c>
      <c r="AB1395" s="847" t="str">
        <f>IF(VLOOKUP(F1395,NXT!$C$12:$C$786,1,0)=F1395,"","x")</f>
        <v/>
      </c>
    </row>
    <row r="1396" spans="1:28" s="848" customFormat="1" ht="15.75" customHeight="1">
      <c r="A1396" s="827" t="str">
        <f>IF(B1396&lt;&gt;"",IF(AND(B1396&gt;=_TM1,B1396&lt;=_TM2,OR(TH!L1396="1111",TH!M1396="1111")),TH!D1396,""),"")</f>
        <v/>
      </c>
      <c r="B1396" s="838">
        <f t="shared" si="229"/>
        <v>9</v>
      </c>
      <c r="C1396" s="839">
        <f t="shared" si="230"/>
        <v>42629</v>
      </c>
      <c r="D1396" s="937"/>
      <c r="E1396" s="899">
        <v>42629</v>
      </c>
      <c r="F1396" s="855" t="s">
        <v>1683</v>
      </c>
      <c r="G1396" s="929" t="s">
        <v>1705</v>
      </c>
      <c r="H1396" s="841" t="s">
        <v>445</v>
      </c>
      <c r="I1396" s="842">
        <v>1</v>
      </c>
      <c r="J1396" s="842">
        <v>61456</v>
      </c>
      <c r="K1396" s="584">
        <f t="shared" si="226"/>
        <v>61456</v>
      </c>
      <c r="L1396" s="930" t="s">
        <v>857</v>
      </c>
      <c r="M1396" s="930" t="s">
        <v>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846">
        <v>3</v>
      </c>
      <c r="AB1396" s="847" t="str">
        <f>IF(VLOOKUP(F1396,NXT!$C$12:$C$786,1,0)=F1396,"","x")</f>
        <v/>
      </c>
    </row>
    <row r="1397" spans="1:28" s="848" customFormat="1" ht="15.75" customHeight="1">
      <c r="A1397" s="827" t="str">
        <f>IF(B1397&lt;&gt;"",IF(AND(B1397&gt;=_TM1,B1397&lt;=_TM2,OR(TH!L1397="1111",TH!M1397="1111")),TH!D1397,""),"")</f>
        <v/>
      </c>
      <c r="B1397" s="838">
        <f t="shared" si="229"/>
        <v>9</v>
      </c>
      <c r="C1397" s="839">
        <f t="shared" si="230"/>
        <v>42629</v>
      </c>
      <c r="D1397" s="937"/>
      <c r="E1397" s="899">
        <v>42629</v>
      </c>
      <c r="F1397" s="855" t="s">
        <v>1684</v>
      </c>
      <c r="G1397" s="929" t="s">
        <v>1705</v>
      </c>
      <c r="H1397" s="841" t="s">
        <v>445</v>
      </c>
      <c r="I1397" s="842">
        <v>1</v>
      </c>
      <c r="J1397" s="842">
        <v>92950</v>
      </c>
      <c r="K1397" s="584">
        <f t="shared" si="226"/>
        <v>92950</v>
      </c>
      <c r="L1397" s="930" t="s">
        <v>857</v>
      </c>
      <c r="M1397" s="930" t="s">
        <v>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846">
        <v>3</v>
      </c>
      <c r="AB1397" s="847" t="str">
        <f>IF(VLOOKUP(F1397,NXT!$C$12:$C$786,1,0)=F1397,"","x")</f>
        <v/>
      </c>
    </row>
    <row r="1398" spans="1:28" s="848" customFormat="1" ht="15.75" customHeight="1">
      <c r="A1398" s="827" t="str">
        <f>IF(B1398&lt;&gt;"",IF(AND(B1398&gt;=_TM1,B1398&lt;=_TM2,OR(TH!L1398="1111",TH!M1398="1111")),TH!D1398,""),"")</f>
        <v/>
      </c>
      <c r="B1398" s="838">
        <f t="shared" si="229"/>
        <v>9</v>
      </c>
      <c r="C1398" s="839">
        <f t="shared" si="230"/>
        <v>42629</v>
      </c>
      <c r="D1398" s="937"/>
      <c r="E1398" s="899">
        <v>42629</v>
      </c>
      <c r="F1398" s="855" t="s">
        <v>719</v>
      </c>
      <c r="G1398" s="929" t="s">
        <v>1705</v>
      </c>
      <c r="H1398" s="841" t="s">
        <v>445</v>
      </c>
      <c r="I1398" s="842">
        <v>4</v>
      </c>
      <c r="J1398" s="842">
        <v>26468</v>
      </c>
      <c r="K1398" s="584">
        <f t="shared" si="226"/>
        <v>105872</v>
      </c>
      <c r="L1398" s="930" t="s">
        <v>857</v>
      </c>
      <c r="M1398" s="930" t="s">
        <v>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846">
        <v>3</v>
      </c>
      <c r="AB1398" s="847" t="str">
        <f>IF(VLOOKUP(F1398,NXT!$C$12:$C$786,1,0)=F1398,"","x")</f>
        <v/>
      </c>
    </row>
    <row r="1399" spans="1:28" s="848" customFormat="1" ht="15.75" customHeight="1">
      <c r="A1399" s="827" t="str">
        <f>IF(B1399&lt;&gt;"",IF(AND(B1399&gt;=_TM1,B1399&lt;=_TM2,OR(TH!L1399="1111",TH!M1399="1111")),TH!D1399,""),"")</f>
        <v/>
      </c>
      <c r="B1399" s="838">
        <f t="shared" si="229"/>
        <v>9</v>
      </c>
      <c r="C1399" s="839">
        <f t="shared" si="230"/>
        <v>42629</v>
      </c>
      <c r="D1399" s="937"/>
      <c r="E1399" s="899">
        <v>42629</v>
      </c>
      <c r="F1399" s="855" t="s">
        <v>1685</v>
      </c>
      <c r="G1399" s="929" t="s">
        <v>1705</v>
      </c>
      <c r="H1399" s="841" t="s">
        <v>445</v>
      </c>
      <c r="I1399" s="842">
        <v>1</v>
      </c>
      <c r="J1399" s="842">
        <v>74374</v>
      </c>
      <c r="K1399" s="584">
        <f t="shared" si="226"/>
        <v>74374</v>
      </c>
      <c r="L1399" s="930" t="s">
        <v>857</v>
      </c>
      <c r="M1399" s="930" t="s">
        <v>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846">
        <v>3</v>
      </c>
      <c r="AB1399" s="847" t="str">
        <f>IF(VLOOKUP(F1399,NXT!$C$12:$C$786,1,0)=F1399,"","x")</f>
        <v/>
      </c>
    </row>
    <row r="1400" spans="1:28" s="848" customFormat="1" ht="15.75" customHeight="1">
      <c r="A1400" s="827" t="str">
        <f>IF(B1400&lt;&gt;"",IF(AND(B1400&gt;=_TM1,B1400&lt;=_TM2,OR(TH!L1400="1111",TH!M1400="1111")),TH!D1400,""),"")</f>
        <v/>
      </c>
      <c r="B1400" s="838">
        <f t="shared" si="229"/>
        <v>9</v>
      </c>
      <c r="C1400" s="839">
        <f t="shared" si="230"/>
        <v>42629</v>
      </c>
      <c r="D1400" s="937"/>
      <c r="E1400" s="899">
        <v>42629</v>
      </c>
      <c r="F1400" s="855" t="s">
        <v>1687</v>
      </c>
      <c r="G1400" s="929" t="s">
        <v>1705</v>
      </c>
      <c r="H1400" s="841" t="s">
        <v>445</v>
      </c>
      <c r="I1400" s="842">
        <v>4950</v>
      </c>
      <c r="J1400" s="842">
        <v>8550</v>
      </c>
      <c r="K1400" s="584">
        <f t="shared" si="226"/>
        <v>42322500</v>
      </c>
      <c r="L1400" s="930" t="s">
        <v>857</v>
      </c>
      <c r="M1400" s="930" t="s">
        <v>8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846">
        <v>3</v>
      </c>
      <c r="AB1400" s="847" t="str">
        <f>IF(VLOOKUP(F1400,NXT!$C$12:$C$786,1,0)=F1400,"","x")</f>
        <v/>
      </c>
    </row>
    <row r="1401" spans="1:28" s="848" customFormat="1" ht="15.75" customHeight="1">
      <c r="A1401" s="827" t="str">
        <f>IF(B1401&lt;&gt;"",IF(AND(B1401&gt;=_TM1,B1401&lt;=_TM2,OR(TH!L1401="1111",TH!M1401="1111")),TH!D1401,""),"")</f>
        <v/>
      </c>
      <c r="B1401" s="838">
        <f t="shared" si="229"/>
        <v>9</v>
      </c>
      <c r="C1401" s="839">
        <f t="shared" si="230"/>
        <v>42629</v>
      </c>
      <c r="D1401" s="937"/>
      <c r="E1401" s="899">
        <v>42629</v>
      </c>
      <c r="F1401" s="855" t="s">
        <v>1677</v>
      </c>
      <c r="G1401" s="929" t="s">
        <v>1705</v>
      </c>
      <c r="H1401" s="841" t="s">
        <v>445</v>
      </c>
      <c r="I1401" s="842">
        <v>500</v>
      </c>
      <c r="J1401" s="842">
        <v>12312</v>
      </c>
      <c r="K1401" s="584">
        <f t="shared" si="226"/>
        <v>6156000</v>
      </c>
      <c r="L1401" s="930" t="s">
        <v>857</v>
      </c>
      <c r="M1401" s="930" t="s">
        <v>8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846">
        <v>3</v>
      </c>
      <c r="AB1401" s="847" t="str">
        <f>IF(VLOOKUP(F1401,NXT!$C$12:$C$786,1,0)=F1401,"","x")</f>
        <v/>
      </c>
    </row>
    <row r="1402" spans="1:28" s="848" customFormat="1" ht="15.75" customHeight="1">
      <c r="A1402" s="827" t="str">
        <f>IF(B1402&lt;&gt;"",IF(AND(B1402&gt;=_TM1,B1402&lt;=_TM2,OR(TH!L1402="1111",TH!M1402="1111")),TH!D1402,""),"")</f>
        <v/>
      </c>
      <c r="B1402" s="838">
        <f t="shared" si="229"/>
        <v>9</v>
      </c>
      <c r="C1402" s="839">
        <f t="shared" si="230"/>
        <v>42629</v>
      </c>
      <c r="D1402" s="937"/>
      <c r="E1402" s="899">
        <v>42629</v>
      </c>
      <c r="F1402" s="855" t="s">
        <v>451</v>
      </c>
      <c r="G1402" s="929" t="s">
        <v>1705</v>
      </c>
      <c r="H1402" s="841" t="s">
        <v>445</v>
      </c>
      <c r="I1402" s="842">
        <v>1490</v>
      </c>
      <c r="J1402" s="842">
        <v>9975</v>
      </c>
      <c r="K1402" s="584">
        <f t="shared" si="226"/>
        <v>14862750</v>
      </c>
      <c r="L1402" s="930" t="s">
        <v>857</v>
      </c>
      <c r="M1402" s="930" t="s">
        <v>8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>x</v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846">
        <v>3</v>
      </c>
      <c r="AB1402" s="847" t="str">
        <f>IF(VLOOKUP(F1402,NXT!$C$12:$C$786,1,0)=F1402,"","x")</f>
        <v/>
      </c>
    </row>
    <row r="1403" spans="1:28" s="848" customFormat="1" ht="15.75" customHeight="1">
      <c r="A1403" s="827" t="str">
        <f>IF(B1403&lt;&gt;"",IF(AND(B1403&gt;=_TM1,B1403&lt;=_TM2,OR(TH!L1403="1111",TH!M1403="1111")),TH!D1403,""),"")</f>
        <v/>
      </c>
      <c r="B1403" s="838">
        <f t="shared" si="227"/>
        <v>9</v>
      </c>
      <c r="C1403" s="839">
        <f t="shared" si="228"/>
        <v>42629</v>
      </c>
      <c r="D1403" s="937"/>
      <c r="E1403" s="899">
        <v>42629</v>
      </c>
      <c r="F1403" s="855" t="s">
        <v>1675</v>
      </c>
      <c r="G1403" s="929" t="s">
        <v>1705</v>
      </c>
      <c r="H1403" s="841" t="s">
        <v>445</v>
      </c>
      <c r="I1403" s="842">
        <v>980</v>
      </c>
      <c r="J1403" s="842">
        <v>11827</v>
      </c>
      <c r="K1403" s="584">
        <f t="shared" si="226"/>
        <v>11590460</v>
      </c>
      <c r="L1403" s="930" t="s">
        <v>857</v>
      </c>
      <c r="M1403" s="930" t="s">
        <v>8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846">
        <v>3</v>
      </c>
      <c r="AB1403" s="847" t="str">
        <f>IF(VLOOKUP(F1403,NXT!$C$12:$C$786,1,0)=F1403,"","x")</f>
        <v/>
      </c>
    </row>
    <row r="1404" spans="1:28" s="848" customFormat="1" ht="15.75" customHeight="1">
      <c r="A1404" s="827" t="str">
        <f>IF(B1404&lt;&gt;"",IF(AND(B1404&gt;=_TM1,B1404&lt;=_TM2,OR(TH!L1404="1111",TH!M1404="1111")),TH!D1404,""),"")</f>
        <v/>
      </c>
      <c r="B1404" s="838">
        <f t="shared" si="227"/>
        <v>9</v>
      </c>
      <c r="C1404" s="839">
        <f t="shared" si="228"/>
        <v>42629</v>
      </c>
      <c r="D1404" s="937"/>
      <c r="E1404" s="899">
        <v>42629</v>
      </c>
      <c r="F1404" s="855" t="s">
        <v>1669</v>
      </c>
      <c r="G1404" s="929" t="s">
        <v>1705</v>
      </c>
      <c r="H1404" s="841" t="s">
        <v>445</v>
      </c>
      <c r="I1404" s="842">
        <v>1000</v>
      </c>
      <c r="J1404" s="842">
        <v>16102</v>
      </c>
      <c r="K1404" s="584">
        <f t="shared" si="226"/>
        <v>16102000</v>
      </c>
      <c r="L1404" s="930" t="s">
        <v>857</v>
      </c>
      <c r="M1404" s="930" t="s">
        <v>8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846">
        <v>3</v>
      </c>
      <c r="AB1404" s="847" t="str">
        <f>IF(VLOOKUP(F1404,NXT!$C$12:$C$786,1,0)=F1404,"","x")</f>
        <v/>
      </c>
    </row>
    <row r="1405" spans="1:28" s="848" customFormat="1" ht="15.75" customHeight="1">
      <c r="A1405" s="827" t="str">
        <f>IF(B1405&lt;&gt;"",IF(AND(B1405&gt;=_TM1,B1405&lt;=_TM2,OR(TH!L1405="1111",TH!M1405="1111")),TH!D1405,""),"")</f>
        <v/>
      </c>
      <c r="B1405" s="838">
        <f t="shared" ref="B1405" si="231">IF(C1405&lt;&gt;"",MONTH(C1405),"")</f>
        <v>9</v>
      </c>
      <c r="C1405" s="839">
        <f t="shared" ref="C1405" si="232">E1405</f>
        <v>42629</v>
      </c>
      <c r="D1405" s="937"/>
      <c r="E1405" s="899">
        <v>42629</v>
      </c>
      <c r="F1405" s="855" t="s">
        <v>1681</v>
      </c>
      <c r="G1405" s="929" t="s">
        <v>1705</v>
      </c>
      <c r="H1405" s="841" t="s">
        <v>445</v>
      </c>
      <c r="I1405" s="842">
        <v>570</v>
      </c>
      <c r="J1405" s="842">
        <v>10500</v>
      </c>
      <c r="K1405" s="584">
        <f t="shared" si="226"/>
        <v>5985000</v>
      </c>
      <c r="L1405" s="930" t="s">
        <v>857</v>
      </c>
      <c r="M1405" s="930" t="s">
        <v>8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846">
        <v>3</v>
      </c>
      <c r="AB1405" s="847" t="str">
        <f>IF(VLOOKUP(F1405,NXT!$C$12:$C$786,1,0)=F1405,"","x")</f>
        <v/>
      </c>
    </row>
    <row r="1406" spans="1:28" s="848" customFormat="1" ht="15.75" customHeight="1">
      <c r="A1406" s="827" t="str">
        <f>IF(B1406&lt;&gt;"",IF(AND(B1406&gt;=_TM1,B1406&lt;=_TM2,OR(TH!L1406="1111",TH!M1406="1111")),TH!D1406,""),"")</f>
        <v/>
      </c>
      <c r="B1406" s="838">
        <f t="shared" si="227"/>
        <v>9</v>
      </c>
      <c r="C1406" s="839">
        <f t="shared" si="228"/>
        <v>42629</v>
      </c>
      <c r="D1406" s="937"/>
      <c r="E1406" s="899">
        <v>42629</v>
      </c>
      <c r="F1406" s="191" t="s">
        <v>461</v>
      </c>
      <c r="G1406" s="929" t="s">
        <v>1705</v>
      </c>
      <c r="H1406" s="841" t="s">
        <v>445</v>
      </c>
      <c r="I1406" s="842"/>
      <c r="J1406" s="842"/>
      <c r="K1406" s="843">
        <v>9760968</v>
      </c>
      <c r="L1406" s="931" t="s">
        <v>9</v>
      </c>
      <c r="M1406" s="930" t="s">
        <v>8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846">
        <v>3</v>
      </c>
      <c r="AB1406" s="847"/>
    </row>
    <row r="1407" spans="1:28" s="848" customFormat="1" ht="15.75" customHeight="1">
      <c r="A1407" s="827" t="str">
        <f>IF(B1407&lt;&gt;"",IF(AND(B1407&gt;=_TM1,B1407&lt;=_TM2,OR(TH!L1407="1111",TH!M1407="1111")),TH!D1407,""),"")</f>
        <v/>
      </c>
      <c r="B1407" s="838">
        <f t="shared" ref="B1407:B1409" si="233">IF(C1407&lt;&gt;"",MONTH(C1407),"")</f>
        <v>9</v>
      </c>
      <c r="C1407" s="839">
        <f t="shared" ref="C1407:C1409" si="234">E1407</f>
        <v>42633</v>
      </c>
      <c r="D1407" s="937"/>
      <c r="E1407" s="899">
        <v>42633</v>
      </c>
      <c r="F1407" s="191" t="s">
        <v>1178</v>
      </c>
      <c r="G1407" s="929" t="s">
        <v>1706</v>
      </c>
      <c r="H1407" s="841" t="s">
        <v>445</v>
      </c>
      <c r="I1407" s="842">
        <v>1550</v>
      </c>
      <c r="J1407" s="842">
        <v>33250</v>
      </c>
      <c r="K1407" s="584">
        <f t="shared" si="226"/>
        <v>51537500</v>
      </c>
      <c r="L1407" s="930" t="s">
        <v>857</v>
      </c>
      <c r="M1407" s="930" t="s">
        <v>8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846">
        <v>3</v>
      </c>
      <c r="AB1407" s="847" t="str">
        <f>IF(VLOOKUP(F1407,NXT!$C$12:$C$786,1,0)=F1407,"","x")</f>
        <v/>
      </c>
    </row>
    <row r="1408" spans="1:28" s="848" customFormat="1" ht="15.75" customHeight="1">
      <c r="A1408" s="827" t="str">
        <f>IF(B1408&lt;&gt;"",IF(AND(B1408&gt;=_TM1,B1408&lt;=_TM2,OR(TH!L1408="1111",TH!M1408="1111")),TH!D1408,""),"")</f>
        <v/>
      </c>
      <c r="B1408" s="838">
        <f t="shared" si="233"/>
        <v>9</v>
      </c>
      <c r="C1408" s="839">
        <f t="shared" si="234"/>
        <v>42633</v>
      </c>
      <c r="D1408" s="937"/>
      <c r="E1408" s="899">
        <v>42633</v>
      </c>
      <c r="F1408" s="191" t="s">
        <v>1179</v>
      </c>
      <c r="G1408" s="929" t="s">
        <v>1706</v>
      </c>
      <c r="H1408" s="841" t="s">
        <v>445</v>
      </c>
      <c r="I1408" s="842">
        <v>1500</v>
      </c>
      <c r="J1408" s="842">
        <v>30875</v>
      </c>
      <c r="K1408" s="584">
        <f t="shared" si="226"/>
        <v>46312500</v>
      </c>
      <c r="L1408" s="930" t="s">
        <v>857</v>
      </c>
      <c r="M1408" s="930" t="s">
        <v>8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846">
        <v>3</v>
      </c>
      <c r="AB1408" s="847" t="str">
        <f>IF(VLOOKUP(F1408,NXT!$C$12:$C$786,1,0)=F1408,"","x")</f>
        <v/>
      </c>
    </row>
    <row r="1409" spans="1:28" s="848" customFormat="1" ht="15.75" customHeight="1">
      <c r="A1409" s="827" t="str">
        <f>IF(B1409&lt;&gt;"",IF(AND(B1409&gt;=_TM1,B1409&lt;=_TM2,OR(TH!L1409="1111",TH!M1409="1111")),TH!D1409,""),"")</f>
        <v/>
      </c>
      <c r="B1409" s="838">
        <f t="shared" si="233"/>
        <v>9</v>
      </c>
      <c r="C1409" s="839">
        <f t="shared" si="234"/>
        <v>42633</v>
      </c>
      <c r="D1409" s="937"/>
      <c r="E1409" s="899">
        <v>42633</v>
      </c>
      <c r="F1409" s="855" t="s">
        <v>451</v>
      </c>
      <c r="G1409" s="929" t="s">
        <v>1706</v>
      </c>
      <c r="H1409" s="841" t="s">
        <v>445</v>
      </c>
      <c r="I1409" s="842">
        <v>4400</v>
      </c>
      <c r="J1409" s="842">
        <v>17575</v>
      </c>
      <c r="K1409" s="584">
        <f t="shared" si="226"/>
        <v>77330000</v>
      </c>
      <c r="L1409" s="930" t="s">
        <v>857</v>
      </c>
      <c r="M1409" s="930" t="s">
        <v>8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>x</v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846">
        <v>3</v>
      </c>
      <c r="AB1409" s="847" t="str">
        <f>IF(VLOOKUP(F1409,NXT!$C$12:$C$786,1,0)=F1409,"","x")</f>
        <v/>
      </c>
    </row>
    <row r="1410" spans="1:28" s="848" customFormat="1" ht="15.75" customHeight="1">
      <c r="A1410" s="827" t="str">
        <f>IF(B1410&lt;&gt;"",IF(AND(B1410&gt;=_TM1,B1410&lt;=_TM2,OR(TH!L1410="1111",TH!M1410="1111")),TH!D1410,""),"")</f>
        <v/>
      </c>
      <c r="B1410" s="838">
        <f t="shared" si="227"/>
        <v>9</v>
      </c>
      <c r="C1410" s="839">
        <f t="shared" si="228"/>
        <v>42633</v>
      </c>
      <c r="D1410" s="937"/>
      <c r="E1410" s="899">
        <v>42633</v>
      </c>
      <c r="F1410" s="290" t="s">
        <v>450</v>
      </c>
      <c r="G1410" s="929" t="s">
        <v>1706</v>
      </c>
      <c r="H1410" s="841" t="s">
        <v>445</v>
      </c>
      <c r="I1410" s="842">
        <v>4200</v>
      </c>
      <c r="J1410" s="842">
        <v>17575</v>
      </c>
      <c r="K1410" s="584">
        <f t="shared" si="226"/>
        <v>73815000</v>
      </c>
      <c r="L1410" s="930" t="s">
        <v>857</v>
      </c>
      <c r="M1410" s="930" t="s">
        <v>8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846">
        <v>3</v>
      </c>
      <c r="AB1410" s="847" t="str">
        <f>IF(VLOOKUP(F1410,NXT!$C$12:$C$786,1,0)=F1410,"","x")</f>
        <v/>
      </c>
    </row>
    <row r="1411" spans="1:28" s="848" customFormat="1" ht="15.75" customHeight="1">
      <c r="A1411" s="827" t="str">
        <f>IF(B1411&lt;&gt;"",IF(AND(B1411&gt;=_TM1,B1411&lt;=_TM2,OR(TH!L1411="1111",TH!M1411="1111")),TH!D1411,""),"")</f>
        <v/>
      </c>
      <c r="B1411" s="838">
        <f t="shared" ref="B1411:B1412" si="235">IF(C1411&lt;&gt;"",MONTH(C1411),"")</f>
        <v>9</v>
      </c>
      <c r="C1411" s="839">
        <f t="shared" ref="C1411:C1412" si="236">E1411</f>
        <v>42633</v>
      </c>
      <c r="D1411" s="937"/>
      <c r="E1411" s="899">
        <v>42633</v>
      </c>
      <c r="F1411" s="855" t="s">
        <v>479</v>
      </c>
      <c r="G1411" s="929" t="s">
        <v>1706</v>
      </c>
      <c r="H1411" s="841" t="s">
        <v>445</v>
      </c>
      <c r="I1411" s="842">
        <v>300</v>
      </c>
      <c r="J1411" s="842">
        <v>7628</v>
      </c>
      <c r="K1411" s="584">
        <f t="shared" si="226"/>
        <v>2288400</v>
      </c>
      <c r="L1411" s="930" t="s">
        <v>857</v>
      </c>
      <c r="M1411" s="930" t="s">
        <v>8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846">
        <v>3</v>
      </c>
      <c r="AB1411" s="847" t="str">
        <f>IF(VLOOKUP(F1411,NXT!$C$12:$C$786,1,0)=F1411,"","x")</f>
        <v/>
      </c>
    </row>
    <row r="1412" spans="1:28" s="848" customFormat="1" ht="15.75" customHeight="1">
      <c r="A1412" s="827" t="str">
        <f>IF(B1412&lt;&gt;"",IF(AND(B1412&gt;=_TM1,B1412&lt;=_TM2,OR(TH!L1412="1111",TH!M1412="1111")),TH!D1412,""),"")</f>
        <v/>
      </c>
      <c r="B1412" s="838">
        <f t="shared" si="235"/>
        <v>9</v>
      </c>
      <c r="C1412" s="839">
        <f t="shared" si="236"/>
        <v>42633</v>
      </c>
      <c r="D1412" s="937"/>
      <c r="E1412" s="899">
        <v>42633</v>
      </c>
      <c r="F1412" s="191" t="s">
        <v>1178</v>
      </c>
      <c r="G1412" s="929" t="s">
        <v>1706</v>
      </c>
      <c r="H1412" s="841" t="s">
        <v>445</v>
      </c>
      <c r="I1412" s="842">
        <v>420</v>
      </c>
      <c r="J1412" s="842">
        <v>35625</v>
      </c>
      <c r="K1412" s="584">
        <f t="shared" si="226"/>
        <v>14962500</v>
      </c>
      <c r="L1412" s="930" t="s">
        <v>857</v>
      </c>
      <c r="M1412" s="930" t="s">
        <v>8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846">
        <v>3</v>
      </c>
      <c r="AB1412" s="847" t="str">
        <f>IF(VLOOKUP(F1412,NXT!$C$12:$C$786,1,0)=F1412,"","x")</f>
        <v/>
      </c>
    </row>
    <row r="1413" spans="1:28" s="848" customFormat="1" ht="15.75" customHeight="1">
      <c r="A1413" s="827" t="str">
        <f>IF(B1413&lt;&gt;"",IF(AND(B1413&gt;=_TM1,B1413&lt;=_TM2,OR(TH!L1413="1111",TH!M1413="1111")),TH!D1413,""),"")</f>
        <v/>
      </c>
      <c r="B1413" s="838">
        <f t="shared" ref="B1413" si="237">IF(C1413&lt;&gt;"",MONTH(C1413),"")</f>
        <v>9</v>
      </c>
      <c r="C1413" s="839">
        <f t="shared" ref="C1413" si="238">E1413</f>
        <v>42633</v>
      </c>
      <c r="D1413" s="937"/>
      <c r="E1413" s="899">
        <v>42633</v>
      </c>
      <c r="F1413" s="855" t="s">
        <v>451</v>
      </c>
      <c r="G1413" s="929" t="s">
        <v>1706</v>
      </c>
      <c r="H1413" s="841" t="s">
        <v>445</v>
      </c>
      <c r="I1413" s="842">
        <v>120</v>
      </c>
      <c r="J1413" s="842">
        <v>17575</v>
      </c>
      <c r="K1413" s="584">
        <f t="shared" si="226"/>
        <v>2109000</v>
      </c>
      <c r="L1413" s="930" t="s">
        <v>857</v>
      </c>
      <c r="M1413" s="930" t="s">
        <v>8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>x</v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846">
        <v>3</v>
      </c>
      <c r="AB1413" s="847" t="str">
        <f>IF(VLOOKUP(F1413,NXT!$C$12:$C$786,1,0)=F1413,"","x")</f>
        <v/>
      </c>
    </row>
    <row r="1414" spans="1:28" s="848" customFormat="1" ht="15.75" customHeight="1">
      <c r="A1414" s="827" t="str">
        <f>IF(B1414&lt;&gt;"",IF(AND(B1414&gt;=_TM1,B1414&lt;=_TM2,OR(TH!L1414="1111",TH!M1414="1111")),TH!D1414,""),"")</f>
        <v/>
      </c>
      <c r="B1414" s="838">
        <f t="shared" si="227"/>
        <v>9</v>
      </c>
      <c r="C1414" s="839">
        <f t="shared" si="228"/>
        <v>42633</v>
      </c>
      <c r="D1414" s="937"/>
      <c r="E1414" s="899">
        <v>42633</v>
      </c>
      <c r="F1414" s="855" t="s">
        <v>1696</v>
      </c>
      <c r="G1414" s="929" t="s">
        <v>1706</v>
      </c>
      <c r="H1414" s="841" t="s">
        <v>445</v>
      </c>
      <c r="I1414" s="842">
        <v>5000</v>
      </c>
      <c r="J1414" s="842">
        <v>7220</v>
      </c>
      <c r="K1414" s="584">
        <f t="shared" si="226"/>
        <v>36100000</v>
      </c>
      <c r="L1414" s="930" t="s">
        <v>857</v>
      </c>
      <c r="M1414" s="930" t="s">
        <v>8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846">
        <v>3</v>
      </c>
      <c r="AB1414" s="847" t="str">
        <f>IF(VLOOKUP(F1414,NXT!$C$12:$C$786,1,0)=F1414,"","x")</f>
        <v/>
      </c>
    </row>
    <row r="1415" spans="1:28" s="848" customFormat="1" ht="15.75" customHeight="1">
      <c r="A1415" s="827" t="str">
        <f>IF(B1415&lt;&gt;"",IF(AND(B1415&gt;=_TM1,B1415&lt;=_TM2,OR(TH!L1415="1111",TH!M1415="1111")),TH!D1415,""),"")</f>
        <v/>
      </c>
      <c r="B1415" s="838">
        <f t="shared" ref="B1415:B1482" si="239">IF(C1415&lt;&gt;"",MONTH(C1415),"")</f>
        <v>9</v>
      </c>
      <c r="C1415" s="839">
        <f t="shared" ref="C1415:C1482" si="240">E1415</f>
        <v>42633</v>
      </c>
      <c r="D1415" s="937"/>
      <c r="E1415" s="899">
        <v>42633</v>
      </c>
      <c r="F1415" s="855" t="s">
        <v>1690</v>
      </c>
      <c r="G1415" s="929" t="s">
        <v>1706</v>
      </c>
      <c r="H1415" s="841" t="s">
        <v>445</v>
      </c>
      <c r="I1415" s="842">
        <v>4100</v>
      </c>
      <c r="J1415" s="842">
        <v>7300</v>
      </c>
      <c r="K1415" s="584">
        <f t="shared" si="226"/>
        <v>29930000</v>
      </c>
      <c r="L1415" s="930" t="s">
        <v>857</v>
      </c>
      <c r="M1415" s="930" t="s">
        <v>8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846">
        <v>3</v>
      </c>
      <c r="AB1415" s="847" t="str">
        <f>IF(VLOOKUP(F1415,NXT!$C$12:$C$786,1,0)=F1415,"","x")</f>
        <v/>
      </c>
    </row>
    <row r="1416" spans="1:28" s="848" customFormat="1" ht="15.75" customHeight="1">
      <c r="A1416" s="827" t="str">
        <f>IF(B1416&lt;&gt;"",IF(AND(B1416&gt;=_TM1,B1416&lt;=_TM2,OR(TH!L1416="1111",TH!M1416="1111")),TH!D1416,""),"")</f>
        <v/>
      </c>
      <c r="B1416" s="838">
        <f t="shared" si="239"/>
        <v>9</v>
      </c>
      <c r="C1416" s="839">
        <f t="shared" si="240"/>
        <v>42633</v>
      </c>
      <c r="D1416" s="937"/>
      <c r="E1416" s="899">
        <v>42633</v>
      </c>
      <c r="F1416" s="191" t="s">
        <v>461</v>
      </c>
      <c r="G1416" s="929" t="s">
        <v>1706</v>
      </c>
      <c r="H1416" s="841" t="s">
        <v>445</v>
      </c>
      <c r="I1416" s="842"/>
      <c r="J1416" s="842"/>
      <c r="K1416" s="843">
        <v>33438490</v>
      </c>
      <c r="L1416" s="931" t="s">
        <v>9</v>
      </c>
      <c r="M1416" s="930" t="s">
        <v>8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846">
        <v>3</v>
      </c>
      <c r="AB1416" s="847"/>
    </row>
    <row r="1417" spans="1:28" s="848" customFormat="1" ht="15.75" customHeight="1">
      <c r="A1417" s="827" t="str">
        <f>IF(B1417&lt;&gt;"",IF(AND(B1417&gt;=_TM1,B1417&lt;=_TM2,OR(TH!L1417="1111",TH!M1417="1111")),TH!D1417,""),"")</f>
        <v/>
      </c>
      <c r="B1417" s="838">
        <f t="shared" si="239"/>
        <v>9</v>
      </c>
      <c r="C1417" s="839">
        <f t="shared" si="240"/>
        <v>42638</v>
      </c>
      <c r="D1417" s="937"/>
      <c r="E1417" s="899">
        <v>42638</v>
      </c>
      <c r="F1417" s="855" t="s">
        <v>1701</v>
      </c>
      <c r="G1417" s="929" t="s">
        <v>1707</v>
      </c>
      <c r="H1417" s="841" t="s">
        <v>445</v>
      </c>
      <c r="I1417" s="842">
        <v>1600</v>
      </c>
      <c r="J1417" s="842">
        <v>5150</v>
      </c>
      <c r="K1417" s="584">
        <f t="shared" ref="K1417" si="241">ROUND(I1417*J1417,0)</f>
        <v>8240000</v>
      </c>
      <c r="L1417" s="930" t="s">
        <v>857</v>
      </c>
      <c r="M1417" s="930" t="s">
        <v>8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846">
        <v>3</v>
      </c>
      <c r="AB1417" s="847" t="str">
        <f>IF(VLOOKUP(F1417,NXT!$C$12:$C$786,1,0)=F1417,"","x")</f>
        <v/>
      </c>
    </row>
    <row r="1418" spans="1:28" s="848" customFormat="1" ht="15.75" customHeight="1">
      <c r="A1418" s="827" t="str">
        <f>IF(B1418&lt;&gt;"",IF(AND(B1418&gt;=_TM1,B1418&lt;=_TM2,OR(TH!L1418="1111",TH!M1418="1111")),TH!D1418,""),"")</f>
        <v/>
      </c>
      <c r="B1418" s="838">
        <f t="shared" si="239"/>
        <v>9</v>
      </c>
      <c r="C1418" s="839">
        <f t="shared" si="240"/>
        <v>42638</v>
      </c>
      <c r="D1418" s="937"/>
      <c r="E1418" s="899">
        <v>42638</v>
      </c>
      <c r="F1418" s="855" t="s">
        <v>1677</v>
      </c>
      <c r="G1418" s="929" t="s">
        <v>1707</v>
      </c>
      <c r="H1418" s="841" t="s">
        <v>445</v>
      </c>
      <c r="I1418" s="842">
        <v>500</v>
      </c>
      <c r="J1418" s="842">
        <v>21300</v>
      </c>
      <c r="K1418" s="584">
        <f>ROUND(I1418*J1418,0)</f>
        <v>10650000</v>
      </c>
      <c r="L1418" s="930" t="s">
        <v>857</v>
      </c>
      <c r="M1418" s="930" t="s">
        <v>8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846">
        <v>3</v>
      </c>
      <c r="AB1418" s="847" t="str">
        <f>IF(VLOOKUP(F1418,NXT!$C$12:$C$786,1,0)=F1418,"","x")</f>
        <v/>
      </c>
    </row>
    <row r="1419" spans="1:28" s="848" customFormat="1" ht="15.75" customHeight="1">
      <c r="A1419" s="827" t="str">
        <f>IF(B1419&lt;&gt;"",IF(AND(B1419&gt;=_TM1,B1419&lt;=_TM2,OR(TH!L1419="1111",TH!M1419="1111")),TH!D1419,""),"")</f>
        <v/>
      </c>
      <c r="B1419" s="838">
        <f t="shared" si="239"/>
        <v>9</v>
      </c>
      <c r="C1419" s="839">
        <f t="shared" si="240"/>
        <v>42638</v>
      </c>
      <c r="D1419" s="937"/>
      <c r="E1419" s="899">
        <v>42638</v>
      </c>
      <c r="F1419" s="855" t="s">
        <v>1697</v>
      </c>
      <c r="G1419" s="929" t="s">
        <v>1707</v>
      </c>
      <c r="H1419" s="841" t="s">
        <v>445</v>
      </c>
      <c r="I1419" s="842">
        <v>2300</v>
      </c>
      <c r="J1419" s="842">
        <v>5700</v>
      </c>
      <c r="K1419" s="584">
        <f t="shared" ref="K1419:K1424" si="242">ROUND(I1419*J1419,0)</f>
        <v>13110000</v>
      </c>
      <c r="L1419" s="930" t="s">
        <v>857</v>
      </c>
      <c r="M1419" s="930" t="s">
        <v>8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846">
        <v>3</v>
      </c>
      <c r="AB1419" s="847" t="str">
        <f>IF(VLOOKUP(F1419,NXT!$C$12:$C$786,1,0)=F1419,"","x")</f>
        <v/>
      </c>
    </row>
    <row r="1420" spans="1:28" s="848" customFormat="1" ht="15.75" customHeight="1">
      <c r="A1420" s="827" t="str">
        <f>IF(B1420&lt;&gt;"",IF(AND(B1420&gt;=_TM1,B1420&lt;=_TM2,OR(TH!L1420="1111",TH!M1420="1111")),TH!D1420,""),"")</f>
        <v/>
      </c>
      <c r="B1420" s="838">
        <f t="shared" si="239"/>
        <v>9</v>
      </c>
      <c r="C1420" s="839">
        <f t="shared" si="240"/>
        <v>42638</v>
      </c>
      <c r="D1420" s="937"/>
      <c r="E1420" s="899">
        <v>42638</v>
      </c>
      <c r="F1420" s="855" t="s">
        <v>1698</v>
      </c>
      <c r="G1420" s="929" t="s">
        <v>1707</v>
      </c>
      <c r="H1420" s="841" t="s">
        <v>445</v>
      </c>
      <c r="I1420" s="842">
        <v>6200</v>
      </c>
      <c r="J1420" s="842">
        <v>12400</v>
      </c>
      <c r="K1420" s="584">
        <f t="shared" si="242"/>
        <v>76880000</v>
      </c>
      <c r="L1420" s="930" t="s">
        <v>857</v>
      </c>
      <c r="M1420" s="930" t="s">
        <v>8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846">
        <v>3</v>
      </c>
      <c r="AB1420" s="847" t="str">
        <f>IF(VLOOKUP(F1420,NXT!$C$12:$C$786,1,0)=F1420,"","x")</f>
        <v/>
      </c>
    </row>
    <row r="1421" spans="1:28" s="848" customFormat="1" ht="15.75" customHeight="1">
      <c r="A1421" s="827" t="str">
        <f>IF(B1421&lt;&gt;"",IF(AND(B1421&gt;=_TM1,B1421&lt;=_TM2,OR(TH!L1421="1111",TH!M1421="1111")),TH!D1421,""),"")</f>
        <v/>
      </c>
      <c r="B1421" s="838">
        <f t="shared" si="239"/>
        <v>9</v>
      </c>
      <c r="C1421" s="839">
        <f t="shared" si="240"/>
        <v>42638</v>
      </c>
      <c r="D1421" s="937"/>
      <c r="E1421" s="899">
        <v>42638</v>
      </c>
      <c r="F1421" s="855" t="s">
        <v>1699</v>
      </c>
      <c r="G1421" s="929" t="s">
        <v>1707</v>
      </c>
      <c r="H1421" s="841" t="s">
        <v>445</v>
      </c>
      <c r="I1421" s="842">
        <v>2500</v>
      </c>
      <c r="J1421" s="842">
        <v>8400</v>
      </c>
      <c r="K1421" s="584">
        <f t="shared" si="242"/>
        <v>21000000</v>
      </c>
      <c r="L1421" s="930" t="s">
        <v>857</v>
      </c>
      <c r="M1421" s="930" t="s">
        <v>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846">
        <v>3</v>
      </c>
      <c r="AB1421" s="847" t="str">
        <f>IF(VLOOKUP(F1421,NXT!$C$12:$C$786,1,0)=F1421,"","x")</f>
        <v/>
      </c>
    </row>
    <row r="1422" spans="1:28" s="848" customFormat="1" ht="15.75" customHeight="1">
      <c r="A1422" s="827" t="str">
        <f>IF(B1422&lt;&gt;"",IF(AND(B1422&gt;=_TM1,B1422&lt;=_TM2,OR(TH!L1422="1111",TH!M1422="1111")),TH!D1422,""),"")</f>
        <v/>
      </c>
      <c r="B1422" s="838">
        <f t="shared" si="239"/>
        <v>9</v>
      </c>
      <c r="C1422" s="839">
        <f t="shared" si="240"/>
        <v>42638</v>
      </c>
      <c r="D1422" s="937"/>
      <c r="E1422" s="899">
        <v>42638</v>
      </c>
      <c r="F1422" s="855" t="s">
        <v>1693</v>
      </c>
      <c r="G1422" s="929" t="s">
        <v>1707</v>
      </c>
      <c r="H1422" s="841" t="s">
        <v>445</v>
      </c>
      <c r="I1422" s="842">
        <v>300</v>
      </c>
      <c r="J1422" s="842">
        <v>7900</v>
      </c>
      <c r="K1422" s="584">
        <f t="shared" si="242"/>
        <v>2370000</v>
      </c>
      <c r="L1422" s="930" t="s">
        <v>857</v>
      </c>
      <c r="M1422" s="930" t="s">
        <v>8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846">
        <v>3</v>
      </c>
      <c r="AB1422" s="847" t="str">
        <f>IF(VLOOKUP(F1422,NXT!$C$12:$C$786,1,0)=F1422,"","x")</f>
        <v/>
      </c>
    </row>
    <row r="1423" spans="1:28" s="848" customFormat="1" ht="15.75" customHeight="1">
      <c r="A1423" s="827" t="str">
        <f>IF(B1423&lt;&gt;"",IF(AND(B1423&gt;=_TM1,B1423&lt;=_TM2,OR(TH!L1423="1111",TH!M1423="1111")),TH!D1423,""),"")</f>
        <v/>
      </c>
      <c r="B1423" s="838">
        <f t="shared" si="239"/>
        <v>9</v>
      </c>
      <c r="C1423" s="839">
        <f t="shared" si="240"/>
        <v>42638</v>
      </c>
      <c r="D1423" s="937"/>
      <c r="E1423" s="899">
        <v>42638</v>
      </c>
      <c r="F1423" s="855" t="s">
        <v>496</v>
      </c>
      <c r="G1423" s="929" t="s">
        <v>1707</v>
      </c>
      <c r="H1423" s="841" t="s">
        <v>445</v>
      </c>
      <c r="I1423" s="842">
        <v>140</v>
      </c>
      <c r="J1423" s="842">
        <v>17100</v>
      </c>
      <c r="K1423" s="584">
        <f t="shared" si="242"/>
        <v>2394000</v>
      </c>
      <c r="L1423" s="930" t="s">
        <v>857</v>
      </c>
      <c r="M1423" s="930" t="s">
        <v>8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846">
        <v>3</v>
      </c>
      <c r="AB1423" s="847" t="str">
        <f>IF(VLOOKUP(F1423,NXT!$C$12:$C$786,1,0)=F1423,"","x")</f>
        <v/>
      </c>
    </row>
    <row r="1424" spans="1:28" s="848" customFormat="1" ht="15.75" customHeight="1">
      <c r="A1424" s="827" t="str">
        <f>IF(B1424&lt;&gt;"",IF(AND(B1424&gt;=_TM1,B1424&lt;=_TM2,OR(TH!L1424="1111",TH!M1424="1111")),TH!D1424,""),"")</f>
        <v/>
      </c>
      <c r="B1424" s="838">
        <f t="shared" si="239"/>
        <v>9</v>
      </c>
      <c r="C1424" s="839">
        <f t="shared" si="240"/>
        <v>42638</v>
      </c>
      <c r="D1424" s="937"/>
      <c r="E1424" s="899">
        <v>42638</v>
      </c>
      <c r="F1424" s="855" t="s">
        <v>1729</v>
      </c>
      <c r="G1424" s="929" t="s">
        <v>1707</v>
      </c>
      <c r="H1424" s="841" t="s">
        <v>445</v>
      </c>
      <c r="I1424" s="842">
        <v>54</v>
      </c>
      <c r="J1424" s="842">
        <v>19000</v>
      </c>
      <c r="K1424" s="584">
        <f t="shared" si="242"/>
        <v>1026000</v>
      </c>
      <c r="L1424" s="930" t="s">
        <v>857</v>
      </c>
      <c r="M1424" s="930" t="s">
        <v>8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846">
        <v>3</v>
      </c>
      <c r="AB1424" s="847" t="str">
        <f>IF(VLOOKUP(F1424,NXT!$C$12:$C$786,1,0)=F1424,"","x")</f>
        <v/>
      </c>
    </row>
    <row r="1425" spans="1:28" s="848" customFormat="1" ht="15.75" customHeight="1">
      <c r="A1425" s="827" t="str">
        <f>IF(B1425&lt;&gt;"",IF(AND(B1425&gt;=_TM1,B1425&lt;=_TM2,OR(TH!L1425="1111",TH!M1425="1111")),TH!D1425,""),"")</f>
        <v/>
      </c>
      <c r="B1425" s="838">
        <f t="shared" si="239"/>
        <v>9</v>
      </c>
      <c r="C1425" s="839">
        <f t="shared" si="240"/>
        <v>42638</v>
      </c>
      <c r="D1425" s="937"/>
      <c r="E1425" s="899">
        <v>42638</v>
      </c>
      <c r="F1425" s="855" t="s">
        <v>1730</v>
      </c>
      <c r="G1425" s="929" t="s">
        <v>1707</v>
      </c>
      <c r="H1425" s="841" t="s">
        <v>445</v>
      </c>
      <c r="I1425" s="842">
        <v>14</v>
      </c>
      <c r="J1425" s="842">
        <v>19100</v>
      </c>
      <c r="K1425" s="584">
        <f>ROUND(I1425*J1425,0)</f>
        <v>267400</v>
      </c>
      <c r="L1425" s="930" t="s">
        <v>857</v>
      </c>
      <c r="M1425" s="930" t="s">
        <v>8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846">
        <v>3</v>
      </c>
      <c r="AB1425" s="847" t="str">
        <f>IF(VLOOKUP(F1425,NXT!$C$12:$C$786,1,0)=F1425,"","x")</f>
        <v/>
      </c>
    </row>
    <row r="1426" spans="1:28" s="848" customFormat="1" ht="15.75" customHeight="1">
      <c r="A1426" s="827" t="str">
        <f>IF(B1426&lt;&gt;"",IF(AND(B1426&gt;=_TM1,B1426&lt;=_TM2,OR(TH!L1426="1111",TH!M1426="1111")),TH!D1426,""),"")</f>
        <v/>
      </c>
      <c r="B1426" s="838">
        <f t="shared" si="239"/>
        <v>9</v>
      </c>
      <c r="C1426" s="839">
        <f t="shared" si="240"/>
        <v>42638</v>
      </c>
      <c r="D1426" s="937"/>
      <c r="E1426" s="899">
        <v>42638</v>
      </c>
      <c r="F1426" s="855" t="s">
        <v>1731</v>
      </c>
      <c r="G1426" s="929" t="s">
        <v>1707</v>
      </c>
      <c r="H1426" s="841" t="s">
        <v>445</v>
      </c>
      <c r="I1426" s="842">
        <v>280</v>
      </c>
      <c r="J1426" s="842">
        <v>20000</v>
      </c>
      <c r="K1426" s="584">
        <f t="shared" ref="K1426:K1431" si="243">ROUND(I1426*J1426,0)</f>
        <v>5600000</v>
      </c>
      <c r="L1426" s="930" t="s">
        <v>857</v>
      </c>
      <c r="M1426" s="930" t="s">
        <v>8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846">
        <v>3</v>
      </c>
      <c r="AB1426" s="847" t="str">
        <f>IF(VLOOKUP(F1426,NXT!$C$12:$C$786,1,0)=F1426,"","x")</f>
        <v/>
      </c>
    </row>
    <row r="1427" spans="1:28" s="848" customFormat="1" ht="15.75" customHeight="1">
      <c r="A1427" s="827" t="str">
        <f>IF(B1427&lt;&gt;"",IF(AND(B1427&gt;=_TM1,B1427&lt;=_TM2,OR(TH!L1427="1111",TH!M1427="1111")),TH!D1427,""),"")</f>
        <v/>
      </c>
      <c r="B1427" s="838">
        <f t="shared" si="239"/>
        <v>9</v>
      </c>
      <c r="C1427" s="839">
        <f t="shared" si="240"/>
        <v>42638</v>
      </c>
      <c r="D1427" s="937"/>
      <c r="E1427" s="899">
        <v>42638</v>
      </c>
      <c r="F1427" s="855" t="s">
        <v>511</v>
      </c>
      <c r="G1427" s="929" t="s">
        <v>1707</v>
      </c>
      <c r="H1427" s="841" t="s">
        <v>445</v>
      </c>
      <c r="I1427" s="842">
        <v>115</v>
      </c>
      <c r="J1427" s="842">
        <v>20000</v>
      </c>
      <c r="K1427" s="584">
        <f t="shared" si="243"/>
        <v>2300000</v>
      </c>
      <c r="L1427" s="930" t="s">
        <v>857</v>
      </c>
      <c r="M1427" s="930" t="s">
        <v>8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846">
        <v>3</v>
      </c>
      <c r="AB1427" s="847" t="str">
        <f>IF(VLOOKUP(F1427,NXT!$C$12:$C$786,1,0)=F1427,"","x")</f>
        <v/>
      </c>
    </row>
    <row r="1428" spans="1:28" s="848" customFormat="1" ht="15.75" customHeight="1">
      <c r="A1428" s="827" t="str">
        <f>IF(B1428&lt;&gt;"",IF(AND(B1428&gt;=_TM1,B1428&lt;=_TM2,OR(TH!L1428="1111",TH!M1428="1111")),TH!D1428,""),"")</f>
        <v/>
      </c>
      <c r="B1428" s="838">
        <f t="shared" si="239"/>
        <v>9</v>
      </c>
      <c r="C1428" s="839">
        <f t="shared" si="240"/>
        <v>42638</v>
      </c>
      <c r="D1428" s="937"/>
      <c r="E1428" s="899">
        <v>42638</v>
      </c>
      <c r="F1428" s="855" t="s">
        <v>1732</v>
      </c>
      <c r="G1428" s="929" t="s">
        <v>1707</v>
      </c>
      <c r="H1428" s="841" t="s">
        <v>445</v>
      </c>
      <c r="I1428" s="842">
        <v>4</v>
      </c>
      <c r="J1428" s="842">
        <v>20100</v>
      </c>
      <c r="K1428" s="584">
        <f t="shared" si="243"/>
        <v>80400</v>
      </c>
      <c r="L1428" s="930" t="s">
        <v>857</v>
      </c>
      <c r="M1428" s="930" t="s">
        <v>8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846">
        <v>3</v>
      </c>
      <c r="AB1428" s="847" t="str">
        <f>IF(VLOOKUP(F1428,NXT!$C$12:$C$786,1,0)=F1428,"","x")</f>
        <v/>
      </c>
    </row>
    <row r="1429" spans="1:28" s="848" customFormat="1" ht="15.75" customHeight="1">
      <c r="A1429" s="827" t="str">
        <f>IF(B1429&lt;&gt;"",IF(AND(B1429&gt;=_TM1,B1429&lt;=_TM2,OR(TH!L1429="1111",TH!M1429="1111")),TH!D1429,""),"")</f>
        <v/>
      </c>
      <c r="B1429" s="838">
        <f t="shared" si="239"/>
        <v>9</v>
      </c>
      <c r="C1429" s="839">
        <f t="shared" si="240"/>
        <v>42638</v>
      </c>
      <c r="D1429" s="937"/>
      <c r="E1429" s="899">
        <v>42638</v>
      </c>
      <c r="F1429" s="855" t="s">
        <v>700</v>
      </c>
      <c r="G1429" s="929" t="s">
        <v>1707</v>
      </c>
      <c r="H1429" s="841" t="s">
        <v>445</v>
      </c>
      <c r="I1429" s="842">
        <v>48</v>
      </c>
      <c r="J1429" s="842">
        <v>20200</v>
      </c>
      <c r="K1429" s="584">
        <f t="shared" si="243"/>
        <v>969600</v>
      </c>
      <c r="L1429" s="930" t="s">
        <v>857</v>
      </c>
      <c r="M1429" s="930" t="s">
        <v>8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846">
        <v>3</v>
      </c>
      <c r="AB1429" s="847" t="str">
        <f>IF(VLOOKUP(F1429,NXT!$C$12:$C$786,1,0)=F1429,"","x")</f>
        <v/>
      </c>
    </row>
    <row r="1430" spans="1:28" s="848" customFormat="1" ht="15.75" customHeight="1">
      <c r="A1430" s="827" t="str">
        <f>IF(B1430&lt;&gt;"",IF(AND(B1430&gt;=_TM1,B1430&lt;=_TM2,OR(TH!L1430="1111",TH!M1430="1111")),TH!D1430,""),"")</f>
        <v/>
      </c>
      <c r="B1430" s="838">
        <f t="shared" si="239"/>
        <v>9</v>
      </c>
      <c r="C1430" s="839">
        <f t="shared" si="240"/>
        <v>42638</v>
      </c>
      <c r="D1430" s="937"/>
      <c r="E1430" s="899">
        <v>42638</v>
      </c>
      <c r="F1430" s="855" t="s">
        <v>1733</v>
      </c>
      <c r="G1430" s="929" t="s">
        <v>1707</v>
      </c>
      <c r="H1430" s="841" t="s">
        <v>445</v>
      </c>
      <c r="I1430" s="842">
        <v>30</v>
      </c>
      <c r="J1430" s="842">
        <v>20300</v>
      </c>
      <c r="K1430" s="584">
        <f t="shared" si="243"/>
        <v>609000</v>
      </c>
      <c r="L1430" s="930" t="s">
        <v>857</v>
      </c>
      <c r="M1430" s="930" t="s">
        <v>8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846">
        <v>3</v>
      </c>
      <c r="AB1430" s="847" t="str">
        <f>IF(VLOOKUP(F1430,NXT!$C$12:$C$786,1,0)=F1430,"","x")</f>
        <v/>
      </c>
    </row>
    <row r="1431" spans="1:28" s="848" customFormat="1" ht="15.75" customHeight="1">
      <c r="A1431" s="827" t="str">
        <f>IF(B1431&lt;&gt;"",IF(AND(B1431&gt;=_TM1,B1431&lt;=_TM2,OR(TH!L1431="1111",TH!M1431="1111")),TH!D1431,""),"")</f>
        <v/>
      </c>
      <c r="B1431" s="838">
        <f t="shared" si="239"/>
        <v>9</v>
      </c>
      <c r="C1431" s="839">
        <f t="shared" si="240"/>
        <v>42638</v>
      </c>
      <c r="D1431" s="937"/>
      <c r="E1431" s="899">
        <v>42638</v>
      </c>
      <c r="F1431" s="855" t="s">
        <v>1734</v>
      </c>
      <c r="G1431" s="929" t="s">
        <v>1707</v>
      </c>
      <c r="H1431" s="841" t="s">
        <v>445</v>
      </c>
      <c r="I1431" s="842">
        <v>12</v>
      </c>
      <c r="J1431" s="842">
        <v>20500</v>
      </c>
      <c r="K1431" s="584">
        <f t="shared" si="243"/>
        <v>246000</v>
      </c>
      <c r="L1431" s="930" t="s">
        <v>857</v>
      </c>
      <c r="M1431" s="930" t="s">
        <v>8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846">
        <v>3</v>
      </c>
      <c r="AB1431" s="847" t="str">
        <f>IF(VLOOKUP(F1431,NXT!$C$12:$C$786,1,0)=F1431,"","x")</f>
        <v/>
      </c>
    </row>
    <row r="1432" spans="1:28" s="848" customFormat="1" ht="15.75" customHeight="1">
      <c r="A1432" s="827" t="str">
        <f>IF(B1432&lt;&gt;"",IF(AND(B1432&gt;=_TM1,B1432&lt;=_TM2,OR(TH!L1432="1111",TH!M1432="1111")),TH!D1432,""),"")</f>
        <v/>
      </c>
      <c r="B1432" s="838">
        <f t="shared" ref="B1432:B1446" si="244">IF(C1432&lt;&gt;"",MONTH(C1432),"")</f>
        <v>9</v>
      </c>
      <c r="C1432" s="839">
        <f t="shared" ref="C1432:C1446" si="245">E1432</f>
        <v>42638</v>
      </c>
      <c r="D1432" s="937"/>
      <c r="E1432" s="899">
        <v>42638</v>
      </c>
      <c r="F1432" s="855" t="s">
        <v>1735</v>
      </c>
      <c r="G1432" s="929" t="s">
        <v>1707</v>
      </c>
      <c r="H1432" s="841" t="s">
        <v>445</v>
      </c>
      <c r="I1432" s="842">
        <v>14</v>
      </c>
      <c r="J1432" s="842">
        <v>20700</v>
      </c>
      <c r="K1432" s="584">
        <f t="shared" ref="K1432" si="246">ROUND(I1432*J1432,0)</f>
        <v>289800</v>
      </c>
      <c r="L1432" s="930" t="s">
        <v>857</v>
      </c>
      <c r="M1432" s="930" t="s">
        <v>8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846">
        <v>3</v>
      </c>
      <c r="AB1432" s="847" t="str">
        <f>IF(VLOOKUP(F1432,NXT!$C$12:$C$786,1,0)=F1432,"","x")</f>
        <v/>
      </c>
    </row>
    <row r="1433" spans="1:28" s="848" customFormat="1" ht="15.75" customHeight="1">
      <c r="A1433" s="827" t="str">
        <f>IF(B1433&lt;&gt;"",IF(AND(B1433&gt;=_TM1,B1433&lt;=_TM2,OR(TH!L1433="1111",TH!M1433="1111")),TH!D1433,""),"")</f>
        <v/>
      </c>
      <c r="B1433" s="838">
        <f t="shared" si="244"/>
        <v>9</v>
      </c>
      <c r="C1433" s="839">
        <f t="shared" si="245"/>
        <v>42638</v>
      </c>
      <c r="D1433" s="937"/>
      <c r="E1433" s="899">
        <v>42638</v>
      </c>
      <c r="F1433" s="855" t="s">
        <v>1736</v>
      </c>
      <c r="G1433" s="929" t="s">
        <v>1707</v>
      </c>
      <c r="H1433" s="841" t="s">
        <v>445</v>
      </c>
      <c r="I1433" s="842">
        <v>14</v>
      </c>
      <c r="J1433" s="842">
        <v>21000</v>
      </c>
      <c r="K1433" s="584">
        <f>ROUND(I1433*J1433,0)</f>
        <v>294000</v>
      </c>
      <c r="L1433" s="930" t="s">
        <v>857</v>
      </c>
      <c r="M1433" s="930" t="s">
        <v>8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846">
        <v>3</v>
      </c>
      <c r="AB1433" s="847" t="str">
        <f>IF(VLOOKUP(F1433,NXT!$C$12:$C$786,1,0)=F1433,"","x")</f>
        <v/>
      </c>
    </row>
    <row r="1434" spans="1:28" s="848" customFormat="1" ht="15.75" customHeight="1">
      <c r="A1434" s="827" t="str">
        <f>IF(B1434&lt;&gt;"",IF(AND(B1434&gt;=_TM1,B1434&lt;=_TM2,OR(TH!L1434="1111",TH!M1434="1111")),TH!D1434,""),"")</f>
        <v/>
      </c>
      <c r="B1434" s="838">
        <f t="shared" si="244"/>
        <v>9</v>
      </c>
      <c r="C1434" s="839">
        <f t="shared" si="245"/>
        <v>42638</v>
      </c>
      <c r="D1434" s="937"/>
      <c r="E1434" s="899">
        <v>42638</v>
      </c>
      <c r="F1434" s="855" t="s">
        <v>1737</v>
      </c>
      <c r="G1434" s="929" t="s">
        <v>1707</v>
      </c>
      <c r="H1434" s="841" t="s">
        <v>445</v>
      </c>
      <c r="I1434" s="842">
        <v>12</v>
      </c>
      <c r="J1434" s="842">
        <v>21000</v>
      </c>
      <c r="K1434" s="584">
        <f t="shared" ref="K1434:K1439" si="247">ROUND(I1434*J1434,0)</f>
        <v>252000</v>
      </c>
      <c r="L1434" s="930" t="s">
        <v>857</v>
      </c>
      <c r="M1434" s="930" t="s">
        <v>8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846">
        <v>3</v>
      </c>
      <c r="AB1434" s="847" t="str">
        <f>IF(VLOOKUP(F1434,NXT!$C$12:$C$786,1,0)=F1434,"","x")</f>
        <v/>
      </c>
    </row>
    <row r="1435" spans="1:28" s="848" customFormat="1" ht="15.75" customHeight="1">
      <c r="A1435" s="827" t="str">
        <f>IF(B1435&lt;&gt;"",IF(AND(B1435&gt;=_TM1,B1435&lt;=_TM2,OR(TH!L1435="1111",TH!M1435="1111")),TH!D1435,""),"")</f>
        <v/>
      </c>
      <c r="B1435" s="838">
        <f t="shared" si="244"/>
        <v>9</v>
      </c>
      <c r="C1435" s="839">
        <f t="shared" si="245"/>
        <v>42638</v>
      </c>
      <c r="D1435" s="937"/>
      <c r="E1435" s="899">
        <v>42638</v>
      </c>
      <c r="F1435" s="855" t="s">
        <v>1737</v>
      </c>
      <c r="G1435" s="929" t="s">
        <v>1707</v>
      </c>
      <c r="H1435" s="841" t="s">
        <v>445</v>
      </c>
      <c r="I1435" s="842">
        <v>60</v>
      </c>
      <c r="J1435" s="842">
        <v>21000</v>
      </c>
      <c r="K1435" s="584">
        <f t="shared" si="247"/>
        <v>1260000</v>
      </c>
      <c r="L1435" s="930" t="s">
        <v>857</v>
      </c>
      <c r="M1435" s="930" t="s">
        <v>8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846">
        <v>3</v>
      </c>
      <c r="AB1435" s="847" t="str">
        <f>IF(VLOOKUP(F1435,NXT!$C$12:$C$786,1,0)=F1435,"","x")</f>
        <v/>
      </c>
    </row>
    <row r="1436" spans="1:28" s="848" customFormat="1" ht="15.75" customHeight="1">
      <c r="A1436" s="827" t="str">
        <f>IF(B1436&lt;&gt;"",IF(AND(B1436&gt;=_TM1,B1436&lt;=_TM2,OR(TH!L1436="1111",TH!M1436="1111")),TH!D1436,""),"")</f>
        <v/>
      </c>
      <c r="B1436" s="838">
        <f t="shared" si="244"/>
        <v>9</v>
      </c>
      <c r="C1436" s="839">
        <f t="shared" si="245"/>
        <v>42638</v>
      </c>
      <c r="D1436" s="937"/>
      <c r="E1436" s="899">
        <v>42638</v>
      </c>
      <c r="F1436" s="855" t="s">
        <v>1738</v>
      </c>
      <c r="G1436" s="929" t="s">
        <v>1707</v>
      </c>
      <c r="H1436" s="841" t="s">
        <v>445</v>
      </c>
      <c r="I1436" s="842">
        <v>120</v>
      </c>
      <c r="J1436" s="842">
        <v>22000</v>
      </c>
      <c r="K1436" s="584">
        <f t="shared" si="247"/>
        <v>2640000</v>
      </c>
      <c r="L1436" s="930" t="s">
        <v>857</v>
      </c>
      <c r="M1436" s="930" t="s">
        <v>8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846">
        <v>3</v>
      </c>
      <c r="AB1436" s="847" t="str">
        <f>IF(VLOOKUP(F1436,NXT!$C$12:$C$786,1,0)=F1436,"","x")</f>
        <v/>
      </c>
    </row>
    <row r="1437" spans="1:28" s="848" customFormat="1" ht="15.75" customHeight="1">
      <c r="A1437" s="827" t="str">
        <f>IF(B1437&lt;&gt;"",IF(AND(B1437&gt;=_TM1,B1437&lt;=_TM2,OR(TH!L1437="1111",TH!M1437="1111")),TH!D1437,""),"")</f>
        <v/>
      </c>
      <c r="B1437" s="838">
        <f t="shared" si="244"/>
        <v>9</v>
      </c>
      <c r="C1437" s="839">
        <f t="shared" si="245"/>
        <v>42638</v>
      </c>
      <c r="D1437" s="937"/>
      <c r="E1437" s="899">
        <v>42638</v>
      </c>
      <c r="F1437" s="855" t="s">
        <v>498</v>
      </c>
      <c r="G1437" s="929" t="s">
        <v>1707</v>
      </c>
      <c r="H1437" s="841" t="s">
        <v>445</v>
      </c>
      <c r="I1437" s="842">
        <v>85</v>
      </c>
      <c r="J1437" s="842">
        <v>22100</v>
      </c>
      <c r="K1437" s="584">
        <f t="shared" si="247"/>
        <v>1878500</v>
      </c>
      <c r="L1437" s="930" t="s">
        <v>857</v>
      </c>
      <c r="M1437" s="930" t="s">
        <v>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846">
        <v>3</v>
      </c>
      <c r="AB1437" s="847" t="str">
        <f>IF(VLOOKUP(F1437,NXT!$C$12:$C$786,1,0)=F1437,"","x")</f>
        <v/>
      </c>
    </row>
    <row r="1438" spans="1:28" s="848" customFormat="1" ht="15.75" customHeight="1">
      <c r="A1438" s="827" t="str">
        <f>IF(B1438&lt;&gt;"",IF(AND(B1438&gt;=_TM1,B1438&lt;=_TM2,OR(TH!L1438="1111",TH!M1438="1111")),TH!D1438,""),"")</f>
        <v/>
      </c>
      <c r="B1438" s="838">
        <f t="shared" si="244"/>
        <v>9</v>
      </c>
      <c r="C1438" s="839">
        <f t="shared" si="245"/>
        <v>42638</v>
      </c>
      <c r="D1438" s="937"/>
      <c r="E1438" s="899">
        <v>42638</v>
      </c>
      <c r="F1438" s="855" t="s">
        <v>552</v>
      </c>
      <c r="G1438" s="929" t="s">
        <v>1707</v>
      </c>
      <c r="H1438" s="841" t="s">
        <v>445</v>
      </c>
      <c r="I1438" s="842">
        <v>40</v>
      </c>
      <c r="J1438" s="842">
        <v>22700</v>
      </c>
      <c r="K1438" s="584">
        <f t="shared" si="247"/>
        <v>908000</v>
      </c>
      <c r="L1438" s="930" t="s">
        <v>857</v>
      </c>
      <c r="M1438" s="930" t="s">
        <v>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846">
        <v>3</v>
      </c>
      <c r="AB1438" s="847" t="str">
        <f>IF(VLOOKUP(F1438,NXT!$C$12:$C$786,1,0)=F1438,"","x")</f>
        <v/>
      </c>
    </row>
    <row r="1439" spans="1:28" s="848" customFormat="1" ht="15.75" customHeight="1">
      <c r="A1439" s="827" t="str">
        <f>IF(B1439&lt;&gt;"",IF(AND(B1439&gt;=_TM1,B1439&lt;=_TM2,OR(TH!L1439="1111",TH!M1439="1111")),TH!D1439,""),"")</f>
        <v/>
      </c>
      <c r="B1439" s="838">
        <f t="shared" si="244"/>
        <v>9</v>
      </c>
      <c r="C1439" s="839">
        <f t="shared" si="245"/>
        <v>42638</v>
      </c>
      <c r="D1439" s="937"/>
      <c r="E1439" s="899">
        <v>42638</v>
      </c>
      <c r="F1439" s="855" t="s">
        <v>1739</v>
      </c>
      <c r="G1439" s="929" t="s">
        <v>1707</v>
      </c>
      <c r="H1439" s="841" t="s">
        <v>445</v>
      </c>
      <c r="I1439" s="842">
        <v>46</v>
      </c>
      <c r="J1439" s="842">
        <v>22800</v>
      </c>
      <c r="K1439" s="584">
        <f t="shared" si="247"/>
        <v>1048800</v>
      </c>
      <c r="L1439" s="930" t="s">
        <v>857</v>
      </c>
      <c r="M1439" s="930" t="s">
        <v>8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846">
        <v>3</v>
      </c>
      <c r="AB1439" s="847" t="str">
        <f>IF(VLOOKUP(F1439,NXT!$C$12:$C$786,1,0)=F1439,"","x")</f>
        <v/>
      </c>
    </row>
    <row r="1440" spans="1:28" s="848" customFormat="1" ht="15.75" customHeight="1">
      <c r="A1440" s="827" t="str">
        <f>IF(B1440&lt;&gt;"",IF(AND(B1440&gt;=_TM1,B1440&lt;=_TM2,OR(TH!L1440="1111",TH!M1440="1111")),TH!D1440,""),"")</f>
        <v/>
      </c>
      <c r="B1440" s="838">
        <f t="shared" si="244"/>
        <v>9</v>
      </c>
      <c r="C1440" s="839">
        <f t="shared" si="245"/>
        <v>42638</v>
      </c>
      <c r="D1440" s="937"/>
      <c r="E1440" s="899">
        <v>42638</v>
      </c>
      <c r="F1440" s="855" t="s">
        <v>1740</v>
      </c>
      <c r="G1440" s="929" t="s">
        <v>1707</v>
      </c>
      <c r="H1440" s="841" t="s">
        <v>445</v>
      </c>
      <c r="I1440" s="842">
        <v>6</v>
      </c>
      <c r="J1440" s="842">
        <v>22900</v>
      </c>
      <c r="K1440" s="584">
        <f>ROUND(I1440*J1440,0)</f>
        <v>137400</v>
      </c>
      <c r="L1440" s="930" t="s">
        <v>857</v>
      </c>
      <c r="M1440" s="930" t="s">
        <v>8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846">
        <v>3</v>
      </c>
      <c r="AB1440" s="847" t="str">
        <f>IF(VLOOKUP(F1440,NXT!$C$12:$C$786,1,0)=F1440,"","x")</f>
        <v/>
      </c>
    </row>
    <row r="1441" spans="1:28" s="848" customFormat="1" ht="15.75" customHeight="1">
      <c r="A1441" s="827" t="str">
        <f>IF(B1441&lt;&gt;"",IF(AND(B1441&gt;=_TM1,B1441&lt;=_TM2,OR(TH!L1441="1111",TH!M1441="1111")),TH!D1441,""),"")</f>
        <v/>
      </c>
      <c r="B1441" s="838">
        <f t="shared" si="244"/>
        <v>9</v>
      </c>
      <c r="C1441" s="839">
        <f t="shared" si="245"/>
        <v>42638</v>
      </c>
      <c r="D1441" s="937"/>
      <c r="E1441" s="899">
        <v>42638</v>
      </c>
      <c r="F1441" s="855" t="s">
        <v>484</v>
      </c>
      <c r="G1441" s="929" t="s">
        <v>1707</v>
      </c>
      <c r="H1441" s="841" t="s">
        <v>445</v>
      </c>
      <c r="I1441" s="842">
        <v>6</v>
      </c>
      <c r="J1441" s="842">
        <v>23100</v>
      </c>
      <c r="K1441" s="584">
        <f t="shared" ref="K1441:K1446" si="248">ROUND(I1441*J1441,0)</f>
        <v>138600</v>
      </c>
      <c r="L1441" s="930" t="s">
        <v>857</v>
      </c>
      <c r="M1441" s="930" t="s">
        <v>8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846">
        <v>3</v>
      </c>
      <c r="AB1441" s="847" t="str">
        <f>IF(VLOOKUP(F1441,NXT!$C$12:$C$786,1,0)=F1441,"","x")</f>
        <v/>
      </c>
    </row>
    <row r="1442" spans="1:28" s="848" customFormat="1" ht="15.75" customHeight="1">
      <c r="A1442" s="827" t="str">
        <f>IF(B1442&lt;&gt;"",IF(AND(B1442&gt;=_TM1,B1442&lt;=_TM2,OR(TH!L1442="1111",TH!M1442="1111")),TH!D1442,""),"")</f>
        <v/>
      </c>
      <c r="B1442" s="838">
        <f t="shared" si="244"/>
        <v>9</v>
      </c>
      <c r="C1442" s="839">
        <f t="shared" si="245"/>
        <v>42638</v>
      </c>
      <c r="D1442" s="937"/>
      <c r="E1442" s="899">
        <v>42638</v>
      </c>
      <c r="F1442" s="855" t="s">
        <v>1741</v>
      </c>
      <c r="G1442" s="929" t="s">
        <v>1707</v>
      </c>
      <c r="H1442" s="841" t="s">
        <v>445</v>
      </c>
      <c r="I1442" s="842">
        <v>12</v>
      </c>
      <c r="J1442" s="842">
        <v>24500</v>
      </c>
      <c r="K1442" s="584">
        <f t="shared" si="248"/>
        <v>294000</v>
      </c>
      <c r="L1442" s="930" t="s">
        <v>857</v>
      </c>
      <c r="M1442" s="930" t="s">
        <v>8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846">
        <v>3</v>
      </c>
      <c r="AB1442" s="847" t="str">
        <f>IF(VLOOKUP(F1442,NXT!$C$12:$C$786,1,0)=F1442,"","x")</f>
        <v/>
      </c>
    </row>
    <row r="1443" spans="1:28" s="848" customFormat="1" ht="15.75" customHeight="1">
      <c r="A1443" s="827" t="str">
        <f>IF(B1443&lt;&gt;"",IF(AND(B1443&gt;=_TM1,B1443&lt;=_TM2,OR(TH!L1443="1111",TH!M1443="1111")),TH!D1443,""),"")</f>
        <v/>
      </c>
      <c r="B1443" s="838">
        <f t="shared" si="244"/>
        <v>9</v>
      </c>
      <c r="C1443" s="839">
        <f t="shared" si="245"/>
        <v>42638</v>
      </c>
      <c r="D1443" s="937"/>
      <c r="E1443" s="899">
        <v>42638</v>
      </c>
      <c r="F1443" s="855" t="s">
        <v>503</v>
      </c>
      <c r="G1443" s="929" t="s">
        <v>1707</v>
      </c>
      <c r="H1443" s="841" t="s">
        <v>445</v>
      </c>
      <c r="I1443" s="842">
        <v>50</v>
      </c>
      <c r="J1443" s="842">
        <v>25000</v>
      </c>
      <c r="K1443" s="584">
        <f t="shared" si="248"/>
        <v>1250000</v>
      </c>
      <c r="L1443" s="930" t="s">
        <v>857</v>
      </c>
      <c r="M1443" s="930" t="s">
        <v>8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846">
        <v>3</v>
      </c>
      <c r="AB1443" s="847" t="str">
        <f>IF(VLOOKUP(F1443,NXT!$C$12:$C$786,1,0)=F1443,"","x")</f>
        <v/>
      </c>
    </row>
    <row r="1444" spans="1:28" s="848" customFormat="1" ht="15.75" customHeight="1">
      <c r="A1444" s="827" t="str">
        <f>IF(B1444&lt;&gt;"",IF(AND(B1444&gt;=_TM1,B1444&lt;=_TM2,OR(TH!L1444="1111",TH!M1444="1111")),TH!D1444,""),"")</f>
        <v/>
      </c>
      <c r="B1444" s="838">
        <f t="shared" si="244"/>
        <v>9</v>
      </c>
      <c r="C1444" s="839">
        <f t="shared" si="245"/>
        <v>42638</v>
      </c>
      <c r="D1444" s="937"/>
      <c r="E1444" s="899">
        <v>42638</v>
      </c>
      <c r="F1444" s="855" t="s">
        <v>1742</v>
      </c>
      <c r="G1444" s="929" t="s">
        <v>1707</v>
      </c>
      <c r="H1444" s="841" t="s">
        <v>445</v>
      </c>
      <c r="I1444" s="842">
        <v>4</v>
      </c>
      <c r="J1444" s="842">
        <v>25300</v>
      </c>
      <c r="K1444" s="584">
        <f t="shared" si="248"/>
        <v>101200</v>
      </c>
      <c r="L1444" s="930" t="s">
        <v>857</v>
      </c>
      <c r="M1444" s="930" t="s">
        <v>8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846">
        <v>3</v>
      </c>
      <c r="AB1444" s="847" t="str">
        <f>IF(VLOOKUP(F1444,NXT!$C$12:$C$786,1,0)=F1444,"","x")</f>
        <v/>
      </c>
    </row>
    <row r="1445" spans="1:28" s="848" customFormat="1" ht="15.75" customHeight="1">
      <c r="A1445" s="827" t="str">
        <f>IF(B1445&lt;&gt;"",IF(AND(B1445&gt;=_TM1,B1445&lt;=_TM2,OR(TH!L1445="1111",TH!M1445="1111")),TH!D1445,""),"")</f>
        <v/>
      </c>
      <c r="B1445" s="838">
        <f t="shared" si="244"/>
        <v>9</v>
      </c>
      <c r="C1445" s="839">
        <f t="shared" si="245"/>
        <v>42638</v>
      </c>
      <c r="D1445" s="937"/>
      <c r="E1445" s="899">
        <v>42638</v>
      </c>
      <c r="F1445" s="855" t="s">
        <v>485</v>
      </c>
      <c r="G1445" s="929" t="s">
        <v>1707</v>
      </c>
      <c r="H1445" s="841" t="s">
        <v>445</v>
      </c>
      <c r="I1445" s="842">
        <v>12</v>
      </c>
      <c r="J1445" s="842">
        <v>27300</v>
      </c>
      <c r="K1445" s="584">
        <f t="shared" si="248"/>
        <v>327600</v>
      </c>
      <c r="L1445" s="930" t="s">
        <v>857</v>
      </c>
      <c r="M1445" s="930" t="s">
        <v>8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846">
        <v>3</v>
      </c>
      <c r="AB1445" s="847" t="str">
        <f>IF(VLOOKUP(F1445,NXT!$C$12:$C$786,1,0)=F1445,"","x")</f>
        <v/>
      </c>
    </row>
    <row r="1446" spans="1:28" s="848" customFormat="1" ht="15.75" customHeight="1">
      <c r="A1446" s="827" t="str">
        <f>IF(B1446&lt;&gt;"",IF(AND(B1446&gt;=_TM1,B1446&lt;=_TM2,OR(TH!L1446="1111",TH!M1446="1111")),TH!D1446,""),"")</f>
        <v/>
      </c>
      <c r="B1446" s="838">
        <f t="shared" si="244"/>
        <v>9</v>
      </c>
      <c r="C1446" s="839">
        <f t="shared" si="245"/>
        <v>42638</v>
      </c>
      <c r="D1446" s="937"/>
      <c r="E1446" s="899">
        <v>42638</v>
      </c>
      <c r="F1446" s="855" t="s">
        <v>1743</v>
      </c>
      <c r="G1446" s="929" t="s">
        <v>1707</v>
      </c>
      <c r="H1446" s="841" t="s">
        <v>445</v>
      </c>
      <c r="I1446" s="842">
        <v>24</v>
      </c>
      <c r="J1446" s="842">
        <v>29400</v>
      </c>
      <c r="K1446" s="584">
        <f t="shared" si="248"/>
        <v>705600</v>
      </c>
      <c r="L1446" s="930" t="s">
        <v>857</v>
      </c>
      <c r="M1446" s="930" t="s">
        <v>8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846">
        <v>3</v>
      </c>
      <c r="AB1446" s="847" t="str">
        <f>IF(VLOOKUP(F1446,NXT!$C$12:$C$786,1,0)=F1446,"","x")</f>
        <v/>
      </c>
    </row>
    <row r="1447" spans="1:28" s="848" customFormat="1" ht="15.75" customHeight="1">
      <c r="A1447" s="827" t="str">
        <f>IF(B1447&lt;&gt;"",IF(AND(B1447&gt;=_TM1,B1447&lt;=_TM2,OR(TH!L1447="1111",TH!M1447="1111")),TH!D1447,""),"")</f>
        <v/>
      </c>
      <c r="B1447" s="838">
        <f t="shared" si="239"/>
        <v>9</v>
      </c>
      <c r="C1447" s="839">
        <f t="shared" si="240"/>
        <v>42638</v>
      </c>
      <c r="D1447" s="937"/>
      <c r="E1447" s="899">
        <v>42638</v>
      </c>
      <c r="F1447" s="855" t="s">
        <v>1744</v>
      </c>
      <c r="G1447" s="929" t="s">
        <v>1707</v>
      </c>
      <c r="H1447" s="841" t="s">
        <v>445</v>
      </c>
      <c r="I1447" s="842">
        <v>40</v>
      </c>
      <c r="J1447" s="842">
        <v>31100</v>
      </c>
      <c r="K1447" s="584">
        <f t="shared" ref="K1447" si="249">ROUND(I1447*J1447,0)</f>
        <v>1244000</v>
      </c>
      <c r="L1447" s="930" t="s">
        <v>857</v>
      </c>
      <c r="M1447" s="930" t="s">
        <v>8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846">
        <v>3</v>
      </c>
      <c r="AB1447" s="847" t="str">
        <f>IF(VLOOKUP(F1447,NXT!$C$12:$C$786,1,0)=F1447,"","x")</f>
        <v/>
      </c>
    </row>
    <row r="1448" spans="1:28" s="848" customFormat="1" ht="15.75" customHeight="1">
      <c r="A1448" s="827" t="str">
        <f>IF(B1448&lt;&gt;"",IF(AND(B1448&gt;=_TM1,B1448&lt;=_TM2,OR(TH!L1448="1111",TH!M1448="1111")),TH!D1448,""),"")</f>
        <v/>
      </c>
      <c r="B1448" s="838">
        <f t="shared" si="239"/>
        <v>9</v>
      </c>
      <c r="C1448" s="839">
        <f t="shared" si="240"/>
        <v>42638</v>
      </c>
      <c r="D1448" s="937"/>
      <c r="E1448" s="899">
        <v>42638</v>
      </c>
      <c r="F1448" s="855" t="s">
        <v>1745</v>
      </c>
      <c r="G1448" s="929" t="s">
        <v>1707</v>
      </c>
      <c r="H1448" s="841" t="s">
        <v>445</v>
      </c>
      <c r="I1448" s="842">
        <v>24</v>
      </c>
      <c r="J1448" s="842">
        <v>32000</v>
      </c>
      <c r="K1448" s="584">
        <f>ROUND(I1448*J1448,0)</f>
        <v>768000</v>
      </c>
      <c r="L1448" s="930" t="s">
        <v>857</v>
      </c>
      <c r="M1448" s="930" t="s">
        <v>8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846">
        <v>3</v>
      </c>
      <c r="AB1448" s="847" t="str">
        <f>IF(VLOOKUP(F1448,NXT!$C$12:$C$786,1,0)=F1448,"","x")</f>
        <v/>
      </c>
    </row>
    <row r="1449" spans="1:28" s="848" customFormat="1" ht="15.75" customHeight="1">
      <c r="A1449" s="827" t="str">
        <f>IF(B1449&lt;&gt;"",IF(AND(B1449&gt;=_TM1,B1449&lt;=_TM2,OR(TH!L1449="1111",TH!M1449="1111")),TH!D1449,""),"")</f>
        <v/>
      </c>
      <c r="B1449" s="838">
        <f t="shared" si="239"/>
        <v>9</v>
      </c>
      <c r="C1449" s="839">
        <f t="shared" si="240"/>
        <v>42638</v>
      </c>
      <c r="D1449" s="937"/>
      <c r="E1449" s="899">
        <v>42638</v>
      </c>
      <c r="F1449" s="855" t="s">
        <v>1746</v>
      </c>
      <c r="G1449" s="929" t="s">
        <v>1707</v>
      </c>
      <c r="H1449" s="841" t="s">
        <v>445</v>
      </c>
      <c r="I1449" s="842">
        <v>40</v>
      </c>
      <c r="J1449" s="842">
        <v>31980</v>
      </c>
      <c r="K1449" s="584">
        <f t="shared" ref="K1449:K1454" si="250">ROUND(I1449*J1449,0)</f>
        <v>1279200</v>
      </c>
      <c r="L1449" s="930" t="s">
        <v>857</v>
      </c>
      <c r="M1449" s="930" t="s">
        <v>8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846">
        <v>3</v>
      </c>
      <c r="AB1449" s="847" t="str">
        <f>IF(VLOOKUP(F1449,NXT!$C$12:$C$786,1,0)=F1449,"","x")</f>
        <v/>
      </c>
    </row>
    <row r="1450" spans="1:28" s="848" customFormat="1" ht="15.75" customHeight="1">
      <c r="A1450" s="827" t="str">
        <f>IF(B1450&lt;&gt;"",IF(AND(B1450&gt;=_TM1,B1450&lt;=_TM2,OR(TH!L1450="1111",TH!M1450="1111")),TH!D1450,""),"")</f>
        <v/>
      </c>
      <c r="B1450" s="838">
        <f t="shared" si="239"/>
        <v>9</v>
      </c>
      <c r="C1450" s="839">
        <f t="shared" si="240"/>
        <v>42638</v>
      </c>
      <c r="D1450" s="937"/>
      <c r="E1450" s="899">
        <v>42638</v>
      </c>
      <c r="F1450" s="855" t="s">
        <v>1747</v>
      </c>
      <c r="G1450" s="929" t="s">
        <v>1707</v>
      </c>
      <c r="H1450" s="841" t="s">
        <v>445</v>
      </c>
      <c r="I1450" s="842">
        <v>8</v>
      </c>
      <c r="J1450" s="842">
        <v>34300</v>
      </c>
      <c r="K1450" s="584">
        <f t="shared" si="250"/>
        <v>274400</v>
      </c>
      <c r="L1450" s="930" t="s">
        <v>857</v>
      </c>
      <c r="M1450" s="930" t="s">
        <v>8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846">
        <v>3</v>
      </c>
      <c r="AB1450" s="847" t="str">
        <f>IF(VLOOKUP(F1450,NXT!$C$12:$C$786,1,0)=F1450,"","x")</f>
        <v/>
      </c>
    </row>
    <row r="1451" spans="1:28" s="848" customFormat="1" ht="15.75" customHeight="1">
      <c r="A1451" s="827" t="str">
        <f>IF(B1451&lt;&gt;"",IF(AND(B1451&gt;=_TM1,B1451&lt;=_TM2,OR(TH!L1451="1111",TH!M1451="1111")),TH!D1451,""),"")</f>
        <v/>
      </c>
      <c r="B1451" s="838">
        <f t="shared" si="239"/>
        <v>9</v>
      </c>
      <c r="C1451" s="839">
        <f t="shared" si="240"/>
        <v>42638</v>
      </c>
      <c r="D1451" s="937"/>
      <c r="E1451" s="899">
        <v>42638</v>
      </c>
      <c r="F1451" s="855" t="s">
        <v>499</v>
      </c>
      <c r="G1451" s="929" t="s">
        <v>1707</v>
      </c>
      <c r="H1451" s="841" t="s">
        <v>445</v>
      </c>
      <c r="I1451" s="842">
        <v>26</v>
      </c>
      <c r="J1451" s="842">
        <v>35000</v>
      </c>
      <c r="K1451" s="584">
        <f t="shared" si="250"/>
        <v>910000</v>
      </c>
      <c r="L1451" s="930" t="s">
        <v>857</v>
      </c>
      <c r="M1451" s="930" t="s">
        <v>8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846">
        <v>3</v>
      </c>
      <c r="AB1451" s="847" t="str">
        <f>IF(VLOOKUP(F1451,NXT!$C$12:$C$786,1,0)=F1451,"","x")</f>
        <v/>
      </c>
    </row>
    <row r="1452" spans="1:28" s="848" customFormat="1" ht="15.75" customHeight="1">
      <c r="A1452" s="827" t="str">
        <f>IF(B1452&lt;&gt;"",IF(AND(B1452&gt;=_TM1,B1452&lt;=_TM2,OR(TH!L1452="1111",TH!M1452="1111")),TH!D1452,""),"")</f>
        <v/>
      </c>
      <c r="B1452" s="838">
        <f t="shared" si="239"/>
        <v>9</v>
      </c>
      <c r="C1452" s="839">
        <f t="shared" si="240"/>
        <v>42638</v>
      </c>
      <c r="D1452" s="937"/>
      <c r="E1452" s="899">
        <v>42638</v>
      </c>
      <c r="F1452" s="855" t="s">
        <v>1747</v>
      </c>
      <c r="G1452" s="929" t="s">
        <v>1707</v>
      </c>
      <c r="H1452" s="841" t="s">
        <v>445</v>
      </c>
      <c r="I1452" s="842">
        <v>40</v>
      </c>
      <c r="J1452" s="842">
        <v>35100</v>
      </c>
      <c r="K1452" s="584">
        <f t="shared" si="250"/>
        <v>1404000</v>
      </c>
      <c r="L1452" s="930" t="s">
        <v>857</v>
      </c>
      <c r="M1452" s="930" t="s">
        <v>8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846">
        <v>3</v>
      </c>
      <c r="AB1452" s="847" t="str">
        <f>IF(VLOOKUP(F1452,NXT!$C$12:$C$786,1,0)=F1452,"","x")</f>
        <v/>
      </c>
    </row>
    <row r="1453" spans="1:28" s="848" customFormat="1" ht="15.75" customHeight="1">
      <c r="A1453" s="827" t="str">
        <f>IF(B1453&lt;&gt;"",IF(AND(B1453&gt;=_TM1,B1453&lt;=_TM2,OR(TH!L1453="1111",TH!M1453="1111")),TH!D1453,""),"")</f>
        <v/>
      </c>
      <c r="B1453" s="838">
        <f t="shared" si="239"/>
        <v>9</v>
      </c>
      <c r="C1453" s="839">
        <f t="shared" si="240"/>
        <v>42638</v>
      </c>
      <c r="D1453" s="937"/>
      <c r="E1453" s="899">
        <v>42638</v>
      </c>
      <c r="F1453" s="855" t="s">
        <v>497</v>
      </c>
      <c r="G1453" s="929" t="s">
        <v>1707</v>
      </c>
      <c r="H1453" s="841" t="s">
        <v>445</v>
      </c>
      <c r="I1453" s="842">
        <v>80</v>
      </c>
      <c r="J1453" s="842">
        <v>35300</v>
      </c>
      <c r="K1453" s="584">
        <f t="shared" si="250"/>
        <v>2824000</v>
      </c>
      <c r="L1453" s="930" t="s">
        <v>857</v>
      </c>
      <c r="M1453" s="930" t="s">
        <v>8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846">
        <v>3</v>
      </c>
      <c r="AB1453" s="847" t="str">
        <f>IF(VLOOKUP(F1453,NXT!$C$12:$C$786,1,0)=F1453,"","x")</f>
        <v/>
      </c>
    </row>
    <row r="1454" spans="1:28" s="848" customFormat="1" ht="15.75" customHeight="1">
      <c r="A1454" s="827" t="str">
        <f>IF(B1454&lt;&gt;"",IF(AND(B1454&gt;=_TM1,B1454&lt;=_TM2,OR(TH!L1454="1111",TH!M1454="1111")),TH!D1454,""),"")</f>
        <v/>
      </c>
      <c r="B1454" s="838">
        <f t="shared" si="239"/>
        <v>9</v>
      </c>
      <c r="C1454" s="839">
        <f t="shared" si="240"/>
        <v>42638</v>
      </c>
      <c r="D1454" s="937"/>
      <c r="E1454" s="899">
        <v>42638</v>
      </c>
      <c r="F1454" s="855" t="s">
        <v>1748</v>
      </c>
      <c r="G1454" s="929" t="s">
        <v>1707</v>
      </c>
      <c r="H1454" s="841" t="s">
        <v>445</v>
      </c>
      <c r="I1454" s="842">
        <v>75</v>
      </c>
      <c r="J1454" s="842">
        <v>37500</v>
      </c>
      <c r="K1454" s="584">
        <f t="shared" si="250"/>
        <v>2812500</v>
      </c>
      <c r="L1454" s="930" t="s">
        <v>857</v>
      </c>
      <c r="M1454" s="930" t="s">
        <v>8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846">
        <v>3</v>
      </c>
      <c r="AB1454" s="847" t="str">
        <f>IF(VLOOKUP(F1454,NXT!$C$12:$C$786,1,0)=F1454,"","x")</f>
        <v/>
      </c>
    </row>
    <row r="1455" spans="1:28" s="848" customFormat="1" ht="15.75" customHeight="1">
      <c r="A1455" s="827" t="str">
        <f>IF(B1455&lt;&gt;"",IF(AND(B1455&gt;=_TM1,B1455&lt;=_TM2,OR(TH!L1455="1111",TH!M1455="1111")),TH!D1455,""),"")</f>
        <v/>
      </c>
      <c r="B1455" s="838">
        <f t="shared" si="239"/>
        <v>9</v>
      </c>
      <c r="C1455" s="839">
        <f t="shared" si="240"/>
        <v>42638</v>
      </c>
      <c r="D1455" s="937"/>
      <c r="E1455" s="899">
        <v>42638</v>
      </c>
      <c r="F1455" s="855" t="s">
        <v>489</v>
      </c>
      <c r="G1455" s="929" t="s">
        <v>1707</v>
      </c>
      <c r="H1455" s="841" t="s">
        <v>445</v>
      </c>
      <c r="I1455" s="842">
        <v>74</v>
      </c>
      <c r="J1455" s="842">
        <v>37900</v>
      </c>
      <c r="K1455" s="584">
        <f>ROUND(I1455*J1455,0)</f>
        <v>2804600</v>
      </c>
      <c r="L1455" s="930" t="s">
        <v>857</v>
      </c>
      <c r="M1455" s="930" t="s">
        <v>8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846">
        <v>3</v>
      </c>
      <c r="AB1455" s="847" t="str">
        <f>IF(VLOOKUP(F1455,NXT!$C$12:$C$786,1,0)=F1455,"","x")</f>
        <v/>
      </c>
    </row>
    <row r="1456" spans="1:28" s="848" customFormat="1" ht="15.75" customHeight="1">
      <c r="A1456" s="827" t="str">
        <f>IF(B1456&lt;&gt;"",IF(AND(B1456&gt;=_TM1,B1456&lt;=_TM2,OR(TH!L1456="1111",TH!M1456="1111")),TH!D1456,""),"")</f>
        <v/>
      </c>
      <c r="B1456" s="838">
        <f t="shared" si="239"/>
        <v>9</v>
      </c>
      <c r="C1456" s="839">
        <f t="shared" si="240"/>
        <v>42638</v>
      </c>
      <c r="D1456" s="937"/>
      <c r="E1456" s="899">
        <v>42638</v>
      </c>
      <c r="F1456" s="855" t="s">
        <v>1749</v>
      </c>
      <c r="G1456" s="929" t="s">
        <v>1707</v>
      </c>
      <c r="H1456" s="841" t="s">
        <v>445</v>
      </c>
      <c r="I1456" s="842">
        <v>40</v>
      </c>
      <c r="J1456" s="842">
        <v>38000</v>
      </c>
      <c r="K1456" s="584">
        <f t="shared" ref="K1456:K1461" si="251">ROUND(I1456*J1456,0)</f>
        <v>1520000</v>
      </c>
      <c r="L1456" s="930" t="s">
        <v>857</v>
      </c>
      <c r="M1456" s="930" t="s">
        <v>8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846">
        <v>3</v>
      </c>
      <c r="AB1456" s="847" t="str">
        <f>IF(VLOOKUP(F1456,NXT!$C$12:$C$786,1,0)=F1456,"","x")</f>
        <v/>
      </c>
    </row>
    <row r="1457" spans="1:28" s="848" customFormat="1" ht="15.75" customHeight="1">
      <c r="A1457" s="827" t="str">
        <f>IF(B1457&lt;&gt;"",IF(AND(B1457&gt;=_TM1,B1457&lt;=_TM2,OR(TH!L1457="1111",TH!M1457="1111")),TH!D1457,""),"")</f>
        <v/>
      </c>
      <c r="B1457" s="838">
        <f t="shared" si="239"/>
        <v>9</v>
      </c>
      <c r="C1457" s="839">
        <f t="shared" si="240"/>
        <v>42638</v>
      </c>
      <c r="D1457" s="937"/>
      <c r="E1457" s="899">
        <v>42638</v>
      </c>
      <c r="F1457" s="855" t="s">
        <v>871</v>
      </c>
      <c r="G1457" s="929" t="s">
        <v>1707</v>
      </c>
      <c r="H1457" s="841" t="s">
        <v>445</v>
      </c>
      <c r="I1457" s="842">
        <v>7</v>
      </c>
      <c r="J1457" s="842">
        <v>40000</v>
      </c>
      <c r="K1457" s="584">
        <f t="shared" si="251"/>
        <v>280000</v>
      </c>
      <c r="L1457" s="930" t="s">
        <v>857</v>
      </c>
      <c r="M1457" s="930" t="s">
        <v>8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846">
        <v>3</v>
      </c>
      <c r="AB1457" s="847" t="str">
        <f>IF(VLOOKUP(F1457,NXT!$C$12:$C$786,1,0)=F1457,"","x")</f>
        <v/>
      </c>
    </row>
    <row r="1458" spans="1:28" s="848" customFormat="1" ht="15.75" customHeight="1">
      <c r="A1458" s="827" t="str">
        <f>IF(B1458&lt;&gt;"",IF(AND(B1458&gt;=_TM1,B1458&lt;=_TM2,OR(TH!L1458="1111",TH!M1458="1111")),TH!D1458,""),"")</f>
        <v/>
      </c>
      <c r="B1458" s="838">
        <f t="shared" si="239"/>
        <v>9</v>
      </c>
      <c r="C1458" s="839">
        <f t="shared" si="240"/>
        <v>42638</v>
      </c>
      <c r="D1458" s="937"/>
      <c r="E1458" s="899">
        <v>42638</v>
      </c>
      <c r="F1458" s="855" t="s">
        <v>1750</v>
      </c>
      <c r="G1458" s="929" t="s">
        <v>1707</v>
      </c>
      <c r="H1458" s="841" t="s">
        <v>445</v>
      </c>
      <c r="I1458" s="842">
        <v>12</v>
      </c>
      <c r="J1458" s="842">
        <v>40100</v>
      </c>
      <c r="K1458" s="584">
        <f t="shared" si="251"/>
        <v>481200</v>
      </c>
      <c r="L1458" s="930" t="s">
        <v>857</v>
      </c>
      <c r="M1458" s="930" t="s">
        <v>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846">
        <v>3</v>
      </c>
      <c r="AB1458" s="847" t="str">
        <f>IF(VLOOKUP(F1458,NXT!$C$12:$C$786,1,0)=F1458,"","x")</f>
        <v/>
      </c>
    </row>
    <row r="1459" spans="1:28" s="848" customFormat="1" ht="15.75" customHeight="1">
      <c r="A1459" s="827" t="str">
        <f>IF(B1459&lt;&gt;"",IF(AND(B1459&gt;=_TM1,B1459&lt;=_TM2,OR(TH!L1459="1111",TH!M1459="1111")),TH!D1459,""),"")</f>
        <v/>
      </c>
      <c r="B1459" s="838">
        <f t="shared" si="239"/>
        <v>9</v>
      </c>
      <c r="C1459" s="839">
        <f t="shared" si="240"/>
        <v>42638</v>
      </c>
      <c r="D1459" s="937"/>
      <c r="E1459" s="899">
        <v>42638</v>
      </c>
      <c r="F1459" s="855" t="s">
        <v>1751</v>
      </c>
      <c r="G1459" s="929" t="s">
        <v>1707</v>
      </c>
      <c r="H1459" s="841" t="s">
        <v>445</v>
      </c>
      <c r="I1459" s="842">
        <v>6</v>
      </c>
      <c r="J1459" s="842">
        <v>43000</v>
      </c>
      <c r="K1459" s="584">
        <f t="shared" si="251"/>
        <v>258000</v>
      </c>
      <c r="L1459" s="930" t="s">
        <v>857</v>
      </c>
      <c r="M1459" s="930" t="s">
        <v>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846">
        <v>3</v>
      </c>
      <c r="AB1459" s="847" t="str">
        <f>IF(VLOOKUP(F1459,NXT!$C$12:$C$786,1,0)=F1459,"","x")</f>
        <v/>
      </c>
    </row>
    <row r="1460" spans="1:28" s="848" customFormat="1" ht="15.75" customHeight="1">
      <c r="A1460" s="827" t="str">
        <f>IF(B1460&lt;&gt;"",IF(AND(B1460&gt;=_TM1,B1460&lt;=_TM2,OR(TH!L1460="1111",TH!M1460="1111")),TH!D1460,""),"")</f>
        <v/>
      </c>
      <c r="B1460" s="838">
        <f t="shared" si="239"/>
        <v>9</v>
      </c>
      <c r="C1460" s="839">
        <f t="shared" si="240"/>
        <v>42638</v>
      </c>
      <c r="D1460" s="937"/>
      <c r="E1460" s="899">
        <v>42638</v>
      </c>
      <c r="F1460" s="855" t="s">
        <v>1751</v>
      </c>
      <c r="G1460" s="929" t="s">
        <v>1707</v>
      </c>
      <c r="H1460" s="841" t="s">
        <v>445</v>
      </c>
      <c r="I1460" s="842">
        <v>24</v>
      </c>
      <c r="J1460" s="842">
        <v>43400</v>
      </c>
      <c r="K1460" s="584">
        <f t="shared" si="251"/>
        <v>1041600</v>
      </c>
      <c r="L1460" s="930" t="s">
        <v>857</v>
      </c>
      <c r="M1460" s="930" t="s">
        <v>8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846">
        <v>3</v>
      </c>
      <c r="AB1460" s="847" t="str">
        <f>IF(VLOOKUP(F1460,NXT!$C$12:$C$786,1,0)=F1460,"","x")</f>
        <v/>
      </c>
    </row>
    <row r="1461" spans="1:28" s="848" customFormat="1" ht="15.75" customHeight="1">
      <c r="A1461" s="827" t="str">
        <f>IF(B1461&lt;&gt;"",IF(AND(B1461&gt;=_TM1,B1461&lt;=_TM2,OR(TH!L1461="1111",TH!M1461="1111")),TH!D1461,""),"")</f>
        <v/>
      </c>
      <c r="B1461" s="838">
        <f t="shared" ref="B1461" si="252">IF(C1461&lt;&gt;"",MONTH(C1461),"")</f>
        <v>9</v>
      </c>
      <c r="C1461" s="839">
        <f t="shared" ref="C1461" si="253">E1461</f>
        <v>42638</v>
      </c>
      <c r="D1461" s="937"/>
      <c r="E1461" s="899">
        <v>42638</v>
      </c>
      <c r="F1461" s="855" t="s">
        <v>487</v>
      </c>
      <c r="G1461" s="929" t="s">
        <v>1707</v>
      </c>
      <c r="H1461" s="841" t="s">
        <v>445</v>
      </c>
      <c r="I1461" s="842">
        <v>92</v>
      </c>
      <c r="J1461" s="842">
        <v>43500</v>
      </c>
      <c r="K1461" s="584">
        <f t="shared" si="251"/>
        <v>4002000</v>
      </c>
      <c r="L1461" s="930" t="s">
        <v>857</v>
      </c>
      <c r="M1461" s="930" t="s">
        <v>8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846">
        <v>3</v>
      </c>
      <c r="AB1461" s="847" t="str">
        <f>IF(VLOOKUP(F1461,NXT!$C$12:$C$786,1,0)=F1461,"","x")</f>
        <v/>
      </c>
    </row>
    <row r="1462" spans="1:28" s="848" customFormat="1" ht="15.75" customHeight="1">
      <c r="A1462" s="827" t="str">
        <f>IF(B1462&lt;&gt;"",IF(AND(B1462&gt;=_TM1,B1462&lt;=_TM2,OR(TH!L1462="1111",TH!M1462="1111")),TH!D1462,""),"")</f>
        <v/>
      </c>
      <c r="B1462" s="838">
        <f t="shared" ref="B1462:B1475" si="254">IF(C1462&lt;&gt;"",MONTH(C1462),"")</f>
        <v>9</v>
      </c>
      <c r="C1462" s="839">
        <f t="shared" ref="C1462:C1475" si="255">E1462</f>
        <v>42638</v>
      </c>
      <c r="D1462" s="937"/>
      <c r="E1462" s="899">
        <v>42638</v>
      </c>
      <c r="F1462" s="855" t="s">
        <v>524</v>
      </c>
      <c r="G1462" s="929" t="s">
        <v>1707</v>
      </c>
      <c r="H1462" s="841" t="s">
        <v>445</v>
      </c>
      <c r="I1462" s="842">
        <v>6</v>
      </c>
      <c r="J1462" s="842">
        <v>46000</v>
      </c>
      <c r="K1462" s="584">
        <f t="shared" ref="K1462" si="256">ROUND(I1462*J1462,0)</f>
        <v>276000</v>
      </c>
      <c r="L1462" s="930" t="s">
        <v>857</v>
      </c>
      <c r="M1462" s="930" t="s">
        <v>8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846">
        <v>3</v>
      </c>
      <c r="AB1462" s="847" t="str">
        <f>IF(VLOOKUP(F1462,NXT!$C$12:$C$786,1,0)=F1462,"","x")</f>
        <v/>
      </c>
    </row>
    <row r="1463" spans="1:28" s="848" customFormat="1" ht="15.75" customHeight="1">
      <c r="A1463" s="827" t="str">
        <f>IF(B1463&lt;&gt;"",IF(AND(B1463&gt;=_TM1,B1463&lt;=_TM2,OR(TH!L1463="1111",TH!M1463="1111")),TH!D1463,""),"")</f>
        <v/>
      </c>
      <c r="B1463" s="838">
        <f t="shared" si="254"/>
        <v>9</v>
      </c>
      <c r="C1463" s="839">
        <f t="shared" si="255"/>
        <v>42638</v>
      </c>
      <c r="D1463" s="937"/>
      <c r="E1463" s="899">
        <v>42638</v>
      </c>
      <c r="F1463" s="855" t="s">
        <v>511</v>
      </c>
      <c r="G1463" s="929" t="s">
        <v>1707</v>
      </c>
      <c r="H1463" s="841" t="s">
        <v>445</v>
      </c>
      <c r="I1463" s="842">
        <v>8</v>
      </c>
      <c r="J1463" s="842">
        <v>47000</v>
      </c>
      <c r="K1463" s="584">
        <f>ROUND(I1463*J1463,0)</f>
        <v>376000</v>
      </c>
      <c r="L1463" s="930" t="s">
        <v>857</v>
      </c>
      <c r="M1463" s="930" t="s">
        <v>8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846">
        <v>3</v>
      </c>
      <c r="AB1463" s="847" t="str">
        <f>IF(VLOOKUP(F1463,NXT!$C$12:$C$786,1,0)=F1463,"","x")</f>
        <v/>
      </c>
    </row>
    <row r="1464" spans="1:28" s="848" customFormat="1" ht="15.75" customHeight="1">
      <c r="A1464" s="827" t="str">
        <f>IF(B1464&lt;&gt;"",IF(AND(B1464&gt;=_TM1,B1464&lt;=_TM2,OR(TH!L1464="1111",TH!M1464="1111")),TH!D1464,""),"")</f>
        <v/>
      </c>
      <c r="B1464" s="838">
        <f t="shared" si="254"/>
        <v>9</v>
      </c>
      <c r="C1464" s="839">
        <f t="shared" si="255"/>
        <v>42638</v>
      </c>
      <c r="D1464" s="937"/>
      <c r="E1464" s="899">
        <v>42638</v>
      </c>
      <c r="F1464" s="855" t="s">
        <v>1752</v>
      </c>
      <c r="G1464" s="929" t="s">
        <v>1707</v>
      </c>
      <c r="H1464" s="841" t="s">
        <v>445</v>
      </c>
      <c r="I1464" s="842">
        <v>4</v>
      </c>
      <c r="J1464" s="842">
        <v>47200</v>
      </c>
      <c r="K1464" s="584">
        <f t="shared" ref="K1464:K1469" si="257">ROUND(I1464*J1464,0)</f>
        <v>188800</v>
      </c>
      <c r="L1464" s="930" t="s">
        <v>857</v>
      </c>
      <c r="M1464" s="930" t="s">
        <v>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846">
        <v>3</v>
      </c>
      <c r="AB1464" s="847" t="str">
        <f>IF(VLOOKUP(F1464,NXT!$C$12:$C$786,1,0)=F1464,"","x")</f>
        <v/>
      </c>
    </row>
    <row r="1465" spans="1:28" s="848" customFormat="1" ht="15.75" customHeight="1">
      <c r="A1465" s="827" t="str">
        <f>IF(B1465&lt;&gt;"",IF(AND(B1465&gt;=_TM1,B1465&lt;=_TM2,OR(TH!L1465="1111",TH!M1465="1111")),TH!D1465,""),"")</f>
        <v/>
      </c>
      <c r="B1465" s="838">
        <f t="shared" si="254"/>
        <v>9</v>
      </c>
      <c r="C1465" s="839">
        <f t="shared" si="255"/>
        <v>42638</v>
      </c>
      <c r="D1465" s="937"/>
      <c r="E1465" s="899">
        <v>42638</v>
      </c>
      <c r="F1465" s="855" t="s">
        <v>1753</v>
      </c>
      <c r="G1465" s="929" t="s">
        <v>1707</v>
      </c>
      <c r="H1465" s="841" t="s">
        <v>445</v>
      </c>
      <c r="I1465" s="842">
        <v>24</v>
      </c>
      <c r="J1465" s="842">
        <v>47500</v>
      </c>
      <c r="K1465" s="584">
        <f t="shared" si="257"/>
        <v>1140000</v>
      </c>
      <c r="L1465" s="930" t="s">
        <v>857</v>
      </c>
      <c r="M1465" s="930" t="s">
        <v>8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846">
        <v>3</v>
      </c>
      <c r="AB1465" s="847" t="str">
        <f>IF(VLOOKUP(F1465,NXT!$C$12:$C$786,1,0)=F1465,"","x")</f>
        <v/>
      </c>
    </row>
    <row r="1466" spans="1:28" s="848" customFormat="1" ht="15.75" customHeight="1">
      <c r="A1466" s="827" t="str">
        <f>IF(B1466&lt;&gt;"",IF(AND(B1466&gt;=_TM1,B1466&lt;=_TM2,OR(TH!L1466="1111",TH!M1466="1111")),TH!D1466,""),"")</f>
        <v/>
      </c>
      <c r="B1466" s="838">
        <f t="shared" si="254"/>
        <v>9</v>
      </c>
      <c r="C1466" s="839">
        <f t="shared" si="255"/>
        <v>42638</v>
      </c>
      <c r="D1466" s="937"/>
      <c r="E1466" s="899">
        <v>42638</v>
      </c>
      <c r="F1466" s="855" t="s">
        <v>1754</v>
      </c>
      <c r="G1466" s="929" t="s">
        <v>1707</v>
      </c>
      <c r="H1466" s="841" t="s">
        <v>445</v>
      </c>
      <c r="I1466" s="842">
        <v>12</v>
      </c>
      <c r="J1466" s="842">
        <v>48500</v>
      </c>
      <c r="K1466" s="584">
        <f t="shared" si="257"/>
        <v>582000</v>
      </c>
      <c r="L1466" s="930" t="s">
        <v>857</v>
      </c>
      <c r="M1466" s="930" t="s">
        <v>8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846">
        <v>3</v>
      </c>
      <c r="AB1466" s="847" t="str">
        <f>IF(VLOOKUP(F1466,NXT!$C$12:$C$786,1,0)=F1466,"","x")</f>
        <v/>
      </c>
    </row>
    <row r="1467" spans="1:28" s="848" customFormat="1" ht="15.75" customHeight="1">
      <c r="A1467" s="827" t="str">
        <f>IF(B1467&lt;&gt;"",IF(AND(B1467&gt;=_TM1,B1467&lt;=_TM2,OR(TH!L1467="1111",TH!M1467="1111")),TH!D1467,""),"")</f>
        <v/>
      </c>
      <c r="B1467" s="838">
        <f t="shared" si="254"/>
        <v>9</v>
      </c>
      <c r="C1467" s="839">
        <f t="shared" si="255"/>
        <v>42638</v>
      </c>
      <c r="D1467" s="937"/>
      <c r="E1467" s="899">
        <v>42638</v>
      </c>
      <c r="F1467" s="855" t="s">
        <v>1755</v>
      </c>
      <c r="G1467" s="929" t="s">
        <v>1707</v>
      </c>
      <c r="H1467" s="841" t="s">
        <v>445</v>
      </c>
      <c r="I1467" s="842">
        <v>50</v>
      </c>
      <c r="J1467" s="842">
        <v>51300</v>
      </c>
      <c r="K1467" s="584">
        <f t="shared" si="257"/>
        <v>2565000</v>
      </c>
      <c r="L1467" s="930" t="s">
        <v>857</v>
      </c>
      <c r="M1467" s="930" t="s">
        <v>8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846">
        <v>3</v>
      </c>
      <c r="AB1467" s="847" t="str">
        <f>IF(VLOOKUP(F1467,NXT!$C$12:$C$786,1,0)=F1467,"","x")</f>
        <v/>
      </c>
    </row>
    <row r="1468" spans="1:28" s="848" customFormat="1" ht="15.75" customHeight="1">
      <c r="A1468" s="827" t="str">
        <f>IF(B1468&lt;&gt;"",IF(AND(B1468&gt;=_TM1,B1468&lt;=_TM2,OR(TH!L1468="1111",TH!M1468="1111")),TH!D1468,""),"")</f>
        <v/>
      </c>
      <c r="B1468" s="838">
        <f t="shared" si="254"/>
        <v>9</v>
      </c>
      <c r="C1468" s="839">
        <f t="shared" si="255"/>
        <v>42638</v>
      </c>
      <c r="D1468" s="937"/>
      <c r="E1468" s="899">
        <v>42638</v>
      </c>
      <c r="F1468" s="855" t="s">
        <v>1756</v>
      </c>
      <c r="G1468" s="929" t="s">
        <v>1707</v>
      </c>
      <c r="H1468" s="841" t="s">
        <v>445</v>
      </c>
      <c r="I1468" s="842">
        <v>16</v>
      </c>
      <c r="J1468" s="842">
        <v>52000</v>
      </c>
      <c r="K1468" s="584">
        <f t="shared" si="257"/>
        <v>832000</v>
      </c>
      <c r="L1468" s="930" t="s">
        <v>857</v>
      </c>
      <c r="M1468" s="930" t="s">
        <v>8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846">
        <v>3</v>
      </c>
      <c r="AB1468" s="847" t="str">
        <f>IF(VLOOKUP(F1468,NXT!$C$12:$C$786,1,0)=F1468,"","x")</f>
        <v/>
      </c>
    </row>
    <row r="1469" spans="1:28" s="848" customFormat="1" ht="15.75" customHeight="1">
      <c r="A1469" s="827" t="str">
        <f>IF(B1469&lt;&gt;"",IF(AND(B1469&gt;=_TM1,B1469&lt;=_TM2,OR(TH!L1469="1111",TH!M1469="1111")),TH!D1469,""),"")</f>
        <v/>
      </c>
      <c r="B1469" s="838">
        <f t="shared" si="254"/>
        <v>9</v>
      </c>
      <c r="C1469" s="839">
        <f t="shared" si="255"/>
        <v>42638</v>
      </c>
      <c r="D1469" s="937"/>
      <c r="E1469" s="899">
        <v>42638</v>
      </c>
      <c r="F1469" s="855" t="s">
        <v>483</v>
      </c>
      <c r="G1469" s="929" t="s">
        <v>1707</v>
      </c>
      <c r="H1469" s="841" t="s">
        <v>445</v>
      </c>
      <c r="I1469" s="842">
        <v>10</v>
      </c>
      <c r="J1469" s="842">
        <v>53500</v>
      </c>
      <c r="K1469" s="584">
        <f t="shared" si="257"/>
        <v>535000</v>
      </c>
      <c r="L1469" s="930" t="s">
        <v>857</v>
      </c>
      <c r="M1469" s="930" t="s">
        <v>8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846">
        <v>3</v>
      </c>
      <c r="AB1469" s="847" t="str">
        <f>IF(VLOOKUP(F1469,NXT!$C$12:$C$786,1,0)=F1469,"","x")</f>
        <v/>
      </c>
    </row>
    <row r="1470" spans="1:28" s="848" customFormat="1" ht="15.75" customHeight="1">
      <c r="A1470" s="827" t="str">
        <f>IF(B1470&lt;&gt;"",IF(AND(B1470&gt;=_TM1,B1470&lt;=_TM2,OR(TH!L1470="1111",TH!M1470="1111")),TH!D1470,""),"")</f>
        <v/>
      </c>
      <c r="B1470" s="838">
        <f t="shared" si="254"/>
        <v>9</v>
      </c>
      <c r="C1470" s="839">
        <f t="shared" si="255"/>
        <v>42638</v>
      </c>
      <c r="D1470" s="937"/>
      <c r="E1470" s="899">
        <v>42638</v>
      </c>
      <c r="F1470" s="855" t="s">
        <v>1757</v>
      </c>
      <c r="G1470" s="929" t="s">
        <v>1707</v>
      </c>
      <c r="H1470" s="841" t="s">
        <v>445</v>
      </c>
      <c r="I1470" s="842">
        <v>20</v>
      </c>
      <c r="J1470" s="842">
        <v>55001</v>
      </c>
      <c r="K1470" s="584">
        <f>ROUND(I1470*J1470,0)</f>
        <v>1100020</v>
      </c>
      <c r="L1470" s="930" t="s">
        <v>857</v>
      </c>
      <c r="M1470" s="930" t="s">
        <v>8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846">
        <v>3</v>
      </c>
      <c r="AB1470" s="847" t="str">
        <f>IF(VLOOKUP(F1470,NXT!$C$12:$C$786,1,0)=F1470,"","x")</f>
        <v/>
      </c>
    </row>
    <row r="1471" spans="1:28" s="848" customFormat="1" ht="15.75" customHeight="1">
      <c r="A1471" s="827" t="str">
        <f>IF(B1471&lt;&gt;"",IF(AND(B1471&gt;=_TM1,B1471&lt;=_TM2,OR(TH!L1471="1111",TH!M1471="1111")),TH!D1471,""),"")</f>
        <v/>
      </c>
      <c r="B1471" s="838">
        <f t="shared" si="254"/>
        <v>9</v>
      </c>
      <c r="C1471" s="839">
        <f t="shared" si="255"/>
        <v>42638</v>
      </c>
      <c r="D1471" s="937"/>
      <c r="E1471" s="899">
        <v>42638</v>
      </c>
      <c r="F1471" s="855" t="s">
        <v>488</v>
      </c>
      <c r="G1471" s="929" t="s">
        <v>1707</v>
      </c>
      <c r="H1471" s="841" t="s">
        <v>445</v>
      </c>
      <c r="I1471" s="842">
        <v>24</v>
      </c>
      <c r="J1471" s="842">
        <v>55500</v>
      </c>
      <c r="K1471" s="584">
        <f t="shared" ref="K1471:K1475" si="258">ROUND(I1471*J1471,0)</f>
        <v>1332000</v>
      </c>
      <c r="L1471" s="930" t="s">
        <v>857</v>
      </c>
      <c r="M1471" s="930" t="s">
        <v>8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846">
        <v>3</v>
      </c>
      <c r="AB1471" s="847" t="str">
        <f>IF(VLOOKUP(F1471,NXT!$C$12:$C$786,1,0)=F1471,"","x")</f>
        <v/>
      </c>
    </row>
    <row r="1472" spans="1:28" s="848" customFormat="1" ht="15.75" customHeight="1">
      <c r="A1472" s="827" t="str">
        <f>IF(B1472&lt;&gt;"",IF(AND(B1472&gt;=_TM1,B1472&lt;=_TM2,OR(TH!L1472="1111",TH!M1472="1111")),TH!D1472,""),"")</f>
        <v/>
      </c>
      <c r="B1472" s="838">
        <f t="shared" si="254"/>
        <v>9</v>
      </c>
      <c r="C1472" s="839">
        <f t="shared" si="255"/>
        <v>42638</v>
      </c>
      <c r="D1472" s="937"/>
      <c r="E1472" s="899">
        <v>42638</v>
      </c>
      <c r="F1472" s="855" t="s">
        <v>1758</v>
      </c>
      <c r="G1472" s="929" t="s">
        <v>1707</v>
      </c>
      <c r="H1472" s="841" t="s">
        <v>445</v>
      </c>
      <c r="I1472" s="842">
        <v>6</v>
      </c>
      <c r="J1472" s="842">
        <v>56000</v>
      </c>
      <c r="K1472" s="584">
        <f t="shared" si="258"/>
        <v>336000</v>
      </c>
      <c r="L1472" s="930" t="s">
        <v>857</v>
      </c>
      <c r="M1472" s="930" t="s">
        <v>8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846">
        <v>3</v>
      </c>
      <c r="AB1472" s="847" t="str">
        <f>IF(VLOOKUP(F1472,NXT!$C$12:$C$786,1,0)=F1472,"","x")</f>
        <v/>
      </c>
    </row>
    <row r="1473" spans="1:28" s="848" customFormat="1" ht="15.75" customHeight="1">
      <c r="A1473" s="827" t="str">
        <f>IF(B1473&lt;&gt;"",IF(AND(B1473&gt;=_TM1,B1473&lt;=_TM2,OR(TH!L1473="1111",TH!M1473="1111")),TH!D1473,""),"")</f>
        <v/>
      </c>
      <c r="B1473" s="838">
        <f t="shared" si="254"/>
        <v>9</v>
      </c>
      <c r="C1473" s="839">
        <f t="shared" si="255"/>
        <v>42638</v>
      </c>
      <c r="D1473" s="937"/>
      <c r="E1473" s="899">
        <v>42638</v>
      </c>
      <c r="F1473" s="855" t="s">
        <v>1759</v>
      </c>
      <c r="G1473" s="929" t="s">
        <v>1707</v>
      </c>
      <c r="H1473" s="841" t="s">
        <v>445</v>
      </c>
      <c r="I1473" s="842">
        <v>6</v>
      </c>
      <c r="J1473" s="842">
        <v>56400</v>
      </c>
      <c r="K1473" s="584">
        <f t="shared" si="258"/>
        <v>338400</v>
      </c>
      <c r="L1473" s="930" t="s">
        <v>857</v>
      </c>
      <c r="M1473" s="930" t="s">
        <v>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846">
        <v>3</v>
      </c>
      <c r="AB1473" s="847" t="str">
        <f>IF(VLOOKUP(F1473,NXT!$C$12:$C$786,1,0)=F1473,"","x")</f>
        <v/>
      </c>
    </row>
    <row r="1474" spans="1:28" s="848" customFormat="1" ht="15.75" customHeight="1">
      <c r="A1474" s="827" t="str">
        <f>IF(B1474&lt;&gt;"",IF(AND(B1474&gt;=_TM1,B1474&lt;=_TM2,OR(TH!L1474="1111",TH!M1474="1111")),TH!D1474,""),"")</f>
        <v/>
      </c>
      <c r="B1474" s="838">
        <f t="shared" si="254"/>
        <v>9</v>
      </c>
      <c r="C1474" s="839">
        <f t="shared" si="255"/>
        <v>42638</v>
      </c>
      <c r="D1474" s="937"/>
      <c r="E1474" s="899">
        <v>42638</v>
      </c>
      <c r="F1474" s="855" t="s">
        <v>1760</v>
      </c>
      <c r="G1474" s="929" t="s">
        <v>1707</v>
      </c>
      <c r="H1474" s="841" t="s">
        <v>445</v>
      </c>
      <c r="I1474" s="842">
        <v>20</v>
      </c>
      <c r="J1474" s="842">
        <v>62700</v>
      </c>
      <c r="K1474" s="584">
        <f t="shared" si="258"/>
        <v>1254000</v>
      </c>
      <c r="L1474" s="930" t="s">
        <v>857</v>
      </c>
      <c r="M1474" s="930" t="s">
        <v>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846">
        <v>3</v>
      </c>
      <c r="AB1474" s="847" t="str">
        <f>IF(VLOOKUP(F1474,NXT!$C$12:$C$786,1,0)=F1474,"","x")</f>
        <v/>
      </c>
    </row>
    <row r="1475" spans="1:28" s="848" customFormat="1" ht="15.75" customHeight="1">
      <c r="A1475" s="827" t="str">
        <f>IF(B1475&lt;&gt;"",IF(AND(B1475&gt;=_TM1,B1475&lt;=_TM2,OR(TH!L1475="1111",TH!M1475="1111")),TH!D1475,""),"")</f>
        <v/>
      </c>
      <c r="B1475" s="838">
        <f t="shared" si="254"/>
        <v>9</v>
      </c>
      <c r="C1475" s="839">
        <f t="shared" si="255"/>
        <v>42638</v>
      </c>
      <c r="D1475" s="937"/>
      <c r="E1475" s="899">
        <v>42638</v>
      </c>
      <c r="F1475" s="855" t="s">
        <v>1761</v>
      </c>
      <c r="G1475" s="929" t="s">
        <v>1707</v>
      </c>
      <c r="H1475" s="841" t="s">
        <v>445</v>
      </c>
      <c r="I1475" s="842">
        <v>58</v>
      </c>
      <c r="J1475" s="842">
        <v>63000</v>
      </c>
      <c r="K1475" s="584">
        <f t="shared" si="258"/>
        <v>3654000</v>
      </c>
      <c r="L1475" s="930" t="s">
        <v>857</v>
      </c>
      <c r="M1475" s="930" t="s">
        <v>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846">
        <v>3</v>
      </c>
      <c r="AB1475" s="847" t="str">
        <f>IF(VLOOKUP(F1475,NXT!$C$12:$C$786,1,0)=F1475,"","x")</f>
        <v/>
      </c>
    </row>
    <row r="1476" spans="1:28" s="848" customFormat="1" ht="15.75" customHeight="1">
      <c r="A1476" s="827" t="str">
        <f>IF(B1476&lt;&gt;"",IF(AND(B1476&gt;=_TM1,B1476&lt;=_TM2,OR(TH!L1476="1111",TH!M1476="1111")),TH!D1476,""),"")</f>
        <v/>
      </c>
      <c r="B1476" s="838">
        <f t="shared" si="239"/>
        <v>9</v>
      </c>
      <c r="C1476" s="839">
        <f t="shared" si="240"/>
        <v>42638</v>
      </c>
      <c r="D1476" s="937"/>
      <c r="E1476" s="899">
        <v>42638</v>
      </c>
      <c r="F1476" s="855" t="s">
        <v>1762</v>
      </c>
      <c r="G1476" s="929" t="s">
        <v>1707</v>
      </c>
      <c r="H1476" s="841" t="s">
        <v>445</v>
      </c>
      <c r="I1476" s="842">
        <v>23</v>
      </c>
      <c r="J1476" s="842">
        <v>63860</v>
      </c>
      <c r="K1476" s="584">
        <f t="shared" ref="K1476" si="259">ROUND(I1476*J1476,0)</f>
        <v>1468780</v>
      </c>
      <c r="L1476" s="930" t="s">
        <v>857</v>
      </c>
      <c r="M1476" s="930" t="s">
        <v>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846">
        <v>3</v>
      </c>
      <c r="AB1476" s="847" t="str">
        <f>IF(VLOOKUP(F1476,NXT!$C$12:$C$786,1,0)=F1476,"","x")</f>
        <v/>
      </c>
    </row>
    <row r="1477" spans="1:28" s="848" customFormat="1" ht="15.75" customHeight="1">
      <c r="A1477" s="827" t="str">
        <f>IF(B1477&lt;&gt;"",IF(AND(B1477&gt;=_TM1,B1477&lt;=_TM2,OR(TH!L1477="1111",TH!M1477="1111")),TH!D1477,""),"")</f>
        <v/>
      </c>
      <c r="B1477" s="838">
        <f t="shared" si="239"/>
        <v>9</v>
      </c>
      <c r="C1477" s="839">
        <f t="shared" si="240"/>
        <v>42638</v>
      </c>
      <c r="D1477" s="937"/>
      <c r="E1477" s="899">
        <v>42638</v>
      </c>
      <c r="F1477" s="855" t="s">
        <v>1763</v>
      </c>
      <c r="G1477" s="929" t="s">
        <v>1707</v>
      </c>
      <c r="H1477" s="841" t="s">
        <v>445</v>
      </c>
      <c r="I1477" s="842">
        <v>20</v>
      </c>
      <c r="J1477" s="842">
        <v>68000</v>
      </c>
      <c r="K1477" s="584">
        <f>ROUND(I1477*J1477,0)</f>
        <v>1360000</v>
      </c>
      <c r="L1477" s="930" t="s">
        <v>857</v>
      </c>
      <c r="M1477" s="930" t="s">
        <v>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846">
        <v>3</v>
      </c>
      <c r="AB1477" s="847" t="str">
        <f>IF(VLOOKUP(F1477,NXT!$C$12:$C$786,1,0)=F1477,"","x")</f>
        <v/>
      </c>
    </row>
    <row r="1478" spans="1:28" s="848" customFormat="1" ht="15.75" customHeight="1">
      <c r="A1478" s="827" t="str">
        <f>IF(B1478&lt;&gt;"",IF(AND(B1478&gt;=_TM1,B1478&lt;=_TM2,OR(TH!L1478="1111",TH!M1478="1111")),TH!D1478,""),"")</f>
        <v/>
      </c>
      <c r="B1478" s="838">
        <f t="shared" si="239"/>
        <v>9</v>
      </c>
      <c r="C1478" s="839">
        <f t="shared" si="240"/>
        <v>42638</v>
      </c>
      <c r="D1478" s="937"/>
      <c r="E1478" s="899">
        <v>42638</v>
      </c>
      <c r="F1478" s="855" t="s">
        <v>1764</v>
      </c>
      <c r="G1478" s="929" t="s">
        <v>1707</v>
      </c>
      <c r="H1478" s="841" t="s">
        <v>445</v>
      </c>
      <c r="I1478" s="842">
        <v>4</v>
      </c>
      <c r="J1478" s="842">
        <v>70000</v>
      </c>
      <c r="K1478" s="584">
        <f t="shared" ref="K1478:K1482" si="260">ROUND(I1478*J1478,0)</f>
        <v>280000</v>
      </c>
      <c r="L1478" s="930" t="s">
        <v>857</v>
      </c>
      <c r="M1478" s="930" t="s">
        <v>8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846">
        <v>3</v>
      </c>
      <c r="AB1478" s="847" t="str">
        <f>IF(VLOOKUP(F1478,NXT!$C$12:$C$786,1,0)=F1478,"","x")</f>
        <v/>
      </c>
    </row>
    <row r="1479" spans="1:28" s="848" customFormat="1" ht="15.75" customHeight="1">
      <c r="A1479" s="827" t="str">
        <f>IF(B1479&lt;&gt;"",IF(AND(B1479&gt;=_TM1,B1479&lt;=_TM2,OR(TH!L1479="1111",TH!M1479="1111")),TH!D1479,""),"")</f>
        <v/>
      </c>
      <c r="B1479" s="838">
        <f t="shared" si="239"/>
        <v>9</v>
      </c>
      <c r="C1479" s="839">
        <f t="shared" si="240"/>
        <v>42638</v>
      </c>
      <c r="D1479" s="937"/>
      <c r="E1479" s="899">
        <v>42638</v>
      </c>
      <c r="F1479" s="855" t="s">
        <v>1765</v>
      </c>
      <c r="G1479" s="929" t="s">
        <v>1707</v>
      </c>
      <c r="H1479" s="841" t="s">
        <v>445</v>
      </c>
      <c r="I1479" s="842">
        <v>6</v>
      </c>
      <c r="J1479" s="842">
        <v>71800</v>
      </c>
      <c r="K1479" s="584">
        <f t="shared" si="260"/>
        <v>430800</v>
      </c>
      <c r="L1479" s="930" t="s">
        <v>857</v>
      </c>
      <c r="M1479" s="930" t="s">
        <v>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846">
        <v>3</v>
      </c>
      <c r="AB1479" s="847" t="str">
        <f>IF(VLOOKUP(F1479,NXT!$C$12:$C$786,1,0)=F1479,"","x")</f>
        <v/>
      </c>
    </row>
    <row r="1480" spans="1:28" s="848" customFormat="1" ht="15.75" customHeight="1">
      <c r="A1480" s="827" t="str">
        <f>IF(B1480&lt;&gt;"",IF(AND(B1480&gt;=_TM1,B1480&lt;=_TM2,OR(TH!L1480="1111",TH!M1480="1111")),TH!D1480,""),"")</f>
        <v/>
      </c>
      <c r="B1480" s="838">
        <f t="shared" si="239"/>
        <v>9</v>
      </c>
      <c r="C1480" s="839">
        <f t="shared" si="240"/>
        <v>42638</v>
      </c>
      <c r="D1480" s="937"/>
      <c r="E1480" s="899">
        <v>42638</v>
      </c>
      <c r="F1480" s="855" t="s">
        <v>1766</v>
      </c>
      <c r="G1480" s="929" t="s">
        <v>1707</v>
      </c>
      <c r="H1480" s="841" t="s">
        <v>445</v>
      </c>
      <c r="I1480" s="842">
        <v>20</v>
      </c>
      <c r="J1480" s="842">
        <v>71901</v>
      </c>
      <c r="K1480" s="584">
        <f t="shared" si="260"/>
        <v>1438020</v>
      </c>
      <c r="L1480" s="930" t="s">
        <v>857</v>
      </c>
      <c r="M1480" s="930" t="s">
        <v>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846">
        <v>3</v>
      </c>
      <c r="AB1480" s="847" t="str">
        <f>IF(VLOOKUP(F1480,NXT!$C$12:$C$786,1,0)=F1480,"","x")</f>
        <v/>
      </c>
    </row>
    <row r="1481" spans="1:28" s="848" customFormat="1" ht="15.75" customHeight="1">
      <c r="A1481" s="827" t="str">
        <f>IF(B1481&lt;&gt;"",IF(AND(B1481&gt;=_TM1,B1481&lt;=_TM2,OR(TH!L1481="1111",TH!M1481="1111")),TH!D1481,""),"")</f>
        <v/>
      </c>
      <c r="B1481" s="838">
        <f t="shared" si="239"/>
        <v>9</v>
      </c>
      <c r="C1481" s="839">
        <f t="shared" si="240"/>
        <v>42638</v>
      </c>
      <c r="D1481" s="937"/>
      <c r="E1481" s="899">
        <v>42638</v>
      </c>
      <c r="F1481" s="855" t="s">
        <v>1767</v>
      </c>
      <c r="G1481" s="929" t="s">
        <v>1707</v>
      </c>
      <c r="H1481" s="841" t="s">
        <v>445</v>
      </c>
      <c r="I1481" s="842">
        <v>6</v>
      </c>
      <c r="J1481" s="842">
        <v>74000</v>
      </c>
      <c r="K1481" s="584">
        <f t="shared" si="260"/>
        <v>444000</v>
      </c>
      <c r="L1481" s="930" t="s">
        <v>857</v>
      </c>
      <c r="M1481" s="930" t="s">
        <v>8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846">
        <v>3</v>
      </c>
      <c r="AB1481" s="847" t="str">
        <f>IF(VLOOKUP(F1481,NXT!$C$12:$C$786,1,0)=F1481,"","x")</f>
        <v/>
      </c>
    </row>
    <row r="1482" spans="1:28" s="848" customFormat="1" ht="15.75" customHeight="1">
      <c r="A1482" s="827" t="str">
        <f>IF(B1482&lt;&gt;"",IF(AND(B1482&gt;=_TM1,B1482&lt;=_TM2,OR(TH!L1482="1111",TH!M1482="1111")),TH!D1482,""),"")</f>
        <v/>
      </c>
      <c r="B1482" s="838">
        <f t="shared" si="239"/>
        <v>9</v>
      </c>
      <c r="C1482" s="839">
        <f t="shared" si="240"/>
        <v>42638</v>
      </c>
      <c r="D1482" s="937"/>
      <c r="E1482" s="899">
        <v>42638</v>
      </c>
      <c r="F1482" s="855" t="s">
        <v>1768</v>
      </c>
      <c r="G1482" s="929" t="s">
        <v>1707</v>
      </c>
      <c r="H1482" s="841" t="s">
        <v>445</v>
      </c>
      <c r="I1482" s="842">
        <v>6</v>
      </c>
      <c r="J1482" s="842">
        <v>75000</v>
      </c>
      <c r="K1482" s="584">
        <f t="shared" si="260"/>
        <v>450000</v>
      </c>
      <c r="L1482" s="930" t="s">
        <v>857</v>
      </c>
      <c r="M1482" s="930" t="s">
        <v>8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846">
        <v>3</v>
      </c>
      <c r="AB1482" s="847" t="str">
        <f>IF(VLOOKUP(F1482,NXT!$C$12:$C$786,1,0)=F1482,"","x")</f>
        <v/>
      </c>
    </row>
    <row r="1483" spans="1:28" s="848" customFormat="1" ht="15.75" customHeight="1">
      <c r="A1483" s="827" t="str">
        <f>IF(B1483&lt;&gt;"",IF(AND(B1483&gt;=_TM1,B1483&lt;=_TM2,OR(TH!L1483="1111",TH!M1483="1111")),TH!D1483,""),"")</f>
        <v/>
      </c>
      <c r="B1483" s="838">
        <f t="shared" ref="B1483:B1489" si="261">IF(C1483&lt;&gt;"",MONTH(C1483),"")</f>
        <v>9</v>
      </c>
      <c r="C1483" s="839">
        <f t="shared" ref="C1483:C1489" si="262">E1483</f>
        <v>42638</v>
      </c>
      <c r="D1483" s="937"/>
      <c r="E1483" s="899">
        <v>42638</v>
      </c>
      <c r="F1483" s="855" t="s">
        <v>1769</v>
      </c>
      <c r="G1483" s="929" t="s">
        <v>1707</v>
      </c>
      <c r="H1483" s="841" t="s">
        <v>445</v>
      </c>
      <c r="I1483" s="842">
        <v>4</v>
      </c>
      <c r="J1483" s="842">
        <v>92600</v>
      </c>
      <c r="K1483" s="584">
        <f t="shared" si="226"/>
        <v>370400</v>
      </c>
      <c r="L1483" s="930" t="s">
        <v>857</v>
      </c>
      <c r="M1483" s="930" t="s">
        <v>8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846">
        <v>3</v>
      </c>
      <c r="AB1483" s="847" t="str">
        <f>IF(VLOOKUP(F1483,NXT!$C$12:$C$786,1,0)=F1483,"","x")</f>
        <v/>
      </c>
    </row>
    <row r="1484" spans="1:28" s="848" customFormat="1" ht="15.75" customHeight="1">
      <c r="A1484" s="827" t="str">
        <f>IF(B1484&lt;&gt;"",IF(AND(B1484&gt;=_TM1,B1484&lt;=_TM2,OR(TH!L1484="1111",TH!M1484="1111")),TH!D1484,""),"")</f>
        <v/>
      </c>
      <c r="B1484" s="838">
        <f t="shared" si="261"/>
        <v>9</v>
      </c>
      <c r="C1484" s="839">
        <f t="shared" si="262"/>
        <v>42638</v>
      </c>
      <c r="D1484" s="937"/>
      <c r="E1484" s="899">
        <v>42638</v>
      </c>
      <c r="F1484" s="855" t="s">
        <v>1770</v>
      </c>
      <c r="G1484" s="929" t="s">
        <v>1707</v>
      </c>
      <c r="H1484" s="841" t="s">
        <v>445</v>
      </c>
      <c r="I1484" s="842">
        <v>7</v>
      </c>
      <c r="J1484" s="842">
        <v>92801</v>
      </c>
      <c r="K1484" s="584">
        <f>ROUND(I1484*J1484,0)</f>
        <v>649607</v>
      </c>
      <c r="L1484" s="930" t="s">
        <v>857</v>
      </c>
      <c r="M1484" s="930" t="s">
        <v>8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846">
        <v>3</v>
      </c>
      <c r="AB1484" s="847" t="str">
        <f>IF(VLOOKUP(F1484,NXT!$C$12:$C$786,1,0)=F1484,"","x")</f>
        <v/>
      </c>
    </row>
    <row r="1485" spans="1:28" s="848" customFormat="1" ht="15.75" customHeight="1">
      <c r="A1485" s="827" t="str">
        <f>IF(B1485&lt;&gt;"",IF(AND(B1485&gt;=_TM1,B1485&lt;=_TM2,OR(TH!L1485="1111",TH!M1485="1111")),TH!D1485,""),"")</f>
        <v/>
      </c>
      <c r="B1485" s="838">
        <f t="shared" si="261"/>
        <v>9</v>
      </c>
      <c r="C1485" s="839">
        <f t="shared" si="262"/>
        <v>42638</v>
      </c>
      <c r="D1485" s="937"/>
      <c r="E1485" s="899">
        <v>42638</v>
      </c>
      <c r="F1485" s="855" t="s">
        <v>1771</v>
      </c>
      <c r="G1485" s="929" t="s">
        <v>1707</v>
      </c>
      <c r="H1485" s="841" t="s">
        <v>445</v>
      </c>
      <c r="I1485" s="842">
        <v>12</v>
      </c>
      <c r="J1485" s="842">
        <v>97000</v>
      </c>
      <c r="K1485" s="584">
        <f t="shared" si="226"/>
        <v>1164000</v>
      </c>
      <c r="L1485" s="930" t="s">
        <v>857</v>
      </c>
      <c r="M1485" s="930" t="s">
        <v>8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846">
        <v>3</v>
      </c>
      <c r="AB1485" s="847" t="str">
        <f>IF(VLOOKUP(F1485,NXT!$C$12:$C$786,1,0)=F1485,"","x")</f>
        <v/>
      </c>
    </row>
    <row r="1486" spans="1:28" s="848" customFormat="1" ht="15.75" customHeight="1">
      <c r="A1486" s="827" t="str">
        <f>IF(B1486&lt;&gt;"",IF(AND(B1486&gt;=_TM1,B1486&lt;=_TM2,OR(TH!L1486="1111",TH!M1486="1111")),TH!D1486,""),"")</f>
        <v/>
      </c>
      <c r="B1486" s="838">
        <f t="shared" si="261"/>
        <v>9</v>
      </c>
      <c r="C1486" s="839">
        <f t="shared" si="262"/>
        <v>42638</v>
      </c>
      <c r="D1486" s="937"/>
      <c r="E1486" s="899">
        <v>42638</v>
      </c>
      <c r="F1486" s="855" t="s">
        <v>1771</v>
      </c>
      <c r="G1486" s="929" t="s">
        <v>1707</v>
      </c>
      <c r="H1486" s="841" t="s">
        <v>445</v>
      </c>
      <c r="I1486" s="842">
        <v>36</v>
      </c>
      <c r="J1486" s="842">
        <v>99000</v>
      </c>
      <c r="K1486" s="584">
        <f t="shared" si="226"/>
        <v>3564000</v>
      </c>
      <c r="L1486" s="930" t="s">
        <v>857</v>
      </c>
      <c r="M1486" s="930" t="s">
        <v>8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846">
        <v>3</v>
      </c>
      <c r="AB1486" s="847" t="str">
        <f>IF(VLOOKUP(F1486,NXT!$C$12:$C$786,1,0)=F1486,"","x")</f>
        <v/>
      </c>
    </row>
    <row r="1487" spans="1:28" s="848" customFormat="1" ht="15.75" customHeight="1">
      <c r="A1487" s="827" t="str">
        <f>IF(B1487&lt;&gt;"",IF(AND(B1487&gt;=_TM1,B1487&lt;=_TM2,OR(TH!L1487="1111",TH!M1487="1111")),TH!D1487,""),"")</f>
        <v/>
      </c>
      <c r="B1487" s="838">
        <f t="shared" si="261"/>
        <v>9</v>
      </c>
      <c r="C1487" s="839">
        <f t="shared" si="262"/>
        <v>42638</v>
      </c>
      <c r="D1487" s="937"/>
      <c r="E1487" s="899">
        <v>42638</v>
      </c>
      <c r="F1487" s="855" t="s">
        <v>502</v>
      </c>
      <c r="G1487" s="929" t="s">
        <v>1707</v>
      </c>
      <c r="H1487" s="841" t="s">
        <v>445</v>
      </c>
      <c r="I1487" s="842">
        <v>25</v>
      </c>
      <c r="J1487" s="842">
        <v>99500</v>
      </c>
      <c r="K1487" s="584">
        <f t="shared" si="226"/>
        <v>2487500</v>
      </c>
      <c r="L1487" s="930" t="s">
        <v>857</v>
      </c>
      <c r="M1487" s="930" t="s">
        <v>8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846">
        <v>3</v>
      </c>
      <c r="AB1487" s="847" t="str">
        <f>IF(VLOOKUP(F1487,NXT!$C$12:$C$786,1,0)=F1487,"","x")</f>
        <v/>
      </c>
    </row>
    <row r="1488" spans="1:28" s="848" customFormat="1" ht="15.75" customHeight="1">
      <c r="A1488" s="827" t="str">
        <f>IF(B1488&lt;&gt;"",IF(AND(B1488&gt;=_TM1,B1488&lt;=_TM2,OR(TH!L1488="1111",TH!M1488="1111")),TH!D1488,""),"")</f>
        <v/>
      </c>
      <c r="B1488" s="838">
        <f t="shared" si="261"/>
        <v>9</v>
      </c>
      <c r="C1488" s="839">
        <f t="shared" si="262"/>
        <v>42638</v>
      </c>
      <c r="D1488" s="937"/>
      <c r="E1488" s="899">
        <v>42638</v>
      </c>
      <c r="F1488" s="855" t="s">
        <v>1753</v>
      </c>
      <c r="G1488" s="929" t="s">
        <v>1707</v>
      </c>
      <c r="H1488" s="841" t="s">
        <v>445</v>
      </c>
      <c r="I1488" s="842">
        <v>8</v>
      </c>
      <c r="J1488" s="842">
        <v>101000</v>
      </c>
      <c r="K1488" s="584">
        <f t="shared" si="226"/>
        <v>808000</v>
      </c>
      <c r="L1488" s="930" t="s">
        <v>857</v>
      </c>
      <c r="M1488" s="930" t="s">
        <v>8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846">
        <v>3</v>
      </c>
      <c r="AB1488" s="847" t="str">
        <f>IF(VLOOKUP(F1488,NXT!$C$12:$C$786,1,0)=F1488,"","x")</f>
        <v/>
      </c>
    </row>
    <row r="1489" spans="1:28" s="848" customFormat="1" ht="15.75" customHeight="1">
      <c r="A1489" s="827" t="str">
        <f>IF(B1489&lt;&gt;"",IF(AND(B1489&gt;=_TM1,B1489&lt;=_TM2,OR(TH!L1489="1111",TH!M1489="1111")),TH!D1489,""),"")</f>
        <v/>
      </c>
      <c r="B1489" s="838">
        <f t="shared" si="261"/>
        <v>9</v>
      </c>
      <c r="C1489" s="839">
        <f t="shared" si="262"/>
        <v>42638</v>
      </c>
      <c r="D1489" s="937"/>
      <c r="E1489" s="899">
        <v>42638</v>
      </c>
      <c r="F1489" s="855" t="s">
        <v>1772</v>
      </c>
      <c r="G1489" s="929" t="s">
        <v>1707</v>
      </c>
      <c r="H1489" s="841" t="s">
        <v>445</v>
      </c>
      <c r="I1489" s="842">
        <v>8</v>
      </c>
      <c r="J1489" s="842">
        <v>107300</v>
      </c>
      <c r="K1489" s="584">
        <f t="shared" si="226"/>
        <v>858400</v>
      </c>
      <c r="L1489" s="930" t="s">
        <v>857</v>
      </c>
      <c r="M1489" s="930" t="s">
        <v>8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846">
        <v>3</v>
      </c>
      <c r="AB1489" s="847" t="str">
        <f>IF(VLOOKUP(F1489,NXT!$C$12:$C$786,1,0)=F1489,"","x")</f>
        <v/>
      </c>
    </row>
    <row r="1490" spans="1:28" s="848" customFormat="1" ht="15.75" customHeight="1">
      <c r="A1490" s="827" t="str">
        <f>IF(B1490&lt;&gt;"",IF(AND(B1490&gt;=_TM1,B1490&lt;=_TM2,OR(TH!L1490="1111",TH!M1490="1111")),TH!D1490,""),"")</f>
        <v/>
      </c>
      <c r="B1490" s="838">
        <f t="shared" ref="B1490:B1491" si="263">IF(C1490&lt;&gt;"",MONTH(C1490),"")</f>
        <v>9</v>
      </c>
      <c r="C1490" s="839">
        <f t="shared" ref="C1490:C1491" si="264">E1490</f>
        <v>42638</v>
      </c>
      <c r="D1490" s="937"/>
      <c r="E1490" s="899">
        <v>42638</v>
      </c>
      <c r="F1490" s="191" t="s">
        <v>461</v>
      </c>
      <c r="G1490" s="929" t="s">
        <v>1707</v>
      </c>
      <c r="H1490" s="841" t="s">
        <v>445</v>
      </c>
      <c r="I1490" s="842"/>
      <c r="J1490" s="842"/>
      <c r="K1490" s="843">
        <v>20945413</v>
      </c>
      <c r="L1490" s="931" t="s">
        <v>9</v>
      </c>
      <c r="M1490" s="930" t="s">
        <v>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846">
        <v>3</v>
      </c>
      <c r="AB1490" s="847"/>
    </row>
    <row r="1491" spans="1:28" s="848" customFormat="1" ht="15.75" customHeight="1">
      <c r="A1491" s="827" t="str">
        <f>IF(B1491&lt;&gt;"",IF(AND(B1491&gt;=_TM1,B1491&lt;=_TM2,OR(TH!L1491="1111",TH!M1491="1111")),TH!D1491,""),"")</f>
        <v/>
      </c>
      <c r="B1491" s="838">
        <f t="shared" si="263"/>
        <v>9</v>
      </c>
      <c r="C1491" s="839">
        <f t="shared" si="264"/>
        <v>42642</v>
      </c>
      <c r="D1491" s="937"/>
      <c r="E1491" s="899">
        <v>42642</v>
      </c>
      <c r="F1491" s="855" t="s">
        <v>1728</v>
      </c>
      <c r="G1491" s="929"/>
      <c r="H1491" s="841" t="s">
        <v>445</v>
      </c>
      <c r="I1491" s="842">
        <v>38250</v>
      </c>
      <c r="J1491" s="842">
        <v>7250</v>
      </c>
      <c r="K1491" s="584">
        <f t="shared" ref="K1491" si="265">ROUND(I1491*J1491,0)</f>
        <v>277312500</v>
      </c>
      <c r="L1491" s="930" t="s">
        <v>857</v>
      </c>
      <c r="M1491" s="930" t="s">
        <v>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846">
        <v>3</v>
      </c>
      <c r="AB1491" s="847" t="str">
        <f>IF(VLOOKUP(F1491,NXT!$C$12:$C$786,1,0)=F1491,"","x")</f>
        <v/>
      </c>
    </row>
    <row r="1492" spans="1:28" s="848" customFormat="1" ht="15.75" customHeight="1">
      <c r="A1492" s="827" t="str">
        <f>IF(B1492&lt;&gt;"",IF(AND(B1492&gt;=_TM1,B1492&lt;=_TM2,OR(TH!L1492="1111",TH!M1492="1111")),TH!D1492,""),"")</f>
        <v/>
      </c>
      <c r="B1492" s="838">
        <f t="shared" ref="B1492" si="266">IF(C1492&lt;&gt;"",MONTH(C1492),"")</f>
        <v>9</v>
      </c>
      <c r="C1492" s="839">
        <f t="shared" ref="C1492" si="267">E1492</f>
        <v>42642</v>
      </c>
      <c r="D1492" s="937"/>
      <c r="E1492" s="899">
        <v>42642</v>
      </c>
      <c r="F1492" s="191" t="s">
        <v>461</v>
      </c>
      <c r="G1492" s="929"/>
      <c r="H1492" s="841" t="s">
        <v>445</v>
      </c>
      <c r="I1492" s="842"/>
      <c r="J1492" s="842"/>
      <c r="K1492" s="843">
        <v>27731250</v>
      </c>
      <c r="L1492" s="931" t="s">
        <v>9</v>
      </c>
      <c r="M1492" s="930" t="s">
        <v>8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846">
        <v>3</v>
      </c>
      <c r="AB1492" s="847"/>
    </row>
    <row r="1493" spans="1:28" ht="15.75" customHeight="1">
      <c r="A1493" s="827" t="str">
        <f>IF(B1493&lt;&gt;"",IF(AND(B1493&gt;=_TM1,B1493&lt;=_TM2,OR(TH!L1493="1111",TH!M1493="1111")),TH!D1493,""),"")</f>
        <v/>
      </c>
      <c r="B1493" s="36">
        <f t="shared" ref="B1493:B1554" si="268">IF(C1493&lt;&gt;"",MONTH(C1493),"")</f>
        <v>1</v>
      </c>
      <c r="C1493" s="190">
        <f t="shared" ref="C1493:C1554" si="269">E1493</f>
        <v>42373</v>
      </c>
      <c r="D1493" s="190" t="s">
        <v>1578</v>
      </c>
      <c r="E1493" s="190">
        <v>42373</v>
      </c>
      <c r="F1493" s="191" t="s">
        <v>1178</v>
      </c>
      <c r="G1493" s="833" t="s">
        <v>1019</v>
      </c>
      <c r="H1493" s="192" t="s">
        <v>662</v>
      </c>
      <c r="I1493" s="253">
        <v>850</v>
      </c>
      <c r="J1493" s="253">
        <v>32500</v>
      </c>
      <c r="K1493" s="584">
        <f>ROUND(I1493*J1493,0)</f>
        <v>27625000</v>
      </c>
      <c r="L1493" s="193" t="s">
        <v>251</v>
      </c>
      <c r="M1493" s="193" t="s">
        <v>164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26"/>
      <c r="AB1493" s="576" t="str">
        <f>IF(VLOOKUP(F1493,NXT!$C$12:$C$786,1,0)=F1493,"","x")</f>
        <v/>
      </c>
    </row>
    <row r="1494" spans="1:28" ht="15.75" customHeight="1">
      <c r="A1494" s="827" t="str">
        <f>IF(B1494&lt;&gt;"",IF(AND(B1494&gt;=_TM1,B1494&lt;=_TM2,OR(TH!L1494="1111",TH!M1494="1111")),TH!D1494,""),"")</f>
        <v/>
      </c>
      <c r="B1494" s="36">
        <f t="shared" si="268"/>
        <v>1</v>
      </c>
      <c r="C1494" s="190">
        <f t="shared" si="269"/>
        <v>42373</v>
      </c>
      <c r="D1494" s="190" t="s">
        <v>1578</v>
      </c>
      <c r="E1494" s="190">
        <v>42373</v>
      </c>
      <c r="F1494" s="191" t="s">
        <v>1179</v>
      </c>
      <c r="G1494" s="833" t="s">
        <v>1019</v>
      </c>
      <c r="H1494" s="192" t="s">
        <v>662</v>
      </c>
      <c r="I1494" s="253">
        <v>850</v>
      </c>
      <c r="J1494" s="253">
        <v>31700</v>
      </c>
      <c r="K1494" s="584">
        <f>ROUND(I1494*J1494,0)</f>
        <v>26945000</v>
      </c>
      <c r="L1494" s="193" t="s">
        <v>251</v>
      </c>
      <c r="M1494" s="193" t="s">
        <v>164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26"/>
      <c r="AB1494" s="576" t="str">
        <f>IF(VLOOKUP(F1494,NXT!$C$12:$C$786,1,0)=F1494,"","x")</f>
        <v/>
      </c>
    </row>
    <row r="1495" spans="1:28" ht="15.75" customHeight="1">
      <c r="A1495" s="827" t="str">
        <f>IF(B1495&lt;&gt;"",IF(AND(B1495&gt;=_TM1,B1495&lt;=_TM2,OR(TH!L1495="1111",TH!M1495="1111")),TH!D1495,""),"")</f>
        <v/>
      </c>
      <c r="B1495" s="36">
        <f t="shared" si="268"/>
        <v>1</v>
      </c>
      <c r="C1495" s="190">
        <f t="shared" si="269"/>
        <v>42373</v>
      </c>
      <c r="D1495" s="190" t="s">
        <v>1578</v>
      </c>
      <c r="E1495" s="190">
        <v>42373</v>
      </c>
      <c r="F1495" s="188" t="s">
        <v>451</v>
      </c>
      <c r="G1495" s="833" t="s">
        <v>1019</v>
      </c>
      <c r="H1495" s="192" t="s">
        <v>662</v>
      </c>
      <c r="I1495" s="253">
        <v>3000</v>
      </c>
      <c r="J1495" s="253">
        <v>15000</v>
      </c>
      <c r="K1495" s="584">
        <f>ROUND(I1495*J1495,0)</f>
        <v>45000000</v>
      </c>
      <c r="L1495" s="193" t="s">
        <v>251</v>
      </c>
      <c r="M1495" s="193" t="s">
        <v>164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26"/>
      <c r="AB1495" s="576" t="str">
        <f>IF(VLOOKUP(F1495,NXT!$C$12:$C$786,1,0)=F1495,"","x")</f>
        <v/>
      </c>
    </row>
    <row r="1496" spans="1:28" ht="15.75" customHeight="1">
      <c r="A1496" s="827" t="str">
        <f>IF(B1496&lt;&gt;"",IF(AND(B1496&gt;=_TM1,B1496&lt;=_TM2,OR(TH!L1496="1111",TH!M1496="1111")),TH!D1496,""),"")</f>
        <v/>
      </c>
      <c r="B1496" s="36">
        <f t="shared" si="268"/>
        <v>1</v>
      </c>
      <c r="C1496" s="190">
        <f t="shared" si="269"/>
        <v>42373</v>
      </c>
      <c r="D1496" s="190" t="s">
        <v>1578</v>
      </c>
      <c r="E1496" s="190">
        <v>42373</v>
      </c>
      <c r="F1496" s="188" t="s">
        <v>450</v>
      </c>
      <c r="G1496" s="833" t="s">
        <v>1019</v>
      </c>
      <c r="H1496" s="192" t="s">
        <v>662</v>
      </c>
      <c r="I1496" s="253">
        <v>3000</v>
      </c>
      <c r="J1496" s="253">
        <v>16500</v>
      </c>
      <c r="K1496" s="584">
        <f>ROUND(I1496*J1496,0)</f>
        <v>49500000</v>
      </c>
      <c r="L1496" s="193" t="s">
        <v>251</v>
      </c>
      <c r="M1496" s="193" t="s">
        <v>164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26"/>
      <c r="AB1496" s="576" t="str">
        <f>IF(VLOOKUP(F1496,NXT!$C$12:$C$786,1,0)=F1496,"","x")</f>
        <v/>
      </c>
    </row>
    <row r="1497" spans="1:28" ht="15.75" customHeight="1">
      <c r="A1497" s="827" t="str">
        <f>IF(B1497&lt;&gt;"",IF(AND(B1497&gt;=_TM1,B1497&lt;=_TM2,OR(TH!L1497="1111",TH!M1497="1111")),TH!D1497,""),"")</f>
        <v/>
      </c>
      <c r="B1497" s="36">
        <f t="shared" si="268"/>
        <v>1</v>
      </c>
      <c r="C1497" s="190">
        <f t="shared" si="269"/>
        <v>42373</v>
      </c>
      <c r="D1497" s="190" t="s">
        <v>1578</v>
      </c>
      <c r="E1497" s="190">
        <v>42373</v>
      </c>
      <c r="F1497" s="191" t="s">
        <v>461</v>
      </c>
      <c r="G1497" s="833" t="s">
        <v>1019</v>
      </c>
      <c r="H1497" s="192" t="s">
        <v>662</v>
      </c>
      <c r="I1497" s="253"/>
      <c r="J1497" s="253"/>
      <c r="K1497" s="584">
        <v>14907000</v>
      </c>
      <c r="L1497" s="193" t="s">
        <v>251</v>
      </c>
      <c r="M1497" s="193" t="s">
        <v>354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26"/>
      <c r="AB1497" s="576"/>
    </row>
    <row r="1498" spans="1:28" ht="15.75" customHeight="1">
      <c r="A1498" s="827" t="str">
        <f>IF(B1498&lt;&gt;"",IF(AND(B1498&gt;=_TM1,B1498&lt;=_TM2,OR(TH!L1498="1111",TH!M1498="1111")),TH!D1498,""),"")</f>
        <v/>
      </c>
      <c r="B1498" s="36">
        <f t="shared" si="268"/>
        <v>1</v>
      </c>
      <c r="C1498" s="190">
        <f t="shared" si="269"/>
        <v>42373</v>
      </c>
      <c r="D1498" s="190" t="s">
        <v>1579</v>
      </c>
      <c r="E1498" s="190">
        <v>42373</v>
      </c>
      <c r="F1498" s="292" t="s">
        <v>448</v>
      </c>
      <c r="G1498" s="833" t="s">
        <v>1020</v>
      </c>
      <c r="H1498" s="7" t="s">
        <v>841</v>
      </c>
      <c r="I1498" s="253">
        <v>1000</v>
      </c>
      <c r="J1498" s="253">
        <v>8700</v>
      </c>
      <c r="K1498" s="584">
        <f>ROUND(I1498*J1498,0)</f>
        <v>8700000</v>
      </c>
      <c r="L1498" s="193" t="s">
        <v>251</v>
      </c>
      <c r="M1498" s="193" t="s">
        <v>164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26"/>
      <c r="AB1498" s="576" t="str">
        <f>IF(VLOOKUP(F1498,NXT!$C$12:$C$786,1,0)=F1498,"","x")</f>
        <v/>
      </c>
    </row>
    <row r="1499" spans="1:28" ht="15.75" customHeight="1">
      <c r="A1499" s="827" t="str">
        <f>IF(B1499&lt;&gt;"",IF(AND(B1499&gt;=_TM1,B1499&lt;=_TM2,OR(TH!L1499="1111",TH!M1499="1111")),TH!D1499,""),"")</f>
        <v/>
      </c>
      <c r="B1499" s="36">
        <f t="shared" si="268"/>
        <v>1</v>
      </c>
      <c r="C1499" s="190">
        <f t="shared" si="269"/>
        <v>42373</v>
      </c>
      <c r="D1499" s="190" t="s">
        <v>1579</v>
      </c>
      <c r="E1499" s="190">
        <v>42373</v>
      </c>
      <c r="F1499" s="191" t="s">
        <v>1021</v>
      </c>
      <c r="G1499" s="833" t="s">
        <v>1020</v>
      </c>
      <c r="H1499" s="7" t="s">
        <v>841</v>
      </c>
      <c r="I1499" s="255"/>
      <c r="J1499" s="253"/>
      <c r="K1499" s="584">
        <v>870000</v>
      </c>
      <c r="L1499" s="193" t="s">
        <v>251</v>
      </c>
      <c r="M1499" s="193" t="s">
        <v>354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26"/>
      <c r="AB1499" s="576"/>
    </row>
    <row r="1500" spans="1:28" ht="15.75" customHeight="1">
      <c r="A1500" s="827" t="str">
        <f>IF(B1500&lt;&gt;"",IF(AND(B1500&gt;=_TM1,B1500&lt;=_TM2,OR(TH!L1500="1111",TH!M1500="1111")),TH!D1500,""),"")</f>
        <v/>
      </c>
      <c r="B1500" s="36">
        <f t="shared" si="268"/>
        <v>1</v>
      </c>
      <c r="C1500" s="190">
        <f t="shared" si="269"/>
        <v>42375</v>
      </c>
      <c r="D1500" s="190" t="s">
        <v>1580</v>
      </c>
      <c r="E1500" s="190">
        <v>42375</v>
      </c>
      <c r="F1500" s="191" t="s">
        <v>1024</v>
      </c>
      <c r="G1500" s="833" t="s">
        <v>1022</v>
      </c>
      <c r="H1500" s="7" t="s">
        <v>1023</v>
      </c>
      <c r="I1500" s="253">
        <v>55</v>
      </c>
      <c r="J1500" s="253">
        <v>18080</v>
      </c>
      <c r="K1500" s="584">
        <f>ROUND(I1500*J1500,0)</f>
        <v>994400</v>
      </c>
      <c r="L1500" s="193" t="s">
        <v>251</v>
      </c>
      <c r="M1500" s="193" t="s">
        <v>164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26"/>
      <c r="AB1500" s="576" t="str">
        <f>IF(VLOOKUP(F1500,NXT!$C$12:$C$786,1,0)=F1500,"","x")</f>
        <v/>
      </c>
    </row>
    <row r="1501" spans="1:28" ht="15.75" customHeight="1">
      <c r="A1501" s="827" t="str">
        <f>IF(B1501&lt;&gt;"",IF(AND(B1501&gt;=_TM1,B1501&lt;=_TM2,OR(TH!L1501="1111",TH!M1501="1111")),TH!D1501,""),"")</f>
        <v/>
      </c>
      <c r="B1501" s="36">
        <f t="shared" si="268"/>
        <v>1</v>
      </c>
      <c r="C1501" s="190">
        <f t="shared" si="269"/>
        <v>42375</v>
      </c>
      <c r="D1501" s="190" t="s">
        <v>1580</v>
      </c>
      <c r="E1501" s="190">
        <v>42375</v>
      </c>
      <c r="F1501" s="191" t="s">
        <v>461</v>
      </c>
      <c r="G1501" s="833" t="s">
        <v>1022</v>
      </c>
      <c r="H1501" s="7" t="s">
        <v>1023</v>
      </c>
      <c r="I1501" s="253"/>
      <c r="J1501" s="253"/>
      <c r="K1501" s="584">
        <v>99440</v>
      </c>
      <c r="L1501" s="193" t="s">
        <v>251</v>
      </c>
      <c r="M1501" s="193" t="s">
        <v>354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26"/>
      <c r="AB1501" s="576"/>
    </row>
    <row r="1502" spans="1:28" ht="15.75" customHeight="1">
      <c r="A1502" s="827" t="str">
        <f>IF(B1502&lt;&gt;"",IF(AND(B1502&gt;=_TM1,B1502&lt;=_TM2,OR(TH!L1502="1111",TH!M1502="1111")),TH!D1502,""),"")</f>
        <v/>
      </c>
      <c r="B1502" s="36">
        <f t="shared" si="268"/>
        <v>1</v>
      </c>
      <c r="C1502" s="190">
        <f t="shared" si="269"/>
        <v>42377</v>
      </c>
      <c r="D1502" s="190" t="s">
        <v>1581</v>
      </c>
      <c r="E1502" s="190">
        <v>42377</v>
      </c>
      <c r="F1502" s="191" t="s">
        <v>922</v>
      </c>
      <c r="G1502" s="833" t="s">
        <v>1025</v>
      </c>
      <c r="H1502" s="192" t="s">
        <v>636</v>
      </c>
      <c r="I1502" s="254">
        <v>200</v>
      </c>
      <c r="J1502" s="254">
        <v>16308</v>
      </c>
      <c r="K1502" s="584">
        <f>ROUND(I1502*J1502,0)</f>
        <v>3261600</v>
      </c>
      <c r="L1502" s="193" t="s">
        <v>251</v>
      </c>
      <c r="M1502" s="193" t="s">
        <v>164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26"/>
      <c r="AB1502" s="576" t="str">
        <f>IF(VLOOKUP(F1502,NXT!$C$12:$C$786,1,0)=F1502,"","x")</f>
        <v/>
      </c>
    </row>
    <row r="1503" spans="1:28" ht="15.75" customHeight="1">
      <c r="A1503" s="827" t="str">
        <f>IF(B1503&lt;&gt;"",IF(AND(B1503&gt;=_TM1,B1503&lt;=_TM2,OR(TH!L1503="1111",TH!M1503="1111")),TH!D1503,""),"")</f>
        <v/>
      </c>
      <c r="B1503" s="36">
        <f t="shared" si="268"/>
        <v>1</v>
      </c>
      <c r="C1503" s="190">
        <f t="shared" si="269"/>
        <v>42377</v>
      </c>
      <c r="D1503" s="190" t="s">
        <v>1581</v>
      </c>
      <c r="E1503" s="190">
        <v>42377</v>
      </c>
      <c r="F1503" s="191" t="s">
        <v>461</v>
      </c>
      <c r="G1503" s="833" t="s">
        <v>1025</v>
      </c>
      <c r="H1503" s="192" t="s">
        <v>636</v>
      </c>
      <c r="I1503" s="254"/>
      <c r="J1503" s="254"/>
      <c r="K1503" s="584">
        <v>326160</v>
      </c>
      <c r="L1503" s="193" t="s">
        <v>251</v>
      </c>
      <c r="M1503" s="193" t="s">
        <v>354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26"/>
      <c r="AB1503" s="576"/>
    </row>
    <row r="1504" spans="1:28" ht="15.75" customHeight="1">
      <c r="A1504" s="827" t="str">
        <f>IF(B1504&lt;&gt;"",IF(AND(B1504&gt;=_TM1,B1504&lt;=_TM2,OR(TH!L1504="1111",TH!M1504="1111")),TH!D1504,""),"")</f>
        <v/>
      </c>
      <c r="B1504" s="36">
        <f t="shared" si="268"/>
        <v>1</v>
      </c>
      <c r="C1504" s="190">
        <f t="shared" si="269"/>
        <v>42381</v>
      </c>
      <c r="D1504" s="190" t="s">
        <v>1582</v>
      </c>
      <c r="E1504" s="190">
        <v>42381</v>
      </c>
      <c r="F1504" s="191" t="s">
        <v>659</v>
      </c>
      <c r="G1504" s="833" t="s">
        <v>1026</v>
      </c>
      <c r="H1504" s="192" t="s">
        <v>658</v>
      </c>
      <c r="I1504" s="253">
        <v>1000</v>
      </c>
      <c r="J1504" s="253">
        <v>9800</v>
      </c>
      <c r="K1504" s="584">
        <f>ROUND(I1504*J1504,0)</f>
        <v>9800000</v>
      </c>
      <c r="L1504" s="193" t="s">
        <v>251</v>
      </c>
      <c r="M1504" s="193" t="s">
        <v>164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26"/>
      <c r="AB1504" s="576" t="str">
        <f>IF(VLOOKUP(F1504,NXT!$C$12:$C$786,1,0)=F1504,"","x")</f>
        <v/>
      </c>
    </row>
    <row r="1505" spans="1:28" ht="15.75" customHeight="1">
      <c r="A1505" s="827" t="str">
        <f>IF(B1505&lt;&gt;"",IF(AND(B1505&gt;=_TM1,B1505&lt;=_TM2,OR(TH!L1505="1111",TH!M1505="1111")),TH!D1505,""),"")</f>
        <v/>
      </c>
      <c r="B1505" s="36">
        <f t="shared" si="268"/>
        <v>1</v>
      </c>
      <c r="C1505" s="190">
        <f t="shared" si="269"/>
        <v>42381</v>
      </c>
      <c r="D1505" s="190" t="s">
        <v>1582</v>
      </c>
      <c r="E1505" s="190">
        <v>42381</v>
      </c>
      <c r="F1505" s="191" t="s">
        <v>461</v>
      </c>
      <c r="G1505" s="833" t="s">
        <v>1026</v>
      </c>
      <c r="H1505" s="192" t="s">
        <v>658</v>
      </c>
      <c r="I1505" s="253"/>
      <c r="J1505" s="253"/>
      <c r="K1505" s="584">
        <v>980000</v>
      </c>
      <c r="L1505" s="193" t="s">
        <v>251</v>
      </c>
      <c r="M1505" s="193" t="s">
        <v>354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26"/>
      <c r="AB1505" s="576"/>
    </row>
    <row r="1506" spans="1:28" ht="15.75" customHeight="1">
      <c r="A1506" s="827" t="str">
        <f>IF(B1506&lt;&gt;"",IF(AND(B1506&gt;=_TM1,B1506&lt;=_TM2,OR(TH!L1506="1111",TH!M1506="1111")),TH!D1506,""),"")</f>
        <v/>
      </c>
      <c r="B1506" s="36">
        <f t="shared" si="268"/>
        <v>1</v>
      </c>
      <c r="C1506" s="190">
        <f t="shared" si="269"/>
        <v>42388</v>
      </c>
      <c r="D1506" s="190" t="s">
        <v>1583</v>
      </c>
      <c r="E1506" s="190">
        <v>42388</v>
      </c>
      <c r="F1506" s="191" t="s">
        <v>924</v>
      </c>
      <c r="G1506" s="833" t="s">
        <v>1027</v>
      </c>
      <c r="H1506" s="7" t="s">
        <v>890</v>
      </c>
      <c r="I1506" s="253">
        <v>450</v>
      </c>
      <c r="J1506" s="253">
        <v>24877</v>
      </c>
      <c r="K1506" s="584">
        <f>ROUND(I1506*J1506,0)</f>
        <v>11194650</v>
      </c>
      <c r="L1506" s="193" t="s">
        <v>251</v>
      </c>
      <c r="M1506" s="193" t="s">
        <v>164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26"/>
      <c r="AB1506" s="576" t="str">
        <f>IF(VLOOKUP(F1506,NXT!$C$12:$C$786,1,0)=F1506,"","x")</f>
        <v/>
      </c>
    </row>
    <row r="1507" spans="1:28" ht="15.75" customHeight="1">
      <c r="A1507" s="827" t="str">
        <f>IF(B1507&lt;&gt;"",IF(AND(B1507&gt;=_TM1,B1507&lt;=_TM2,OR(TH!L1507="1111",TH!M1507="1111")),TH!D1507,""),"")</f>
        <v/>
      </c>
      <c r="B1507" s="36">
        <f t="shared" si="268"/>
        <v>1</v>
      </c>
      <c r="C1507" s="190">
        <f t="shared" si="269"/>
        <v>42388</v>
      </c>
      <c r="D1507" s="190" t="s">
        <v>1583</v>
      </c>
      <c r="E1507" s="190">
        <v>42388</v>
      </c>
      <c r="F1507" s="191" t="s">
        <v>939</v>
      </c>
      <c r="G1507" s="833" t="s">
        <v>1027</v>
      </c>
      <c r="H1507" s="7" t="s">
        <v>890</v>
      </c>
      <c r="I1507" s="253">
        <v>50</v>
      </c>
      <c r="J1507" s="253">
        <v>22650</v>
      </c>
      <c r="K1507" s="584">
        <f>ROUND(I1507*J1507,0)</f>
        <v>1132500</v>
      </c>
      <c r="L1507" s="193" t="s">
        <v>251</v>
      </c>
      <c r="M1507" s="193" t="s">
        <v>164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26"/>
      <c r="AB1507" s="576" t="str">
        <f>IF(VLOOKUP(F1507,NXT!$C$12:$C$786,1,0)=F1507,"","x")</f>
        <v/>
      </c>
    </row>
    <row r="1508" spans="1:28" ht="15.75" customHeight="1">
      <c r="A1508" s="827" t="str">
        <f>IF(B1508&lt;&gt;"",IF(AND(B1508&gt;=_TM1,B1508&lt;=_TM2,OR(TH!L1508="1111",TH!M1508="1111")),TH!D1508,""),"")</f>
        <v/>
      </c>
      <c r="B1508" s="36">
        <f t="shared" si="268"/>
        <v>1</v>
      </c>
      <c r="C1508" s="190">
        <f t="shared" si="269"/>
        <v>42388</v>
      </c>
      <c r="D1508" s="190" t="s">
        <v>1583</v>
      </c>
      <c r="E1508" s="190">
        <v>42388</v>
      </c>
      <c r="F1508" s="191" t="s">
        <v>461</v>
      </c>
      <c r="G1508" s="833" t="s">
        <v>1027</v>
      </c>
      <c r="H1508" s="7" t="s">
        <v>890</v>
      </c>
      <c r="I1508" s="253"/>
      <c r="J1508" s="253"/>
      <c r="K1508" s="584">
        <v>1232715</v>
      </c>
      <c r="L1508" s="193" t="s">
        <v>251</v>
      </c>
      <c r="M1508" s="193" t="s">
        <v>354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26"/>
      <c r="AB1508" s="576"/>
    </row>
    <row r="1509" spans="1:28" ht="15.75" customHeight="1">
      <c r="A1509" s="827" t="str">
        <f>IF(B1509&lt;&gt;"",IF(AND(B1509&gt;=_TM1,B1509&lt;=_TM2,OR(TH!L1509="1111",TH!M1509="1111")),TH!D1509,""),"")</f>
        <v/>
      </c>
      <c r="B1509" s="36">
        <f t="shared" si="268"/>
        <v>1</v>
      </c>
      <c r="C1509" s="190">
        <f t="shared" si="269"/>
        <v>42388</v>
      </c>
      <c r="D1509" s="190" t="s">
        <v>1584</v>
      </c>
      <c r="E1509" s="190">
        <v>42388</v>
      </c>
      <c r="F1509" s="191" t="s">
        <v>1303</v>
      </c>
      <c r="G1509" s="833" t="s">
        <v>1028</v>
      </c>
      <c r="H1509" s="192" t="s">
        <v>636</v>
      </c>
      <c r="I1509" s="253">
        <v>20</v>
      </c>
      <c r="J1509" s="253">
        <v>33120</v>
      </c>
      <c r="K1509" s="584">
        <f>ROUND(I1509*J1509,0)</f>
        <v>662400</v>
      </c>
      <c r="L1509" s="193" t="s">
        <v>251</v>
      </c>
      <c r="M1509" s="193" t="s">
        <v>164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26"/>
      <c r="AB1509" s="576" t="str">
        <f>IF(VLOOKUP(F1509,NXT!$C$12:$C$786,1,0)=F1509,"","x")</f>
        <v/>
      </c>
    </row>
    <row r="1510" spans="1:28" ht="15.75" customHeight="1">
      <c r="A1510" s="827" t="str">
        <f>IF(B1510&lt;&gt;"",IF(AND(B1510&gt;=_TM1,B1510&lt;=_TM2,OR(TH!L1510="1111",TH!M1510="1111")),TH!D1510,""),"")</f>
        <v/>
      </c>
      <c r="B1510" s="36">
        <f t="shared" si="268"/>
        <v>1</v>
      </c>
      <c r="C1510" s="190">
        <f t="shared" si="269"/>
        <v>42388</v>
      </c>
      <c r="D1510" s="190" t="s">
        <v>1584</v>
      </c>
      <c r="E1510" s="190">
        <v>42388</v>
      </c>
      <c r="F1510" s="188" t="s">
        <v>1304</v>
      </c>
      <c r="G1510" s="833" t="s">
        <v>1028</v>
      </c>
      <c r="H1510" s="192" t="s">
        <v>636</v>
      </c>
      <c r="I1510" s="253">
        <v>50</v>
      </c>
      <c r="J1510" s="253">
        <v>6350</v>
      </c>
      <c r="K1510" s="584">
        <f>ROUND(I1510*J1510,0)</f>
        <v>317500</v>
      </c>
      <c r="L1510" s="193" t="s">
        <v>251</v>
      </c>
      <c r="M1510" s="193" t="s">
        <v>164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26"/>
      <c r="AB1510" s="576" t="str">
        <f>IF(VLOOKUP(F1510,NXT!$C$12:$C$786,1,0)=F1510,"","x")</f>
        <v/>
      </c>
    </row>
    <row r="1511" spans="1:28" ht="15.75" customHeight="1">
      <c r="A1511" s="827" t="str">
        <f>IF(B1511&lt;&gt;"",IF(AND(B1511&gt;=_TM1,B1511&lt;=_TM2,OR(TH!L1511="1111",TH!M1511="1111")),TH!D1511,""),"")</f>
        <v/>
      </c>
      <c r="B1511" s="36">
        <f t="shared" si="268"/>
        <v>1</v>
      </c>
      <c r="C1511" s="190">
        <f t="shared" si="269"/>
        <v>42388</v>
      </c>
      <c r="D1511" s="190" t="s">
        <v>1584</v>
      </c>
      <c r="E1511" s="190">
        <v>42388</v>
      </c>
      <c r="F1511" s="191" t="s">
        <v>461</v>
      </c>
      <c r="G1511" s="833" t="s">
        <v>1028</v>
      </c>
      <c r="H1511" s="192" t="s">
        <v>636</v>
      </c>
      <c r="I1511" s="253"/>
      <c r="J1511" s="253"/>
      <c r="K1511" s="584">
        <v>97990</v>
      </c>
      <c r="L1511" s="193" t="s">
        <v>251</v>
      </c>
      <c r="M1511" s="193" t="s">
        <v>354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26"/>
      <c r="AB1511" s="576"/>
    </row>
    <row r="1512" spans="1:28" ht="15.75" customHeight="1">
      <c r="A1512" s="827" t="str">
        <f>IF(B1512&lt;&gt;"",IF(AND(B1512&gt;=_TM1,B1512&lt;=_TM2,OR(TH!L1512="1111",TH!M1512="1111")),TH!D1512,""),"")</f>
        <v/>
      </c>
      <c r="B1512" s="36">
        <f t="shared" si="268"/>
        <v>1</v>
      </c>
      <c r="C1512" s="190">
        <f t="shared" si="269"/>
        <v>42394</v>
      </c>
      <c r="D1512" s="190" t="s">
        <v>1585</v>
      </c>
      <c r="E1512" s="190">
        <v>42394</v>
      </c>
      <c r="F1512" s="191" t="s">
        <v>930</v>
      </c>
      <c r="G1512" s="833" t="s">
        <v>1029</v>
      </c>
      <c r="H1512" s="7" t="s">
        <v>890</v>
      </c>
      <c r="I1512" s="253">
        <v>270</v>
      </c>
      <c r="J1512" s="253">
        <v>29190</v>
      </c>
      <c r="K1512" s="584">
        <f>ROUND(I1512*J1512,0)</f>
        <v>7881300</v>
      </c>
      <c r="L1512" s="193" t="s">
        <v>251</v>
      </c>
      <c r="M1512" s="193" t="s">
        <v>164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26"/>
      <c r="AB1512" s="576" t="str">
        <f>IF(VLOOKUP(F1512,NXT!$C$12:$C$786,1,0)=F1512,"","x")</f>
        <v/>
      </c>
    </row>
    <row r="1513" spans="1:28" ht="15.75" customHeight="1">
      <c r="A1513" s="827" t="str">
        <f>IF(B1513&lt;&gt;"",IF(AND(B1513&gt;=_TM1,B1513&lt;=_TM2,OR(TH!L1513="1111",TH!M1513="1111")),TH!D1513,""),"")</f>
        <v/>
      </c>
      <c r="B1513" s="36">
        <f t="shared" si="268"/>
        <v>1</v>
      </c>
      <c r="C1513" s="190">
        <f t="shared" si="269"/>
        <v>42394</v>
      </c>
      <c r="D1513" s="190" t="s">
        <v>1585</v>
      </c>
      <c r="E1513" s="190">
        <v>42394</v>
      </c>
      <c r="F1513" s="191" t="s">
        <v>461</v>
      </c>
      <c r="G1513" s="833" t="s">
        <v>1029</v>
      </c>
      <c r="H1513" s="7" t="s">
        <v>890</v>
      </c>
      <c r="I1513" s="253"/>
      <c r="J1513" s="253"/>
      <c r="K1513" s="584">
        <v>788130</v>
      </c>
      <c r="L1513" s="193" t="s">
        <v>251</v>
      </c>
      <c r="M1513" s="193" t="s">
        <v>354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26"/>
      <c r="AB1513" s="576"/>
    </row>
    <row r="1514" spans="1:28" ht="15.75" customHeight="1">
      <c r="A1514" s="827" t="str">
        <f>IF(B1514&lt;&gt;"",IF(AND(B1514&gt;=_TM1,B1514&lt;=_TM2,OR(TH!L1514="1111",TH!M1514="1111")),TH!D1514,""),"")</f>
        <v/>
      </c>
      <c r="B1514" s="36">
        <f t="shared" si="268"/>
        <v>1</v>
      </c>
      <c r="C1514" s="190">
        <f t="shared" si="269"/>
        <v>42394</v>
      </c>
      <c r="D1514" s="190" t="s">
        <v>1586</v>
      </c>
      <c r="E1514" s="190">
        <v>42394</v>
      </c>
      <c r="F1514" s="191" t="s">
        <v>690</v>
      </c>
      <c r="G1514" s="833" t="s">
        <v>1030</v>
      </c>
      <c r="H1514" s="192" t="s">
        <v>689</v>
      </c>
      <c r="I1514" s="253">
        <v>200</v>
      </c>
      <c r="J1514" s="253">
        <v>6000</v>
      </c>
      <c r="K1514" s="584">
        <f>ROUND(I1514*J1514,0)</f>
        <v>1200000</v>
      </c>
      <c r="L1514" s="193" t="s">
        <v>251</v>
      </c>
      <c r="M1514" s="193" t="s">
        <v>164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26"/>
      <c r="AB1514" s="576" t="str">
        <f>IF(VLOOKUP(F1514,NXT!$C$12:$C$786,1,0)=F1514,"","x")</f>
        <v/>
      </c>
    </row>
    <row r="1515" spans="1:28" ht="15.75" customHeight="1">
      <c r="A1515" s="827" t="str">
        <f>IF(B1515&lt;&gt;"",IF(AND(B1515&gt;=_TM1,B1515&lt;=_TM2,OR(TH!L1515="1111",TH!M1515="1111")),TH!D1515,""),"")</f>
        <v/>
      </c>
      <c r="B1515" s="36">
        <f t="shared" si="268"/>
        <v>1</v>
      </c>
      <c r="C1515" s="190">
        <f t="shared" si="269"/>
        <v>42394</v>
      </c>
      <c r="D1515" s="190" t="s">
        <v>1586</v>
      </c>
      <c r="E1515" s="190">
        <v>42394</v>
      </c>
      <c r="F1515" s="191" t="s">
        <v>461</v>
      </c>
      <c r="G1515" s="833" t="s">
        <v>1030</v>
      </c>
      <c r="H1515" s="192" t="s">
        <v>689</v>
      </c>
      <c r="I1515" s="253"/>
      <c r="J1515" s="253"/>
      <c r="K1515" s="584">
        <v>120000</v>
      </c>
      <c r="L1515" s="193" t="s">
        <v>251</v>
      </c>
      <c r="M1515" s="193" t="s">
        <v>354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26"/>
      <c r="AB1515" s="576"/>
    </row>
    <row r="1516" spans="1:28" ht="15.75" customHeight="1">
      <c r="A1516" s="827" t="str">
        <f>IF(B1516&lt;&gt;"",IF(AND(B1516&gt;=_TM1,B1516&lt;=_TM2,OR(TH!L1516="1111",TH!M1516="1111")),TH!D1516,""),"")</f>
        <v/>
      </c>
      <c r="B1516" s="36">
        <f t="shared" si="268"/>
        <v>1</v>
      </c>
      <c r="C1516" s="190">
        <f t="shared" si="269"/>
        <v>42398</v>
      </c>
      <c r="D1516" s="190" t="s">
        <v>1587</v>
      </c>
      <c r="E1516" s="190">
        <v>42398</v>
      </c>
      <c r="F1516" s="191" t="s">
        <v>972</v>
      </c>
      <c r="G1516" s="833" t="s">
        <v>1031</v>
      </c>
      <c r="H1516" s="192" t="s">
        <v>678</v>
      </c>
      <c r="I1516" s="253">
        <v>50</v>
      </c>
      <c r="J1516" s="253">
        <v>39451</v>
      </c>
      <c r="K1516" s="584">
        <f t="shared" ref="K1516:K1542" si="270">ROUND(I1516*J1516,0)</f>
        <v>1972550</v>
      </c>
      <c r="L1516" s="193" t="s">
        <v>251</v>
      </c>
      <c r="M1516" s="193" t="s">
        <v>164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26"/>
      <c r="AB1516" s="576" t="str">
        <f>IF(VLOOKUP(F1516,NXT!$C$12:$C$786,1,0)=F1516,"","x")</f>
        <v/>
      </c>
    </row>
    <row r="1517" spans="1:28" ht="15.75" customHeight="1">
      <c r="A1517" s="827" t="str">
        <f>IF(B1517&lt;&gt;"",IF(AND(B1517&gt;=_TM1,B1517&lt;=_TM2,OR(TH!L1517="1111",TH!M1517="1111")),TH!D1517,""),"")</f>
        <v/>
      </c>
      <c r="B1517" s="36">
        <f t="shared" si="268"/>
        <v>1</v>
      </c>
      <c r="C1517" s="190">
        <f t="shared" si="269"/>
        <v>42398</v>
      </c>
      <c r="D1517" s="190" t="s">
        <v>1587</v>
      </c>
      <c r="E1517" s="190">
        <v>42398</v>
      </c>
      <c r="F1517" s="191" t="s">
        <v>973</v>
      </c>
      <c r="G1517" s="833" t="s">
        <v>1031</v>
      </c>
      <c r="H1517" s="192" t="s">
        <v>678</v>
      </c>
      <c r="I1517" s="253">
        <v>14</v>
      </c>
      <c r="J1517" s="253">
        <v>60648</v>
      </c>
      <c r="K1517" s="584">
        <f t="shared" si="270"/>
        <v>849072</v>
      </c>
      <c r="L1517" s="193" t="s">
        <v>251</v>
      </c>
      <c r="M1517" s="193" t="s">
        <v>164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26"/>
      <c r="AB1517" s="576" t="str">
        <f>IF(VLOOKUP(F1517,NXT!$C$12:$C$786,1,0)=F1517,"","x")</f>
        <v/>
      </c>
    </row>
    <row r="1518" spans="1:28" ht="15.75" customHeight="1">
      <c r="A1518" s="827" t="str">
        <f>IF(B1518&lt;&gt;"",IF(AND(B1518&gt;=_TM1,B1518&lt;=_TM2,OR(TH!L1518="1111",TH!M1518="1111")),TH!D1518,""),"")</f>
        <v/>
      </c>
      <c r="B1518" s="36">
        <f t="shared" si="268"/>
        <v>1</v>
      </c>
      <c r="C1518" s="190">
        <f t="shared" si="269"/>
        <v>42398</v>
      </c>
      <c r="D1518" s="190" t="s">
        <v>1587</v>
      </c>
      <c r="E1518" s="190">
        <v>42398</v>
      </c>
      <c r="F1518" s="191" t="s">
        <v>974</v>
      </c>
      <c r="G1518" s="833" t="s">
        <v>1031</v>
      </c>
      <c r="H1518" s="192" t="s">
        <v>678</v>
      </c>
      <c r="I1518" s="253">
        <v>12</v>
      </c>
      <c r="J1518" s="253">
        <v>69160</v>
      </c>
      <c r="K1518" s="584">
        <f t="shared" si="270"/>
        <v>829920</v>
      </c>
      <c r="L1518" s="193" t="s">
        <v>251</v>
      </c>
      <c r="M1518" s="193" t="s">
        <v>164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26"/>
      <c r="AB1518" s="576" t="str">
        <f>IF(VLOOKUP(F1518,NXT!$C$12:$C$786,1,0)=F1518,"","x")</f>
        <v/>
      </c>
    </row>
    <row r="1519" spans="1:28" ht="15.75" customHeight="1">
      <c r="A1519" s="827" t="str">
        <f>IF(B1519&lt;&gt;"",IF(AND(B1519&gt;=_TM1,B1519&lt;=_TM2,OR(TH!L1519="1111",TH!M1519="1111")),TH!D1519,""),"")</f>
        <v/>
      </c>
      <c r="B1519" s="36">
        <f t="shared" si="268"/>
        <v>1</v>
      </c>
      <c r="C1519" s="190">
        <f t="shared" si="269"/>
        <v>42398</v>
      </c>
      <c r="D1519" s="190" t="s">
        <v>1587</v>
      </c>
      <c r="E1519" s="190">
        <v>42398</v>
      </c>
      <c r="F1519" s="191" t="s">
        <v>974</v>
      </c>
      <c r="G1519" s="833" t="s">
        <v>1031</v>
      </c>
      <c r="H1519" s="192" t="s">
        <v>678</v>
      </c>
      <c r="I1519" s="253">
        <v>12</v>
      </c>
      <c r="J1519" s="253">
        <v>69160</v>
      </c>
      <c r="K1519" s="584">
        <f t="shared" si="270"/>
        <v>829920</v>
      </c>
      <c r="L1519" s="193" t="s">
        <v>251</v>
      </c>
      <c r="M1519" s="193" t="s">
        <v>164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26"/>
      <c r="AB1519" s="576" t="str">
        <f>IF(VLOOKUP(F1519,NXT!$C$12:$C$786,1,0)=F1519,"","x")</f>
        <v/>
      </c>
    </row>
    <row r="1520" spans="1:28" ht="15.75" customHeight="1">
      <c r="A1520" s="827" t="str">
        <f>IF(B1520&lt;&gt;"",IF(AND(B1520&gt;=_TM1,B1520&lt;=_TM2,OR(TH!L1520="1111",TH!M1520="1111")),TH!D1520,""),"")</f>
        <v/>
      </c>
      <c r="B1520" s="36">
        <f t="shared" si="268"/>
        <v>1</v>
      </c>
      <c r="C1520" s="190">
        <f t="shared" si="269"/>
        <v>42398</v>
      </c>
      <c r="D1520" s="190" t="s">
        <v>1587</v>
      </c>
      <c r="E1520" s="190">
        <v>42398</v>
      </c>
      <c r="F1520" s="191" t="s">
        <v>975</v>
      </c>
      <c r="G1520" s="833" t="s">
        <v>1031</v>
      </c>
      <c r="H1520" s="192" t="s">
        <v>678</v>
      </c>
      <c r="I1520" s="253">
        <v>18</v>
      </c>
      <c r="J1520" s="253">
        <v>44574</v>
      </c>
      <c r="K1520" s="584">
        <f t="shared" si="270"/>
        <v>802332</v>
      </c>
      <c r="L1520" s="193" t="s">
        <v>251</v>
      </c>
      <c r="M1520" s="193" t="s">
        <v>164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26"/>
      <c r="AB1520" s="576" t="str">
        <f>IF(VLOOKUP(F1520,NXT!$C$12:$C$786,1,0)=F1520,"","x")</f>
        <v/>
      </c>
    </row>
    <row r="1521" spans="1:28" ht="15.75" customHeight="1">
      <c r="A1521" s="827" t="str">
        <f>IF(B1521&lt;&gt;"",IF(AND(B1521&gt;=_TM1,B1521&lt;=_TM2,OR(TH!L1521="1111",TH!M1521="1111")),TH!D1521,""),"")</f>
        <v/>
      </c>
      <c r="B1521" s="36">
        <f t="shared" si="268"/>
        <v>1</v>
      </c>
      <c r="C1521" s="190">
        <f t="shared" si="269"/>
        <v>42398</v>
      </c>
      <c r="D1521" s="190" t="s">
        <v>1587</v>
      </c>
      <c r="E1521" s="190">
        <v>42398</v>
      </c>
      <c r="F1521" s="191" t="s">
        <v>975</v>
      </c>
      <c r="G1521" s="833" t="s">
        <v>1031</v>
      </c>
      <c r="H1521" s="192" t="s">
        <v>678</v>
      </c>
      <c r="I1521" s="253">
        <v>18</v>
      </c>
      <c r="J1521" s="253">
        <v>44574</v>
      </c>
      <c r="K1521" s="584">
        <f t="shared" si="270"/>
        <v>802332</v>
      </c>
      <c r="L1521" s="193" t="s">
        <v>251</v>
      </c>
      <c r="M1521" s="193" t="s">
        <v>164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26"/>
      <c r="AB1521" s="576" t="str">
        <f>IF(VLOOKUP(F1521,NXT!$C$12:$C$786,1,0)=F1521,"","x")</f>
        <v/>
      </c>
    </row>
    <row r="1522" spans="1:28" ht="15.75" customHeight="1">
      <c r="A1522" s="827" t="str">
        <f>IF(B1522&lt;&gt;"",IF(AND(B1522&gt;=_TM1,B1522&lt;=_TM2,OR(TH!L1522="1111",TH!M1522="1111")),TH!D1522,""),"")</f>
        <v/>
      </c>
      <c r="B1522" s="36">
        <f t="shared" si="268"/>
        <v>1</v>
      </c>
      <c r="C1522" s="190">
        <f t="shared" si="269"/>
        <v>42398</v>
      </c>
      <c r="D1522" s="190" t="s">
        <v>1587</v>
      </c>
      <c r="E1522" s="190">
        <v>42398</v>
      </c>
      <c r="F1522" s="191" t="s">
        <v>976</v>
      </c>
      <c r="G1522" s="833" t="s">
        <v>1031</v>
      </c>
      <c r="H1522" s="192" t="s">
        <v>678</v>
      </c>
      <c r="I1522" s="253">
        <v>5</v>
      </c>
      <c r="J1522" s="253">
        <v>144552</v>
      </c>
      <c r="K1522" s="584">
        <f t="shared" si="270"/>
        <v>722760</v>
      </c>
      <c r="L1522" s="193" t="s">
        <v>251</v>
      </c>
      <c r="M1522" s="193" t="s">
        <v>164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26"/>
      <c r="AB1522" s="576" t="str">
        <f>IF(VLOOKUP(F1522,NXT!$C$12:$C$786,1,0)=F1522,"","x")</f>
        <v/>
      </c>
    </row>
    <row r="1523" spans="1:28" ht="15.75" customHeight="1">
      <c r="A1523" s="827" t="str">
        <f>IF(B1523&lt;&gt;"",IF(AND(B1523&gt;=_TM1,B1523&lt;=_TM2,OR(TH!L1523="1111",TH!M1523="1111")),TH!D1523,""),"")</f>
        <v/>
      </c>
      <c r="B1523" s="36">
        <f t="shared" si="268"/>
        <v>1</v>
      </c>
      <c r="C1523" s="190">
        <f t="shared" si="269"/>
        <v>42398</v>
      </c>
      <c r="D1523" s="190" t="s">
        <v>1587</v>
      </c>
      <c r="E1523" s="190">
        <v>42398</v>
      </c>
      <c r="F1523" s="191" t="s">
        <v>977</v>
      </c>
      <c r="G1523" s="833" t="s">
        <v>1031</v>
      </c>
      <c r="H1523" s="192" t="s">
        <v>678</v>
      </c>
      <c r="I1523" s="253">
        <v>14</v>
      </c>
      <c r="J1523" s="253">
        <v>48260</v>
      </c>
      <c r="K1523" s="584">
        <f t="shared" si="270"/>
        <v>675640</v>
      </c>
      <c r="L1523" s="193" t="s">
        <v>251</v>
      </c>
      <c r="M1523" s="193" t="s">
        <v>164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26"/>
      <c r="AB1523" s="576" t="str">
        <f>IF(VLOOKUP(F1523,NXT!$C$12:$C$786,1,0)=F1523,"","x")</f>
        <v/>
      </c>
    </row>
    <row r="1524" spans="1:28" ht="15.75" customHeight="1">
      <c r="A1524" s="827" t="str">
        <f>IF(B1524&lt;&gt;"",IF(AND(B1524&gt;=_TM1,B1524&lt;=_TM2,OR(TH!L1524="1111",TH!M1524="1111")),TH!D1524,""),"")</f>
        <v/>
      </c>
      <c r="B1524" s="36">
        <f t="shared" si="268"/>
        <v>1</v>
      </c>
      <c r="C1524" s="190">
        <f t="shared" si="269"/>
        <v>42398</v>
      </c>
      <c r="D1524" s="190" t="s">
        <v>1587</v>
      </c>
      <c r="E1524" s="190">
        <v>42398</v>
      </c>
      <c r="F1524" s="191" t="s">
        <v>977</v>
      </c>
      <c r="G1524" s="833" t="s">
        <v>1031</v>
      </c>
      <c r="H1524" s="192" t="s">
        <v>678</v>
      </c>
      <c r="I1524" s="253">
        <v>14</v>
      </c>
      <c r="J1524" s="253">
        <v>48260</v>
      </c>
      <c r="K1524" s="584">
        <f t="shared" si="270"/>
        <v>675640</v>
      </c>
      <c r="L1524" s="193" t="s">
        <v>251</v>
      </c>
      <c r="M1524" s="193" t="s">
        <v>164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26"/>
      <c r="AB1524" s="576" t="str">
        <f>IF(VLOOKUP(F1524,NXT!$C$12:$C$786,1,0)=F1524,"","x")</f>
        <v/>
      </c>
    </row>
    <row r="1525" spans="1:28" ht="15.75" customHeight="1">
      <c r="A1525" s="827" t="str">
        <f>IF(B1525&lt;&gt;"",IF(AND(B1525&gt;=_TM1,B1525&lt;=_TM2,OR(TH!L1525="1111",TH!M1525="1111")),TH!D1525,""),"")</f>
        <v/>
      </c>
      <c r="B1525" s="36">
        <f t="shared" si="268"/>
        <v>1</v>
      </c>
      <c r="C1525" s="190">
        <f t="shared" si="269"/>
        <v>42398</v>
      </c>
      <c r="D1525" s="190" t="s">
        <v>1587</v>
      </c>
      <c r="E1525" s="190">
        <v>42398</v>
      </c>
      <c r="F1525" s="191" t="s">
        <v>978</v>
      </c>
      <c r="G1525" s="833" t="s">
        <v>1031</v>
      </c>
      <c r="H1525" s="192" t="s">
        <v>678</v>
      </c>
      <c r="I1525" s="253">
        <v>8</v>
      </c>
      <c r="J1525" s="253">
        <v>52440</v>
      </c>
      <c r="K1525" s="584">
        <f t="shared" si="270"/>
        <v>419520</v>
      </c>
      <c r="L1525" s="193" t="s">
        <v>251</v>
      </c>
      <c r="M1525" s="193" t="s">
        <v>164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26"/>
      <c r="AB1525" s="576" t="str">
        <f>IF(VLOOKUP(F1525,NXT!$C$12:$C$786,1,0)=F1525,"","x")</f>
        <v/>
      </c>
    </row>
    <row r="1526" spans="1:28" ht="15.75" customHeight="1">
      <c r="A1526" s="827" t="str">
        <f>IF(B1526&lt;&gt;"",IF(AND(B1526&gt;=_TM1,B1526&lt;=_TM2,OR(TH!L1526="1111",TH!M1526="1111")),TH!D1526,""),"")</f>
        <v/>
      </c>
      <c r="B1526" s="36">
        <f t="shared" si="268"/>
        <v>1</v>
      </c>
      <c r="C1526" s="190">
        <f t="shared" si="269"/>
        <v>42398</v>
      </c>
      <c r="D1526" s="190" t="s">
        <v>1587</v>
      </c>
      <c r="E1526" s="190">
        <v>42398</v>
      </c>
      <c r="F1526" s="191" t="s">
        <v>979</v>
      </c>
      <c r="G1526" s="833" t="s">
        <v>1031</v>
      </c>
      <c r="H1526" s="192" t="s">
        <v>678</v>
      </c>
      <c r="I1526" s="253">
        <v>8</v>
      </c>
      <c r="J1526" s="253">
        <v>73150</v>
      </c>
      <c r="K1526" s="584">
        <f t="shared" si="270"/>
        <v>585200</v>
      </c>
      <c r="L1526" s="193" t="s">
        <v>251</v>
      </c>
      <c r="M1526" s="193" t="s">
        <v>164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26"/>
      <c r="AB1526" s="576" t="str">
        <f>IF(VLOOKUP(F1526,NXT!$C$12:$C$786,1,0)=F1526,"","x")</f>
        <v/>
      </c>
    </row>
    <row r="1527" spans="1:28" ht="15.75" customHeight="1">
      <c r="A1527" s="827" t="str">
        <f>IF(B1527&lt;&gt;"",IF(AND(B1527&gt;=_TM1,B1527&lt;=_TM2,OR(TH!L1527="1111",TH!M1527="1111")),TH!D1527,""),"")</f>
        <v/>
      </c>
      <c r="B1527" s="36">
        <f t="shared" si="268"/>
        <v>1</v>
      </c>
      <c r="C1527" s="190">
        <f t="shared" si="269"/>
        <v>42398</v>
      </c>
      <c r="D1527" s="190" t="s">
        <v>1587</v>
      </c>
      <c r="E1527" s="190">
        <v>42398</v>
      </c>
      <c r="F1527" s="191" t="s">
        <v>980</v>
      </c>
      <c r="G1527" s="833" t="s">
        <v>1031</v>
      </c>
      <c r="H1527" s="192" t="s">
        <v>678</v>
      </c>
      <c r="I1527" s="253">
        <v>8</v>
      </c>
      <c r="J1527" s="253">
        <v>64600</v>
      </c>
      <c r="K1527" s="584">
        <f t="shared" si="270"/>
        <v>516800</v>
      </c>
      <c r="L1527" s="193" t="s">
        <v>251</v>
      </c>
      <c r="M1527" s="193" t="s">
        <v>164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26"/>
      <c r="AB1527" s="576" t="str">
        <f>IF(VLOOKUP(F1527,NXT!$C$12:$C$786,1,0)=F1527,"","x")</f>
        <v/>
      </c>
    </row>
    <row r="1528" spans="1:28" ht="15.75" customHeight="1">
      <c r="A1528" s="827" t="str">
        <f>IF(B1528&lt;&gt;"",IF(AND(B1528&gt;=_TM1,B1528&lt;=_TM2,OR(TH!L1528="1111",TH!M1528="1111")),TH!D1528,""),"")</f>
        <v/>
      </c>
      <c r="B1528" s="36">
        <f t="shared" si="268"/>
        <v>1</v>
      </c>
      <c r="C1528" s="190">
        <f t="shared" si="269"/>
        <v>42398</v>
      </c>
      <c r="D1528" s="190" t="s">
        <v>1587</v>
      </c>
      <c r="E1528" s="190">
        <v>42398</v>
      </c>
      <c r="F1528" s="191" t="s">
        <v>981</v>
      </c>
      <c r="G1528" s="833" t="s">
        <v>1031</v>
      </c>
      <c r="H1528" s="192" t="s">
        <v>678</v>
      </c>
      <c r="I1528" s="253">
        <v>10</v>
      </c>
      <c r="J1528" s="253">
        <v>54625</v>
      </c>
      <c r="K1528" s="584">
        <f t="shared" si="270"/>
        <v>546250</v>
      </c>
      <c r="L1528" s="193" t="s">
        <v>251</v>
      </c>
      <c r="M1528" s="193" t="s">
        <v>164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26"/>
      <c r="AB1528" s="576" t="str">
        <f>IF(VLOOKUP(F1528,NXT!$C$12:$C$786,1,0)=F1528,"","x")</f>
        <v/>
      </c>
    </row>
    <row r="1529" spans="1:28" ht="15.75" customHeight="1">
      <c r="A1529" s="827" t="str">
        <f>IF(B1529&lt;&gt;"",IF(AND(B1529&gt;=_TM1,B1529&lt;=_TM2,OR(TH!L1529="1111",TH!M1529="1111")),TH!D1529,""),"")</f>
        <v/>
      </c>
      <c r="B1529" s="36">
        <f t="shared" si="268"/>
        <v>1</v>
      </c>
      <c r="C1529" s="190">
        <f t="shared" si="269"/>
        <v>42398</v>
      </c>
      <c r="D1529" s="190" t="s">
        <v>1587</v>
      </c>
      <c r="E1529" s="190">
        <v>42398</v>
      </c>
      <c r="F1529" s="191" t="s">
        <v>982</v>
      </c>
      <c r="G1529" s="833" t="s">
        <v>1031</v>
      </c>
      <c r="H1529" s="192" t="s">
        <v>678</v>
      </c>
      <c r="I1529" s="253">
        <v>12</v>
      </c>
      <c r="J1529" s="253">
        <v>32156</v>
      </c>
      <c r="K1529" s="584">
        <f t="shared" si="270"/>
        <v>385872</v>
      </c>
      <c r="L1529" s="193" t="s">
        <v>251</v>
      </c>
      <c r="M1529" s="193" t="s">
        <v>164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26"/>
      <c r="AB1529" s="576" t="str">
        <f>IF(VLOOKUP(F1529,NXT!$C$12:$C$786,1,0)=F1529,"","x")</f>
        <v/>
      </c>
    </row>
    <row r="1530" spans="1:28" ht="15.75" customHeight="1">
      <c r="A1530" s="827" t="str">
        <f>IF(B1530&lt;&gt;"",IF(AND(B1530&gt;=_TM1,B1530&lt;=_TM2,OR(TH!L1530="1111",TH!M1530="1111")),TH!D1530,""),"")</f>
        <v/>
      </c>
      <c r="B1530" s="36">
        <f t="shared" si="268"/>
        <v>1</v>
      </c>
      <c r="C1530" s="190">
        <f t="shared" si="269"/>
        <v>42398</v>
      </c>
      <c r="D1530" s="190" t="s">
        <v>1587</v>
      </c>
      <c r="E1530" s="190">
        <v>42398</v>
      </c>
      <c r="F1530" s="191" t="s">
        <v>558</v>
      </c>
      <c r="G1530" s="833" t="s">
        <v>1031</v>
      </c>
      <c r="H1530" s="192" t="s">
        <v>678</v>
      </c>
      <c r="I1530" s="253">
        <v>12</v>
      </c>
      <c r="J1530" s="253">
        <v>31612</v>
      </c>
      <c r="K1530" s="584">
        <f t="shared" si="270"/>
        <v>379344</v>
      </c>
      <c r="L1530" s="193" t="s">
        <v>251</v>
      </c>
      <c r="M1530" s="193" t="s">
        <v>164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26"/>
      <c r="AB1530" s="576" t="str">
        <f>IF(VLOOKUP(F1530,NXT!$C$12:$C$786,1,0)=F1530,"","x")</f>
        <v/>
      </c>
    </row>
    <row r="1531" spans="1:28" ht="15.75" customHeight="1">
      <c r="A1531" s="827" t="str">
        <f>IF(B1531&lt;&gt;"",IF(AND(B1531&gt;=_TM1,B1531&lt;=_TM2,OR(TH!L1531="1111",TH!M1531="1111")),TH!D1531,""),"")</f>
        <v/>
      </c>
      <c r="B1531" s="36">
        <f t="shared" si="268"/>
        <v>1</v>
      </c>
      <c r="C1531" s="190">
        <f t="shared" si="269"/>
        <v>42398</v>
      </c>
      <c r="D1531" s="190" t="s">
        <v>1587</v>
      </c>
      <c r="E1531" s="190">
        <v>42398</v>
      </c>
      <c r="F1531" s="191" t="s">
        <v>983</v>
      </c>
      <c r="G1531" s="833" t="s">
        <v>1031</v>
      </c>
      <c r="H1531" s="192" t="s">
        <v>678</v>
      </c>
      <c r="I1531" s="253">
        <v>6</v>
      </c>
      <c r="J1531" s="253">
        <v>74822</v>
      </c>
      <c r="K1531" s="584">
        <f t="shared" si="270"/>
        <v>448932</v>
      </c>
      <c r="L1531" s="193" t="s">
        <v>251</v>
      </c>
      <c r="M1531" s="193" t="s">
        <v>164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26"/>
      <c r="AB1531" s="576" t="str">
        <f>IF(VLOOKUP(F1531,NXT!$C$12:$C$786,1,0)=F1531,"","x")</f>
        <v/>
      </c>
    </row>
    <row r="1532" spans="1:28" ht="15.75" customHeight="1">
      <c r="A1532" s="827" t="str">
        <f>IF(B1532&lt;&gt;"",IF(AND(B1532&gt;=_TM1,B1532&lt;=_TM2,OR(TH!L1532="1111",TH!M1532="1111")),TH!D1532,""),"")</f>
        <v/>
      </c>
      <c r="B1532" s="36">
        <f t="shared" si="268"/>
        <v>1</v>
      </c>
      <c r="C1532" s="190">
        <f t="shared" si="269"/>
        <v>42398</v>
      </c>
      <c r="D1532" s="190" t="s">
        <v>1587</v>
      </c>
      <c r="E1532" s="190">
        <v>42398</v>
      </c>
      <c r="F1532" s="191" t="s">
        <v>1082</v>
      </c>
      <c r="G1532" s="833" t="s">
        <v>1031</v>
      </c>
      <c r="H1532" s="192" t="s">
        <v>678</v>
      </c>
      <c r="I1532" s="253">
        <v>8</v>
      </c>
      <c r="J1532" s="253">
        <v>22100</v>
      </c>
      <c r="K1532" s="584">
        <f t="shared" si="270"/>
        <v>176800</v>
      </c>
      <c r="L1532" s="193" t="s">
        <v>251</v>
      </c>
      <c r="M1532" s="193" t="s">
        <v>164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26"/>
      <c r="AB1532" s="576" t="str">
        <f>IF(VLOOKUP(F1532,NXT!$C$12:$C$786,1,0)=F1532,"","x")</f>
        <v/>
      </c>
    </row>
    <row r="1533" spans="1:28" ht="15.75" customHeight="1">
      <c r="A1533" s="827" t="str">
        <f>IF(B1533&lt;&gt;"",IF(AND(B1533&gt;=_TM1,B1533&lt;=_TM2,OR(TH!L1533="1111",TH!M1533="1111")),TH!D1533,""),"")</f>
        <v/>
      </c>
      <c r="B1533" s="36">
        <f t="shared" si="268"/>
        <v>1</v>
      </c>
      <c r="C1533" s="190">
        <f t="shared" si="269"/>
        <v>42398</v>
      </c>
      <c r="D1533" s="190" t="s">
        <v>1587</v>
      </c>
      <c r="E1533" s="190">
        <v>42398</v>
      </c>
      <c r="F1533" s="191" t="s">
        <v>1083</v>
      </c>
      <c r="G1533" s="833" t="s">
        <v>1031</v>
      </c>
      <c r="H1533" s="192" t="s">
        <v>678</v>
      </c>
      <c r="I1533" s="253">
        <v>6</v>
      </c>
      <c r="J1533" s="253">
        <v>35600</v>
      </c>
      <c r="K1533" s="584">
        <f t="shared" si="270"/>
        <v>213600</v>
      </c>
      <c r="L1533" s="193" t="s">
        <v>251</v>
      </c>
      <c r="M1533" s="193" t="s">
        <v>164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26"/>
      <c r="AB1533" s="576" t="str">
        <f>IF(VLOOKUP(F1533,NXT!$C$12:$C$786,1,0)=F1533,"","x")</f>
        <v/>
      </c>
    </row>
    <row r="1534" spans="1:28" ht="15.75" customHeight="1">
      <c r="A1534" s="827" t="str">
        <f>IF(B1534&lt;&gt;"",IF(AND(B1534&gt;=_TM1,B1534&lt;=_TM2,OR(TH!L1534="1111",TH!M1534="1111")),TH!D1534,""),"")</f>
        <v/>
      </c>
      <c r="B1534" s="36">
        <f t="shared" si="268"/>
        <v>1</v>
      </c>
      <c r="C1534" s="190">
        <f t="shared" si="269"/>
        <v>42398</v>
      </c>
      <c r="D1534" s="190" t="s">
        <v>1587</v>
      </c>
      <c r="E1534" s="190">
        <v>42398</v>
      </c>
      <c r="F1534" s="191" t="s">
        <v>1084</v>
      </c>
      <c r="G1534" s="833" t="s">
        <v>1031</v>
      </c>
      <c r="H1534" s="192" t="s">
        <v>678</v>
      </c>
      <c r="I1534" s="253">
        <v>4</v>
      </c>
      <c r="J1534" s="253">
        <v>26580</v>
      </c>
      <c r="K1534" s="584">
        <f t="shared" si="270"/>
        <v>106320</v>
      </c>
      <c r="L1534" s="193" t="s">
        <v>251</v>
      </c>
      <c r="M1534" s="193" t="s">
        <v>164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26"/>
      <c r="AB1534" s="576" t="str">
        <f>IF(VLOOKUP(F1534,NXT!$C$12:$C$786,1,0)=F1534,"","x")</f>
        <v/>
      </c>
    </row>
    <row r="1535" spans="1:28" ht="15.75" customHeight="1">
      <c r="A1535" s="827" t="str">
        <f>IF(B1535&lt;&gt;"",IF(AND(B1535&gt;=_TM1,B1535&lt;=_TM2,OR(TH!L1535="1111",TH!M1535="1111")),TH!D1535,""),"")</f>
        <v/>
      </c>
      <c r="B1535" s="36">
        <f t="shared" si="268"/>
        <v>1</v>
      </c>
      <c r="C1535" s="190">
        <f t="shared" si="269"/>
        <v>42398</v>
      </c>
      <c r="D1535" s="190" t="s">
        <v>1587</v>
      </c>
      <c r="E1535" s="190">
        <v>42398</v>
      </c>
      <c r="F1535" s="191" t="s">
        <v>986</v>
      </c>
      <c r="G1535" s="833" t="s">
        <v>1031</v>
      </c>
      <c r="H1535" s="192" t="s">
        <v>678</v>
      </c>
      <c r="I1535" s="253">
        <v>10</v>
      </c>
      <c r="J1535" s="253">
        <v>102418</v>
      </c>
      <c r="K1535" s="584">
        <f t="shared" si="270"/>
        <v>1024180</v>
      </c>
      <c r="L1535" s="193" t="s">
        <v>251</v>
      </c>
      <c r="M1535" s="193" t="s">
        <v>164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26"/>
      <c r="AB1535" s="576" t="str">
        <f>IF(VLOOKUP(F1535,NXT!$C$12:$C$786,1,0)=F1535,"","x")</f>
        <v/>
      </c>
    </row>
    <row r="1536" spans="1:28" ht="15.75" customHeight="1">
      <c r="A1536" s="827" t="str">
        <f>IF(B1536&lt;&gt;"",IF(AND(B1536&gt;=_TM1,B1536&lt;=_TM2,OR(TH!L1536="1111",TH!M1536="1111")),TH!D1536,""),"")</f>
        <v/>
      </c>
      <c r="B1536" s="36">
        <f t="shared" si="268"/>
        <v>1</v>
      </c>
      <c r="C1536" s="190">
        <f t="shared" si="269"/>
        <v>42398</v>
      </c>
      <c r="D1536" s="190" t="s">
        <v>1587</v>
      </c>
      <c r="E1536" s="190">
        <v>42398</v>
      </c>
      <c r="F1536" s="191" t="s">
        <v>987</v>
      </c>
      <c r="G1536" s="833" t="s">
        <v>1031</v>
      </c>
      <c r="H1536" s="192" t="s">
        <v>678</v>
      </c>
      <c r="I1536" s="253">
        <v>10</v>
      </c>
      <c r="J1536" s="253">
        <v>79477</v>
      </c>
      <c r="K1536" s="584">
        <f t="shared" si="270"/>
        <v>794770</v>
      </c>
      <c r="L1536" s="193" t="s">
        <v>251</v>
      </c>
      <c r="M1536" s="193" t="s">
        <v>164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26"/>
      <c r="AB1536" s="576" t="str">
        <f>IF(VLOOKUP(F1536,NXT!$C$12:$C$786,1,0)=F1536,"","x")</f>
        <v/>
      </c>
    </row>
    <row r="1537" spans="1:28" ht="15.75" customHeight="1">
      <c r="A1537" s="827" t="str">
        <f>IF(B1537&lt;&gt;"",IF(AND(B1537&gt;=_TM1,B1537&lt;=_TM2,OR(TH!L1537="1111",TH!M1537="1111")),TH!D1537,""),"")</f>
        <v/>
      </c>
      <c r="B1537" s="36">
        <f t="shared" si="268"/>
        <v>1</v>
      </c>
      <c r="C1537" s="190">
        <f t="shared" si="269"/>
        <v>42398</v>
      </c>
      <c r="D1537" s="190" t="s">
        <v>1587</v>
      </c>
      <c r="E1537" s="190">
        <v>42398</v>
      </c>
      <c r="F1537" s="191" t="s">
        <v>1085</v>
      </c>
      <c r="G1537" s="833" t="s">
        <v>1031</v>
      </c>
      <c r="H1537" s="192" t="s">
        <v>678</v>
      </c>
      <c r="I1537" s="253">
        <v>12</v>
      </c>
      <c r="J1537" s="253">
        <v>69690</v>
      </c>
      <c r="K1537" s="584">
        <f t="shared" si="270"/>
        <v>836280</v>
      </c>
      <c r="L1537" s="193" t="s">
        <v>251</v>
      </c>
      <c r="M1537" s="193" t="s">
        <v>164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26"/>
      <c r="AB1537" s="576" t="str">
        <f>IF(VLOOKUP(F1537,NXT!$C$12:$C$786,1,0)=F1537,"","x")</f>
        <v/>
      </c>
    </row>
    <row r="1538" spans="1:28" ht="15.75" customHeight="1">
      <c r="A1538" s="827" t="str">
        <f>IF(B1538&lt;&gt;"",IF(AND(B1538&gt;=_TM1,B1538&lt;=_TM2,OR(TH!L1538="1111",TH!M1538="1111")),TH!D1538,""),"")</f>
        <v/>
      </c>
      <c r="B1538" s="36">
        <f t="shared" si="268"/>
        <v>1</v>
      </c>
      <c r="C1538" s="190">
        <f t="shared" si="269"/>
        <v>42398</v>
      </c>
      <c r="D1538" s="190" t="s">
        <v>1587</v>
      </c>
      <c r="E1538" s="190">
        <v>42398</v>
      </c>
      <c r="F1538" s="191" t="s">
        <v>1086</v>
      </c>
      <c r="G1538" s="833" t="s">
        <v>1031</v>
      </c>
      <c r="H1538" s="192" t="s">
        <v>678</v>
      </c>
      <c r="I1538" s="253">
        <v>10</v>
      </c>
      <c r="J1538" s="253">
        <v>138374</v>
      </c>
      <c r="K1538" s="584">
        <f t="shared" si="270"/>
        <v>1383740</v>
      </c>
      <c r="L1538" s="193" t="s">
        <v>251</v>
      </c>
      <c r="M1538" s="193" t="s">
        <v>164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26"/>
      <c r="AB1538" s="576" t="str">
        <f>IF(VLOOKUP(F1538,NXT!$C$12:$C$786,1,0)=F1538,"","x")</f>
        <v/>
      </c>
    </row>
    <row r="1539" spans="1:28" ht="15.75" customHeight="1">
      <c r="A1539" s="827" t="str">
        <f>IF(B1539&lt;&gt;"",IF(AND(B1539&gt;=_TM1,B1539&lt;=_TM2,OR(TH!L1539="1111",TH!M1539="1111")),TH!D1539,""),"")</f>
        <v/>
      </c>
      <c r="B1539" s="36">
        <f t="shared" si="268"/>
        <v>1</v>
      </c>
      <c r="C1539" s="190">
        <f t="shared" si="269"/>
        <v>42398</v>
      </c>
      <c r="D1539" s="190" t="s">
        <v>1587</v>
      </c>
      <c r="E1539" s="190">
        <v>42398</v>
      </c>
      <c r="F1539" s="191" t="s">
        <v>1087</v>
      </c>
      <c r="G1539" s="833" t="s">
        <v>1031</v>
      </c>
      <c r="H1539" s="192" t="s">
        <v>678</v>
      </c>
      <c r="I1539" s="253">
        <v>10</v>
      </c>
      <c r="J1539" s="253">
        <v>158893</v>
      </c>
      <c r="K1539" s="584">
        <f t="shared" si="270"/>
        <v>1588930</v>
      </c>
      <c r="L1539" s="193" t="s">
        <v>251</v>
      </c>
      <c r="M1539" s="193" t="s">
        <v>164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26"/>
      <c r="AB1539" s="576" t="str">
        <f>IF(VLOOKUP(F1539,NXT!$C$12:$C$786,1,0)=F1539,"","x")</f>
        <v/>
      </c>
    </row>
    <row r="1540" spans="1:28" ht="15.75" customHeight="1">
      <c r="A1540" s="827" t="str">
        <f>IF(B1540&lt;&gt;"",IF(AND(B1540&gt;=_TM1,B1540&lt;=_TM2,OR(TH!L1540="1111",TH!M1540="1111")),TH!D1540,""),"")</f>
        <v/>
      </c>
      <c r="B1540" s="36">
        <f t="shared" si="268"/>
        <v>1</v>
      </c>
      <c r="C1540" s="190">
        <f t="shared" si="269"/>
        <v>42398</v>
      </c>
      <c r="D1540" s="190" t="s">
        <v>1587</v>
      </c>
      <c r="E1540" s="190">
        <v>42398</v>
      </c>
      <c r="F1540" s="191" t="s">
        <v>1088</v>
      </c>
      <c r="G1540" s="833" t="s">
        <v>1031</v>
      </c>
      <c r="H1540" s="192" t="s">
        <v>678</v>
      </c>
      <c r="I1540" s="253">
        <v>16</v>
      </c>
      <c r="J1540" s="253">
        <v>66448</v>
      </c>
      <c r="K1540" s="584">
        <f t="shared" si="270"/>
        <v>1063168</v>
      </c>
      <c r="L1540" s="193" t="s">
        <v>251</v>
      </c>
      <c r="M1540" s="193" t="s">
        <v>164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26"/>
      <c r="AB1540" s="576" t="str">
        <f>IF(VLOOKUP(F1540,NXT!$C$12:$C$786,1,0)=F1540,"","x")</f>
        <v/>
      </c>
    </row>
    <row r="1541" spans="1:28" ht="15.75" customHeight="1">
      <c r="A1541" s="827" t="str">
        <f>IF(B1541&lt;&gt;"",IF(AND(B1541&gt;=_TM1,B1541&lt;=_TM2,OR(TH!L1541="1111",TH!M1541="1111")),TH!D1541,""),"")</f>
        <v/>
      </c>
      <c r="B1541" s="36">
        <f t="shared" si="268"/>
        <v>1</v>
      </c>
      <c r="C1541" s="190">
        <f t="shared" si="269"/>
        <v>42398</v>
      </c>
      <c r="D1541" s="190" t="s">
        <v>1587</v>
      </c>
      <c r="E1541" s="190">
        <v>42398</v>
      </c>
      <c r="F1541" s="191" t="s">
        <v>1089</v>
      </c>
      <c r="G1541" s="833" t="s">
        <v>1031</v>
      </c>
      <c r="H1541" s="192" t="s">
        <v>678</v>
      </c>
      <c r="I1541" s="253">
        <v>10</v>
      </c>
      <c r="J1541" s="253">
        <v>47995</v>
      </c>
      <c r="K1541" s="584">
        <f t="shared" si="270"/>
        <v>479950</v>
      </c>
      <c r="L1541" s="193" t="s">
        <v>251</v>
      </c>
      <c r="M1541" s="193" t="s">
        <v>164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26"/>
      <c r="AB1541" s="576" t="str">
        <f>IF(VLOOKUP(F1541,NXT!$C$12:$C$786,1,0)=F1541,"","x")</f>
        <v/>
      </c>
    </row>
    <row r="1542" spans="1:28" ht="15.75" customHeight="1">
      <c r="A1542" s="827" t="str">
        <f>IF(B1542&lt;&gt;"",IF(AND(B1542&gt;=_TM1,B1542&lt;=_TM2,OR(TH!L1542="1111",TH!M1542="1111")),TH!D1542,""),"")</f>
        <v/>
      </c>
      <c r="B1542" s="36">
        <f t="shared" si="268"/>
        <v>1</v>
      </c>
      <c r="C1542" s="190">
        <f t="shared" si="269"/>
        <v>42398</v>
      </c>
      <c r="D1542" s="190" t="s">
        <v>1587</v>
      </c>
      <c r="E1542" s="190">
        <v>42398</v>
      </c>
      <c r="F1542" s="191" t="s">
        <v>1090</v>
      </c>
      <c r="G1542" s="833" t="s">
        <v>1031</v>
      </c>
      <c r="H1542" s="192" t="s">
        <v>678</v>
      </c>
      <c r="I1542" s="253">
        <v>20</v>
      </c>
      <c r="J1542" s="253">
        <v>42935</v>
      </c>
      <c r="K1542" s="584">
        <f t="shared" si="270"/>
        <v>858700</v>
      </c>
      <c r="L1542" s="193" t="s">
        <v>251</v>
      </c>
      <c r="M1542" s="193" t="s">
        <v>164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26"/>
      <c r="AB1542" s="576" t="str">
        <f>IF(VLOOKUP(F1542,NXT!$C$12:$C$786,1,0)=F1542,"","x")</f>
        <v/>
      </c>
    </row>
    <row r="1543" spans="1:28" ht="15.75" customHeight="1">
      <c r="A1543" s="827" t="str">
        <f>IF(B1543&lt;&gt;"",IF(AND(B1543&gt;=_TM1,B1543&lt;=_TM2,OR(TH!L1543="1111",TH!M1543="1111")),TH!D1543,""),"")</f>
        <v/>
      </c>
      <c r="B1543" s="36">
        <f t="shared" si="268"/>
        <v>1</v>
      </c>
      <c r="C1543" s="190">
        <f t="shared" si="269"/>
        <v>42398</v>
      </c>
      <c r="D1543" s="190" t="s">
        <v>1587</v>
      </c>
      <c r="E1543" s="190">
        <v>42398</v>
      </c>
      <c r="F1543" s="191" t="s">
        <v>461</v>
      </c>
      <c r="G1543" s="833" t="s">
        <v>1031</v>
      </c>
      <c r="H1543" s="192" t="s">
        <v>678</v>
      </c>
      <c r="I1543" s="253"/>
      <c r="J1543" s="253"/>
      <c r="K1543" s="584">
        <v>1996852</v>
      </c>
      <c r="L1543" s="193" t="s">
        <v>251</v>
      </c>
      <c r="M1543" s="193" t="s">
        <v>354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26"/>
      <c r="AB1543" s="576"/>
    </row>
    <row r="1544" spans="1:28" ht="15.75" customHeight="1">
      <c r="A1544" s="827" t="str">
        <f>IF(B1544&lt;&gt;"",IF(AND(B1544&gt;=_TM1,B1544&lt;=_TM2,OR(TH!L1544="1111",TH!M1544="1111")),TH!D1544,""),"")</f>
        <v/>
      </c>
      <c r="B1544" s="36">
        <f t="shared" si="268"/>
        <v>1</v>
      </c>
      <c r="C1544" s="190">
        <f t="shared" si="269"/>
        <v>42399</v>
      </c>
      <c r="D1544" s="190" t="s">
        <v>1588</v>
      </c>
      <c r="E1544" s="190">
        <v>42399</v>
      </c>
      <c r="F1544" s="191" t="s">
        <v>664</v>
      </c>
      <c r="G1544" s="833" t="s">
        <v>1032</v>
      </c>
      <c r="H1544" s="7" t="s">
        <v>889</v>
      </c>
      <c r="I1544" s="253">
        <v>210</v>
      </c>
      <c r="J1544" s="253">
        <v>86596.652380952379</v>
      </c>
      <c r="K1544" s="584">
        <f>ROUND(I1544*J1544,0)</f>
        <v>18185297</v>
      </c>
      <c r="L1544" s="193" t="s">
        <v>251</v>
      </c>
      <c r="M1544" s="193" t="s">
        <v>164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26"/>
      <c r="AB1544" s="576" t="str">
        <f>IF(VLOOKUP(F1544,NXT!$C$12:$C$786,1,0)=F1544,"","x")</f>
        <v/>
      </c>
    </row>
    <row r="1545" spans="1:28" ht="15.75" customHeight="1">
      <c r="A1545" s="827" t="str">
        <f>IF(B1545&lt;&gt;"",IF(AND(B1545&gt;=_TM1,B1545&lt;=_TM2,OR(TH!L1545="1111",TH!M1545="1111")),TH!D1545,""),"")</f>
        <v/>
      </c>
      <c r="B1545" s="36">
        <f t="shared" si="268"/>
        <v>1</v>
      </c>
      <c r="C1545" s="190">
        <f t="shared" si="269"/>
        <v>42399</v>
      </c>
      <c r="D1545" s="190" t="s">
        <v>1588</v>
      </c>
      <c r="E1545" s="190">
        <v>42399</v>
      </c>
      <c r="F1545" s="191" t="s">
        <v>683</v>
      </c>
      <c r="G1545" s="833" t="s">
        <v>1032</v>
      </c>
      <c r="H1545" s="7" t="s">
        <v>889</v>
      </c>
      <c r="I1545" s="253">
        <v>210</v>
      </c>
      <c r="J1545" s="253">
        <v>57731.1</v>
      </c>
      <c r="K1545" s="584">
        <f>ROUND(I1545*J1545,0)</f>
        <v>12123531</v>
      </c>
      <c r="L1545" s="193" t="s">
        <v>251</v>
      </c>
      <c r="M1545" s="193" t="s">
        <v>164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26"/>
      <c r="AB1545" s="576" t="str">
        <f>IF(VLOOKUP(F1545,NXT!$C$12:$C$786,1,0)=F1545,"","x")</f>
        <v/>
      </c>
    </row>
    <row r="1546" spans="1:28" ht="15.75" customHeight="1">
      <c r="A1546" s="827" t="str">
        <f>IF(B1546&lt;&gt;"",IF(AND(B1546&gt;=_TM1,B1546&lt;=_TM2,OR(TH!L1546="1111",TH!M1546="1111")),TH!D1546,""),"")</f>
        <v/>
      </c>
      <c r="B1546" s="36">
        <f t="shared" si="268"/>
        <v>1</v>
      </c>
      <c r="C1546" s="190">
        <f t="shared" si="269"/>
        <v>42399</v>
      </c>
      <c r="D1546" s="190" t="s">
        <v>1588</v>
      </c>
      <c r="E1546" s="190">
        <v>42399</v>
      </c>
      <c r="F1546" s="191" t="s">
        <v>921</v>
      </c>
      <c r="G1546" s="833" t="s">
        <v>1032</v>
      </c>
      <c r="H1546" s="7" t="s">
        <v>889</v>
      </c>
      <c r="I1546" s="253">
        <v>916</v>
      </c>
      <c r="J1546" s="253">
        <v>7473</v>
      </c>
      <c r="K1546" s="584">
        <f>ROUND(I1546*J1546,0)</f>
        <v>6845268</v>
      </c>
      <c r="L1546" s="193" t="s">
        <v>251</v>
      </c>
      <c r="M1546" s="193" t="s">
        <v>164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26"/>
      <c r="AB1546" s="576" t="str">
        <f>IF(VLOOKUP(F1546,NXT!$C$12:$C$786,1,0)=F1546,"","x")</f>
        <v/>
      </c>
    </row>
    <row r="1547" spans="1:28" ht="15.75" customHeight="1">
      <c r="A1547" s="827" t="str">
        <f>IF(B1547&lt;&gt;"",IF(AND(B1547&gt;=_TM1,B1547&lt;=_TM2,OR(TH!L1547="1111",TH!M1547="1111")),TH!D1547,""),"")</f>
        <v/>
      </c>
      <c r="B1547" s="36">
        <f t="shared" si="268"/>
        <v>1</v>
      </c>
      <c r="C1547" s="190">
        <f t="shared" si="269"/>
        <v>42399</v>
      </c>
      <c r="D1547" s="190" t="s">
        <v>1588</v>
      </c>
      <c r="E1547" s="190">
        <v>42399</v>
      </c>
      <c r="F1547" s="191" t="s">
        <v>461</v>
      </c>
      <c r="G1547" s="833" t="s">
        <v>1032</v>
      </c>
      <c r="H1547" s="7" t="s">
        <v>889</v>
      </c>
      <c r="I1547" s="253"/>
      <c r="J1547" s="253"/>
      <c r="K1547" s="584">
        <v>3715409</v>
      </c>
      <c r="L1547" s="193" t="s">
        <v>251</v>
      </c>
      <c r="M1547" s="193" t="s">
        <v>354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26"/>
      <c r="AB1547" s="576"/>
    </row>
    <row r="1548" spans="1:28" ht="15.75" customHeight="1">
      <c r="A1548" s="827" t="str">
        <f>IF(B1548&lt;&gt;"",IF(AND(B1548&gt;=_TM1,B1548&lt;=_TM2,OR(TH!L1548="1111",TH!M1548="1111")),TH!D1548,""),"")</f>
        <v/>
      </c>
      <c r="B1548" s="36">
        <f t="shared" si="268"/>
        <v>1</v>
      </c>
      <c r="C1548" s="190">
        <f t="shared" si="269"/>
        <v>42399</v>
      </c>
      <c r="D1548" s="190" t="s">
        <v>1589</v>
      </c>
      <c r="E1548" s="190">
        <v>42399</v>
      </c>
      <c r="F1548" s="191" t="s">
        <v>938</v>
      </c>
      <c r="G1548" s="833" t="s">
        <v>1033</v>
      </c>
      <c r="H1548" s="7" t="s">
        <v>1034</v>
      </c>
      <c r="I1548" s="253">
        <v>125</v>
      </c>
      <c r="J1548" s="253">
        <v>18648</v>
      </c>
      <c r="K1548" s="584">
        <f>ROUND(I1548*J1548,0)</f>
        <v>2331000</v>
      </c>
      <c r="L1548" s="193" t="s">
        <v>251</v>
      </c>
      <c r="M1548" s="193" t="s">
        <v>164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26"/>
      <c r="AB1548" s="576" t="str">
        <f>IF(VLOOKUP(F1548,NXT!$C$12:$C$786,1,0)=F1548,"","x")</f>
        <v/>
      </c>
    </row>
    <row r="1549" spans="1:28" ht="15.75" customHeight="1">
      <c r="A1549" s="827" t="str">
        <f>IF(B1549&lt;&gt;"",IF(AND(B1549&gt;=_TM1,B1549&lt;=_TM2,OR(TH!L1549="1111",TH!M1549="1111")),TH!D1549,""),"")</f>
        <v/>
      </c>
      <c r="B1549" s="36">
        <f t="shared" si="268"/>
        <v>1</v>
      </c>
      <c r="C1549" s="190">
        <f t="shared" si="269"/>
        <v>42399</v>
      </c>
      <c r="D1549" s="190" t="s">
        <v>1589</v>
      </c>
      <c r="E1549" s="190">
        <v>42399</v>
      </c>
      <c r="F1549" s="191" t="s">
        <v>461</v>
      </c>
      <c r="G1549" s="833" t="s">
        <v>1033</v>
      </c>
      <c r="H1549" s="7" t="s">
        <v>1034</v>
      </c>
      <c r="I1549" s="253"/>
      <c r="J1549" s="253"/>
      <c r="K1549" s="584">
        <v>233100</v>
      </c>
      <c r="L1549" s="193" t="s">
        <v>251</v>
      </c>
      <c r="M1549" s="193" t="s">
        <v>354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26"/>
      <c r="AB1549" s="576"/>
    </row>
    <row r="1550" spans="1:28" ht="15.75" customHeight="1">
      <c r="A1550" s="827">
        <f>IF(B1550&lt;&gt;"",IF(AND(B1550&gt;=_TM1,B1550&lt;=_TM2,OR(TH!L1550="1111",TH!M1550="1111")),TH!D1550,""),"")</f>
        <v>0</v>
      </c>
      <c r="B1550" s="36">
        <f t="shared" si="268"/>
        <v>1</v>
      </c>
      <c r="C1550" s="190">
        <f t="shared" si="269"/>
        <v>42399</v>
      </c>
      <c r="D1550" s="190"/>
      <c r="E1550" s="190">
        <v>42399</v>
      </c>
      <c r="F1550" s="191" t="s">
        <v>621</v>
      </c>
      <c r="G1550" s="833" t="s">
        <v>1035</v>
      </c>
      <c r="H1550" s="192" t="s">
        <v>679</v>
      </c>
      <c r="I1550" s="253"/>
      <c r="J1550" s="253"/>
      <c r="K1550" s="584">
        <v>16300000</v>
      </c>
      <c r="L1550" s="193" t="s">
        <v>47</v>
      </c>
      <c r="M1550" s="193" t="s">
        <v>623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>x</v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26"/>
      <c r="AB1550" s="576"/>
    </row>
    <row r="1551" spans="1:28" ht="15.75" customHeight="1">
      <c r="A1551" s="827">
        <f>IF(B1551&lt;&gt;"",IF(AND(B1551&gt;=_TM1,B1551&lt;=_TM2,OR(TH!L1551="1111",TH!M1551="1111")),TH!D1551,""),"")</f>
        <v>0</v>
      </c>
      <c r="B1551" s="36">
        <f t="shared" si="268"/>
        <v>1</v>
      </c>
      <c r="C1551" s="190">
        <f t="shared" si="269"/>
        <v>42399</v>
      </c>
      <c r="D1551" s="190"/>
      <c r="E1551" s="190">
        <v>42399</v>
      </c>
      <c r="F1551" s="191" t="s">
        <v>622</v>
      </c>
      <c r="G1551" s="833" t="s">
        <v>1035</v>
      </c>
      <c r="H1551" s="192" t="s">
        <v>679</v>
      </c>
      <c r="I1551" s="253"/>
      <c r="J1551" s="253"/>
      <c r="K1551" s="584">
        <v>1630000</v>
      </c>
      <c r="L1551" s="193" t="s">
        <v>47</v>
      </c>
      <c r="M1551" s="193" t="s">
        <v>354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>x</v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26"/>
      <c r="AB1551" s="576"/>
    </row>
    <row r="1552" spans="1:28" ht="15.75" customHeight="1">
      <c r="A1552" s="827">
        <f>IF(B1552&lt;&gt;"",IF(AND(B1552&gt;=_TM1,B1552&lt;=_TM2,OR(TH!L1552="1111",TH!M1552="1111")),TH!D1552,""),"")</f>
        <v>0</v>
      </c>
      <c r="B1552" s="36">
        <f t="shared" si="268"/>
        <v>1</v>
      </c>
      <c r="C1552" s="190">
        <f t="shared" si="269"/>
        <v>42399</v>
      </c>
      <c r="D1552" s="190"/>
      <c r="E1552" s="190">
        <v>42399</v>
      </c>
      <c r="F1552" s="191" t="s">
        <v>621</v>
      </c>
      <c r="G1552" s="833" t="s">
        <v>1037</v>
      </c>
      <c r="H1552" s="192" t="s">
        <v>1036</v>
      </c>
      <c r="I1552" s="253"/>
      <c r="J1552" s="253"/>
      <c r="K1552" s="584">
        <v>2500000</v>
      </c>
      <c r="L1552" s="193" t="s">
        <v>47</v>
      </c>
      <c r="M1552" s="193" t="s">
        <v>623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>x</v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26"/>
      <c r="AB1552" s="576"/>
    </row>
    <row r="1553" spans="1:30" s="576" customFormat="1" ht="15.75" customHeight="1">
      <c r="A1553" s="827">
        <f>IF(B1553&lt;&gt;"",IF(AND(B1553&gt;=_TM1,B1553&lt;=_TM2,OR(TH!L1553="1111",TH!M1553="1111")),TH!D1553,""),"")</f>
        <v>0</v>
      </c>
      <c r="B1553" s="36">
        <f t="shared" si="268"/>
        <v>1</v>
      </c>
      <c r="C1553" s="190">
        <f t="shared" si="269"/>
        <v>42399</v>
      </c>
      <c r="D1553" s="190"/>
      <c r="E1553" s="190">
        <v>42399</v>
      </c>
      <c r="F1553" s="191" t="s">
        <v>622</v>
      </c>
      <c r="G1553" s="833" t="s">
        <v>1037</v>
      </c>
      <c r="H1553" s="192" t="s">
        <v>1036</v>
      </c>
      <c r="I1553" s="253"/>
      <c r="J1553" s="253"/>
      <c r="K1553" s="584">
        <v>250000</v>
      </c>
      <c r="L1553" s="193" t="s">
        <v>47</v>
      </c>
      <c r="M1553" s="193" t="s">
        <v>354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>x</v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26"/>
      <c r="AC1553" s="205"/>
      <c r="AD1553" s="205"/>
    </row>
    <row r="1554" spans="1:30" s="576" customFormat="1" ht="15.75" customHeight="1">
      <c r="A1554" s="827" t="str">
        <f>IF(B1554&lt;&gt;"",IF(AND(B1554&gt;=_TM1,B1554&lt;=_TM2,OR(TH!L1554="1111",TH!M1554="1111")),TH!D1554,""),"")</f>
        <v/>
      </c>
      <c r="B1554" s="36">
        <f t="shared" si="268"/>
        <v>2</v>
      </c>
      <c r="C1554" s="190">
        <f t="shared" si="269"/>
        <v>42401</v>
      </c>
      <c r="D1554" s="190" t="s">
        <v>1590</v>
      </c>
      <c r="E1554" s="190">
        <v>42401</v>
      </c>
      <c r="F1554" s="292" t="s">
        <v>448</v>
      </c>
      <c r="G1554" s="833" t="s">
        <v>1038</v>
      </c>
      <c r="H1554" s="7" t="s">
        <v>841</v>
      </c>
      <c r="I1554" s="253">
        <v>1000</v>
      </c>
      <c r="J1554" s="253">
        <v>8700</v>
      </c>
      <c r="K1554" s="584">
        <f>ROUND(I1554*J1554,0)</f>
        <v>8700000</v>
      </c>
      <c r="L1554" s="193" t="s">
        <v>251</v>
      </c>
      <c r="M1554" s="193" t="s">
        <v>164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26"/>
      <c r="AB1554" s="576" t="str">
        <f>IF(VLOOKUP(F1554,NXT!$C$12:$C$786,1,0)=F1554,"","x")</f>
        <v/>
      </c>
      <c r="AC1554" s="205"/>
      <c r="AD1554" s="205"/>
    </row>
    <row r="1555" spans="1:30" s="576" customFormat="1" ht="15.75" customHeight="1">
      <c r="A1555" s="827" t="str">
        <f>IF(B1555&lt;&gt;"",IF(AND(B1555&gt;=_TM1,B1555&lt;=_TM2,OR(TH!L1555="1111",TH!M1555="1111")),TH!D1555,""),"")</f>
        <v/>
      </c>
      <c r="B1555" s="36">
        <f t="shared" ref="B1555:B1617" si="271">IF(C1555&lt;&gt;"",MONTH(C1555),"")</f>
        <v>2</v>
      </c>
      <c r="C1555" s="190">
        <f t="shared" ref="C1555:C1617" si="272">E1555</f>
        <v>42401</v>
      </c>
      <c r="D1555" s="190" t="s">
        <v>1590</v>
      </c>
      <c r="E1555" s="190">
        <v>42401</v>
      </c>
      <c r="F1555" s="191" t="s">
        <v>1021</v>
      </c>
      <c r="G1555" s="833" t="s">
        <v>1038</v>
      </c>
      <c r="H1555" s="7" t="s">
        <v>841</v>
      </c>
      <c r="I1555" s="253"/>
      <c r="J1555" s="253"/>
      <c r="K1555" s="584">
        <v>870000</v>
      </c>
      <c r="L1555" s="193" t="s">
        <v>251</v>
      </c>
      <c r="M1555" s="193" t="s">
        <v>354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26"/>
      <c r="AC1555" s="205"/>
      <c r="AD1555" s="205"/>
    </row>
    <row r="1556" spans="1:30" s="576" customFormat="1" ht="15.75" customHeight="1">
      <c r="A1556" s="827" t="str">
        <f>IF(B1556&lt;&gt;"",IF(AND(B1556&gt;=_TM1,B1556&lt;=_TM2,OR(TH!L1556="1111",TH!M1556="1111")),TH!D1556,""),"")</f>
        <v/>
      </c>
      <c r="B1556" s="36">
        <f t="shared" si="271"/>
        <v>2</v>
      </c>
      <c r="C1556" s="190">
        <f t="shared" si="272"/>
        <v>42401</v>
      </c>
      <c r="D1556" s="190" t="s">
        <v>1591</v>
      </c>
      <c r="E1556" s="190">
        <v>42401</v>
      </c>
      <c r="F1556" s="191" t="s">
        <v>937</v>
      </c>
      <c r="G1556" s="833" t="s">
        <v>1039</v>
      </c>
      <c r="H1556" s="7" t="s">
        <v>890</v>
      </c>
      <c r="I1556" s="253">
        <v>396</v>
      </c>
      <c r="J1556" s="253">
        <v>24877</v>
      </c>
      <c r="K1556" s="584">
        <f>ROUND(I1556*J1556,0)</f>
        <v>9851292</v>
      </c>
      <c r="L1556" s="193" t="s">
        <v>251</v>
      </c>
      <c r="M1556" s="193" t="s">
        <v>164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26"/>
      <c r="AB1556" s="576" t="str">
        <f>IF(VLOOKUP(F1556,NXT!$C$12:$C$786,1,0)=F1556,"","x")</f>
        <v/>
      </c>
      <c r="AC1556" s="205"/>
      <c r="AD1556" s="205"/>
    </row>
    <row r="1557" spans="1:30" s="576" customFormat="1" ht="15.75" customHeight="1">
      <c r="A1557" s="827" t="str">
        <f>IF(B1557&lt;&gt;"",IF(AND(B1557&gt;=_TM1,B1557&lt;=_TM2,OR(TH!L1557="1111",TH!M1557="1111")),TH!D1557,""),"")</f>
        <v/>
      </c>
      <c r="B1557" s="36">
        <f t="shared" si="271"/>
        <v>2</v>
      </c>
      <c r="C1557" s="190">
        <f t="shared" si="272"/>
        <v>42401</v>
      </c>
      <c r="D1557" s="190" t="s">
        <v>1591</v>
      </c>
      <c r="E1557" s="190">
        <v>42401</v>
      </c>
      <c r="F1557" s="191" t="s">
        <v>939</v>
      </c>
      <c r="G1557" s="833" t="s">
        <v>1039</v>
      </c>
      <c r="H1557" s="7" t="s">
        <v>890</v>
      </c>
      <c r="I1557" s="253">
        <v>150</v>
      </c>
      <c r="J1557" s="253">
        <v>22650</v>
      </c>
      <c r="K1557" s="584">
        <f>ROUND(I1557*J1557,0)</f>
        <v>3397500</v>
      </c>
      <c r="L1557" s="193" t="s">
        <v>251</v>
      </c>
      <c r="M1557" s="193" t="s">
        <v>164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26"/>
      <c r="AB1557" s="576" t="str">
        <f>IF(VLOOKUP(F1557,NXT!$C$12:$C$786,1,0)=F1557,"","x")</f>
        <v/>
      </c>
      <c r="AC1557" s="205"/>
      <c r="AD1557" s="205"/>
    </row>
    <row r="1558" spans="1:30" s="576" customFormat="1" ht="15.75" customHeight="1">
      <c r="A1558" s="827" t="str">
        <f>IF(B1558&lt;&gt;"",IF(AND(B1558&gt;=_TM1,B1558&lt;=_TM2,OR(TH!L1558="1111",TH!M1558="1111")),TH!D1558,""),"")</f>
        <v/>
      </c>
      <c r="B1558" s="36">
        <f t="shared" si="271"/>
        <v>2</v>
      </c>
      <c r="C1558" s="190">
        <f t="shared" si="272"/>
        <v>42401</v>
      </c>
      <c r="D1558" s="190" t="s">
        <v>1591</v>
      </c>
      <c r="E1558" s="190">
        <v>42401</v>
      </c>
      <c r="F1558" s="191" t="s">
        <v>461</v>
      </c>
      <c r="G1558" s="833" t="s">
        <v>1039</v>
      </c>
      <c r="H1558" s="7" t="s">
        <v>890</v>
      </c>
      <c r="I1558" s="253"/>
      <c r="J1558" s="253"/>
      <c r="K1558" s="584">
        <v>1324879</v>
      </c>
      <c r="L1558" s="193" t="s">
        <v>251</v>
      </c>
      <c r="M1558" s="193" t="s">
        <v>354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26"/>
      <c r="AC1558" s="205"/>
      <c r="AD1558" s="205"/>
    </row>
    <row r="1559" spans="1:30" s="576" customFormat="1" ht="15.75" customHeight="1">
      <c r="A1559" s="827" t="str">
        <f>IF(B1559&lt;&gt;"",IF(AND(B1559&gt;=_TM1,B1559&lt;=_TM2,OR(TH!L1559="1111",TH!M1559="1111")),TH!D1559,""),"")</f>
        <v/>
      </c>
      <c r="B1559" s="36">
        <f t="shared" si="271"/>
        <v>2</v>
      </c>
      <c r="C1559" s="190">
        <f t="shared" si="272"/>
        <v>42402</v>
      </c>
      <c r="D1559" s="190" t="s">
        <v>1592</v>
      </c>
      <c r="E1559" s="190">
        <v>42402</v>
      </c>
      <c r="F1559" s="191" t="s">
        <v>659</v>
      </c>
      <c r="G1559" s="833" t="s">
        <v>1040</v>
      </c>
      <c r="H1559" s="192" t="s">
        <v>658</v>
      </c>
      <c r="I1559" s="253">
        <v>1000</v>
      </c>
      <c r="J1559" s="253">
        <v>9800</v>
      </c>
      <c r="K1559" s="584">
        <f>ROUND(I1559*J1559,0)</f>
        <v>9800000</v>
      </c>
      <c r="L1559" s="193" t="s">
        <v>251</v>
      </c>
      <c r="M1559" s="193" t="s">
        <v>164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26"/>
      <c r="AB1559" s="576" t="str">
        <f>IF(VLOOKUP(F1559,NXT!$C$12:$C$786,1,0)=F1559,"","x")</f>
        <v/>
      </c>
      <c r="AC1559" s="205"/>
      <c r="AD1559" s="205"/>
    </row>
    <row r="1560" spans="1:30" s="576" customFormat="1" ht="15.75" customHeight="1">
      <c r="A1560" s="827" t="str">
        <f>IF(B1560&lt;&gt;"",IF(AND(B1560&gt;=_TM1,B1560&lt;=_TM2,OR(TH!L1560="1111",TH!M1560="1111")),TH!D1560,""),"")</f>
        <v/>
      </c>
      <c r="B1560" s="36">
        <f t="shared" si="271"/>
        <v>2</v>
      </c>
      <c r="C1560" s="190">
        <f t="shared" si="272"/>
        <v>42402</v>
      </c>
      <c r="D1560" s="190" t="s">
        <v>1592</v>
      </c>
      <c r="E1560" s="190">
        <v>42402</v>
      </c>
      <c r="F1560" s="191" t="s">
        <v>461</v>
      </c>
      <c r="G1560" s="833" t="s">
        <v>1040</v>
      </c>
      <c r="H1560" s="192" t="s">
        <v>658</v>
      </c>
      <c r="I1560" s="253"/>
      <c r="J1560" s="253"/>
      <c r="K1560" s="584">
        <v>980000</v>
      </c>
      <c r="L1560" s="193" t="s">
        <v>251</v>
      </c>
      <c r="M1560" s="193" t="s">
        <v>354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26"/>
      <c r="AC1560" s="205"/>
      <c r="AD1560" s="205"/>
    </row>
    <row r="1561" spans="1:30" s="576" customFormat="1" ht="15.75" customHeight="1">
      <c r="A1561" s="827">
        <f>IF(B1561&lt;&gt;"",IF(AND(B1561&gt;=_TM1,B1561&lt;=_TM2,OR(TH!L1561="1111",TH!M1561="1111")),TH!D1561,""),"")</f>
        <v>0</v>
      </c>
      <c r="B1561" s="36">
        <f t="shared" si="271"/>
        <v>2</v>
      </c>
      <c r="C1561" s="190">
        <f t="shared" si="272"/>
        <v>42410</v>
      </c>
      <c r="D1561" s="190"/>
      <c r="E1561" s="190">
        <v>42410</v>
      </c>
      <c r="F1561" s="191" t="s">
        <v>621</v>
      </c>
      <c r="G1561" s="833" t="s">
        <v>1042</v>
      </c>
      <c r="H1561" s="192" t="s">
        <v>1041</v>
      </c>
      <c r="I1561" s="253"/>
      <c r="J1561" s="253"/>
      <c r="K1561" s="584">
        <v>6500000</v>
      </c>
      <c r="L1561" s="193" t="s">
        <v>47</v>
      </c>
      <c r="M1561" s="193" t="s">
        <v>623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>x</v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26"/>
      <c r="AC1561" s="205"/>
      <c r="AD1561" s="205"/>
    </row>
    <row r="1562" spans="1:30" s="576" customFormat="1" ht="15.75" customHeight="1">
      <c r="A1562" s="827">
        <f>IF(B1562&lt;&gt;"",IF(AND(B1562&gt;=_TM1,B1562&lt;=_TM2,OR(TH!L1562="1111",TH!M1562="1111")),TH!D1562,""),"")</f>
        <v>0</v>
      </c>
      <c r="B1562" s="36">
        <f t="shared" si="271"/>
        <v>2</v>
      </c>
      <c r="C1562" s="190">
        <f t="shared" si="272"/>
        <v>42410</v>
      </c>
      <c r="D1562" s="190"/>
      <c r="E1562" s="190">
        <v>42410</v>
      </c>
      <c r="F1562" s="191" t="s">
        <v>622</v>
      </c>
      <c r="G1562" s="833" t="s">
        <v>1042</v>
      </c>
      <c r="H1562" s="192" t="s">
        <v>1041</v>
      </c>
      <c r="I1562" s="253"/>
      <c r="J1562" s="253"/>
      <c r="K1562" s="584">
        <v>650000</v>
      </c>
      <c r="L1562" s="193" t="s">
        <v>47</v>
      </c>
      <c r="M1562" s="193" t="s">
        <v>354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>x</v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26"/>
      <c r="AC1562" s="205"/>
      <c r="AD1562" s="205"/>
    </row>
    <row r="1563" spans="1:30" s="576" customFormat="1" ht="15.75" customHeight="1">
      <c r="A1563" s="827" t="str">
        <f>IF(B1563&lt;&gt;"",IF(AND(B1563&gt;=_TM1,B1563&lt;=_TM2,OR(TH!L1563="1111",TH!M1563="1111")),TH!D1563,""),"")</f>
        <v/>
      </c>
      <c r="B1563" s="36">
        <f t="shared" si="271"/>
        <v>2</v>
      </c>
      <c r="C1563" s="190">
        <f t="shared" si="272"/>
        <v>42416</v>
      </c>
      <c r="D1563" s="190" t="s">
        <v>1593</v>
      </c>
      <c r="E1563" s="190">
        <v>42416</v>
      </c>
      <c r="F1563" s="191" t="s">
        <v>659</v>
      </c>
      <c r="G1563" s="833" t="s">
        <v>1043</v>
      </c>
      <c r="H1563" s="192" t="s">
        <v>658</v>
      </c>
      <c r="I1563" s="253">
        <v>1000</v>
      </c>
      <c r="J1563" s="253">
        <v>9800</v>
      </c>
      <c r="K1563" s="584">
        <f>ROUND(I1563*J1563,0)</f>
        <v>9800000</v>
      </c>
      <c r="L1563" s="193" t="s">
        <v>251</v>
      </c>
      <c r="M1563" s="193" t="s">
        <v>164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26"/>
      <c r="AB1563" s="576" t="str">
        <f>IF(VLOOKUP(F1563,NXT!$C$12:$C$786,1,0)=F1563,"","x")</f>
        <v/>
      </c>
      <c r="AC1563" s="205"/>
      <c r="AD1563" s="205"/>
    </row>
    <row r="1564" spans="1:30" s="576" customFormat="1" ht="15.75" customHeight="1">
      <c r="A1564" s="827" t="str">
        <f>IF(B1564&lt;&gt;"",IF(AND(B1564&gt;=_TM1,B1564&lt;=_TM2,OR(TH!L1564="1111",TH!M1564="1111")),TH!D1564,""),"")</f>
        <v/>
      </c>
      <c r="B1564" s="36">
        <f t="shared" si="271"/>
        <v>2</v>
      </c>
      <c r="C1564" s="190">
        <f t="shared" si="272"/>
        <v>42416</v>
      </c>
      <c r="D1564" s="190" t="s">
        <v>1593</v>
      </c>
      <c r="E1564" s="190">
        <v>42416</v>
      </c>
      <c r="F1564" s="191" t="s">
        <v>461</v>
      </c>
      <c r="G1564" s="833" t="s">
        <v>1043</v>
      </c>
      <c r="H1564" s="192" t="s">
        <v>658</v>
      </c>
      <c r="I1564" s="253"/>
      <c r="J1564" s="253"/>
      <c r="K1564" s="584">
        <v>980000</v>
      </c>
      <c r="L1564" s="193" t="s">
        <v>251</v>
      </c>
      <c r="M1564" s="193" t="s">
        <v>354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26"/>
      <c r="AC1564" s="205"/>
      <c r="AD1564" s="205"/>
    </row>
    <row r="1565" spans="1:30" ht="15.75" customHeight="1">
      <c r="A1565" s="827" t="str">
        <f>IF(B1565&lt;&gt;"",IF(AND(B1565&gt;=_TM1,B1565&lt;=_TM2,OR(TH!L1565="1111",TH!M1565="1111")),TH!D1565,""),"")</f>
        <v/>
      </c>
      <c r="B1565" s="36">
        <f t="shared" si="271"/>
        <v>2</v>
      </c>
      <c r="C1565" s="190">
        <f t="shared" si="272"/>
        <v>42416</v>
      </c>
      <c r="D1565" s="190" t="s">
        <v>1594</v>
      </c>
      <c r="E1565" s="190">
        <v>42416</v>
      </c>
      <c r="F1565" s="191" t="s">
        <v>637</v>
      </c>
      <c r="G1565" s="833" t="s">
        <v>1044</v>
      </c>
      <c r="H1565" s="192" t="s">
        <v>630</v>
      </c>
      <c r="I1565" s="253">
        <v>438</v>
      </c>
      <c r="J1565" s="253">
        <v>6881</v>
      </c>
      <c r="K1565" s="584">
        <f>ROUND(I1565*J1565,0)</f>
        <v>3013878</v>
      </c>
      <c r="L1565" s="193" t="s">
        <v>251</v>
      </c>
      <c r="M1565" s="193" t="s">
        <v>164</v>
      </c>
      <c r="N1565" s="52" t="str">
        <f>IF(AND('331-CT'!$E$7=TH!H1565,OR(L1565="331",M1565="331")),"331",IF(AND(OR(L1565="131",M1565="131"),H1565='131-CT'!$E$7),"131",""))</f>
        <v>131</v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26"/>
      <c r="AB1565" s="576" t="str">
        <f>IF(VLOOKUP(F1565,NXT!$C$12:$C$786,1,0)=F1565,"","x")</f>
        <v/>
      </c>
    </row>
    <row r="1566" spans="1:30" ht="15.75" customHeight="1">
      <c r="A1566" s="827" t="str">
        <f>IF(B1566&lt;&gt;"",IF(AND(B1566&gt;=_TM1,B1566&lt;=_TM2,OR(TH!L1566="1111",TH!M1566="1111")),TH!D1566,""),"")</f>
        <v/>
      </c>
      <c r="B1566" s="36">
        <f t="shared" si="271"/>
        <v>2</v>
      </c>
      <c r="C1566" s="190">
        <f t="shared" si="272"/>
        <v>42416</v>
      </c>
      <c r="D1566" s="190" t="s">
        <v>1594</v>
      </c>
      <c r="E1566" s="190">
        <v>42416</v>
      </c>
      <c r="F1566" s="191" t="s">
        <v>461</v>
      </c>
      <c r="G1566" s="833" t="s">
        <v>1044</v>
      </c>
      <c r="H1566" s="192" t="s">
        <v>630</v>
      </c>
      <c r="I1566" s="253"/>
      <c r="J1566" s="253"/>
      <c r="K1566" s="584">
        <v>301388</v>
      </c>
      <c r="L1566" s="193" t="s">
        <v>251</v>
      </c>
      <c r="M1566" s="193" t="s">
        <v>354</v>
      </c>
      <c r="N1566" s="52" t="str">
        <f>IF(AND('331-CT'!$E$7=TH!H1566,OR(L1566="331",M1566="331")),"331",IF(AND(OR(L1566="131",M1566="131"),H1566='131-CT'!$E$7),"131",""))</f>
        <v>131</v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26"/>
      <c r="AB1566" s="576"/>
    </row>
    <row r="1567" spans="1:30" s="576" customFormat="1" ht="15.75" customHeight="1">
      <c r="A1567" s="827" t="str">
        <f>IF(B1567&lt;&gt;"",IF(AND(B1567&gt;=_TM1,B1567&lt;=_TM2,OR(TH!L1567="1111",TH!M1567="1111")),TH!D1567,""),"")</f>
        <v/>
      </c>
      <c r="B1567" s="36">
        <f t="shared" si="271"/>
        <v>2</v>
      </c>
      <c r="C1567" s="190">
        <f t="shared" si="272"/>
        <v>42420</v>
      </c>
      <c r="D1567" s="190" t="s">
        <v>1595</v>
      </c>
      <c r="E1567" s="190">
        <v>42420</v>
      </c>
      <c r="F1567" s="191" t="s">
        <v>945</v>
      </c>
      <c r="G1567" s="833" t="s">
        <v>1045</v>
      </c>
      <c r="H1567" s="192" t="s">
        <v>1046</v>
      </c>
      <c r="I1567" s="253">
        <v>500</v>
      </c>
      <c r="J1567" s="253">
        <v>16000</v>
      </c>
      <c r="K1567" s="584">
        <f>ROUND(I1567*J1567,0)</f>
        <v>8000000</v>
      </c>
      <c r="L1567" s="193" t="s">
        <v>251</v>
      </c>
      <c r="M1567" s="193" t="s">
        <v>164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26"/>
      <c r="AB1567" s="576" t="str">
        <f>IF(VLOOKUP(F1567,NXT!$C$12:$C$786,1,0)=F1567,"","x")</f>
        <v/>
      </c>
      <c r="AC1567" s="205"/>
      <c r="AD1567" s="205"/>
    </row>
    <row r="1568" spans="1:30" s="576" customFormat="1" ht="15.75" customHeight="1">
      <c r="A1568" s="827" t="str">
        <f>IF(B1568&lt;&gt;"",IF(AND(B1568&gt;=_TM1,B1568&lt;=_TM2,OR(TH!L1568="1111",TH!M1568="1111")),TH!D1568,""),"")</f>
        <v/>
      </c>
      <c r="B1568" s="36">
        <f t="shared" si="271"/>
        <v>2</v>
      </c>
      <c r="C1568" s="190">
        <f t="shared" si="272"/>
        <v>42420</v>
      </c>
      <c r="D1568" s="190" t="s">
        <v>1595</v>
      </c>
      <c r="E1568" s="190">
        <v>42420</v>
      </c>
      <c r="F1568" s="191" t="s">
        <v>1021</v>
      </c>
      <c r="G1568" s="833" t="s">
        <v>1045</v>
      </c>
      <c r="H1568" s="192" t="s">
        <v>1046</v>
      </c>
      <c r="I1568" s="253"/>
      <c r="J1568" s="253"/>
      <c r="K1568" s="584">
        <v>800000</v>
      </c>
      <c r="L1568" s="193" t="s">
        <v>251</v>
      </c>
      <c r="M1568" s="193" t="s">
        <v>354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26"/>
      <c r="AC1568" s="205"/>
      <c r="AD1568" s="205"/>
    </row>
    <row r="1569" spans="1:30" s="576" customFormat="1" ht="15.75" customHeight="1">
      <c r="A1569" s="827" t="str">
        <f>IF(B1569&lt;&gt;"",IF(AND(B1569&gt;=_TM1,B1569&lt;=_TM2,OR(TH!L1569="1111",TH!M1569="1111")),TH!D1569,""),"")</f>
        <v/>
      </c>
      <c r="B1569" s="36">
        <f t="shared" si="271"/>
        <v>2</v>
      </c>
      <c r="C1569" s="190">
        <f t="shared" si="272"/>
        <v>42422</v>
      </c>
      <c r="D1569" s="190" t="s">
        <v>1596</v>
      </c>
      <c r="E1569" s="190">
        <v>42422</v>
      </c>
      <c r="F1569" s="191" t="s">
        <v>1178</v>
      </c>
      <c r="G1569" s="833" t="s">
        <v>1047</v>
      </c>
      <c r="H1569" s="192" t="s">
        <v>662</v>
      </c>
      <c r="I1569" s="253">
        <v>850</v>
      </c>
      <c r="J1569" s="253">
        <v>32500</v>
      </c>
      <c r="K1569" s="584">
        <f>ROUND(I1569*J1569,0)</f>
        <v>27625000</v>
      </c>
      <c r="L1569" s="193" t="s">
        <v>251</v>
      </c>
      <c r="M1569" s="193" t="s">
        <v>164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26"/>
      <c r="AB1569" s="576" t="str">
        <f>IF(VLOOKUP(F1569,NXT!$C$12:$C$786,1,0)=F1569,"","x")</f>
        <v/>
      </c>
      <c r="AC1569" s="205"/>
      <c r="AD1569" s="205"/>
    </row>
    <row r="1570" spans="1:30" s="576" customFormat="1" ht="15.75" customHeight="1">
      <c r="A1570" s="827" t="str">
        <f>IF(B1570&lt;&gt;"",IF(AND(B1570&gt;=_TM1,B1570&lt;=_TM2,OR(TH!L1570="1111",TH!M1570="1111")),TH!D1570,""),"")</f>
        <v/>
      </c>
      <c r="B1570" s="36">
        <f t="shared" si="271"/>
        <v>2</v>
      </c>
      <c r="C1570" s="190">
        <f t="shared" si="272"/>
        <v>42422</v>
      </c>
      <c r="D1570" s="190" t="s">
        <v>1596</v>
      </c>
      <c r="E1570" s="190">
        <v>42422</v>
      </c>
      <c r="F1570" s="191" t="s">
        <v>1179</v>
      </c>
      <c r="G1570" s="833" t="s">
        <v>1047</v>
      </c>
      <c r="H1570" s="192" t="s">
        <v>662</v>
      </c>
      <c r="I1570" s="253">
        <v>850</v>
      </c>
      <c r="J1570" s="253">
        <v>31700</v>
      </c>
      <c r="K1570" s="584">
        <f>ROUND(I1570*J1570,0)</f>
        <v>26945000</v>
      </c>
      <c r="L1570" s="193" t="s">
        <v>251</v>
      </c>
      <c r="M1570" s="193" t="s">
        <v>164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26"/>
      <c r="AB1570" s="576" t="str">
        <f>IF(VLOOKUP(F1570,NXT!$C$12:$C$786,1,0)=F1570,"","x")</f>
        <v/>
      </c>
      <c r="AC1570" s="205"/>
      <c r="AD1570" s="205"/>
    </row>
    <row r="1571" spans="1:30" s="576" customFormat="1" ht="15.75" customHeight="1">
      <c r="A1571" s="827" t="str">
        <f>IF(B1571&lt;&gt;"",IF(AND(B1571&gt;=_TM1,B1571&lt;=_TM2,OR(TH!L1571="1111",TH!M1571="1111")),TH!D1571,""),"")</f>
        <v/>
      </c>
      <c r="B1571" s="36">
        <f t="shared" si="271"/>
        <v>2</v>
      </c>
      <c r="C1571" s="190">
        <f t="shared" si="272"/>
        <v>42422</v>
      </c>
      <c r="D1571" s="190" t="s">
        <v>1596</v>
      </c>
      <c r="E1571" s="190">
        <v>42422</v>
      </c>
      <c r="F1571" s="292" t="s">
        <v>451</v>
      </c>
      <c r="G1571" s="833" t="s">
        <v>1047</v>
      </c>
      <c r="H1571" s="192" t="s">
        <v>662</v>
      </c>
      <c r="I1571" s="253">
        <v>3000</v>
      </c>
      <c r="J1571" s="253">
        <v>15000</v>
      </c>
      <c r="K1571" s="584">
        <f>ROUND(I1571*J1571,0)</f>
        <v>45000000</v>
      </c>
      <c r="L1571" s="193" t="s">
        <v>251</v>
      </c>
      <c r="M1571" s="193" t="s">
        <v>164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26"/>
      <c r="AB1571" s="576" t="str">
        <f>IF(VLOOKUP(F1571,NXT!$C$12:$C$786,1,0)=F1571,"","x")</f>
        <v/>
      </c>
      <c r="AC1571" s="205"/>
      <c r="AD1571" s="205"/>
    </row>
    <row r="1572" spans="1:30" ht="15.75" customHeight="1">
      <c r="A1572" s="827" t="str">
        <f>IF(B1572&lt;&gt;"",IF(AND(B1572&gt;=_TM1,B1572&lt;=_TM2,OR(TH!L1572="1111",TH!M1572="1111")),TH!D1572,""),"")</f>
        <v/>
      </c>
      <c r="B1572" s="36">
        <f t="shared" si="271"/>
        <v>2</v>
      </c>
      <c r="C1572" s="190">
        <f t="shared" si="272"/>
        <v>42422</v>
      </c>
      <c r="D1572" s="190" t="s">
        <v>1596</v>
      </c>
      <c r="E1572" s="190">
        <v>42422</v>
      </c>
      <c r="F1572" s="292" t="s">
        <v>450</v>
      </c>
      <c r="G1572" s="833" t="s">
        <v>1047</v>
      </c>
      <c r="H1572" s="192" t="s">
        <v>662</v>
      </c>
      <c r="I1572" s="253">
        <v>3000</v>
      </c>
      <c r="J1572" s="253">
        <v>16500</v>
      </c>
      <c r="K1572" s="584">
        <f>ROUND(I1572*J1572,0)</f>
        <v>49500000</v>
      </c>
      <c r="L1572" s="193" t="s">
        <v>251</v>
      </c>
      <c r="M1572" s="193" t="s">
        <v>164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26"/>
      <c r="AB1572" s="576" t="str">
        <f>IF(VLOOKUP(F1572,NXT!$C$12:$C$786,1,0)=F1572,"","x")</f>
        <v/>
      </c>
    </row>
    <row r="1573" spans="1:30" ht="15.75" customHeight="1">
      <c r="A1573" s="827" t="str">
        <f>IF(B1573&lt;&gt;"",IF(AND(B1573&gt;=_TM1,B1573&lt;=_TM2,OR(TH!L1573="1111",TH!M1573="1111")),TH!D1573,""),"")</f>
        <v/>
      </c>
      <c r="B1573" s="36">
        <f t="shared" si="271"/>
        <v>2</v>
      </c>
      <c r="C1573" s="190">
        <f t="shared" si="272"/>
        <v>42422</v>
      </c>
      <c r="D1573" s="190" t="s">
        <v>1596</v>
      </c>
      <c r="E1573" s="190">
        <v>42422</v>
      </c>
      <c r="F1573" s="191" t="s">
        <v>461</v>
      </c>
      <c r="G1573" s="833" t="s">
        <v>1047</v>
      </c>
      <c r="H1573" s="192" t="s">
        <v>662</v>
      </c>
      <c r="I1573" s="253"/>
      <c r="J1573" s="253"/>
      <c r="K1573" s="584">
        <v>14907000</v>
      </c>
      <c r="L1573" s="193" t="s">
        <v>251</v>
      </c>
      <c r="M1573" s="193" t="s">
        <v>354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26"/>
      <c r="AB1573" s="576"/>
    </row>
    <row r="1574" spans="1:30" ht="15.75" customHeight="1">
      <c r="A1574" s="827" t="str">
        <f>IF(B1574&lt;&gt;"",IF(AND(B1574&gt;=_TM1,B1574&lt;=_TM2,OR(TH!L1574="1111",TH!M1574="1111")),TH!D1574,""),"")</f>
        <v/>
      </c>
      <c r="B1574" s="36">
        <f t="shared" si="271"/>
        <v>2</v>
      </c>
      <c r="C1574" s="190">
        <f t="shared" si="272"/>
        <v>42423</v>
      </c>
      <c r="D1574" s="190" t="s">
        <v>1597</v>
      </c>
      <c r="E1574" s="190">
        <v>42423</v>
      </c>
      <c r="F1574" s="191" t="s">
        <v>946</v>
      </c>
      <c r="G1574" s="833" t="s">
        <v>1048</v>
      </c>
      <c r="H1574" s="7" t="s">
        <v>1023</v>
      </c>
      <c r="I1574" s="253">
        <v>200</v>
      </c>
      <c r="J1574" s="253">
        <v>14266</v>
      </c>
      <c r="K1574" s="584">
        <f>ROUND(I1574*J1574,0)</f>
        <v>2853200</v>
      </c>
      <c r="L1574" s="193" t="s">
        <v>251</v>
      </c>
      <c r="M1574" s="193" t="s">
        <v>164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26"/>
      <c r="AB1574" s="576" t="str">
        <f>IF(VLOOKUP(F1574,NXT!$C$12:$C$786,1,0)=F1574,"","x")</f>
        <v/>
      </c>
    </row>
    <row r="1575" spans="1:30" ht="15.75" customHeight="1">
      <c r="A1575" s="827" t="str">
        <f>IF(B1575&lt;&gt;"",IF(AND(B1575&gt;=_TM1,B1575&lt;=_TM2,OR(TH!L1575="1111",TH!M1575="1111")),TH!D1575,""),"")</f>
        <v/>
      </c>
      <c r="B1575" s="36">
        <f t="shared" si="271"/>
        <v>2</v>
      </c>
      <c r="C1575" s="190">
        <f t="shared" si="272"/>
        <v>42423</v>
      </c>
      <c r="D1575" s="190" t="s">
        <v>1597</v>
      </c>
      <c r="E1575" s="190">
        <v>42423</v>
      </c>
      <c r="F1575" s="191" t="s">
        <v>461</v>
      </c>
      <c r="G1575" s="833" t="s">
        <v>1048</v>
      </c>
      <c r="H1575" s="7" t="s">
        <v>1023</v>
      </c>
      <c r="I1575" s="253"/>
      <c r="J1575" s="253"/>
      <c r="K1575" s="584">
        <v>285320</v>
      </c>
      <c r="L1575" s="193" t="s">
        <v>251</v>
      </c>
      <c r="M1575" s="193" t="s">
        <v>354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26"/>
      <c r="AB1575" s="576"/>
    </row>
    <row r="1576" spans="1:30" s="576" customFormat="1" ht="15.75" customHeight="1">
      <c r="A1576" s="827" t="str">
        <f>IF(B1576&lt;&gt;"",IF(AND(B1576&gt;=_TM1,B1576&lt;=_TM2,OR(TH!L1576="1111",TH!M1576="1111")),TH!D1576,""),"")</f>
        <v/>
      </c>
      <c r="B1576" s="36">
        <f t="shared" si="271"/>
        <v>2</v>
      </c>
      <c r="C1576" s="190">
        <f t="shared" si="272"/>
        <v>42426</v>
      </c>
      <c r="D1576" s="190" t="s">
        <v>1598</v>
      </c>
      <c r="E1576" s="190">
        <v>42426</v>
      </c>
      <c r="F1576" s="191" t="s">
        <v>954</v>
      </c>
      <c r="G1576" s="833" t="s">
        <v>1049</v>
      </c>
      <c r="H1576" s="192" t="s">
        <v>1050</v>
      </c>
      <c r="I1576" s="253">
        <v>500</v>
      </c>
      <c r="J1576" s="253">
        <v>24140</v>
      </c>
      <c r="K1576" s="584">
        <f>ROUND(I1576*J1576,0)</f>
        <v>12070000</v>
      </c>
      <c r="L1576" s="193" t="s">
        <v>251</v>
      </c>
      <c r="M1576" s="193" t="s">
        <v>164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26"/>
      <c r="AB1576" s="576" t="str">
        <f>IF(VLOOKUP(F1576,NXT!$C$12:$C$786,1,0)=F1576,"","x")</f>
        <v/>
      </c>
      <c r="AC1576" s="205"/>
      <c r="AD1576" s="205"/>
    </row>
    <row r="1577" spans="1:30" s="576" customFormat="1" ht="15.75" customHeight="1">
      <c r="A1577" s="827" t="str">
        <f>IF(B1577&lt;&gt;"",IF(AND(B1577&gt;=_TM1,B1577&lt;=_TM2,OR(TH!L1577="1111",TH!M1577="1111")),TH!D1577,""),"")</f>
        <v/>
      </c>
      <c r="B1577" s="36">
        <f t="shared" si="271"/>
        <v>2</v>
      </c>
      <c r="C1577" s="190">
        <f t="shared" si="272"/>
        <v>42426</v>
      </c>
      <c r="D1577" s="190" t="s">
        <v>1598</v>
      </c>
      <c r="E1577" s="190">
        <v>42426</v>
      </c>
      <c r="F1577" s="191" t="s">
        <v>461</v>
      </c>
      <c r="G1577" s="833" t="s">
        <v>1049</v>
      </c>
      <c r="H1577" s="192" t="s">
        <v>1050</v>
      </c>
      <c r="I1577" s="253"/>
      <c r="J1577" s="253"/>
      <c r="K1577" s="584">
        <v>1207000</v>
      </c>
      <c r="L1577" s="193" t="s">
        <v>251</v>
      </c>
      <c r="M1577" s="193" t="s">
        <v>354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26"/>
      <c r="AC1577" s="205"/>
      <c r="AD1577" s="205"/>
    </row>
    <row r="1578" spans="1:30" s="576" customFormat="1" ht="15.75" customHeight="1">
      <c r="A1578" s="827" t="str">
        <f>IF(B1578&lt;&gt;"",IF(AND(B1578&gt;=_TM1,B1578&lt;=_TM2,OR(TH!L1578="1111",TH!M1578="1111")),TH!D1578,""),"")</f>
        <v/>
      </c>
      <c r="B1578" s="36">
        <f t="shared" si="271"/>
        <v>2</v>
      </c>
      <c r="C1578" s="190">
        <f t="shared" si="272"/>
        <v>42426</v>
      </c>
      <c r="D1578" s="190" t="s">
        <v>1599</v>
      </c>
      <c r="E1578" s="190">
        <v>42426</v>
      </c>
      <c r="F1578" s="191" t="s">
        <v>955</v>
      </c>
      <c r="G1578" s="833" t="s">
        <v>1051</v>
      </c>
      <c r="H1578" s="192" t="s">
        <v>1052</v>
      </c>
      <c r="I1578" s="253">
        <v>200</v>
      </c>
      <c r="J1578" s="253">
        <v>6950</v>
      </c>
      <c r="K1578" s="584">
        <f>ROUND(I1578*J1578,0)</f>
        <v>1390000</v>
      </c>
      <c r="L1578" s="193" t="s">
        <v>251</v>
      </c>
      <c r="M1578" s="193" t="s">
        <v>164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26"/>
      <c r="AB1578" s="576" t="str">
        <f>IF(VLOOKUP(F1578,NXT!$C$12:$C$786,1,0)=F1578,"","x")</f>
        <v/>
      </c>
      <c r="AC1578" s="205"/>
      <c r="AD1578" s="205"/>
    </row>
    <row r="1579" spans="1:30" s="576" customFormat="1" ht="15.75" customHeight="1">
      <c r="A1579" s="827" t="str">
        <f>IF(B1579&lt;&gt;"",IF(AND(B1579&gt;=_TM1,B1579&lt;=_TM2,OR(TH!L1579="1111",TH!M1579="1111")),TH!D1579,""),"")</f>
        <v/>
      </c>
      <c r="B1579" s="36">
        <f t="shared" si="271"/>
        <v>2</v>
      </c>
      <c r="C1579" s="190">
        <f t="shared" si="272"/>
        <v>42426</v>
      </c>
      <c r="D1579" s="190" t="s">
        <v>1599</v>
      </c>
      <c r="E1579" s="190">
        <v>42426</v>
      </c>
      <c r="F1579" s="191" t="s">
        <v>461</v>
      </c>
      <c r="G1579" s="833" t="s">
        <v>1051</v>
      </c>
      <c r="H1579" s="192" t="s">
        <v>1052</v>
      </c>
      <c r="I1579" s="253"/>
      <c r="J1579" s="253"/>
      <c r="K1579" s="584">
        <v>139000</v>
      </c>
      <c r="L1579" s="193" t="s">
        <v>251</v>
      </c>
      <c r="M1579" s="193" t="s">
        <v>354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26"/>
      <c r="AC1579" s="205"/>
      <c r="AD1579" s="205"/>
    </row>
    <row r="1580" spans="1:30" s="576" customFormat="1" ht="15.75" customHeight="1">
      <c r="A1580" s="827" t="str">
        <f>IF(B1580&lt;&gt;"",IF(AND(B1580&gt;=_TM1,B1580&lt;=_TM2,OR(TH!L1580="1111",TH!M1580="1111")),TH!D1580,""),"")</f>
        <v/>
      </c>
      <c r="B1580" s="36">
        <f t="shared" si="271"/>
        <v>2</v>
      </c>
      <c r="C1580" s="190">
        <f t="shared" si="272"/>
        <v>42427</v>
      </c>
      <c r="D1580" s="190" t="s">
        <v>1600</v>
      </c>
      <c r="E1580" s="190">
        <v>42427</v>
      </c>
      <c r="F1580" s="191" t="s">
        <v>659</v>
      </c>
      <c r="G1580" s="833" t="s">
        <v>1053</v>
      </c>
      <c r="H1580" s="192" t="s">
        <v>658</v>
      </c>
      <c r="I1580" s="253">
        <v>1000</v>
      </c>
      <c r="J1580" s="253">
        <v>9800</v>
      </c>
      <c r="K1580" s="584">
        <f>ROUND(I1580*J1580,0)</f>
        <v>9800000</v>
      </c>
      <c r="L1580" s="193" t="s">
        <v>251</v>
      </c>
      <c r="M1580" s="193" t="s">
        <v>164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26"/>
      <c r="AB1580" s="576" t="str">
        <f>IF(VLOOKUP(F1580,NXT!$C$12:$C$786,1,0)=F1580,"","x")</f>
        <v/>
      </c>
      <c r="AC1580" s="205"/>
      <c r="AD1580" s="205"/>
    </row>
    <row r="1581" spans="1:30" s="576" customFormat="1" ht="15.75" customHeight="1">
      <c r="A1581" s="827" t="str">
        <f>IF(B1581&lt;&gt;"",IF(AND(B1581&gt;=_TM1,B1581&lt;=_TM2,OR(TH!L1581="1111",TH!M1581="1111")),TH!D1581,""),"")</f>
        <v/>
      </c>
      <c r="B1581" s="36">
        <f t="shared" si="271"/>
        <v>2</v>
      </c>
      <c r="C1581" s="190">
        <f t="shared" si="272"/>
        <v>42427</v>
      </c>
      <c r="D1581" s="190" t="s">
        <v>1600</v>
      </c>
      <c r="E1581" s="190">
        <v>42427</v>
      </c>
      <c r="F1581" s="191" t="s">
        <v>461</v>
      </c>
      <c r="G1581" s="833" t="s">
        <v>1053</v>
      </c>
      <c r="H1581" s="192" t="s">
        <v>658</v>
      </c>
      <c r="I1581" s="253"/>
      <c r="J1581" s="253"/>
      <c r="K1581" s="584">
        <v>980000</v>
      </c>
      <c r="L1581" s="193" t="s">
        <v>251</v>
      </c>
      <c r="M1581" s="193" t="s">
        <v>354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26"/>
      <c r="AC1581" s="205"/>
      <c r="AD1581" s="205"/>
    </row>
    <row r="1582" spans="1:30" s="576" customFormat="1" ht="15.75" customHeight="1">
      <c r="A1582" s="827" t="str">
        <f>IF(B1582&lt;&gt;"",IF(AND(B1582&gt;=_TM1,B1582&lt;=_TM2,OR(TH!L1582="1111",TH!M1582="1111")),TH!D1582,""),"")</f>
        <v/>
      </c>
      <c r="B1582" s="36">
        <f t="shared" si="271"/>
        <v>2</v>
      </c>
      <c r="C1582" s="190">
        <f t="shared" si="272"/>
        <v>42429</v>
      </c>
      <c r="D1582" s="190" t="s">
        <v>1601</v>
      </c>
      <c r="E1582" s="190">
        <v>42429</v>
      </c>
      <c r="F1582" s="191" t="s">
        <v>996</v>
      </c>
      <c r="G1582" s="833" t="s">
        <v>1054</v>
      </c>
      <c r="H1582" s="192" t="s">
        <v>678</v>
      </c>
      <c r="I1582" s="253">
        <v>3</v>
      </c>
      <c r="J1582" s="253">
        <v>25016</v>
      </c>
      <c r="K1582" s="584">
        <f t="shared" ref="K1582:K1609" si="273">ROUND(I1582*J1582,0)</f>
        <v>75048</v>
      </c>
      <c r="L1582" s="193" t="s">
        <v>251</v>
      </c>
      <c r="M1582" s="193" t="s">
        <v>164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26"/>
      <c r="AB1582" s="576" t="str">
        <f>IF(VLOOKUP(F1582,NXT!$C$12:$C$786,1,0)=F1582,"","x")</f>
        <v/>
      </c>
      <c r="AC1582" s="205"/>
      <c r="AD1582" s="205"/>
    </row>
    <row r="1583" spans="1:30" s="576" customFormat="1" ht="15.75" customHeight="1">
      <c r="A1583" s="827" t="str">
        <f>IF(B1583&lt;&gt;"",IF(AND(B1583&gt;=_TM1,B1583&lt;=_TM2,OR(TH!L1583="1111",TH!M1583="1111")),TH!D1583,""),"")</f>
        <v/>
      </c>
      <c r="B1583" s="36">
        <f t="shared" si="271"/>
        <v>2</v>
      </c>
      <c r="C1583" s="190">
        <f t="shared" si="272"/>
        <v>42429</v>
      </c>
      <c r="D1583" s="190" t="s">
        <v>1601</v>
      </c>
      <c r="E1583" s="190">
        <v>42429</v>
      </c>
      <c r="F1583" s="191" t="s">
        <v>997</v>
      </c>
      <c r="G1583" s="833" t="s">
        <v>1054</v>
      </c>
      <c r="H1583" s="192" t="s">
        <v>678</v>
      </c>
      <c r="I1583" s="253">
        <v>24</v>
      </c>
      <c r="J1583" s="253">
        <v>9216</v>
      </c>
      <c r="K1583" s="584">
        <f t="shared" si="273"/>
        <v>221184</v>
      </c>
      <c r="L1583" s="193" t="s">
        <v>251</v>
      </c>
      <c r="M1583" s="193" t="s">
        <v>164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26"/>
      <c r="AB1583" s="576" t="str">
        <f>IF(VLOOKUP(F1583,NXT!$C$12:$C$786,1,0)=F1583,"","x")</f>
        <v/>
      </c>
      <c r="AC1583" s="205"/>
      <c r="AD1583" s="205"/>
    </row>
    <row r="1584" spans="1:30" s="576" customFormat="1" ht="15.75" customHeight="1">
      <c r="A1584" s="827" t="str">
        <f>IF(B1584&lt;&gt;"",IF(AND(B1584&gt;=_TM1,B1584&lt;=_TM2,OR(TH!L1584="1111",TH!M1584="1111")),TH!D1584,""),"")</f>
        <v/>
      </c>
      <c r="B1584" s="36">
        <f t="shared" si="271"/>
        <v>2</v>
      </c>
      <c r="C1584" s="190">
        <f t="shared" si="272"/>
        <v>42429</v>
      </c>
      <c r="D1584" s="190" t="s">
        <v>1601</v>
      </c>
      <c r="E1584" s="190">
        <v>42429</v>
      </c>
      <c r="F1584" s="191" t="s">
        <v>998</v>
      </c>
      <c r="G1584" s="833" t="s">
        <v>1054</v>
      </c>
      <c r="H1584" s="192" t="s">
        <v>678</v>
      </c>
      <c r="I1584" s="253">
        <v>20</v>
      </c>
      <c r="J1584" s="253">
        <v>12630</v>
      </c>
      <c r="K1584" s="584">
        <f t="shared" si="273"/>
        <v>252600</v>
      </c>
      <c r="L1584" s="193" t="s">
        <v>251</v>
      </c>
      <c r="M1584" s="193" t="s">
        <v>164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26"/>
      <c r="AB1584" s="576" t="str">
        <f>IF(VLOOKUP(F1584,NXT!$C$12:$C$786,1,0)=F1584,"","x")</f>
        <v/>
      </c>
      <c r="AC1584" s="205"/>
      <c r="AD1584" s="205"/>
    </row>
    <row r="1585" spans="1:30" s="576" customFormat="1" ht="15.75" customHeight="1">
      <c r="A1585" s="827" t="str">
        <f>IF(B1585&lt;&gt;"",IF(AND(B1585&gt;=_TM1,B1585&lt;=_TM2,OR(TH!L1585="1111",TH!M1585="1111")),TH!D1585,""),"")</f>
        <v/>
      </c>
      <c r="B1585" s="36">
        <f t="shared" si="271"/>
        <v>2</v>
      </c>
      <c r="C1585" s="190">
        <f t="shared" si="272"/>
        <v>42429</v>
      </c>
      <c r="D1585" s="190" t="s">
        <v>1601</v>
      </c>
      <c r="E1585" s="190">
        <v>42429</v>
      </c>
      <c r="F1585" s="191" t="s">
        <v>999</v>
      </c>
      <c r="G1585" s="833" t="s">
        <v>1054</v>
      </c>
      <c r="H1585" s="192" t="s">
        <v>678</v>
      </c>
      <c r="I1585" s="253">
        <v>15</v>
      </c>
      <c r="J1585" s="253">
        <v>32766</v>
      </c>
      <c r="K1585" s="584">
        <f t="shared" si="273"/>
        <v>491490</v>
      </c>
      <c r="L1585" s="193" t="s">
        <v>251</v>
      </c>
      <c r="M1585" s="193" t="s">
        <v>164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26"/>
      <c r="AB1585" s="576" t="str">
        <f>IF(VLOOKUP(F1585,NXT!$C$12:$C$786,1,0)=F1585,"","x")</f>
        <v/>
      </c>
      <c r="AC1585" s="205"/>
      <c r="AD1585" s="205"/>
    </row>
    <row r="1586" spans="1:30" s="576" customFormat="1" ht="15.75" customHeight="1">
      <c r="A1586" s="827" t="str">
        <f>IF(B1586&lt;&gt;"",IF(AND(B1586&gt;=_TM1,B1586&lt;=_TM2,OR(TH!L1586="1111",TH!M1586="1111")),TH!D1586,""),"")</f>
        <v/>
      </c>
      <c r="B1586" s="36">
        <f t="shared" si="271"/>
        <v>2</v>
      </c>
      <c r="C1586" s="190">
        <f t="shared" si="272"/>
        <v>42429</v>
      </c>
      <c r="D1586" s="190" t="s">
        <v>1601</v>
      </c>
      <c r="E1586" s="190">
        <v>42429</v>
      </c>
      <c r="F1586" s="191" t="s">
        <v>1000</v>
      </c>
      <c r="G1586" s="833" t="s">
        <v>1054</v>
      </c>
      <c r="H1586" s="192" t="s">
        <v>678</v>
      </c>
      <c r="I1586" s="253">
        <v>6</v>
      </c>
      <c r="J1586" s="253">
        <v>4709</v>
      </c>
      <c r="K1586" s="584">
        <f t="shared" si="273"/>
        <v>28254</v>
      </c>
      <c r="L1586" s="193" t="s">
        <v>251</v>
      </c>
      <c r="M1586" s="193" t="s">
        <v>164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26"/>
      <c r="AB1586" s="576" t="str">
        <f>IF(VLOOKUP(F1586,NXT!$C$12:$C$786,1,0)=F1586,"","x")</f>
        <v/>
      </c>
      <c r="AC1586" s="205"/>
      <c r="AD1586" s="205"/>
    </row>
    <row r="1587" spans="1:30" s="576" customFormat="1" ht="15.75" customHeight="1">
      <c r="A1587" s="827" t="str">
        <f>IF(B1587&lt;&gt;"",IF(AND(B1587&gt;=_TM1,B1587&lt;=_TM2,OR(TH!L1587="1111",TH!M1587="1111")),TH!D1587,""),"")</f>
        <v/>
      </c>
      <c r="B1587" s="36">
        <f t="shared" si="271"/>
        <v>2</v>
      </c>
      <c r="C1587" s="190">
        <f t="shared" si="272"/>
        <v>42429</v>
      </c>
      <c r="D1587" s="190" t="s">
        <v>1601</v>
      </c>
      <c r="E1587" s="190">
        <v>42429</v>
      </c>
      <c r="F1587" s="191" t="s">
        <v>1001</v>
      </c>
      <c r="G1587" s="833" t="s">
        <v>1054</v>
      </c>
      <c r="H1587" s="192" t="s">
        <v>678</v>
      </c>
      <c r="I1587" s="253">
        <v>6</v>
      </c>
      <c r="J1587" s="253">
        <v>6821</v>
      </c>
      <c r="K1587" s="584">
        <f t="shared" si="273"/>
        <v>40926</v>
      </c>
      <c r="L1587" s="193" t="s">
        <v>251</v>
      </c>
      <c r="M1587" s="193" t="s">
        <v>164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26"/>
      <c r="AB1587" s="576" t="str">
        <f>IF(VLOOKUP(F1587,NXT!$C$12:$C$786,1,0)=F1587,"","x")</f>
        <v/>
      </c>
      <c r="AC1587" s="205"/>
      <c r="AD1587" s="205"/>
    </row>
    <row r="1588" spans="1:30" s="576" customFormat="1" ht="15.75" customHeight="1">
      <c r="A1588" s="827" t="str">
        <f>IF(B1588&lt;&gt;"",IF(AND(B1588&gt;=_TM1,B1588&lt;=_TM2,OR(TH!L1588="1111",TH!M1588="1111")),TH!D1588,""),"")</f>
        <v/>
      </c>
      <c r="B1588" s="36">
        <f t="shared" si="271"/>
        <v>2</v>
      </c>
      <c r="C1588" s="190">
        <f t="shared" si="272"/>
        <v>42429</v>
      </c>
      <c r="D1588" s="190" t="s">
        <v>1601</v>
      </c>
      <c r="E1588" s="190">
        <v>42429</v>
      </c>
      <c r="F1588" s="191" t="s">
        <v>1002</v>
      </c>
      <c r="G1588" s="833" t="s">
        <v>1054</v>
      </c>
      <c r="H1588" s="192" t="s">
        <v>678</v>
      </c>
      <c r="I1588" s="253">
        <v>24</v>
      </c>
      <c r="J1588" s="253">
        <v>21908</v>
      </c>
      <c r="K1588" s="584">
        <f t="shared" si="273"/>
        <v>525792</v>
      </c>
      <c r="L1588" s="193" t="s">
        <v>251</v>
      </c>
      <c r="M1588" s="193" t="s">
        <v>164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26"/>
      <c r="AB1588" s="576" t="str">
        <f>IF(VLOOKUP(F1588,NXT!$C$12:$C$786,1,0)=F1588,"","x")</f>
        <v/>
      </c>
      <c r="AC1588" s="205"/>
      <c r="AD1588" s="205"/>
    </row>
    <row r="1589" spans="1:30" s="576" customFormat="1" ht="15.75" customHeight="1">
      <c r="A1589" s="827" t="str">
        <f>IF(B1589&lt;&gt;"",IF(AND(B1589&gt;=_TM1,B1589&lt;=_TM2,OR(TH!L1589="1111",TH!M1589="1111")),TH!D1589,""),"")</f>
        <v/>
      </c>
      <c r="B1589" s="36">
        <f t="shared" si="271"/>
        <v>2</v>
      </c>
      <c r="C1589" s="190">
        <f t="shared" si="272"/>
        <v>42429</v>
      </c>
      <c r="D1589" s="190" t="s">
        <v>1601</v>
      </c>
      <c r="E1589" s="190">
        <v>42429</v>
      </c>
      <c r="F1589" s="191" t="s">
        <v>1003</v>
      </c>
      <c r="G1589" s="833" t="s">
        <v>1054</v>
      </c>
      <c r="H1589" s="192" t="s">
        <v>678</v>
      </c>
      <c r="I1589" s="253">
        <v>60</v>
      </c>
      <c r="J1589" s="253">
        <v>21322</v>
      </c>
      <c r="K1589" s="584">
        <f t="shared" si="273"/>
        <v>1279320</v>
      </c>
      <c r="L1589" s="193" t="s">
        <v>251</v>
      </c>
      <c r="M1589" s="193" t="s">
        <v>164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26"/>
      <c r="AB1589" s="576" t="str">
        <f>IF(VLOOKUP(F1589,NXT!$C$12:$C$786,1,0)=F1589,"","x")</f>
        <v/>
      </c>
      <c r="AC1589" s="205"/>
      <c r="AD1589" s="205"/>
    </row>
    <row r="1590" spans="1:30" s="576" customFormat="1" ht="15.75" customHeight="1">
      <c r="A1590" s="827" t="str">
        <f>IF(B1590&lt;&gt;"",IF(AND(B1590&gt;=_TM1,B1590&lt;=_TM2,OR(TH!L1590="1111",TH!M1590="1111")),TH!D1590,""),"")</f>
        <v/>
      </c>
      <c r="B1590" s="36">
        <f t="shared" si="271"/>
        <v>2</v>
      </c>
      <c r="C1590" s="190">
        <f t="shared" si="272"/>
        <v>42429</v>
      </c>
      <c r="D1590" s="190" t="s">
        <v>1601</v>
      </c>
      <c r="E1590" s="190">
        <v>42429</v>
      </c>
      <c r="F1590" s="191" t="s">
        <v>882</v>
      </c>
      <c r="G1590" s="833" t="s">
        <v>1054</v>
      </c>
      <c r="H1590" s="192" t="s">
        <v>678</v>
      </c>
      <c r="I1590" s="253">
        <v>30</v>
      </c>
      <c r="J1590" s="253">
        <v>14281</v>
      </c>
      <c r="K1590" s="584">
        <f t="shared" si="273"/>
        <v>428430</v>
      </c>
      <c r="L1590" s="193" t="s">
        <v>251</v>
      </c>
      <c r="M1590" s="193" t="s">
        <v>164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26"/>
      <c r="AB1590" s="576" t="str">
        <f>IF(VLOOKUP(F1590,NXT!$C$12:$C$786,1,0)=F1590,"","x")</f>
        <v/>
      </c>
      <c r="AC1590" s="205"/>
      <c r="AD1590" s="205"/>
    </row>
    <row r="1591" spans="1:30" s="576" customFormat="1" ht="15.75" customHeight="1">
      <c r="A1591" s="827" t="str">
        <f>IF(B1591&lt;&gt;"",IF(AND(B1591&gt;=_TM1,B1591&lt;=_TM2,OR(TH!L1591="1111",TH!M1591="1111")),TH!D1591,""),"")</f>
        <v/>
      </c>
      <c r="B1591" s="36">
        <f t="shared" si="271"/>
        <v>2</v>
      </c>
      <c r="C1591" s="190">
        <f t="shared" si="272"/>
        <v>42429</v>
      </c>
      <c r="D1591" s="190" t="s">
        <v>1601</v>
      </c>
      <c r="E1591" s="190">
        <v>42429</v>
      </c>
      <c r="F1591" s="191" t="s">
        <v>542</v>
      </c>
      <c r="G1591" s="833" t="s">
        <v>1054</v>
      </c>
      <c r="H1591" s="192" t="s">
        <v>678</v>
      </c>
      <c r="I1591" s="253">
        <v>180</v>
      </c>
      <c r="J1591" s="253">
        <v>39996</v>
      </c>
      <c r="K1591" s="584">
        <f t="shared" si="273"/>
        <v>7199280</v>
      </c>
      <c r="L1591" s="193" t="s">
        <v>251</v>
      </c>
      <c r="M1591" s="193" t="s">
        <v>164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26"/>
      <c r="AB1591" s="576" t="str">
        <f>IF(VLOOKUP(F1591,NXT!$C$12:$C$786,1,0)=F1591,"","x")</f>
        <v/>
      </c>
      <c r="AC1591" s="205"/>
      <c r="AD1591" s="205"/>
    </row>
    <row r="1592" spans="1:30" s="576" customFormat="1" ht="15.75" customHeight="1">
      <c r="A1592" s="827" t="str">
        <f>IF(B1592&lt;&gt;"",IF(AND(B1592&gt;=_TM1,B1592&lt;=_TM2,OR(TH!L1592="1111",TH!M1592="1111")),TH!D1592,""),"")</f>
        <v/>
      </c>
      <c r="B1592" s="36">
        <f t="shared" si="271"/>
        <v>2</v>
      </c>
      <c r="C1592" s="190">
        <f t="shared" si="272"/>
        <v>42429</v>
      </c>
      <c r="D1592" s="190" t="s">
        <v>1601</v>
      </c>
      <c r="E1592" s="190">
        <v>42429</v>
      </c>
      <c r="F1592" s="191" t="s">
        <v>1004</v>
      </c>
      <c r="G1592" s="833" t="s">
        <v>1054</v>
      </c>
      <c r="H1592" s="192" t="s">
        <v>678</v>
      </c>
      <c r="I1592" s="253">
        <v>12</v>
      </c>
      <c r="J1592" s="253">
        <v>43232</v>
      </c>
      <c r="K1592" s="584">
        <f t="shared" si="273"/>
        <v>518784</v>
      </c>
      <c r="L1592" s="193" t="s">
        <v>251</v>
      </c>
      <c r="M1592" s="193" t="s">
        <v>164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26"/>
      <c r="AB1592" s="576" t="str">
        <f>IF(VLOOKUP(F1592,NXT!$C$12:$C$786,1,0)=F1592,"","x")</f>
        <v/>
      </c>
      <c r="AC1592" s="205"/>
      <c r="AD1592" s="205"/>
    </row>
    <row r="1593" spans="1:30" s="576" customFormat="1" ht="15.75" customHeight="1">
      <c r="A1593" s="827" t="str">
        <f>IF(B1593&lt;&gt;"",IF(AND(B1593&gt;=_TM1,B1593&lt;=_TM2,OR(TH!L1593="1111",TH!M1593="1111")),TH!D1593,""),"")</f>
        <v/>
      </c>
      <c r="B1593" s="36">
        <f t="shared" si="271"/>
        <v>2</v>
      </c>
      <c r="C1593" s="190">
        <f t="shared" si="272"/>
        <v>42429</v>
      </c>
      <c r="D1593" s="190" t="s">
        <v>1601</v>
      </c>
      <c r="E1593" s="190">
        <v>42429</v>
      </c>
      <c r="F1593" s="191" t="s">
        <v>1005</v>
      </c>
      <c r="G1593" s="833" t="s">
        <v>1054</v>
      </c>
      <c r="H1593" s="192" t="s">
        <v>678</v>
      </c>
      <c r="I1593" s="253">
        <v>4</v>
      </c>
      <c r="J1593" s="253">
        <v>79972</v>
      </c>
      <c r="K1593" s="584">
        <f t="shared" si="273"/>
        <v>319888</v>
      </c>
      <c r="L1593" s="193" t="s">
        <v>251</v>
      </c>
      <c r="M1593" s="193" t="s">
        <v>164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26"/>
      <c r="AB1593" s="576" t="str">
        <f>IF(VLOOKUP(F1593,NXT!$C$12:$C$786,1,0)=F1593,"","x")</f>
        <v/>
      </c>
      <c r="AC1593" s="205"/>
      <c r="AD1593" s="205"/>
    </row>
    <row r="1594" spans="1:30" s="576" customFormat="1" ht="15.75" customHeight="1">
      <c r="A1594" s="827" t="str">
        <f>IF(B1594&lt;&gt;"",IF(AND(B1594&gt;=_TM1,B1594&lt;=_TM2,OR(TH!L1594="1111",TH!M1594="1111")),TH!D1594,""),"")</f>
        <v/>
      </c>
      <c r="B1594" s="36">
        <f t="shared" si="271"/>
        <v>2</v>
      </c>
      <c r="C1594" s="190">
        <f t="shared" si="272"/>
        <v>42429</v>
      </c>
      <c r="D1594" s="190" t="s">
        <v>1601</v>
      </c>
      <c r="E1594" s="190">
        <v>42429</v>
      </c>
      <c r="F1594" s="191" t="s">
        <v>1005</v>
      </c>
      <c r="G1594" s="833" t="s">
        <v>1054</v>
      </c>
      <c r="H1594" s="192" t="s">
        <v>678</v>
      </c>
      <c r="I1594" s="253">
        <v>12</v>
      </c>
      <c r="J1594" s="253">
        <v>54136</v>
      </c>
      <c r="K1594" s="584">
        <f t="shared" si="273"/>
        <v>649632</v>
      </c>
      <c r="L1594" s="193" t="s">
        <v>251</v>
      </c>
      <c r="M1594" s="193" t="s">
        <v>164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26"/>
      <c r="AB1594" s="576" t="str">
        <f>IF(VLOOKUP(F1594,NXT!$C$12:$C$786,1,0)=F1594,"","x")</f>
        <v/>
      </c>
      <c r="AC1594" s="205"/>
      <c r="AD1594" s="205"/>
    </row>
    <row r="1595" spans="1:30" s="576" customFormat="1" ht="15.75" customHeight="1">
      <c r="A1595" s="827" t="str">
        <f>IF(B1595&lt;&gt;"",IF(AND(B1595&gt;=_TM1,B1595&lt;=_TM2,OR(TH!L1595="1111",TH!M1595="1111")),TH!D1595,""),"")</f>
        <v/>
      </c>
      <c r="B1595" s="36">
        <f t="shared" si="271"/>
        <v>2</v>
      </c>
      <c r="C1595" s="190">
        <f t="shared" si="272"/>
        <v>42429</v>
      </c>
      <c r="D1595" s="190" t="s">
        <v>1601</v>
      </c>
      <c r="E1595" s="190">
        <v>42429</v>
      </c>
      <c r="F1595" s="191" t="s">
        <v>1006</v>
      </c>
      <c r="G1595" s="833" t="s">
        <v>1054</v>
      </c>
      <c r="H1595" s="192" t="s">
        <v>678</v>
      </c>
      <c r="I1595" s="253">
        <v>8</v>
      </c>
      <c r="J1595" s="253">
        <v>69378</v>
      </c>
      <c r="K1595" s="584">
        <f t="shared" si="273"/>
        <v>555024</v>
      </c>
      <c r="L1595" s="193" t="s">
        <v>251</v>
      </c>
      <c r="M1595" s="193" t="s">
        <v>164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26"/>
      <c r="AB1595" s="576" t="str">
        <f>IF(VLOOKUP(F1595,NXT!$C$12:$C$786,1,0)=F1595,"","x")</f>
        <v/>
      </c>
      <c r="AC1595" s="205"/>
      <c r="AD1595" s="205"/>
    </row>
    <row r="1596" spans="1:30" s="576" customFormat="1" ht="15.75" customHeight="1">
      <c r="A1596" s="827" t="str">
        <f>IF(B1596&lt;&gt;"",IF(AND(B1596&gt;=_TM1,B1596&lt;=_TM2,OR(TH!L1596="1111",TH!M1596="1111")),TH!D1596,""),"")</f>
        <v/>
      </c>
      <c r="B1596" s="36">
        <f t="shared" si="271"/>
        <v>2</v>
      </c>
      <c r="C1596" s="190">
        <f t="shared" si="272"/>
        <v>42429</v>
      </c>
      <c r="D1596" s="190" t="s">
        <v>1601</v>
      </c>
      <c r="E1596" s="190">
        <v>42429</v>
      </c>
      <c r="F1596" s="191" t="s">
        <v>1007</v>
      </c>
      <c r="G1596" s="833" t="s">
        <v>1054</v>
      </c>
      <c r="H1596" s="192" t="s">
        <v>678</v>
      </c>
      <c r="I1596" s="253">
        <v>12</v>
      </c>
      <c r="J1596" s="253">
        <v>54136</v>
      </c>
      <c r="K1596" s="584">
        <f t="shared" si="273"/>
        <v>649632</v>
      </c>
      <c r="L1596" s="193" t="s">
        <v>251</v>
      </c>
      <c r="M1596" s="193" t="s">
        <v>164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26"/>
      <c r="AB1596" s="576" t="str">
        <f>IF(VLOOKUP(F1596,NXT!$C$12:$C$786,1,0)=F1596,"","x")</f>
        <v/>
      </c>
      <c r="AC1596" s="205"/>
      <c r="AD1596" s="205"/>
    </row>
    <row r="1597" spans="1:30" s="576" customFormat="1" ht="15.75" customHeight="1">
      <c r="A1597" s="827" t="str">
        <f>IF(B1597&lt;&gt;"",IF(AND(B1597&gt;=_TM1,B1597&lt;=_TM2,OR(TH!L1597="1111",TH!M1597="1111")),TH!D1597,""),"")</f>
        <v/>
      </c>
      <c r="B1597" s="36">
        <f t="shared" si="271"/>
        <v>2</v>
      </c>
      <c r="C1597" s="190">
        <f t="shared" si="272"/>
        <v>42429</v>
      </c>
      <c r="D1597" s="190" t="s">
        <v>1601</v>
      </c>
      <c r="E1597" s="190">
        <v>42429</v>
      </c>
      <c r="F1597" s="191" t="s">
        <v>1008</v>
      </c>
      <c r="G1597" s="833" t="s">
        <v>1054</v>
      </c>
      <c r="H1597" s="192" t="s">
        <v>678</v>
      </c>
      <c r="I1597" s="253">
        <v>4</v>
      </c>
      <c r="J1597" s="253">
        <v>135935</v>
      </c>
      <c r="K1597" s="584">
        <f t="shared" si="273"/>
        <v>543740</v>
      </c>
      <c r="L1597" s="193" t="s">
        <v>251</v>
      </c>
      <c r="M1597" s="193" t="s">
        <v>164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26"/>
      <c r="AB1597" s="576" t="str">
        <f>IF(VLOOKUP(F1597,NXT!$C$12:$C$786,1,0)=F1597,"","x")</f>
        <v/>
      </c>
      <c r="AC1597" s="205"/>
      <c r="AD1597" s="205"/>
    </row>
    <row r="1598" spans="1:30" s="576" customFormat="1" ht="15.75" customHeight="1">
      <c r="A1598" s="827" t="str">
        <f>IF(B1598&lt;&gt;"",IF(AND(B1598&gt;=_TM1,B1598&lt;=_TM2,OR(TH!L1598="1111",TH!M1598="1111")),TH!D1598,""),"")</f>
        <v/>
      </c>
      <c r="B1598" s="36">
        <f t="shared" si="271"/>
        <v>2</v>
      </c>
      <c r="C1598" s="190">
        <f t="shared" si="272"/>
        <v>42429</v>
      </c>
      <c r="D1598" s="190" t="s">
        <v>1601</v>
      </c>
      <c r="E1598" s="190">
        <v>42429</v>
      </c>
      <c r="F1598" s="191" t="s">
        <v>1009</v>
      </c>
      <c r="G1598" s="833" t="s">
        <v>1054</v>
      </c>
      <c r="H1598" s="192" t="s">
        <v>678</v>
      </c>
      <c r="I1598" s="253">
        <v>7</v>
      </c>
      <c r="J1598" s="253">
        <v>44828</v>
      </c>
      <c r="K1598" s="584">
        <f t="shared" si="273"/>
        <v>313796</v>
      </c>
      <c r="L1598" s="193" t="s">
        <v>251</v>
      </c>
      <c r="M1598" s="193" t="s">
        <v>164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26"/>
      <c r="AB1598" s="576" t="str">
        <f>IF(VLOOKUP(F1598,NXT!$C$12:$C$786,1,0)=F1598,"","x")</f>
        <v/>
      </c>
      <c r="AC1598" s="205"/>
      <c r="AD1598" s="205"/>
    </row>
    <row r="1599" spans="1:30" s="576" customFormat="1" ht="15.75" customHeight="1">
      <c r="A1599" s="827" t="str">
        <f>IF(B1599&lt;&gt;"",IF(AND(B1599&gt;=_TM1,B1599&lt;=_TM2,OR(TH!L1599="1111",TH!M1599="1111")),TH!D1599,""),"")</f>
        <v/>
      </c>
      <c r="B1599" s="36">
        <f t="shared" si="271"/>
        <v>2</v>
      </c>
      <c r="C1599" s="190">
        <f t="shared" si="272"/>
        <v>42429</v>
      </c>
      <c r="D1599" s="190" t="s">
        <v>1601</v>
      </c>
      <c r="E1599" s="190">
        <v>42429</v>
      </c>
      <c r="F1599" s="191" t="s">
        <v>1010</v>
      </c>
      <c r="G1599" s="833" t="s">
        <v>1054</v>
      </c>
      <c r="H1599" s="192" t="s">
        <v>678</v>
      </c>
      <c r="I1599" s="253">
        <v>8</v>
      </c>
      <c r="J1599" s="253">
        <v>48275</v>
      </c>
      <c r="K1599" s="584">
        <f t="shared" si="273"/>
        <v>386200</v>
      </c>
      <c r="L1599" s="193" t="s">
        <v>251</v>
      </c>
      <c r="M1599" s="193" t="s">
        <v>164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26"/>
      <c r="AB1599" s="576" t="str">
        <f>IF(VLOOKUP(F1599,NXT!$C$12:$C$786,1,0)=F1599,"","x")</f>
        <v/>
      </c>
      <c r="AC1599" s="205"/>
      <c r="AD1599" s="205"/>
    </row>
    <row r="1600" spans="1:30" s="576" customFormat="1" ht="15.75" customHeight="1">
      <c r="A1600" s="827" t="str">
        <f>IF(B1600&lt;&gt;"",IF(AND(B1600&gt;=_TM1,B1600&lt;=_TM2,OR(TH!L1600="1111",TH!M1600="1111")),TH!D1600,""),"")</f>
        <v/>
      </c>
      <c r="B1600" s="36">
        <f t="shared" si="271"/>
        <v>2</v>
      </c>
      <c r="C1600" s="190">
        <f t="shared" si="272"/>
        <v>42429</v>
      </c>
      <c r="D1600" s="190" t="s">
        <v>1601</v>
      </c>
      <c r="E1600" s="190">
        <v>42429</v>
      </c>
      <c r="F1600" s="191" t="s">
        <v>1011</v>
      </c>
      <c r="G1600" s="833" t="s">
        <v>1054</v>
      </c>
      <c r="H1600" s="192" t="s">
        <v>678</v>
      </c>
      <c r="I1600" s="253">
        <v>16</v>
      </c>
      <c r="J1600" s="253">
        <v>67427</v>
      </c>
      <c r="K1600" s="584">
        <f t="shared" si="273"/>
        <v>1078832</v>
      </c>
      <c r="L1600" s="193" t="s">
        <v>251</v>
      </c>
      <c r="M1600" s="193" t="s">
        <v>164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26"/>
      <c r="AB1600" s="576" t="str">
        <f>IF(VLOOKUP(F1600,NXT!$C$12:$C$786,1,0)=F1600,"","x")</f>
        <v/>
      </c>
      <c r="AC1600" s="205"/>
      <c r="AD1600" s="205"/>
    </row>
    <row r="1601" spans="1:30" ht="15.75" customHeight="1">
      <c r="A1601" s="827" t="str">
        <f>IF(B1601&lt;&gt;"",IF(AND(B1601&gt;=_TM1,B1601&lt;=_TM2,OR(TH!L1601="1111",TH!M1601="1111")),TH!D1601,""),"")</f>
        <v/>
      </c>
      <c r="B1601" s="36">
        <f t="shared" si="271"/>
        <v>2</v>
      </c>
      <c r="C1601" s="190">
        <f t="shared" si="272"/>
        <v>42429</v>
      </c>
      <c r="D1601" s="190" t="s">
        <v>1601</v>
      </c>
      <c r="E1601" s="190">
        <v>42429</v>
      </c>
      <c r="F1601" s="191" t="s">
        <v>1012</v>
      </c>
      <c r="G1601" s="833" t="s">
        <v>1054</v>
      </c>
      <c r="H1601" s="192" t="s">
        <v>678</v>
      </c>
      <c r="I1601" s="253">
        <v>7</v>
      </c>
      <c r="J1601" s="253">
        <v>62200</v>
      </c>
      <c r="K1601" s="584">
        <f t="shared" si="273"/>
        <v>435400</v>
      </c>
      <c r="L1601" s="193" t="s">
        <v>251</v>
      </c>
      <c r="M1601" s="193" t="s">
        <v>164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26"/>
      <c r="AB1601" s="576" t="str">
        <f>IF(VLOOKUP(F1601,NXT!$C$12:$C$786,1,0)=F1601,"","x")</f>
        <v/>
      </c>
    </row>
    <row r="1602" spans="1:30" ht="15.75" customHeight="1">
      <c r="A1602" s="827" t="str">
        <f>IF(B1602&lt;&gt;"",IF(AND(B1602&gt;=_TM1,B1602&lt;=_TM2,OR(TH!L1602="1111",TH!M1602="1111")),TH!D1602,""),"")</f>
        <v/>
      </c>
      <c r="B1602" s="36">
        <f t="shared" si="271"/>
        <v>2</v>
      </c>
      <c r="C1602" s="190">
        <f t="shared" si="272"/>
        <v>42429</v>
      </c>
      <c r="D1602" s="190" t="s">
        <v>1601</v>
      </c>
      <c r="E1602" s="190">
        <v>42429</v>
      </c>
      <c r="F1602" s="191" t="s">
        <v>1013</v>
      </c>
      <c r="G1602" s="833" t="s">
        <v>1054</v>
      </c>
      <c r="H1602" s="192" t="s">
        <v>678</v>
      </c>
      <c r="I1602" s="253">
        <v>4</v>
      </c>
      <c r="J1602" s="253">
        <v>79449</v>
      </c>
      <c r="K1602" s="584">
        <f t="shared" si="273"/>
        <v>317796</v>
      </c>
      <c r="L1602" s="193" t="s">
        <v>251</v>
      </c>
      <c r="M1602" s="193" t="s">
        <v>164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26"/>
      <c r="AB1602" s="576" t="str">
        <f>IF(VLOOKUP(F1602,NXT!$C$12:$C$786,1,0)=F1602,"","x")</f>
        <v/>
      </c>
    </row>
    <row r="1603" spans="1:30" s="576" customFormat="1" ht="15.75" customHeight="1">
      <c r="A1603" s="827" t="str">
        <f>IF(B1603&lt;&gt;"",IF(AND(B1603&gt;=_TM1,B1603&lt;=_TM2,OR(TH!L1603="1111",TH!M1603="1111")),TH!D1603,""),"")</f>
        <v/>
      </c>
      <c r="B1603" s="36">
        <f t="shared" si="271"/>
        <v>2</v>
      </c>
      <c r="C1603" s="190">
        <f t="shared" si="272"/>
        <v>42429</v>
      </c>
      <c r="D1603" s="190" t="s">
        <v>1601</v>
      </c>
      <c r="E1603" s="190">
        <v>42429</v>
      </c>
      <c r="F1603" s="191" t="s">
        <v>495</v>
      </c>
      <c r="G1603" s="833" t="s">
        <v>1054</v>
      </c>
      <c r="H1603" s="192" t="s">
        <v>678</v>
      </c>
      <c r="I1603" s="253">
        <v>72</v>
      </c>
      <c r="J1603" s="253">
        <v>8024</v>
      </c>
      <c r="K1603" s="584">
        <f t="shared" si="273"/>
        <v>577728</v>
      </c>
      <c r="L1603" s="193" t="s">
        <v>251</v>
      </c>
      <c r="M1603" s="193" t="s">
        <v>164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26"/>
      <c r="AB1603" s="576" t="str">
        <f>IF(VLOOKUP(F1603,NXT!$C$12:$C$786,1,0)=F1603,"","x")</f>
        <v/>
      </c>
      <c r="AC1603" s="205"/>
      <c r="AD1603" s="205"/>
    </row>
    <row r="1604" spans="1:30" s="576" customFormat="1" ht="15.75" customHeight="1">
      <c r="A1604" s="827" t="str">
        <f>IF(B1604&lt;&gt;"",IF(AND(B1604&gt;=_TM1,B1604&lt;=_TM2,OR(TH!L1604="1111",TH!M1604="1111")),TH!D1604,""),"")</f>
        <v/>
      </c>
      <c r="B1604" s="36">
        <f t="shared" si="271"/>
        <v>2</v>
      </c>
      <c r="C1604" s="190">
        <f t="shared" si="272"/>
        <v>42429</v>
      </c>
      <c r="D1604" s="190" t="s">
        <v>1601</v>
      </c>
      <c r="E1604" s="190">
        <v>42429</v>
      </c>
      <c r="F1604" s="191" t="s">
        <v>496</v>
      </c>
      <c r="G1604" s="833" t="s">
        <v>1054</v>
      </c>
      <c r="H1604" s="192" t="s">
        <v>678</v>
      </c>
      <c r="I1604" s="253">
        <v>72</v>
      </c>
      <c r="J1604" s="253">
        <v>17357</v>
      </c>
      <c r="K1604" s="584">
        <f t="shared" si="273"/>
        <v>1249704</v>
      </c>
      <c r="L1604" s="193" t="s">
        <v>251</v>
      </c>
      <c r="M1604" s="193" t="s">
        <v>164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26"/>
      <c r="AB1604" s="576" t="str">
        <f>IF(VLOOKUP(F1604,NXT!$C$12:$C$786,1,0)=F1604,"","x")</f>
        <v/>
      </c>
      <c r="AC1604" s="205"/>
      <c r="AD1604" s="205"/>
    </row>
    <row r="1605" spans="1:30" s="576" customFormat="1" ht="15.75" customHeight="1">
      <c r="A1605" s="827" t="str">
        <f>IF(B1605&lt;&gt;"",IF(AND(B1605&gt;=_TM1,B1605&lt;=_TM2,OR(TH!L1605="1111",TH!M1605="1111")),TH!D1605,""),"")</f>
        <v/>
      </c>
      <c r="B1605" s="36">
        <f t="shared" si="271"/>
        <v>2</v>
      </c>
      <c r="C1605" s="190">
        <f t="shared" si="272"/>
        <v>42429</v>
      </c>
      <c r="D1605" s="190" t="s">
        <v>1601</v>
      </c>
      <c r="E1605" s="190">
        <v>42429</v>
      </c>
      <c r="F1605" s="191" t="s">
        <v>497</v>
      </c>
      <c r="G1605" s="833" t="s">
        <v>1054</v>
      </c>
      <c r="H1605" s="192" t="s">
        <v>678</v>
      </c>
      <c r="I1605" s="253">
        <v>54</v>
      </c>
      <c r="J1605" s="253">
        <v>35484</v>
      </c>
      <c r="K1605" s="584">
        <f t="shared" si="273"/>
        <v>1916136</v>
      </c>
      <c r="L1605" s="193" t="s">
        <v>251</v>
      </c>
      <c r="M1605" s="193" t="s">
        <v>164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26"/>
      <c r="AB1605" s="576" t="str">
        <f>IF(VLOOKUP(F1605,NXT!$C$12:$C$786,1,0)=F1605,"","x")</f>
        <v/>
      </c>
      <c r="AC1605" s="205"/>
      <c r="AD1605" s="205"/>
    </row>
    <row r="1606" spans="1:30" s="576" customFormat="1" ht="15.75" customHeight="1">
      <c r="A1606" s="827" t="str">
        <f>IF(B1606&lt;&gt;"",IF(AND(B1606&gt;=_TM1,B1606&lt;=_TM2,OR(TH!L1606="1111",TH!M1606="1111")),TH!D1606,""),"")</f>
        <v/>
      </c>
      <c r="B1606" s="36">
        <f t="shared" si="271"/>
        <v>2</v>
      </c>
      <c r="C1606" s="190">
        <f t="shared" si="272"/>
        <v>42429</v>
      </c>
      <c r="D1606" s="190" t="s">
        <v>1601</v>
      </c>
      <c r="E1606" s="190">
        <v>42429</v>
      </c>
      <c r="F1606" s="191" t="s">
        <v>486</v>
      </c>
      <c r="G1606" s="833" t="s">
        <v>1054</v>
      </c>
      <c r="H1606" s="192" t="s">
        <v>678</v>
      </c>
      <c r="I1606" s="253">
        <v>30</v>
      </c>
      <c r="J1606" s="253">
        <v>11748</v>
      </c>
      <c r="K1606" s="584">
        <f t="shared" si="273"/>
        <v>352440</v>
      </c>
      <c r="L1606" s="193" t="s">
        <v>251</v>
      </c>
      <c r="M1606" s="193" t="s">
        <v>164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26"/>
      <c r="AB1606" s="576" t="str">
        <f>IF(VLOOKUP(F1606,NXT!$C$12:$C$786,1,0)=F1606,"","x")</f>
        <v/>
      </c>
      <c r="AC1606" s="205"/>
      <c r="AD1606" s="205"/>
    </row>
    <row r="1607" spans="1:30" s="576" customFormat="1" ht="15.75" customHeight="1">
      <c r="A1607" s="827" t="str">
        <f>IF(B1607&lt;&gt;"",IF(AND(B1607&gt;=_TM1,B1607&lt;=_TM2,OR(TH!L1607="1111",TH!M1607="1111")),TH!D1607,""),"")</f>
        <v/>
      </c>
      <c r="B1607" s="36">
        <f t="shared" si="271"/>
        <v>2</v>
      </c>
      <c r="C1607" s="190">
        <f t="shared" si="272"/>
        <v>42429</v>
      </c>
      <c r="D1607" s="190" t="s">
        <v>1601</v>
      </c>
      <c r="E1607" s="190">
        <v>42429</v>
      </c>
      <c r="F1607" s="191" t="s">
        <v>498</v>
      </c>
      <c r="G1607" s="833" t="s">
        <v>1054</v>
      </c>
      <c r="H1607" s="192" t="s">
        <v>678</v>
      </c>
      <c r="I1607" s="253">
        <v>36</v>
      </c>
      <c r="J1607" s="253">
        <v>22191</v>
      </c>
      <c r="K1607" s="584">
        <f t="shared" si="273"/>
        <v>798876</v>
      </c>
      <c r="L1607" s="193" t="s">
        <v>251</v>
      </c>
      <c r="M1607" s="193" t="s">
        <v>164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26"/>
      <c r="AB1607" s="576" t="str">
        <f>IF(VLOOKUP(F1607,NXT!$C$12:$C$786,1,0)=F1607,"","x")</f>
        <v/>
      </c>
      <c r="AC1607" s="205"/>
      <c r="AD1607" s="205"/>
    </row>
    <row r="1608" spans="1:30" ht="15.75" customHeight="1">
      <c r="A1608" s="827" t="str">
        <f>IF(B1608&lt;&gt;"",IF(AND(B1608&gt;=_TM1,B1608&lt;=_TM2,OR(TH!L1608="1111",TH!M1608="1111")),TH!D1608,""),"")</f>
        <v/>
      </c>
      <c r="B1608" s="36">
        <f t="shared" si="271"/>
        <v>2</v>
      </c>
      <c r="C1608" s="190">
        <f t="shared" si="272"/>
        <v>42429</v>
      </c>
      <c r="D1608" s="190" t="s">
        <v>1601</v>
      </c>
      <c r="E1608" s="190">
        <v>42429</v>
      </c>
      <c r="F1608" s="191" t="s">
        <v>487</v>
      </c>
      <c r="G1608" s="833" t="s">
        <v>1054</v>
      </c>
      <c r="H1608" s="192" t="s">
        <v>678</v>
      </c>
      <c r="I1608" s="253">
        <v>12</v>
      </c>
      <c r="J1608" s="253">
        <v>43871</v>
      </c>
      <c r="K1608" s="584">
        <f t="shared" si="273"/>
        <v>526452</v>
      </c>
      <c r="L1608" s="193" t="s">
        <v>251</v>
      </c>
      <c r="M1608" s="193" t="s">
        <v>164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26"/>
      <c r="AB1608" s="576" t="str">
        <f>IF(VLOOKUP(F1608,NXT!$C$12:$C$786,1,0)=F1608,"","x")</f>
        <v/>
      </c>
    </row>
    <row r="1609" spans="1:30" ht="15.75" customHeight="1">
      <c r="A1609" s="827" t="str">
        <f>IF(B1609&lt;&gt;"",IF(AND(B1609&gt;=_TM1,B1609&lt;=_TM2,OR(TH!L1609="1111",TH!M1609="1111")),TH!D1609,""),"")</f>
        <v/>
      </c>
      <c r="B1609" s="36">
        <f t="shared" si="271"/>
        <v>2</v>
      </c>
      <c r="C1609" s="190">
        <f t="shared" si="272"/>
        <v>42429</v>
      </c>
      <c r="D1609" s="190" t="s">
        <v>1601</v>
      </c>
      <c r="E1609" s="190">
        <v>42429</v>
      </c>
      <c r="F1609" s="191" t="s">
        <v>1014</v>
      </c>
      <c r="G1609" s="833" t="s">
        <v>1054</v>
      </c>
      <c r="H1609" s="192" t="s">
        <v>678</v>
      </c>
      <c r="I1609" s="253">
        <v>200</v>
      </c>
      <c r="J1609" s="253">
        <v>67708</v>
      </c>
      <c r="K1609" s="584">
        <f t="shared" si="273"/>
        <v>13541600</v>
      </c>
      <c r="L1609" s="193" t="s">
        <v>251</v>
      </c>
      <c r="M1609" s="193" t="s">
        <v>164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26"/>
      <c r="AB1609" s="576" t="str">
        <f>IF(VLOOKUP(F1609,NXT!$C$12:$C$786,1,0)=F1609,"","x")</f>
        <v/>
      </c>
    </row>
    <row r="1610" spans="1:30" ht="15.75" customHeight="1">
      <c r="A1610" s="827" t="str">
        <f>IF(B1610&lt;&gt;"",IF(AND(B1610&gt;=_TM1,B1610&lt;=_TM2,OR(TH!L1610="1111",TH!M1610="1111")),TH!D1610,""),"")</f>
        <v/>
      </c>
      <c r="B1610" s="36">
        <f t="shared" si="271"/>
        <v>2</v>
      </c>
      <c r="C1610" s="190">
        <f t="shared" si="272"/>
        <v>42429</v>
      </c>
      <c r="D1610" s="190" t="s">
        <v>1601</v>
      </c>
      <c r="E1610" s="190">
        <v>42429</v>
      </c>
      <c r="F1610" s="191" t="s">
        <v>461</v>
      </c>
      <c r="G1610" s="833" t="s">
        <v>1054</v>
      </c>
      <c r="H1610" s="192" t="s">
        <v>678</v>
      </c>
      <c r="I1610" s="253"/>
      <c r="J1610" s="253"/>
      <c r="K1610" s="584">
        <v>3527398</v>
      </c>
      <c r="L1610" s="193" t="s">
        <v>251</v>
      </c>
      <c r="M1610" s="193" t="s">
        <v>354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26"/>
      <c r="AB1610" s="576"/>
    </row>
    <row r="1611" spans="1:30" s="576" customFormat="1" ht="15.75" customHeight="1">
      <c r="A1611" s="827">
        <f>IF(B1611&lt;&gt;"",IF(AND(B1611&gt;=_TM1,B1611&lt;=_TM2,OR(TH!L1611="1111",TH!M1611="1111")),TH!D1611,""),"")</f>
        <v>0</v>
      </c>
      <c r="B1611" s="36">
        <f t="shared" si="271"/>
        <v>2</v>
      </c>
      <c r="C1611" s="190">
        <f t="shared" si="272"/>
        <v>42429</v>
      </c>
      <c r="D1611" s="190"/>
      <c r="E1611" s="190">
        <v>42429</v>
      </c>
      <c r="F1611" s="191" t="s">
        <v>621</v>
      </c>
      <c r="G1611" s="833" t="s">
        <v>1055</v>
      </c>
      <c r="H1611" s="192" t="s">
        <v>679</v>
      </c>
      <c r="I1611" s="253"/>
      <c r="J1611" s="253"/>
      <c r="K1611" s="584">
        <v>4400000</v>
      </c>
      <c r="L1611" s="193" t="s">
        <v>47</v>
      </c>
      <c r="M1611" s="193" t="s">
        <v>623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>x</v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26"/>
      <c r="AC1611" s="205"/>
      <c r="AD1611" s="205"/>
    </row>
    <row r="1612" spans="1:30" s="576" customFormat="1" ht="15.75" customHeight="1">
      <c r="A1612" s="827">
        <f>IF(B1612&lt;&gt;"",IF(AND(B1612&gt;=_TM1,B1612&lt;=_TM2,OR(TH!L1612="1111",TH!M1612="1111")),TH!D1612,""),"")</f>
        <v>0</v>
      </c>
      <c r="B1612" s="36">
        <f t="shared" si="271"/>
        <v>2</v>
      </c>
      <c r="C1612" s="190">
        <f t="shared" si="272"/>
        <v>42429</v>
      </c>
      <c r="D1612" s="190"/>
      <c r="E1612" s="190">
        <v>42429</v>
      </c>
      <c r="F1612" s="191" t="s">
        <v>622</v>
      </c>
      <c r="G1612" s="833" t="s">
        <v>1055</v>
      </c>
      <c r="H1612" s="192" t="s">
        <v>679</v>
      </c>
      <c r="I1612" s="253"/>
      <c r="J1612" s="253"/>
      <c r="K1612" s="584">
        <v>440000</v>
      </c>
      <c r="L1612" s="193" t="s">
        <v>47</v>
      </c>
      <c r="M1612" s="193" t="s">
        <v>354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>x</v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26"/>
      <c r="AC1612" s="205"/>
      <c r="AD1612" s="205"/>
    </row>
    <row r="1613" spans="1:30" s="576" customFormat="1" ht="15.75" customHeight="1">
      <c r="A1613" s="827" t="str">
        <f>IF(B1613&lt;&gt;"",IF(AND(B1613&gt;=_TM1,B1613&lt;=_TM2,OR(TH!L1613="1111",TH!M1613="1111")),TH!D1613,""),"")</f>
        <v/>
      </c>
      <c r="B1613" s="36">
        <f t="shared" si="271"/>
        <v>3</v>
      </c>
      <c r="C1613" s="190">
        <f t="shared" si="272"/>
        <v>42433</v>
      </c>
      <c r="D1613" s="190" t="s">
        <v>1602</v>
      </c>
      <c r="E1613" s="190">
        <v>42433</v>
      </c>
      <c r="F1613" s="191" t="s">
        <v>1057</v>
      </c>
      <c r="G1613" s="833" t="s">
        <v>1056</v>
      </c>
      <c r="H1613" s="764" t="s">
        <v>639</v>
      </c>
      <c r="I1613" s="253">
        <v>200</v>
      </c>
      <c r="J1613" s="253">
        <v>8030</v>
      </c>
      <c r="K1613" s="584">
        <f>ROUND(I1613*J1613,0)</f>
        <v>1606000</v>
      </c>
      <c r="L1613" s="193" t="s">
        <v>251</v>
      </c>
      <c r="M1613" s="193" t="s">
        <v>164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26"/>
      <c r="AB1613" s="576" t="str">
        <f>IF(VLOOKUP(F1613,NXT!$C$12:$C$786,1,0)=F1613,"","x")</f>
        <v/>
      </c>
      <c r="AC1613" s="205"/>
      <c r="AD1613" s="205"/>
    </row>
    <row r="1614" spans="1:30" s="576" customFormat="1" ht="15.75" customHeight="1">
      <c r="A1614" s="827" t="str">
        <f>IF(B1614&lt;&gt;"",IF(AND(B1614&gt;=_TM1,B1614&lt;=_TM2,OR(TH!L1614="1111",TH!M1614="1111")),TH!D1614,""),"")</f>
        <v/>
      </c>
      <c r="B1614" s="36">
        <f t="shared" si="271"/>
        <v>3</v>
      </c>
      <c r="C1614" s="190">
        <f t="shared" si="272"/>
        <v>42433</v>
      </c>
      <c r="D1614" s="190" t="s">
        <v>1602</v>
      </c>
      <c r="E1614" s="190">
        <v>42433</v>
      </c>
      <c r="F1614" s="191" t="s">
        <v>461</v>
      </c>
      <c r="G1614" s="833" t="s">
        <v>1056</v>
      </c>
      <c r="H1614" s="764" t="s">
        <v>639</v>
      </c>
      <c r="I1614" s="253"/>
      <c r="J1614" s="253"/>
      <c r="K1614" s="584">
        <v>160600</v>
      </c>
      <c r="L1614" s="193" t="s">
        <v>251</v>
      </c>
      <c r="M1614" s="193" t="s">
        <v>354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26"/>
      <c r="AC1614" s="205"/>
      <c r="AD1614" s="205"/>
    </row>
    <row r="1615" spans="1:30" s="576" customFormat="1" ht="15.75" customHeight="1">
      <c r="A1615" s="827">
        <f>IF(B1615&lt;&gt;"",IF(AND(B1615&gt;=_TM1,B1615&lt;=_TM2,OR(TH!L1615="1111",TH!M1615="1111")),TH!D1615,""),"")</f>
        <v>0</v>
      </c>
      <c r="B1615" s="36">
        <f t="shared" si="271"/>
        <v>3</v>
      </c>
      <c r="C1615" s="190">
        <f t="shared" si="272"/>
        <v>42434</v>
      </c>
      <c r="D1615" s="190"/>
      <c r="E1615" s="190">
        <v>42434</v>
      </c>
      <c r="F1615" s="191" t="s">
        <v>621</v>
      </c>
      <c r="G1615" s="833" t="s">
        <v>1058</v>
      </c>
      <c r="H1615" s="825" t="s">
        <v>626</v>
      </c>
      <c r="I1615" s="253"/>
      <c r="J1615" s="253"/>
      <c r="K1615" s="584">
        <v>2000000</v>
      </c>
      <c r="L1615" s="193" t="s">
        <v>47</v>
      </c>
      <c r="M1615" s="193" t="s">
        <v>623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>x</v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26"/>
      <c r="AC1615" s="205"/>
      <c r="AD1615" s="205"/>
    </row>
    <row r="1616" spans="1:30" s="576" customFormat="1" ht="15.75" customHeight="1">
      <c r="A1616" s="827">
        <f>IF(B1616&lt;&gt;"",IF(AND(B1616&gt;=_TM1,B1616&lt;=_TM2,OR(TH!L1616="1111",TH!M1616="1111")),TH!D1616,""),"")</f>
        <v>0</v>
      </c>
      <c r="B1616" s="36">
        <f t="shared" si="271"/>
        <v>3</v>
      </c>
      <c r="C1616" s="190">
        <f t="shared" si="272"/>
        <v>42434</v>
      </c>
      <c r="D1616" s="190"/>
      <c r="E1616" s="190">
        <v>42434</v>
      </c>
      <c r="F1616" s="191" t="s">
        <v>622</v>
      </c>
      <c r="G1616" s="833" t="s">
        <v>1058</v>
      </c>
      <c r="H1616" s="825" t="s">
        <v>626</v>
      </c>
      <c r="I1616" s="253"/>
      <c r="J1616" s="253"/>
      <c r="K1616" s="584">
        <v>200000</v>
      </c>
      <c r="L1616" s="193" t="s">
        <v>47</v>
      </c>
      <c r="M1616" s="193" t="s">
        <v>354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>x</v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26"/>
      <c r="AC1616" s="205"/>
      <c r="AD1616" s="205"/>
    </row>
    <row r="1617" spans="1:30" s="576" customFormat="1" ht="15.75" customHeight="1">
      <c r="A1617" s="827" t="str">
        <f>IF(B1617&lt;&gt;"",IF(AND(B1617&gt;=_TM1,B1617&lt;=_TM2,OR(TH!L1617="1111",TH!M1617="1111")),TH!D1617,""),"")</f>
        <v/>
      </c>
      <c r="B1617" s="36">
        <f t="shared" si="271"/>
        <v>3</v>
      </c>
      <c r="C1617" s="190">
        <f t="shared" si="272"/>
        <v>42436</v>
      </c>
      <c r="D1617" s="190" t="s">
        <v>1603</v>
      </c>
      <c r="E1617" s="190">
        <v>42436</v>
      </c>
      <c r="F1617" s="191" t="s">
        <v>939</v>
      </c>
      <c r="G1617" s="833" t="s">
        <v>1059</v>
      </c>
      <c r="H1617" s="7" t="s">
        <v>890</v>
      </c>
      <c r="I1617" s="253">
        <v>685</v>
      </c>
      <c r="J1617" s="253">
        <v>21835</v>
      </c>
      <c r="K1617" s="584">
        <f>ROUND(I1617*J1617,0)</f>
        <v>14956975</v>
      </c>
      <c r="L1617" s="193" t="s">
        <v>251</v>
      </c>
      <c r="M1617" s="193" t="s">
        <v>164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26"/>
      <c r="AB1617" s="576" t="str">
        <f>IF(VLOOKUP(F1617,NXT!$C$12:$C$786,1,0)=F1617,"","x")</f>
        <v/>
      </c>
      <c r="AC1617" s="205"/>
      <c r="AD1617" s="205"/>
    </row>
    <row r="1618" spans="1:30" s="576" customFormat="1" ht="15.75" customHeight="1">
      <c r="A1618" s="827" t="str">
        <f>IF(B1618&lt;&gt;"",IF(AND(B1618&gt;=_TM1,B1618&lt;=_TM2,OR(TH!L1618="1111",TH!M1618="1111")),TH!D1618,""),"")</f>
        <v/>
      </c>
      <c r="B1618" s="36">
        <f t="shared" ref="B1618:B1680" si="274">IF(C1618&lt;&gt;"",MONTH(C1618),"")</f>
        <v>3</v>
      </c>
      <c r="C1618" s="190">
        <f t="shared" ref="C1618:C1680" si="275">E1618</f>
        <v>42436</v>
      </c>
      <c r="D1618" s="190" t="s">
        <v>1603</v>
      </c>
      <c r="E1618" s="190">
        <v>42436</v>
      </c>
      <c r="F1618" s="191" t="s">
        <v>461</v>
      </c>
      <c r="G1618" s="833" t="s">
        <v>1059</v>
      </c>
      <c r="H1618" s="7" t="s">
        <v>890</v>
      </c>
      <c r="I1618" s="253"/>
      <c r="J1618" s="253"/>
      <c r="K1618" s="584">
        <v>1495697</v>
      </c>
      <c r="L1618" s="193" t="s">
        <v>251</v>
      </c>
      <c r="M1618" s="193" t="s">
        <v>354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26"/>
      <c r="AC1618" s="205"/>
      <c r="AD1618" s="205"/>
    </row>
    <row r="1619" spans="1:30" s="576" customFormat="1" ht="15.75" customHeight="1">
      <c r="A1619" s="827" t="str">
        <f>IF(B1619&lt;&gt;"",IF(AND(B1619&gt;=_TM1,B1619&lt;=_TM2,OR(TH!L1619="1111",TH!M1619="1111")),TH!D1619,""),"")</f>
        <v/>
      </c>
      <c r="B1619" s="36">
        <f t="shared" si="274"/>
        <v>3</v>
      </c>
      <c r="C1619" s="190">
        <f t="shared" si="275"/>
        <v>42437</v>
      </c>
      <c r="D1619" s="190" t="s">
        <v>1604</v>
      </c>
      <c r="E1619" s="190">
        <v>42437</v>
      </c>
      <c r="F1619" s="292" t="s">
        <v>429</v>
      </c>
      <c r="G1619" s="833" t="s">
        <v>1060</v>
      </c>
      <c r="H1619" s="7" t="s">
        <v>1061</v>
      </c>
      <c r="I1619" s="253">
        <v>500</v>
      </c>
      <c r="J1619" s="253">
        <v>18100</v>
      </c>
      <c r="K1619" s="584">
        <f>ROUND(I1619*J1619,0)</f>
        <v>9050000</v>
      </c>
      <c r="L1619" s="193" t="s">
        <v>251</v>
      </c>
      <c r="M1619" s="193" t="s">
        <v>164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26"/>
      <c r="AB1619" s="576" t="str">
        <f>IF(VLOOKUP(F1619,NXT!$C$12:$C$786,1,0)=F1619,"","x")</f>
        <v/>
      </c>
      <c r="AC1619" s="205"/>
      <c r="AD1619" s="205"/>
    </row>
    <row r="1620" spans="1:30" s="576" customFormat="1" ht="15.75" customHeight="1">
      <c r="A1620" s="827" t="str">
        <f>IF(B1620&lt;&gt;"",IF(AND(B1620&gt;=_TM1,B1620&lt;=_TM2,OR(TH!L1620="1111",TH!M1620="1111")),TH!D1620,""),"")</f>
        <v/>
      </c>
      <c r="B1620" s="36">
        <f t="shared" si="274"/>
        <v>3</v>
      </c>
      <c r="C1620" s="190">
        <f t="shared" si="275"/>
        <v>42437</v>
      </c>
      <c r="D1620" s="190" t="s">
        <v>1604</v>
      </c>
      <c r="E1620" s="190">
        <v>42437</v>
      </c>
      <c r="F1620" s="191" t="s">
        <v>738</v>
      </c>
      <c r="G1620" s="833" t="s">
        <v>1060</v>
      </c>
      <c r="H1620" s="7" t="s">
        <v>1061</v>
      </c>
      <c r="I1620" s="253"/>
      <c r="J1620" s="253"/>
      <c r="K1620" s="584">
        <v>905000</v>
      </c>
      <c r="L1620" s="193" t="s">
        <v>251</v>
      </c>
      <c r="M1620" s="193" t="s">
        <v>354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26"/>
      <c r="AC1620" s="205"/>
      <c r="AD1620" s="205"/>
    </row>
    <row r="1621" spans="1:30" s="576" customFormat="1" ht="15.75" customHeight="1">
      <c r="A1621" s="827">
        <f>IF(B1621&lt;&gt;"",IF(AND(B1621&gt;=_TM1,B1621&lt;=_TM2,OR(TH!L1621="1111",TH!M1621="1111")),TH!D1621,""),"")</f>
        <v>0</v>
      </c>
      <c r="B1621" s="36">
        <f t="shared" si="274"/>
        <v>3</v>
      </c>
      <c r="C1621" s="190">
        <f t="shared" si="275"/>
        <v>42437</v>
      </c>
      <c r="D1621" s="190"/>
      <c r="E1621" s="190">
        <v>42437</v>
      </c>
      <c r="F1621" s="191" t="s">
        <v>621</v>
      </c>
      <c r="G1621" s="833" t="s">
        <v>1062</v>
      </c>
      <c r="H1621" s="192" t="s">
        <v>1063</v>
      </c>
      <c r="I1621" s="253"/>
      <c r="J1621" s="253"/>
      <c r="K1621" s="584">
        <v>1100000</v>
      </c>
      <c r="L1621" s="193" t="s">
        <v>47</v>
      </c>
      <c r="M1621" s="193" t="s">
        <v>623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>x</v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26"/>
      <c r="AC1621" s="205"/>
      <c r="AD1621" s="205"/>
    </row>
    <row r="1622" spans="1:30" s="576" customFormat="1" ht="15.75" customHeight="1">
      <c r="A1622" s="827">
        <f>IF(B1622&lt;&gt;"",IF(AND(B1622&gt;=_TM1,B1622&lt;=_TM2,OR(TH!L1622="1111",TH!M1622="1111")),TH!D1622,""),"")</f>
        <v>0</v>
      </c>
      <c r="B1622" s="36">
        <f t="shared" si="274"/>
        <v>3</v>
      </c>
      <c r="C1622" s="190">
        <f t="shared" si="275"/>
        <v>42437</v>
      </c>
      <c r="D1622" s="190"/>
      <c r="E1622" s="190">
        <v>42437</v>
      </c>
      <c r="F1622" s="191" t="s">
        <v>622</v>
      </c>
      <c r="G1622" s="833" t="s">
        <v>1062</v>
      </c>
      <c r="H1622" s="192" t="s">
        <v>1063</v>
      </c>
      <c r="I1622" s="253"/>
      <c r="J1622" s="253"/>
      <c r="K1622" s="584">
        <v>110000</v>
      </c>
      <c r="L1622" s="193" t="s">
        <v>47</v>
      </c>
      <c r="M1622" s="193" t="s">
        <v>354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>x</v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26"/>
      <c r="AC1622" s="205"/>
      <c r="AD1622" s="205"/>
    </row>
    <row r="1623" spans="1:30" s="576" customFormat="1" ht="15.75" customHeight="1">
      <c r="A1623" s="827">
        <f>IF(B1623&lt;&gt;"",IF(AND(B1623&gt;=_TM1,B1623&lt;=_TM2,OR(TH!L1623="1111",TH!M1623="1111")),TH!D1623,""),"")</f>
        <v>0</v>
      </c>
      <c r="B1623" s="36">
        <f t="shared" si="274"/>
        <v>3</v>
      </c>
      <c r="C1623" s="190">
        <f t="shared" si="275"/>
        <v>42439</v>
      </c>
      <c r="D1623" s="190"/>
      <c r="E1623" s="190">
        <v>42439</v>
      </c>
      <c r="F1623" s="191" t="s">
        <v>621</v>
      </c>
      <c r="G1623" s="833" t="s">
        <v>1064</v>
      </c>
      <c r="H1623" s="192" t="s">
        <v>777</v>
      </c>
      <c r="I1623" s="253"/>
      <c r="J1623" s="253"/>
      <c r="K1623" s="584">
        <v>1850000</v>
      </c>
      <c r="L1623" s="193" t="s">
        <v>47</v>
      </c>
      <c r="M1623" s="193" t="s">
        <v>623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>x</v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26"/>
      <c r="AC1623" s="205"/>
      <c r="AD1623" s="205"/>
    </row>
    <row r="1624" spans="1:30" s="576" customFormat="1" ht="15.75" customHeight="1">
      <c r="A1624" s="827">
        <f>IF(B1624&lt;&gt;"",IF(AND(B1624&gt;=_TM1,B1624&lt;=_TM2,OR(TH!L1624="1111",TH!M1624="1111")),TH!D1624,""),"")</f>
        <v>0</v>
      </c>
      <c r="B1624" s="36">
        <f t="shared" si="274"/>
        <v>3</v>
      </c>
      <c r="C1624" s="190">
        <f t="shared" si="275"/>
        <v>42439</v>
      </c>
      <c r="D1624" s="190"/>
      <c r="E1624" s="190">
        <v>42439</v>
      </c>
      <c r="F1624" s="191" t="s">
        <v>622</v>
      </c>
      <c r="G1624" s="833" t="s">
        <v>1064</v>
      </c>
      <c r="H1624" s="192" t="s">
        <v>777</v>
      </c>
      <c r="I1624" s="253"/>
      <c r="J1624" s="253"/>
      <c r="K1624" s="584">
        <v>185000</v>
      </c>
      <c r="L1624" s="193" t="s">
        <v>47</v>
      </c>
      <c r="M1624" s="193" t="s">
        <v>354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>x</v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26"/>
      <c r="AC1624" s="205"/>
      <c r="AD1624" s="205"/>
    </row>
    <row r="1625" spans="1:30" s="576" customFormat="1" ht="15.75" customHeight="1">
      <c r="A1625" s="827" t="str">
        <f>IF(B1625&lt;&gt;"",IF(AND(B1625&gt;=_TM1,B1625&lt;=_TM2,OR(TH!L1625="1111",TH!M1625="1111")),TH!D1625,""),"")</f>
        <v/>
      </c>
      <c r="B1625" s="36">
        <f t="shared" si="274"/>
        <v>3</v>
      </c>
      <c r="C1625" s="190">
        <f t="shared" si="275"/>
        <v>42439</v>
      </c>
      <c r="D1625" s="190" t="s">
        <v>1605</v>
      </c>
      <c r="E1625" s="190">
        <v>42439</v>
      </c>
      <c r="F1625" s="191" t="s">
        <v>1303</v>
      </c>
      <c r="G1625" s="833" t="s">
        <v>1065</v>
      </c>
      <c r="H1625" s="192" t="s">
        <v>636</v>
      </c>
      <c r="I1625" s="253">
        <v>25</v>
      </c>
      <c r="J1625" s="253">
        <v>33120</v>
      </c>
      <c r="K1625" s="584">
        <f>ROUND(I1625*J1625,0)</f>
        <v>828000</v>
      </c>
      <c r="L1625" s="193" t="s">
        <v>251</v>
      </c>
      <c r="M1625" s="193" t="s">
        <v>164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26"/>
      <c r="AB1625" s="576" t="str">
        <f>IF(VLOOKUP(F1625,NXT!$C$12:$C$786,1,0)=F1625,"","x")</f>
        <v/>
      </c>
      <c r="AC1625" s="205"/>
      <c r="AD1625" s="205"/>
    </row>
    <row r="1626" spans="1:30" s="576" customFormat="1" ht="15.75" customHeight="1">
      <c r="A1626" s="827" t="str">
        <f>IF(B1626&lt;&gt;"",IF(AND(B1626&gt;=_TM1,B1626&lt;=_TM2,OR(TH!L1626="1111",TH!M1626="1111")),TH!D1626,""),"")</f>
        <v/>
      </c>
      <c r="B1626" s="36">
        <f t="shared" si="274"/>
        <v>3</v>
      </c>
      <c r="C1626" s="190">
        <f t="shared" si="275"/>
        <v>42439</v>
      </c>
      <c r="D1626" s="190" t="s">
        <v>1605</v>
      </c>
      <c r="E1626" s="190">
        <v>42439</v>
      </c>
      <c r="F1626" s="188" t="s">
        <v>1304</v>
      </c>
      <c r="G1626" s="833" t="s">
        <v>1065</v>
      </c>
      <c r="H1626" s="192" t="s">
        <v>636</v>
      </c>
      <c r="I1626" s="253">
        <v>100</v>
      </c>
      <c r="J1626" s="253">
        <v>6350</v>
      </c>
      <c r="K1626" s="584">
        <f>ROUND(I1626*J1626,0)</f>
        <v>635000</v>
      </c>
      <c r="L1626" s="193" t="s">
        <v>251</v>
      </c>
      <c r="M1626" s="193" t="s">
        <v>164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26"/>
      <c r="AB1626" s="576" t="str">
        <f>IF(VLOOKUP(F1626,NXT!$C$12:$C$786,1,0)=F1626,"","x")</f>
        <v/>
      </c>
      <c r="AC1626" s="205"/>
      <c r="AD1626" s="205"/>
    </row>
    <row r="1627" spans="1:30" s="576" customFormat="1" ht="15.75" customHeight="1">
      <c r="A1627" s="827" t="str">
        <f>IF(B1627&lt;&gt;"",IF(AND(B1627&gt;=_TM1,B1627&lt;=_TM2,OR(TH!L1627="1111",TH!M1627="1111")),TH!D1627,""),"")</f>
        <v/>
      </c>
      <c r="B1627" s="36">
        <f t="shared" si="274"/>
        <v>3</v>
      </c>
      <c r="C1627" s="190">
        <f t="shared" si="275"/>
        <v>42439</v>
      </c>
      <c r="D1627" s="190" t="s">
        <v>1605</v>
      </c>
      <c r="E1627" s="190">
        <v>42439</v>
      </c>
      <c r="F1627" s="191" t="s">
        <v>461</v>
      </c>
      <c r="G1627" s="833" t="s">
        <v>1065</v>
      </c>
      <c r="H1627" s="192" t="s">
        <v>636</v>
      </c>
      <c r="I1627" s="253"/>
      <c r="J1627" s="253"/>
      <c r="K1627" s="584">
        <v>146300</v>
      </c>
      <c r="L1627" s="193" t="s">
        <v>251</v>
      </c>
      <c r="M1627" s="193" t="s">
        <v>354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26"/>
      <c r="AC1627" s="205"/>
      <c r="AD1627" s="205"/>
    </row>
    <row r="1628" spans="1:30" s="576" customFormat="1" ht="15.75" customHeight="1">
      <c r="A1628" s="827" t="str">
        <f>IF(B1628&lt;&gt;"",IF(AND(B1628&gt;=_TM1,B1628&lt;=_TM2,OR(TH!L1628="1111",TH!M1628="1111")),TH!D1628,""),"")</f>
        <v/>
      </c>
      <c r="B1628" s="36">
        <f t="shared" si="274"/>
        <v>3</v>
      </c>
      <c r="C1628" s="190">
        <f t="shared" si="275"/>
        <v>42440</v>
      </c>
      <c r="D1628" s="190" t="s">
        <v>1606</v>
      </c>
      <c r="E1628" s="190">
        <v>42440</v>
      </c>
      <c r="F1628" s="191" t="s">
        <v>637</v>
      </c>
      <c r="G1628" s="833" t="s">
        <v>1066</v>
      </c>
      <c r="H1628" s="192" t="s">
        <v>630</v>
      </c>
      <c r="I1628" s="253">
        <v>308</v>
      </c>
      <c r="J1628" s="253">
        <v>6888</v>
      </c>
      <c r="K1628" s="584">
        <f>ROUND(I1628*J1628,0)</f>
        <v>2121504</v>
      </c>
      <c r="L1628" s="193" t="s">
        <v>251</v>
      </c>
      <c r="M1628" s="193" t="s">
        <v>164</v>
      </c>
      <c r="N1628" s="52" t="str">
        <f>IF(AND('331-CT'!$E$7=TH!H1628,OR(L1628="331",M1628="331")),"331",IF(AND(OR(L1628="131",M1628="131"),H1628='131-CT'!$E$7),"131",""))</f>
        <v>131</v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26"/>
      <c r="AB1628" s="576" t="str">
        <f>IF(VLOOKUP(F1628,NXT!$C$12:$C$786,1,0)=F1628,"","x")</f>
        <v/>
      </c>
      <c r="AC1628" s="205"/>
      <c r="AD1628" s="205"/>
    </row>
    <row r="1629" spans="1:30" s="576" customFormat="1" ht="15.75" customHeight="1">
      <c r="A1629" s="827" t="str">
        <f>IF(B1629&lt;&gt;"",IF(AND(B1629&gt;=_TM1,B1629&lt;=_TM2,OR(TH!L1629="1111",TH!M1629="1111")),TH!D1629,""),"")</f>
        <v/>
      </c>
      <c r="B1629" s="36">
        <f t="shared" si="274"/>
        <v>3</v>
      </c>
      <c r="C1629" s="190">
        <f t="shared" si="275"/>
        <v>42440</v>
      </c>
      <c r="D1629" s="190" t="s">
        <v>1606</v>
      </c>
      <c r="E1629" s="190">
        <v>42440</v>
      </c>
      <c r="F1629" s="191" t="s">
        <v>461</v>
      </c>
      <c r="G1629" s="833" t="s">
        <v>1066</v>
      </c>
      <c r="H1629" s="192" t="s">
        <v>630</v>
      </c>
      <c r="I1629" s="253"/>
      <c r="J1629" s="253"/>
      <c r="K1629" s="584">
        <v>212150</v>
      </c>
      <c r="L1629" s="193" t="s">
        <v>251</v>
      </c>
      <c r="M1629" s="193" t="s">
        <v>354</v>
      </c>
      <c r="N1629" s="52" t="str">
        <f>IF(AND('331-CT'!$E$7=TH!H1629,OR(L1629="331",M1629="331")),"331",IF(AND(OR(L1629="131",M1629="131"),H1629='131-CT'!$E$7),"131",""))</f>
        <v>131</v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26"/>
      <c r="AC1629" s="205"/>
      <c r="AD1629" s="205"/>
    </row>
    <row r="1630" spans="1:30" s="576" customFormat="1" ht="15.75" customHeight="1">
      <c r="A1630" s="827" t="str">
        <f>IF(B1630&lt;&gt;"",IF(AND(B1630&gt;=_TM1,B1630&lt;=_TM2,OR(TH!L1630="1111",TH!M1630="1111")),TH!D1630,""),"")</f>
        <v/>
      </c>
      <c r="B1630" s="36">
        <f t="shared" si="274"/>
        <v>3</v>
      </c>
      <c r="C1630" s="190">
        <f t="shared" si="275"/>
        <v>42442</v>
      </c>
      <c r="D1630" s="190" t="s">
        <v>1607</v>
      </c>
      <c r="E1630" s="190">
        <v>42442</v>
      </c>
      <c r="F1630" s="191" t="s">
        <v>655</v>
      </c>
      <c r="G1630" s="833" t="s">
        <v>1067</v>
      </c>
      <c r="H1630" s="192" t="s">
        <v>630</v>
      </c>
      <c r="I1630" s="253">
        <v>641</v>
      </c>
      <c r="J1630" s="253">
        <v>6880</v>
      </c>
      <c r="K1630" s="584">
        <f>ROUND(I1630*J1630,0)</f>
        <v>4410080</v>
      </c>
      <c r="L1630" s="193" t="s">
        <v>251</v>
      </c>
      <c r="M1630" s="193" t="s">
        <v>164</v>
      </c>
      <c r="N1630" s="52" t="str">
        <f>IF(AND('331-CT'!$E$7=TH!H1630,OR(L1630="331",M1630="331")),"331",IF(AND(OR(L1630="131",M1630="131"),H1630='131-CT'!$E$7),"131",""))</f>
        <v>131</v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26"/>
      <c r="AB1630" s="576" t="str">
        <f>IF(VLOOKUP(F1630,NXT!$C$12:$C$786,1,0)=F1630,"","x")</f>
        <v/>
      </c>
      <c r="AC1630" s="205"/>
      <c r="AD1630" s="205"/>
    </row>
    <row r="1631" spans="1:30" s="576" customFormat="1" ht="15.75" customHeight="1">
      <c r="A1631" s="827" t="str">
        <f>IF(B1631&lt;&gt;"",IF(AND(B1631&gt;=_TM1,B1631&lt;=_TM2,OR(TH!L1631="1111",TH!M1631="1111")),TH!D1631,""),"")</f>
        <v/>
      </c>
      <c r="B1631" s="36">
        <f t="shared" si="274"/>
        <v>3</v>
      </c>
      <c r="C1631" s="190">
        <f t="shared" si="275"/>
        <v>42442</v>
      </c>
      <c r="D1631" s="190" t="s">
        <v>1607</v>
      </c>
      <c r="E1631" s="190">
        <v>42442</v>
      </c>
      <c r="F1631" s="191" t="s">
        <v>461</v>
      </c>
      <c r="G1631" s="833" t="s">
        <v>1067</v>
      </c>
      <c r="H1631" s="192" t="s">
        <v>630</v>
      </c>
      <c r="I1631" s="253"/>
      <c r="J1631" s="253"/>
      <c r="K1631" s="584">
        <v>441008</v>
      </c>
      <c r="L1631" s="193" t="s">
        <v>251</v>
      </c>
      <c r="M1631" s="193" t="s">
        <v>354</v>
      </c>
      <c r="N1631" s="52" t="str">
        <f>IF(AND('331-CT'!$E$7=TH!H1631,OR(L1631="331",M1631="331")),"331",IF(AND(OR(L1631="131",M1631="131"),H1631='131-CT'!$E$7),"131",""))</f>
        <v>131</v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26"/>
      <c r="AC1631" s="205"/>
      <c r="AD1631" s="205"/>
    </row>
    <row r="1632" spans="1:30" s="576" customFormat="1" ht="15.75" customHeight="1">
      <c r="A1632" s="827" t="str">
        <f>IF(B1632&lt;&gt;"",IF(AND(B1632&gt;=_TM1,B1632&lt;=_TM2,OR(TH!L1632="1111",TH!M1632="1111")),TH!D1632,""),"")</f>
        <v/>
      </c>
      <c r="B1632" s="36">
        <f t="shared" si="274"/>
        <v>3</v>
      </c>
      <c r="C1632" s="190">
        <f t="shared" si="275"/>
        <v>42442</v>
      </c>
      <c r="D1632" s="190" t="s">
        <v>1608</v>
      </c>
      <c r="E1632" s="190">
        <v>42442</v>
      </c>
      <c r="F1632" s="191" t="s">
        <v>766</v>
      </c>
      <c r="G1632" s="833" t="s">
        <v>1068</v>
      </c>
      <c r="H1632" s="7" t="s">
        <v>1069</v>
      </c>
      <c r="I1632" s="253">
        <v>400</v>
      </c>
      <c r="J1632" s="253">
        <v>15000</v>
      </c>
      <c r="K1632" s="584">
        <f>ROUND(I1632*J1632,0)</f>
        <v>6000000</v>
      </c>
      <c r="L1632" s="193" t="s">
        <v>251</v>
      </c>
      <c r="M1632" s="193" t="s">
        <v>164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26"/>
      <c r="AB1632" s="576" t="str">
        <f>IF(VLOOKUP(F1632,NXT!$C$12:$C$786,1,0)=F1632,"","x")</f>
        <v/>
      </c>
      <c r="AC1632" s="205"/>
      <c r="AD1632" s="205"/>
    </row>
    <row r="1633" spans="1:30" s="576" customFormat="1" ht="15.75" customHeight="1">
      <c r="A1633" s="827" t="str">
        <f>IF(B1633&lt;&gt;"",IF(AND(B1633&gt;=_TM1,B1633&lt;=_TM2,OR(TH!L1633="1111",TH!M1633="1111")),TH!D1633,""),"")</f>
        <v/>
      </c>
      <c r="B1633" s="36">
        <f t="shared" si="274"/>
        <v>3</v>
      </c>
      <c r="C1633" s="190">
        <f t="shared" si="275"/>
        <v>42442</v>
      </c>
      <c r="D1633" s="190" t="s">
        <v>1608</v>
      </c>
      <c r="E1633" s="190">
        <v>42442</v>
      </c>
      <c r="F1633" s="191" t="s">
        <v>461</v>
      </c>
      <c r="G1633" s="833" t="s">
        <v>1068</v>
      </c>
      <c r="H1633" s="7" t="s">
        <v>1069</v>
      </c>
      <c r="I1633" s="253"/>
      <c r="J1633" s="253"/>
      <c r="K1633" s="584">
        <v>600000</v>
      </c>
      <c r="L1633" s="193" t="s">
        <v>251</v>
      </c>
      <c r="M1633" s="193" t="s">
        <v>354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26"/>
      <c r="AC1633" s="205"/>
      <c r="AD1633" s="205"/>
    </row>
    <row r="1634" spans="1:30" s="576" customFormat="1" ht="15.75" customHeight="1">
      <c r="A1634" s="827" t="str">
        <f>IF(B1634&lt;&gt;"",IF(AND(B1634&gt;=_TM1,B1634&lt;=_TM2,OR(TH!L1634="1111",TH!M1634="1111")),TH!D1634,""),"")</f>
        <v/>
      </c>
      <c r="B1634" s="36">
        <f t="shared" si="274"/>
        <v>3</v>
      </c>
      <c r="C1634" s="190">
        <f t="shared" si="275"/>
        <v>42447</v>
      </c>
      <c r="D1634" s="190" t="s">
        <v>1609</v>
      </c>
      <c r="E1634" s="190">
        <v>42447</v>
      </c>
      <c r="F1634" s="292" t="s">
        <v>448</v>
      </c>
      <c r="G1634" s="833" t="s">
        <v>1070</v>
      </c>
      <c r="H1634" s="7" t="s">
        <v>841</v>
      </c>
      <c r="I1634" s="253">
        <v>1000</v>
      </c>
      <c r="J1634" s="253">
        <v>8700</v>
      </c>
      <c r="K1634" s="584">
        <f>ROUND(I1634*J1634,0)</f>
        <v>8700000</v>
      </c>
      <c r="L1634" s="193" t="s">
        <v>251</v>
      </c>
      <c r="M1634" s="193" t="s">
        <v>164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26"/>
      <c r="AB1634" s="576" t="str">
        <f>IF(VLOOKUP(F1634,NXT!$C$12:$C$786,1,0)=F1634,"","x")</f>
        <v/>
      </c>
      <c r="AC1634" s="205"/>
      <c r="AD1634" s="205"/>
    </row>
    <row r="1635" spans="1:30" s="576" customFormat="1" ht="15.75" customHeight="1">
      <c r="A1635" s="827" t="str">
        <f>IF(B1635&lt;&gt;"",IF(AND(B1635&gt;=_TM1,B1635&lt;=_TM2,OR(TH!L1635="1111",TH!M1635="1111")),TH!D1635,""),"")</f>
        <v/>
      </c>
      <c r="B1635" s="36">
        <f t="shared" si="274"/>
        <v>3</v>
      </c>
      <c r="C1635" s="190">
        <f t="shared" si="275"/>
        <v>42447</v>
      </c>
      <c r="D1635" s="190" t="s">
        <v>1609</v>
      </c>
      <c r="E1635" s="190">
        <v>42447</v>
      </c>
      <c r="F1635" s="191" t="s">
        <v>1021</v>
      </c>
      <c r="G1635" s="833" t="s">
        <v>1070</v>
      </c>
      <c r="H1635" s="7" t="s">
        <v>841</v>
      </c>
      <c r="I1635" s="253"/>
      <c r="J1635" s="253"/>
      <c r="K1635" s="584">
        <v>870000</v>
      </c>
      <c r="L1635" s="193" t="s">
        <v>251</v>
      </c>
      <c r="M1635" s="193" t="s">
        <v>354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26"/>
      <c r="AC1635" s="205"/>
      <c r="AD1635" s="205"/>
    </row>
    <row r="1636" spans="1:30" s="576" customFormat="1" ht="15.75" customHeight="1">
      <c r="A1636" s="827" t="str">
        <f>IF(B1636&lt;&gt;"",IF(AND(B1636&gt;=_TM1,B1636&lt;=_TM2,OR(TH!L1636="1111",TH!M1636="1111")),TH!D1636,""),"")</f>
        <v/>
      </c>
      <c r="B1636" s="36">
        <f t="shared" si="274"/>
        <v>3</v>
      </c>
      <c r="C1636" s="190">
        <f t="shared" si="275"/>
        <v>42448</v>
      </c>
      <c r="D1636" s="190" t="s">
        <v>1610</v>
      </c>
      <c r="E1636" s="190">
        <v>42448</v>
      </c>
      <c r="F1636" s="191" t="s">
        <v>1303</v>
      </c>
      <c r="G1636" s="833" t="s">
        <v>1071</v>
      </c>
      <c r="H1636" s="192" t="s">
        <v>636</v>
      </c>
      <c r="I1636" s="253">
        <v>25</v>
      </c>
      <c r="J1636" s="253">
        <v>33120</v>
      </c>
      <c r="K1636" s="584">
        <f>ROUND(I1636*J1636,0)</f>
        <v>828000</v>
      </c>
      <c r="L1636" s="193" t="s">
        <v>251</v>
      </c>
      <c r="M1636" s="193" t="s">
        <v>164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26"/>
      <c r="AB1636" s="576" t="str">
        <f>IF(VLOOKUP(F1636,NXT!$C$12:$C$786,1,0)=F1636,"","x")</f>
        <v/>
      </c>
      <c r="AC1636" s="205"/>
      <c r="AD1636" s="205"/>
    </row>
    <row r="1637" spans="1:30" s="576" customFormat="1" ht="15.75" customHeight="1">
      <c r="A1637" s="827" t="str">
        <f>IF(B1637&lt;&gt;"",IF(AND(B1637&gt;=_TM1,B1637&lt;=_TM2,OR(TH!L1637="1111",TH!M1637="1111")),TH!D1637,""),"")</f>
        <v/>
      </c>
      <c r="B1637" s="36">
        <f t="shared" si="274"/>
        <v>3</v>
      </c>
      <c r="C1637" s="190">
        <f t="shared" si="275"/>
        <v>42448</v>
      </c>
      <c r="D1637" s="190" t="s">
        <v>1610</v>
      </c>
      <c r="E1637" s="190">
        <v>42448</v>
      </c>
      <c r="F1637" s="188" t="s">
        <v>1304</v>
      </c>
      <c r="G1637" s="833" t="s">
        <v>1071</v>
      </c>
      <c r="H1637" s="192" t="s">
        <v>636</v>
      </c>
      <c r="I1637" s="253">
        <v>100</v>
      </c>
      <c r="J1637" s="253">
        <v>6350</v>
      </c>
      <c r="K1637" s="584">
        <f>ROUND(I1637*J1637,0)</f>
        <v>635000</v>
      </c>
      <c r="L1637" s="193" t="s">
        <v>251</v>
      </c>
      <c r="M1637" s="193" t="s">
        <v>164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26"/>
      <c r="AB1637" s="576" t="str">
        <f>IF(VLOOKUP(F1637,NXT!$C$12:$C$786,1,0)=F1637,"","x")</f>
        <v/>
      </c>
      <c r="AC1637" s="205"/>
      <c r="AD1637" s="205"/>
    </row>
    <row r="1638" spans="1:30" s="576" customFormat="1" ht="15.75" customHeight="1">
      <c r="A1638" s="827" t="str">
        <f>IF(B1638&lt;&gt;"",IF(AND(B1638&gt;=_TM1,B1638&lt;=_TM2,OR(TH!L1638="1111",TH!M1638="1111")),TH!D1638,""),"")</f>
        <v/>
      </c>
      <c r="B1638" s="36">
        <f t="shared" si="274"/>
        <v>3</v>
      </c>
      <c r="C1638" s="190">
        <f t="shared" si="275"/>
        <v>42448</v>
      </c>
      <c r="D1638" s="190" t="s">
        <v>1610</v>
      </c>
      <c r="E1638" s="190">
        <v>42448</v>
      </c>
      <c r="F1638" s="191" t="s">
        <v>461</v>
      </c>
      <c r="G1638" s="833" t="s">
        <v>1071</v>
      </c>
      <c r="H1638" s="192" t="s">
        <v>636</v>
      </c>
      <c r="I1638" s="253"/>
      <c r="J1638" s="253"/>
      <c r="K1638" s="584">
        <v>146300</v>
      </c>
      <c r="L1638" s="193" t="s">
        <v>251</v>
      </c>
      <c r="M1638" s="193" t="s">
        <v>354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26"/>
      <c r="AC1638" s="205"/>
      <c r="AD1638" s="205"/>
    </row>
    <row r="1639" spans="1:30" s="576" customFormat="1" ht="15.75" customHeight="1">
      <c r="A1639" s="827" t="str">
        <f>IF(B1639&lt;&gt;"",IF(AND(B1639&gt;=_TM1,B1639&lt;=_TM2,OR(TH!L1639="1111",TH!M1639="1111")),TH!D1639,""),"")</f>
        <v/>
      </c>
      <c r="B1639" s="838">
        <f t="shared" si="274"/>
        <v>3</v>
      </c>
      <c r="C1639" s="839">
        <f t="shared" si="275"/>
        <v>42449</v>
      </c>
      <c r="D1639" s="190" t="s">
        <v>1611</v>
      </c>
      <c r="E1639" s="839">
        <v>42449</v>
      </c>
      <c r="F1639" s="191" t="s">
        <v>1178</v>
      </c>
      <c r="G1639" s="840" t="s">
        <v>1072</v>
      </c>
      <c r="H1639" s="841" t="s">
        <v>662</v>
      </c>
      <c r="I1639" s="842">
        <v>950</v>
      </c>
      <c r="J1639" s="842">
        <v>32500</v>
      </c>
      <c r="K1639" s="843">
        <f>ROUND(I1639*J1639,0)</f>
        <v>30875000</v>
      </c>
      <c r="L1639" s="844" t="s">
        <v>251</v>
      </c>
      <c r="M1639" s="193" t="s">
        <v>164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46"/>
      <c r="AB1639" s="847" t="str">
        <f>IF(VLOOKUP(F1639,NXT!$C$12:$C$786,1,0)=F1639,"","x")</f>
        <v/>
      </c>
      <c r="AC1639" s="205"/>
      <c r="AD1639" s="848"/>
    </row>
    <row r="1640" spans="1:30" s="576" customFormat="1" ht="15.75" customHeight="1">
      <c r="A1640" s="827" t="str">
        <f>IF(B1640&lt;&gt;"",IF(AND(B1640&gt;=_TM1,B1640&lt;=_TM2,OR(TH!L1640="1111",TH!M1640="1111")),TH!D1640,""),"")</f>
        <v/>
      </c>
      <c r="B1640" s="838">
        <f t="shared" si="274"/>
        <v>3</v>
      </c>
      <c r="C1640" s="839">
        <f t="shared" si="275"/>
        <v>42449</v>
      </c>
      <c r="D1640" s="190" t="s">
        <v>1611</v>
      </c>
      <c r="E1640" s="839">
        <v>42449</v>
      </c>
      <c r="F1640" s="191" t="s">
        <v>1179</v>
      </c>
      <c r="G1640" s="840" t="s">
        <v>1072</v>
      </c>
      <c r="H1640" s="841" t="s">
        <v>662</v>
      </c>
      <c r="I1640" s="842">
        <v>950</v>
      </c>
      <c r="J1640" s="842">
        <v>31700</v>
      </c>
      <c r="K1640" s="843">
        <f>ROUND(I1640*J1640,0)</f>
        <v>30115000</v>
      </c>
      <c r="L1640" s="844" t="s">
        <v>251</v>
      </c>
      <c r="M1640" s="193" t="s">
        <v>164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46"/>
      <c r="AB1640" s="847" t="str">
        <f>IF(VLOOKUP(F1640,NXT!$C$12:$C$786,1,0)=F1640,"","x")</f>
        <v/>
      </c>
      <c r="AC1640" s="205"/>
      <c r="AD1640" s="848"/>
    </row>
    <row r="1641" spans="1:30" ht="15.75" customHeight="1">
      <c r="A1641" s="827" t="str">
        <f>IF(B1641&lt;&gt;"",IF(AND(B1641&gt;=_TM1,B1641&lt;=_TM2,OR(TH!L1641="1111",TH!M1641="1111")),TH!D1641,""),"")</f>
        <v/>
      </c>
      <c r="B1641" s="838">
        <f t="shared" si="274"/>
        <v>3</v>
      </c>
      <c r="C1641" s="839">
        <f t="shared" si="275"/>
        <v>42449</v>
      </c>
      <c r="D1641" s="190" t="s">
        <v>1611</v>
      </c>
      <c r="E1641" s="839">
        <v>42449</v>
      </c>
      <c r="F1641" s="855" t="s">
        <v>451</v>
      </c>
      <c r="G1641" s="840" t="s">
        <v>1072</v>
      </c>
      <c r="H1641" s="841" t="s">
        <v>662</v>
      </c>
      <c r="I1641" s="842">
        <v>3200</v>
      </c>
      <c r="J1641" s="842">
        <v>15000</v>
      </c>
      <c r="K1641" s="843">
        <f>ROUND(I1641*J1641,0)</f>
        <v>48000000</v>
      </c>
      <c r="L1641" s="844" t="s">
        <v>251</v>
      </c>
      <c r="M1641" s="193" t="s">
        <v>164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46"/>
      <c r="AB1641" s="847" t="str">
        <f>IF(VLOOKUP(F1641,NXT!$C$12:$C$786,1,0)=F1641,"","x")</f>
        <v/>
      </c>
      <c r="AC1641" s="848"/>
      <c r="AD1641" s="848"/>
    </row>
    <row r="1642" spans="1:30" ht="15.75" customHeight="1">
      <c r="A1642" s="827" t="str">
        <f>IF(B1642&lt;&gt;"",IF(AND(B1642&gt;=_TM1,B1642&lt;=_TM2,OR(TH!L1642="1111",TH!M1642="1111")),TH!D1642,""),"")</f>
        <v/>
      </c>
      <c r="B1642" s="838">
        <f t="shared" si="274"/>
        <v>3</v>
      </c>
      <c r="C1642" s="839">
        <f t="shared" si="275"/>
        <v>42449</v>
      </c>
      <c r="D1642" s="190" t="s">
        <v>1611</v>
      </c>
      <c r="E1642" s="839">
        <v>42449</v>
      </c>
      <c r="F1642" s="855" t="s">
        <v>450</v>
      </c>
      <c r="G1642" s="840" t="s">
        <v>1072</v>
      </c>
      <c r="H1642" s="841" t="s">
        <v>662</v>
      </c>
      <c r="I1642" s="842">
        <v>3100</v>
      </c>
      <c r="J1642" s="842">
        <v>16500</v>
      </c>
      <c r="K1642" s="843">
        <f>ROUND(I1642*J1642,0)</f>
        <v>51150000</v>
      </c>
      <c r="L1642" s="844" t="s">
        <v>251</v>
      </c>
      <c r="M1642" s="193" t="s">
        <v>164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46"/>
      <c r="AB1642" s="847" t="str">
        <f>IF(VLOOKUP(F1642,NXT!$C$12:$C$786,1,0)=F1642,"","x")</f>
        <v/>
      </c>
      <c r="AC1642" s="848"/>
      <c r="AD1642" s="848"/>
    </row>
    <row r="1643" spans="1:30" s="576" customFormat="1" ht="15.75" customHeight="1">
      <c r="A1643" s="827" t="str">
        <f>IF(B1643&lt;&gt;"",IF(AND(B1643&gt;=_TM1,B1643&lt;=_TM2,OR(TH!L1643="1111",TH!M1643="1111")),TH!D1643,""),"")</f>
        <v/>
      </c>
      <c r="B1643" s="36">
        <f t="shared" si="274"/>
        <v>3</v>
      </c>
      <c r="C1643" s="190">
        <f t="shared" si="275"/>
        <v>42449</v>
      </c>
      <c r="D1643" s="190" t="s">
        <v>1611</v>
      </c>
      <c r="E1643" s="190">
        <v>42449</v>
      </c>
      <c r="F1643" s="191" t="s">
        <v>461</v>
      </c>
      <c r="G1643" s="833" t="s">
        <v>1072</v>
      </c>
      <c r="H1643" s="192" t="s">
        <v>662</v>
      </c>
      <c r="I1643" s="253"/>
      <c r="J1643" s="253"/>
      <c r="K1643" s="584">
        <v>16014000</v>
      </c>
      <c r="L1643" s="193" t="s">
        <v>251</v>
      </c>
      <c r="M1643" s="193" t="s">
        <v>354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26"/>
      <c r="AC1643" s="205"/>
      <c r="AD1643" s="205"/>
    </row>
    <row r="1644" spans="1:30" s="576" customFormat="1" ht="15.75" customHeight="1">
      <c r="A1644" s="827">
        <f>IF(B1644&lt;&gt;"",IF(AND(B1644&gt;=_TM1,B1644&lt;=_TM2,OR(TH!L1644="1111",TH!M1644="1111")),TH!D1644,""),"")</f>
        <v>0</v>
      </c>
      <c r="B1644" s="36">
        <f t="shared" si="274"/>
        <v>3</v>
      </c>
      <c r="C1644" s="190">
        <f t="shared" si="275"/>
        <v>42453</v>
      </c>
      <c r="D1644" s="190"/>
      <c r="E1644" s="190">
        <v>42453</v>
      </c>
      <c r="F1644" s="191" t="s">
        <v>621</v>
      </c>
      <c r="G1644" s="833" t="s">
        <v>1073</v>
      </c>
      <c r="H1644" s="192" t="s">
        <v>1063</v>
      </c>
      <c r="I1644" s="253"/>
      <c r="J1644" s="253"/>
      <c r="K1644" s="584">
        <v>1100000</v>
      </c>
      <c r="L1644" s="193" t="s">
        <v>47</v>
      </c>
      <c r="M1644" s="193" t="s">
        <v>623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>x</v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26"/>
      <c r="AC1644" s="205"/>
      <c r="AD1644" s="205"/>
    </row>
    <row r="1645" spans="1:30" s="576" customFormat="1" ht="15.75" customHeight="1">
      <c r="A1645" s="827">
        <f>IF(B1645&lt;&gt;"",IF(AND(B1645&gt;=_TM1,B1645&lt;=_TM2,OR(TH!L1645="1111",TH!M1645="1111")),TH!D1645,""),"")</f>
        <v>0</v>
      </c>
      <c r="B1645" s="36">
        <f t="shared" si="274"/>
        <v>3</v>
      </c>
      <c r="C1645" s="190">
        <f t="shared" si="275"/>
        <v>42453</v>
      </c>
      <c r="D1645" s="190"/>
      <c r="E1645" s="190">
        <v>42453</v>
      </c>
      <c r="F1645" s="191" t="s">
        <v>622</v>
      </c>
      <c r="G1645" s="833" t="s">
        <v>1073</v>
      </c>
      <c r="H1645" s="192" t="s">
        <v>1063</v>
      </c>
      <c r="I1645" s="253"/>
      <c r="J1645" s="253"/>
      <c r="K1645" s="584">
        <v>110000</v>
      </c>
      <c r="L1645" s="193" t="s">
        <v>47</v>
      </c>
      <c r="M1645" s="193" t="s">
        <v>354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>x</v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26"/>
      <c r="AC1645" s="205"/>
      <c r="AD1645" s="205"/>
    </row>
    <row r="1646" spans="1:30" s="576" customFormat="1" ht="15.75" customHeight="1">
      <c r="A1646" s="827" t="str">
        <f>IF(B1646&lt;&gt;"",IF(AND(B1646&gt;=_TM1,B1646&lt;=_TM2,OR(TH!L1646="1111",TH!M1646="1111")),TH!D1646,""),"")</f>
        <v/>
      </c>
      <c r="B1646" s="36">
        <f t="shared" si="274"/>
        <v>3</v>
      </c>
      <c r="C1646" s="190">
        <f t="shared" si="275"/>
        <v>42457</v>
      </c>
      <c r="D1646" s="190" t="s">
        <v>1612</v>
      </c>
      <c r="E1646" s="190">
        <v>42457</v>
      </c>
      <c r="F1646" s="191" t="s">
        <v>655</v>
      </c>
      <c r="G1646" s="833" t="s">
        <v>1074</v>
      </c>
      <c r="H1646" s="192" t="s">
        <v>630</v>
      </c>
      <c r="I1646" s="253">
        <v>472</v>
      </c>
      <c r="J1646" s="253">
        <v>6880</v>
      </c>
      <c r="K1646" s="584">
        <f>ROUND(I1646*J1646,0)</f>
        <v>3247360</v>
      </c>
      <c r="L1646" s="193" t="s">
        <v>251</v>
      </c>
      <c r="M1646" s="193" t="s">
        <v>164</v>
      </c>
      <c r="N1646" s="52" t="str">
        <f>IF(AND('331-CT'!$E$7=TH!H1646,OR(L1646="331",M1646="331")),"331",IF(AND(OR(L1646="131",M1646="131"),H1646='131-CT'!$E$7),"131",""))</f>
        <v>131</v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26"/>
      <c r="AB1646" s="576" t="str">
        <f>IF(VLOOKUP(F1646,NXT!$C$12:$C$786,1,0)=F1646,"","x")</f>
        <v/>
      </c>
      <c r="AC1646" s="205"/>
      <c r="AD1646" s="205"/>
    </row>
    <row r="1647" spans="1:30" ht="15.75" customHeight="1">
      <c r="A1647" s="827" t="str">
        <f>IF(B1647&lt;&gt;"",IF(AND(B1647&gt;=_TM1,B1647&lt;=_TM2,OR(TH!L1647="1111",TH!M1647="1111")),TH!D1647,""),"")</f>
        <v/>
      </c>
      <c r="B1647" s="36">
        <f t="shared" si="274"/>
        <v>3</v>
      </c>
      <c r="C1647" s="190">
        <f t="shared" si="275"/>
        <v>42457</v>
      </c>
      <c r="D1647" s="190" t="s">
        <v>1612</v>
      </c>
      <c r="E1647" s="190">
        <v>42457</v>
      </c>
      <c r="F1647" s="191" t="s">
        <v>461</v>
      </c>
      <c r="G1647" s="833" t="s">
        <v>1074</v>
      </c>
      <c r="H1647" s="192" t="s">
        <v>630</v>
      </c>
      <c r="I1647" s="253"/>
      <c r="J1647" s="253"/>
      <c r="K1647" s="584">
        <v>324736</v>
      </c>
      <c r="L1647" s="193" t="s">
        <v>251</v>
      </c>
      <c r="M1647" s="193" t="s">
        <v>354</v>
      </c>
      <c r="N1647" s="52" t="str">
        <f>IF(AND('331-CT'!$E$7=TH!H1647,OR(L1647="331",M1647="331")),"331",IF(AND(OR(L1647="131",M1647="131"),H1647='131-CT'!$E$7),"131",""))</f>
        <v>131</v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26"/>
      <c r="AB1647" s="576"/>
    </row>
    <row r="1648" spans="1:30" ht="15.75" customHeight="1">
      <c r="A1648" s="827" t="str">
        <f>IF(B1648&lt;&gt;"",IF(AND(B1648&gt;=_TM1,B1648&lt;=_TM2,OR(TH!L1648="1111",TH!M1648="1111")),TH!D1648,""),"")</f>
        <v/>
      </c>
      <c r="B1648" s="36">
        <f t="shared" si="274"/>
        <v>3</v>
      </c>
      <c r="C1648" s="190">
        <f t="shared" si="275"/>
        <v>42458</v>
      </c>
      <c r="D1648" s="190" t="s">
        <v>1613</v>
      </c>
      <c r="E1648" s="190">
        <v>42458</v>
      </c>
      <c r="F1648" s="191" t="s">
        <v>656</v>
      </c>
      <c r="G1648" s="833" t="s">
        <v>1075</v>
      </c>
      <c r="H1648" s="192" t="s">
        <v>630</v>
      </c>
      <c r="I1648" s="253">
        <v>719</v>
      </c>
      <c r="J1648" s="253">
        <v>4464</v>
      </c>
      <c r="K1648" s="584">
        <f>ROUND(I1648*J1648,0)</f>
        <v>3209616</v>
      </c>
      <c r="L1648" s="193" t="s">
        <v>251</v>
      </c>
      <c r="M1648" s="193" t="s">
        <v>164</v>
      </c>
      <c r="N1648" s="52" t="str">
        <f>IF(AND('331-CT'!$E$7=TH!H1648,OR(L1648="331",M1648="331")),"331",IF(AND(OR(L1648="131",M1648="131"),H1648='131-CT'!$E$7),"131",""))</f>
        <v>131</v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26"/>
      <c r="AB1648" s="576" t="str">
        <f>IF(VLOOKUP(F1648,NXT!$C$12:$C$786,1,0)=F1648,"","x")</f>
        <v/>
      </c>
    </row>
    <row r="1649" spans="1:30" ht="15.75" customHeight="1">
      <c r="A1649" s="827" t="str">
        <f>IF(B1649&lt;&gt;"",IF(AND(B1649&gt;=_TM1,B1649&lt;=_TM2,OR(TH!L1649="1111",TH!M1649="1111")),TH!D1649,""),"")</f>
        <v/>
      </c>
      <c r="B1649" s="36">
        <f t="shared" si="274"/>
        <v>3</v>
      </c>
      <c r="C1649" s="190">
        <f t="shared" si="275"/>
        <v>42458</v>
      </c>
      <c r="D1649" s="190" t="s">
        <v>1613</v>
      </c>
      <c r="E1649" s="190">
        <v>42458</v>
      </c>
      <c r="F1649" s="191" t="s">
        <v>461</v>
      </c>
      <c r="G1649" s="833" t="s">
        <v>1075</v>
      </c>
      <c r="H1649" s="192" t="s">
        <v>630</v>
      </c>
      <c r="I1649" s="253"/>
      <c r="J1649" s="253"/>
      <c r="K1649" s="584">
        <v>320962</v>
      </c>
      <c r="L1649" s="193" t="s">
        <v>251</v>
      </c>
      <c r="M1649" s="193" t="s">
        <v>354</v>
      </c>
      <c r="N1649" s="52" t="str">
        <f>IF(AND('331-CT'!$E$7=TH!H1649,OR(L1649="331",M1649="331")),"331",IF(AND(OR(L1649="131",M1649="131"),H1649='131-CT'!$E$7),"131",""))</f>
        <v>131</v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26"/>
      <c r="AB1649" s="576"/>
    </row>
    <row r="1650" spans="1:30" s="576" customFormat="1" ht="15.75" customHeight="1">
      <c r="A1650" s="827" t="str">
        <f>IF(B1650&lt;&gt;"",IF(AND(B1650&gt;=_TM1,B1650&lt;=_TM2,OR(TH!L1650="1111",TH!M1650="1111")),TH!D1650,""),"")</f>
        <v/>
      </c>
      <c r="B1650" s="36">
        <f t="shared" si="274"/>
        <v>3</v>
      </c>
      <c r="C1650" s="190">
        <f t="shared" si="275"/>
        <v>42458</v>
      </c>
      <c r="D1650" s="190" t="s">
        <v>1614</v>
      </c>
      <c r="E1650" s="190">
        <v>42458</v>
      </c>
      <c r="F1650" s="191" t="s">
        <v>1078</v>
      </c>
      <c r="G1650" s="833" t="s">
        <v>1076</v>
      </c>
      <c r="H1650" s="192" t="s">
        <v>1077</v>
      </c>
      <c r="I1650" s="253">
        <v>300</v>
      </c>
      <c r="J1650" s="253">
        <v>9893</v>
      </c>
      <c r="K1650" s="584">
        <f>ROUND(I1650*J1650,0)</f>
        <v>2967900</v>
      </c>
      <c r="L1650" s="193" t="s">
        <v>251</v>
      </c>
      <c r="M1650" s="193" t="s">
        <v>164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26"/>
      <c r="AB1650" s="576" t="str">
        <f>IF(VLOOKUP(F1650,NXT!$C$12:$C$786,1,0)=F1650,"","x")</f>
        <v/>
      </c>
      <c r="AC1650" s="205"/>
      <c r="AD1650" s="205"/>
    </row>
    <row r="1651" spans="1:30" s="576" customFormat="1" ht="15.75" customHeight="1">
      <c r="A1651" s="827" t="str">
        <f>IF(B1651&lt;&gt;"",IF(AND(B1651&gt;=_TM1,B1651&lt;=_TM2,OR(TH!L1651="1111",TH!M1651="1111")),TH!D1651,""),"")</f>
        <v/>
      </c>
      <c r="B1651" s="36">
        <f t="shared" si="274"/>
        <v>3</v>
      </c>
      <c r="C1651" s="190">
        <f t="shared" si="275"/>
        <v>42458</v>
      </c>
      <c r="D1651" s="190" t="s">
        <v>1614</v>
      </c>
      <c r="E1651" s="190">
        <v>42458</v>
      </c>
      <c r="F1651" s="191" t="s">
        <v>967</v>
      </c>
      <c r="G1651" s="833" t="s">
        <v>1076</v>
      </c>
      <c r="H1651" s="192" t="s">
        <v>1077</v>
      </c>
      <c r="I1651" s="253">
        <v>640</v>
      </c>
      <c r="J1651" s="253">
        <v>9207</v>
      </c>
      <c r="K1651" s="584">
        <f>ROUND(I1651*J1651,0)</f>
        <v>5892480</v>
      </c>
      <c r="L1651" s="193" t="s">
        <v>251</v>
      </c>
      <c r="M1651" s="193" t="s">
        <v>164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26"/>
      <c r="AB1651" s="576" t="str">
        <f>IF(VLOOKUP(F1651,NXT!$C$12:$C$786,1,0)=F1651,"","x")</f>
        <v/>
      </c>
      <c r="AC1651" s="205"/>
      <c r="AD1651" s="205"/>
    </row>
    <row r="1652" spans="1:30" s="576" customFormat="1" ht="15.75" customHeight="1">
      <c r="A1652" s="827" t="str">
        <f>IF(B1652&lt;&gt;"",IF(AND(B1652&gt;=_TM1,B1652&lt;=_TM2,OR(TH!L1652="1111",TH!M1652="1111")),TH!D1652,""),"")</f>
        <v/>
      </c>
      <c r="B1652" s="36">
        <f t="shared" si="274"/>
        <v>3</v>
      </c>
      <c r="C1652" s="190">
        <f t="shared" si="275"/>
        <v>42458</v>
      </c>
      <c r="D1652" s="190" t="s">
        <v>1614</v>
      </c>
      <c r="E1652" s="190">
        <v>42458</v>
      </c>
      <c r="F1652" s="191" t="s">
        <v>1079</v>
      </c>
      <c r="G1652" s="833" t="s">
        <v>1076</v>
      </c>
      <c r="H1652" s="192" t="s">
        <v>1077</v>
      </c>
      <c r="I1652" s="253"/>
      <c r="J1652" s="253"/>
      <c r="K1652" s="584">
        <v>886038</v>
      </c>
      <c r="L1652" s="193" t="s">
        <v>251</v>
      </c>
      <c r="M1652" s="193" t="s">
        <v>354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26"/>
      <c r="AC1652" s="205"/>
      <c r="AD1652" s="205"/>
    </row>
    <row r="1653" spans="1:30" s="576" customFormat="1" ht="15.75" customHeight="1">
      <c r="A1653" s="827" t="str">
        <f>IF(B1653&lt;&gt;"",IF(AND(B1653&gt;=_TM1,B1653&lt;=_TM2,OR(TH!L1653="1111",TH!M1653="1111")),TH!D1653,""),"")</f>
        <v/>
      </c>
      <c r="B1653" s="36">
        <f t="shared" si="274"/>
        <v>3</v>
      </c>
      <c r="C1653" s="190">
        <f t="shared" si="275"/>
        <v>42458</v>
      </c>
      <c r="D1653" s="190" t="s">
        <v>1615</v>
      </c>
      <c r="E1653" s="190">
        <v>42458</v>
      </c>
      <c r="F1653" s="191" t="s">
        <v>755</v>
      </c>
      <c r="G1653" s="833" t="s">
        <v>1080</v>
      </c>
      <c r="H1653" s="192" t="s">
        <v>678</v>
      </c>
      <c r="I1653" s="253">
        <v>24</v>
      </c>
      <c r="J1653" s="253">
        <v>35174</v>
      </c>
      <c r="K1653" s="584">
        <f t="shared" ref="K1653:K1682" si="276">ROUND(I1653*J1653,0)</f>
        <v>844176</v>
      </c>
      <c r="L1653" s="193" t="s">
        <v>251</v>
      </c>
      <c r="M1653" s="193" t="s">
        <v>164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26"/>
      <c r="AB1653" s="576" t="str">
        <f>IF(VLOOKUP(F1653,NXT!$C$12:$C$786,1,0)=F1653,"","x")</f>
        <v/>
      </c>
      <c r="AC1653" s="205"/>
      <c r="AD1653" s="205"/>
    </row>
    <row r="1654" spans="1:30" s="576" customFormat="1" ht="15.75" customHeight="1">
      <c r="A1654" s="827" t="str">
        <f>IF(B1654&lt;&gt;"",IF(AND(B1654&gt;=_TM1,B1654&lt;=_TM2,OR(TH!L1654="1111",TH!M1654="1111")),TH!D1654,""),"")</f>
        <v/>
      </c>
      <c r="B1654" s="36">
        <f t="shared" si="274"/>
        <v>3</v>
      </c>
      <c r="C1654" s="190">
        <f t="shared" si="275"/>
        <v>42458</v>
      </c>
      <c r="D1654" s="190" t="s">
        <v>1615</v>
      </c>
      <c r="E1654" s="190">
        <v>42458</v>
      </c>
      <c r="F1654" s="191" t="s">
        <v>959</v>
      </c>
      <c r="G1654" s="833" t="s">
        <v>1080</v>
      </c>
      <c r="H1654" s="192" t="s">
        <v>678</v>
      </c>
      <c r="I1654" s="253">
        <v>60</v>
      </c>
      <c r="J1654" s="253">
        <v>81157</v>
      </c>
      <c r="K1654" s="584">
        <f t="shared" si="276"/>
        <v>4869420</v>
      </c>
      <c r="L1654" s="193" t="s">
        <v>251</v>
      </c>
      <c r="M1654" s="193" t="s">
        <v>164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26"/>
      <c r="AB1654" s="576" t="str">
        <f>IF(VLOOKUP(F1654,NXT!$C$12:$C$786,1,0)=F1654,"","x")</f>
        <v/>
      </c>
      <c r="AC1654" s="205"/>
      <c r="AD1654" s="205"/>
    </row>
    <row r="1655" spans="1:30" s="576" customFormat="1" ht="15.75" customHeight="1">
      <c r="A1655" s="827" t="str">
        <f>IF(B1655&lt;&gt;"",IF(AND(B1655&gt;=_TM1,B1655&lt;=_TM2,OR(TH!L1655="1111",TH!M1655="1111")),TH!D1655,""),"")</f>
        <v/>
      </c>
      <c r="B1655" s="36">
        <f t="shared" si="274"/>
        <v>3</v>
      </c>
      <c r="C1655" s="190">
        <f t="shared" si="275"/>
        <v>42458</v>
      </c>
      <c r="D1655" s="190" t="s">
        <v>1615</v>
      </c>
      <c r="E1655" s="190">
        <v>42458</v>
      </c>
      <c r="F1655" s="191" t="s">
        <v>756</v>
      </c>
      <c r="G1655" s="833" t="s">
        <v>1080</v>
      </c>
      <c r="H1655" s="192" t="s">
        <v>678</v>
      </c>
      <c r="I1655" s="253">
        <v>36</v>
      </c>
      <c r="J1655" s="253">
        <v>38460</v>
      </c>
      <c r="K1655" s="584">
        <f t="shared" si="276"/>
        <v>1384560</v>
      </c>
      <c r="L1655" s="193" t="s">
        <v>251</v>
      </c>
      <c r="M1655" s="193" t="s">
        <v>164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26"/>
      <c r="AB1655" s="576" t="str">
        <f>IF(VLOOKUP(F1655,NXT!$C$12:$C$786,1,0)=F1655,"","x")</f>
        <v/>
      </c>
      <c r="AC1655" s="205"/>
      <c r="AD1655" s="205"/>
    </row>
    <row r="1656" spans="1:30" s="576" customFormat="1" ht="15.75" customHeight="1">
      <c r="A1656" s="827" t="str">
        <f>IF(B1656&lt;&gt;"",IF(AND(B1656&gt;=_TM1,B1656&lt;=_TM2,OR(TH!L1656="1111",TH!M1656="1111")),TH!D1656,""),"")</f>
        <v/>
      </c>
      <c r="B1656" s="36">
        <f t="shared" si="274"/>
        <v>3</v>
      </c>
      <c r="C1656" s="190">
        <f t="shared" si="275"/>
        <v>42458</v>
      </c>
      <c r="D1656" s="190" t="s">
        <v>1615</v>
      </c>
      <c r="E1656" s="190">
        <v>42458</v>
      </c>
      <c r="F1656" s="191" t="s">
        <v>761</v>
      </c>
      <c r="G1656" s="833" t="s">
        <v>1080</v>
      </c>
      <c r="H1656" s="192" t="s">
        <v>678</v>
      </c>
      <c r="I1656" s="253">
        <v>32</v>
      </c>
      <c r="J1656" s="253">
        <v>91104</v>
      </c>
      <c r="K1656" s="584">
        <f t="shared" si="276"/>
        <v>2915328</v>
      </c>
      <c r="L1656" s="193" t="s">
        <v>251</v>
      </c>
      <c r="M1656" s="193" t="s">
        <v>164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26"/>
      <c r="AB1656" s="576" t="str">
        <f>IF(VLOOKUP(F1656,NXT!$C$12:$C$786,1,0)=F1656,"","x")</f>
        <v/>
      </c>
      <c r="AC1656" s="205"/>
      <c r="AD1656" s="205"/>
    </row>
    <row r="1657" spans="1:30" s="576" customFormat="1" ht="15.75" customHeight="1">
      <c r="A1657" s="827" t="str">
        <f>IF(B1657&lt;&gt;"",IF(AND(B1657&gt;=_TM1,B1657&lt;=_TM2,OR(TH!L1657="1111",TH!M1657="1111")),TH!D1657,""),"")</f>
        <v/>
      </c>
      <c r="B1657" s="36">
        <f t="shared" si="274"/>
        <v>3</v>
      </c>
      <c r="C1657" s="190">
        <f t="shared" si="275"/>
        <v>42458</v>
      </c>
      <c r="D1657" s="190" t="s">
        <v>1615</v>
      </c>
      <c r="E1657" s="190">
        <v>42458</v>
      </c>
      <c r="F1657" s="191" t="s">
        <v>957</v>
      </c>
      <c r="G1657" s="833" t="s">
        <v>1080</v>
      </c>
      <c r="H1657" s="192" t="s">
        <v>678</v>
      </c>
      <c r="I1657" s="253">
        <v>36</v>
      </c>
      <c r="J1657" s="253">
        <v>36187</v>
      </c>
      <c r="K1657" s="584">
        <f t="shared" si="276"/>
        <v>1302732</v>
      </c>
      <c r="L1657" s="193" t="s">
        <v>251</v>
      </c>
      <c r="M1657" s="193" t="s">
        <v>164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26"/>
      <c r="AB1657" s="576" t="str">
        <f>IF(VLOOKUP(F1657,NXT!$C$12:$C$786,1,0)=F1657,"","x")</f>
        <v/>
      </c>
      <c r="AC1657" s="205"/>
      <c r="AD1657" s="205"/>
    </row>
    <row r="1658" spans="1:30" s="576" customFormat="1" ht="15.75" customHeight="1">
      <c r="A1658" s="827" t="str">
        <f>IF(B1658&lt;&gt;"",IF(AND(B1658&gt;=_TM1,B1658&lt;=_TM2,OR(TH!L1658="1111",TH!M1658="1111")),TH!D1658,""),"")</f>
        <v/>
      </c>
      <c r="B1658" s="36">
        <f t="shared" si="274"/>
        <v>3</v>
      </c>
      <c r="C1658" s="190">
        <f t="shared" si="275"/>
        <v>42458</v>
      </c>
      <c r="D1658" s="190" t="s">
        <v>1615</v>
      </c>
      <c r="E1658" s="190">
        <v>42458</v>
      </c>
      <c r="F1658" s="191" t="s">
        <v>957</v>
      </c>
      <c r="G1658" s="833" t="s">
        <v>1080</v>
      </c>
      <c r="H1658" s="192" t="s">
        <v>678</v>
      </c>
      <c r="I1658" s="253">
        <v>20</v>
      </c>
      <c r="J1658" s="253">
        <v>37997</v>
      </c>
      <c r="K1658" s="584">
        <f t="shared" si="276"/>
        <v>759940</v>
      </c>
      <c r="L1658" s="193" t="s">
        <v>251</v>
      </c>
      <c r="M1658" s="193" t="s">
        <v>164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26"/>
      <c r="AB1658" s="576" t="str">
        <f>IF(VLOOKUP(F1658,NXT!$C$12:$C$786,1,0)=F1658,"","x")</f>
        <v/>
      </c>
      <c r="AC1658" s="205"/>
      <c r="AD1658" s="205"/>
    </row>
    <row r="1659" spans="1:30" s="576" customFormat="1" ht="15.75" customHeight="1">
      <c r="A1659" s="827" t="str">
        <f>IF(B1659&lt;&gt;"",IF(AND(B1659&gt;=_TM1,B1659&lt;=_TM2,OR(TH!L1659="1111",TH!M1659="1111")),TH!D1659,""),"")</f>
        <v/>
      </c>
      <c r="B1659" s="36">
        <f t="shared" si="274"/>
        <v>3</v>
      </c>
      <c r="C1659" s="190">
        <f t="shared" si="275"/>
        <v>42458</v>
      </c>
      <c r="D1659" s="190" t="s">
        <v>1615</v>
      </c>
      <c r="E1659" s="190">
        <v>42458</v>
      </c>
      <c r="F1659" s="191" t="s">
        <v>758</v>
      </c>
      <c r="G1659" s="833" t="s">
        <v>1080</v>
      </c>
      <c r="H1659" s="192" t="s">
        <v>678</v>
      </c>
      <c r="I1659" s="253">
        <v>18</v>
      </c>
      <c r="J1659" s="253">
        <v>50880</v>
      </c>
      <c r="K1659" s="584">
        <f t="shared" si="276"/>
        <v>915840</v>
      </c>
      <c r="L1659" s="193" t="s">
        <v>251</v>
      </c>
      <c r="M1659" s="193" t="s">
        <v>164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26"/>
      <c r="AB1659" s="576" t="str">
        <f>IF(VLOOKUP(F1659,NXT!$C$12:$C$786,1,0)=F1659,"","x")</f>
        <v/>
      </c>
      <c r="AC1659" s="205"/>
      <c r="AD1659" s="205"/>
    </row>
    <row r="1660" spans="1:30" s="576" customFormat="1" ht="15.75" customHeight="1">
      <c r="A1660" s="827" t="str">
        <f>IF(B1660&lt;&gt;"",IF(AND(B1660&gt;=_TM1,B1660&lt;=_TM2,OR(TH!L1660="1111",TH!M1660="1111")),TH!D1660,""),"")</f>
        <v/>
      </c>
      <c r="B1660" s="36">
        <f t="shared" si="274"/>
        <v>3</v>
      </c>
      <c r="C1660" s="190">
        <f t="shared" si="275"/>
        <v>42458</v>
      </c>
      <c r="D1660" s="190" t="s">
        <v>1615</v>
      </c>
      <c r="E1660" s="190">
        <v>42458</v>
      </c>
      <c r="F1660" s="191" t="s">
        <v>757</v>
      </c>
      <c r="G1660" s="833" t="s">
        <v>1080</v>
      </c>
      <c r="H1660" s="192" t="s">
        <v>678</v>
      </c>
      <c r="I1660" s="253">
        <v>40</v>
      </c>
      <c r="J1660" s="253">
        <v>68605</v>
      </c>
      <c r="K1660" s="584">
        <f t="shared" si="276"/>
        <v>2744200</v>
      </c>
      <c r="L1660" s="193" t="s">
        <v>251</v>
      </c>
      <c r="M1660" s="193" t="s">
        <v>164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26"/>
      <c r="AB1660" s="576" t="str">
        <f>IF(VLOOKUP(F1660,NXT!$C$12:$C$786,1,0)=F1660,"","x")</f>
        <v/>
      </c>
      <c r="AC1660" s="205"/>
      <c r="AD1660" s="205"/>
    </row>
    <row r="1661" spans="1:30" s="576" customFormat="1" ht="15.75" customHeight="1">
      <c r="A1661" s="827" t="str">
        <f>IF(B1661&lt;&gt;"",IF(AND(B1661&gt;=_TM1,B1661&lt;=_TM2,OR(TH!L1661="1111",TH!M1661="1111")),TH!D1661,""),"")</f>
        <v/>
      </c>
      <c r="B1661" s="36">
        <f t="shared" si="274"/>
        <v>3</v>
      </c>
      <c r="C1661" s="190">
        <f t="shared" si="275"/>
        <v>42458</v>
      </c>
      <c r="D1661" s="190" t="s">
        <v>1615</v>
      </c>
      <c r="E1661" s="190">
        <v>42458</v>
      </c>
      <c r="F1661" s="191" t="s">
        <v>672</v>
      </c>
      <c r="G1661" s="833" t="s">
        <v>1080</v>
      </c>
      <c r="H1661" s="192" t="s">
        <v>678</v>
      </c>
      <c r="I1661" s="253">
        <v>54</v>
      </c>
      <c r="J1661" s="253">
        <v>39501</v>
      </c>
      <c r="K1661" s="584">
        <f t="shared" si="276"/>
        <v>2133054</v>
      </c>
      <c r="L1661" s="193" t="s">
        <v>251</v>
      </c>
      <c r="M1661" s="193" t="s">
        <v>164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26"/>
      <c r="AB1661" s="576" t="str">
        <f>IF(VLOOKUP(F1661,NXT!$C$12:$C$786,1,0)=F1661,"","x")</f>
        <v/>
      </c>
      <c r="AC1661" s="205"/>
      <c r="AD1661" s="205"/>
    </row>
    <row r="1662" spans="1:30" s="576" customFormat="1" ht="15.75" customHeight="1">
      <c r="A1662" s="827" t="str">
        <f>IF(B1662&lt;&gt;"",IF(AND(B1662&gt;=_TM1,B1662&lt;=_TM2,OR(TH!L1662="1111",TH!M1662="1111")),TH!D1662,""),"")</f>
        <v/>
      </c>
      <c r="B1662" s="36">
        <f t="shared" si="274"/>
        <v>3</v>
      </c>
      <c r="C1662" s="190">
        <f t="shared" si="275"/>
        <v>42458</v>
      </c>
      <c r="D1662" s="190" t="s">
        <v>1615</v>
      </c>
      <c r="E1662" s="190">
        <v>42458</v>
      </c>
      <c r="F1662" s="191" t="s">
        <v>958</v>
      </c>
      <c r="G1662" s="833" t="s">
        <v>1080</v>
      </c>
      <c r="H1662" s="192" t="s">
        <v>678</v>
      </c>
      <c r="I1662" s="253">
        <v>50</v>
      </c>
      <c r="J1662" s="253">
        <v>62643</v>
      </c>
      <c r="K1662" s="584">
        <f t="shared" si="276"/>
        <v>3132150</v>
      </c>
      <c r="L1662" s="193" t="s">
        <v>251</v>
      </c>
      <c r="M1662" s="193" t="s">
        <v>164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26"/>
      <c r="AB1662" s="576" t="str">
        <f>IF(VLOOKUP(F1662,NXT!$C$12:$C$786,1,0)=F1662,"","x")</f>
        <v/>
      </c>
      <c r="AC1662" s="205"/>
      <c r="AD1662" s="205"/>
    </row>
    <row r="1663" spans="1:30" s="576" customFormat="1" ht="15.75" customHeight="1">
      <c r="A1663" s="827" t="str">
        <f>IF(B1663&lt;&gt;"",IF(AND(B1663&gt;=_TM1,B1663&lt;=_TM2,OR(TH!L1663="1111",TH!M1663="1111")),TH!D1663,""),"")</f>
        <v/>
      </c>
      <c r="B1663" s="36">
        <f t="shared" si="274"/>
        <v>3</v>
      </c>
      <c r="C1663" s="190">
        <f t="shared" si="275"/>
        <v>42458</v>
      </c>
      <c r="D1663" s="190" t="s">
        <v>1615</v>
      </c>
      <c r="E1663" s="190">
        <v>42458</v>
      </c>
      <c r="F1663" s="191" t="s">
        <v>736</v>
      </c>
      <c r="G1663" s="833" t="s">
        <v>1080</v>
      </c>
      <c r="H1663" s="192" t="s">
        <v>678</v>
      </c>
      <c r="I1663" s="253">
        <v>15</v>
      </c>
      <c r="J1663" s="253">
        <v>65049</v>
      </c>
      <c r="K1663" s="584">
        <f t="shared" si="276"/>
        <v>975735</v>
      </c>
      <c r="L1663" s="193" t="s">
        <v>251</v>
      </c>
      <c r="M1663" s="193" t="s">
        <v>164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26"/>
      <c r="AB1663" s="576" t="str">
        <f>IF(VLOOKUP(F1663,NXT!$C$12:$C$786,1,0)=F1663,"","x")</f>
        <v/>
      </c>
      <c r="AC1663" s="205"/>
      <c r="AD1663" s="205"/>
    </row>
    <row r="1664" spans="1:30" s="576" customFormat="1" ht="15.75" customHeight="1">
      <c r="A1664" s="827" t="str">
        <f>IF(B1664&lt;&gt;"",IF(AND(B1664&gt;=_TM1,B1664&lt;=_TM2,OR(TH!L1664="1111",TH!M1664="1111")),TH!D1664,""),"")</f>
        <v/>
      </c>
      <c r="B1664" s="36">
        <f t="shared" si="274"/>
        <v>3</v>
      </c>
      <c r="C1664" s="190">
        <f t="shared" si="275"/>
        <v>42458</v>
      </c>
      <c r="D1664" s="190" t="s">
        <v>1615</v>
      </c>
      <c r="E1664" s="190">
        <v>42458</v>
      </c>
      <c r="F1664" s="191" t="s">
        <v>760</v>
      </c>
      <c r="G1664" s="833" t="s">
        <v>1080</v>
      </c>
      <c r="H1664" s="192" t="s">
        <v>678</v>
      </c>
      <c r="I1664" s="253">
        <v>18</v>
      </c>
      <c r="J1664" s="253">
        <v>48640</v>
      </c>
      <c r="K1664" s="584">
        <f t="shared" si="276"/>
        <v>875520</v>
      </c>
      <c r="L1664" s="193" t="s">
        <v>251</v>
      </c>
      <c r="M1664" s="193" t="s">
        <v>164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26"/>
      <c r="AB1664" s="576" t="str">
        <f>IF(VLOOKUP(F1664,NXT!$C$12:$C$786,1,0)=F1664,"","x")</f>
        <v/>
      </c>
      <c r="AC1664" s="205"/>
      <c r="AD1664" s="205"/>
    </row>
    <row r="1665" spans="1:30" s="576" customFormat="1" ht="15.75" customHeight="1">
      <c r="A1665" s="827" t="str">
        <f>IF(B1665&lt;&gt;"",IF(AND(B1665&gt;=_TM1,B1665&lt;=_TM2,OR(TH!L1665="1111",TH!M1665="1111")),TH!D1665,""),"")</f>
        <v/>
      </c>
      <c r="B1665" s="36">
        <f t="shared" si="274"/>
        <v>3</v>
      </c>
      <c r="C1665" s="190">
        <f t="shared" si="275"/>
        <v>42458</v>
      </c>
      <c r="D1665" s="190" t="s">
        <v>1615</v>
      </c>
      <c r="E1665" s="190">
        <v>42458</v>
      </c>
      <c r="F1665" s="191" t="s">
        <v>670</v>
      </c>
      <c r="G1665" s="833" t="s">
        <v>1080</v>
      </c>
      <c r="H1665" s="192" t="s">
        <v>678</v>
      </c>
      <c r="I1665" s="253">
        <v>27</v>
      </c>
      <c r="J1665" s="253">
        <v>138533</v>
      </c>
      <c r="K1665" s="584">
        <f t="shared" si="276"/>
        <v>3740391</v>
      </c>
      <c r="L1665" s="193" t="s">
        <v>251</v>
      </c>
      <c r="M1665" s="193" t="s">
        <v>164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26"/>
      <c r="AB1665" s="576" t="str">
        <f>IF(VLOOKUP(F1665,NXT!$C$12:$C$786,1,0)=F1665,"","x")</f>
        <v/>
      </c>
      <c r="AC1665" s="205"/>
      <c r="AD1665" s="205"/>
    </row>
    <row r="1666" spans="1:30" s="576" customFormat="1" ht="15.75" customHeight="1">
      <c r="A1666" s="827" t="str">
        <f>IF(B1666&lt;&gt;"",IF(AND(B1666&gt;=_TM1,B1666&lt;=_TM2,OR(TH!L1666="1111",TH!M1666="1111")),TH!D1666,""),"")</f>
        <v/>
      </c>
      <c r="B1666" s="36">
        <f t="shared" si="274"/>
        <v>3</v>
      </c>
      <c r="C1666" s="190">
        <f t="shared" si="275"/>
        <v>42458</v>
      </c>
      <c r="D1666" s="190" t="s">
        <v>1615</v>
      </c>
      <c r="E1666" s="190">
        <v>42458</v>
      </c>
      <c r="F1666" s="191" t="s">
        <v>762</v>
      </c>
      <c r="G1666" s="833" t="s">
        <v>1080</v>
      </c>
      <c r="H1666" s="192" t="s">
        <v>678</v>
      </c>
      <c r="I1666" s="253">
        <v>31</v>
      </c>
      <c r="J1666" s="253">
        <v>63956</v>
      </c>
      <c r="K1666" s="584">
        <f t="shared" si="276"/>
        <v>1982636</v>
      </c>
      <c r="L1666" s="193" t="s">
        <v>251</v>
      </c>
      <c r="M1666" s="193" t="s">
        <v>164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26"/>
      <c r="AB1666" s="576" t="str">
        <f>IF(VLOOKUP(F1666,NXT!$C$12:$C$786,1,0)=F1666,"","x")</f>
        <v/>
      </c>
      <c r="AC1666" s="205"/>
      <c r="AD1666" s="205"/>
    </row>
    <row r="1667" spans="1:30" s="576" customFormat="1" ht="15.75" customHeight="1">
      <c r="A1667" s="827" t="str">
        <f>IF(B1667&lt;&gt;"",IF(AND(B1667&gt;=_TM1,B1667&lt;=_TM2,OR(TH!L1667="1111",TH!M1667="1111")),TH!D1667,""),"")</f>
        <v/>
      </c>
      <c r="B1667" s="36">
        <f t="shared" si="274"/>
        <v>3</v>
      </c>
      <c r="C1667" s="190">
        <f t="shared" si="275"/>
        <v>42458</v>
      </c>
      <c r="D1667" s="190" t="s">
        <v>1615</v>
      </c>
      <c r="E1667" s="190">
        <v>42458</v>
      </c>
      <c r="F1667" s="191" t="s">
        <v>759</v>
      </c>
      <c r="G1667" s="833" t="s">
        <v>1080</v>
      </c>
      <c r="H1667" s="192" t="s">
        <v>678</v>
      </c>
      <c r="I1667" s="253">
        <v>12</v>
      </c>
      <c r="J1667" s="253">
        <v>53685</v>
      </c>
      <c r="K1667" s="584">
        <f t="shared" si="276"/>
        <v>644220</v>
      </c>
      <c r="L1667" s="193" t="s">
        <v>251</v>
      </c>
      <c r="M1667" s="193" t="s">
        <v>164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26"/>
      <c r="AB1667" s="576" t="str">
        <f>IF(VLOOKUP(F1667,NXT!$C$12:$C$786,1,0)=F1667,"","x")</f>
        <v/>
      </c>
      <c r="AC1667" s="205"/>
      <c r="AD1667" s="205"/>
    </row>
    <row r="1668" spans="1:30" s="576" customFormat="1" ht="15.75" customHeight="1">
      <c r="A1668" s="827" t="str">
        <f>IF(B1668&lt;&gt;"",IF(AND(B1668&gt;=_TM1,B1668&lt;=_TM2,OR(TH!L1668="1111",TH!M1668="1111")),TH!D1668,""),"")</f>
        <v/>
      </c>
      <c r="B1668" s="36">
        <f t="shared" si="274"/>
        <v>3</v>
      </c>
      <c r="C1668" s="190">
        <f t="shared" si="275"/>
        <v>42458</v>
      </c>
      <c r="D1668" s="190" t="s">
        <v>1615</v>
      </c>
      <c r="E1668" s="190">
        <v>42458</v>
      </c>
      <c r="F1668" s="191" t="s">
        <v>759</v>
      </c>
      <c r="G1668" s="833" t="s">
        <v>1080</v>
      </c>
      <c r="H1668" s="192" t="s">
        <v>678</v>
      </c>
      <c r="I1668" s="253">
        <v>36</v>
      </c>
      <c r="J1668" s="253">
        <v>53685</v>
      </c>
      <c r="K1668" s="584">
        <f t="shared" si="276"/>
        <v>1932660</v>
      </c>
      <c r="L1668" s="193" t="s">
        <v>251</v>
      </c>
      <c r="M1668" s="193" t="s">
        <v>164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26"/>
      <c r="AB1668" s="576" t="str">
        <f>IF(VLOOKUP(F1668,NXT!$C$12:$C$786,1,0)=F1668,"","x")</f>
        <v/>
      </c>
      <c r="AC1668" s="205"/>
      <c r="AD1668" s="205"/>
    </row>
    <row r="1669" spans="1:30" s="576" customFormat="1" ht="15.75" customHeight="1">
      <c r="A1669" s="827" t="str">
        <f>IF(B1669&lt;&gt;"",IF(AND(B1669&gt;=_TM1,B1669&lt;=_TM2,OR(TH!L1669="1111",TH!M1669="1111")),TH!D1669,""),"")</f>
        <v/>
      </c>
      <c r="B1669" s="36">
        <f t="shared" si="274"/>
        <v>3</v>
      </c>
      <c r="C1669" s="190">
        <f t="shared" si="275"/>
        <v>42458</v>
      </c>
      <c r="D1669" s="190" t="s">
        <v>1615</v>
      </c>
      <c r="E1669" s="190">
        <v>42458</v>
      </c>
      <c r="F1669" s="191" t="s">
        <v>1014</v>
      </c>
      <c r="G1669" s="833" t="s">
        <v>1080</v>
      </c>
      <c r="H1669" s="192" t="s">
        <v>678</v>
      </c>
      <c r="I1669" s="253">
        <v>40</v>
      </c>
      <c r="J1669" s="253">
        <v>67708</v>
      </c>
      <c r="K1669" s="584">
        <f t="shared" si="276"/>
        <v>2708320</v>
      </c>
      <c r="L1669" s="193" t="s">
        <v>251</v>
      </c>
      <c r="M1669" s="193" t="s">
        <v>164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26"/>
      <c r="AB1669" s="576" t="str">
        <f>IF(VLOOKUP(F1669,NXT!$C$12:$C$786,1,0)=F1669,"","x")</f>
        <v/>
      </c>
      <c r="AC1669" s="205"/>
      <c r="AD1669" s="205"/>
    </row>
    <row r="1670" spans="1:30" s="576" customFormat="1" ht="15.75" customHeight="1">
      <c r="A1670" s="827" t="str">
        <f>IF(B1670&lt;&gt;"",IF(AND(B1670&gt;=_TM1,B1670&lt;=_TM2,OR(TH!L1670="1111",TH!M1670="1111")),TH!D1670,""),"")</f>
        <v/>
      </c>
      <c r="B1670" s="36">
        <f t="shared" si="274"/>
        <v>3</v>
      </c>
      <c r="C1670" s="190">
        <f t="shared" si="275"/>
        <v>42458</v>
      </c>
      <c r="D1670" s="190" t="s">
        <v>1615</v>
      </c>
      <c r="E1670" s="190">
        <v>42458</v>
      </c>
      <c r="F1670" s="188" t="s">
        <v>469</v>
      </c>
      <c r="G1670" s="833" t="s">
        <v>1080</v>
      </c>
      <c r="H1670" s="192" t="s">
        <v>678</v>
      </c>
      <c r="I1670" s="253">
        <v>9</v>
      </c>
      <c r="J1670" s="253">
        <v>61913</v>
      </c>
      <c r="K1670" s="584">
        <f t="shared" si="276"/>
        <v>557217</v>
      </c>
      <c r="L1670" s="193" t="s">
        <v>251</v>
      </c>
      <c r="M1670" s="193" t="s">
        <v>164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26"/>
      <c r="AB1670" s="576" t="str">
        <f>IF(VLOOKUP(F1670,NXT!$C$12:$C$786,1,0)=F1670,"","x")</f>
        <v/>
      </c>
      <c r="AC1670" s="205"/>
      <c r="AD1670" s="205"/>
    </row>
    <row r="1671" spans="1:30" s="576" customFormat="1" ht="15.75" customHeight="1">
      <c r="A1671" s="827" t="str">
        <f>IF(B1671&lt;&gt;"",IF(AND(B1671&gt;=_TM1,B1671&lt;=_TM2,OR(TH!L1671="1111",TH!M1671="1111")),TH!D1671,""),"")</f>
        <v/>
      </c>
      <c r="B1671" s="36">
        <f t="shared" si="274"/>
        <v>3</v>
      </c>
      <c r="C1671" s="190">
        <f t="shared" si="275"/>
        <v>42458</v>
      </c>
      <c r="D1671" s="190" t="s">
        <v>1615</v>
      </c>
      <c r="E1671" s="190">
        <v>42458</v>
      </c>
      <c r="F1671" s="191" t="s">
        <v>459</v>
      </c>
      <c r="G1671" s="833" t="s">
        <v>1080</v>
      </c>
      <c r="H1671" s="192" t="s">
        <v>678</v>
      </c>
      <c r="I1671" s="253">
        <v>155</v>
      </c>
      <c r="J1671" s="253">
        <v>31884</v>
      </c>
      <c r="K1671" s="584">
        <f t="shared" si="276"/>
        <v>4942020</v>
      </c>
      <c r="L1671" s="193" t="s">
        <v>251</v>
      </c>
      <c r="M1671" s="193" t="s">
        <v>164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26"/>
      <c r="AB1671" s="576" t="str">
        <f>IF(VLOOKUP(F1671,NXT!$C$12:$C$786,1,0)=F1671,"","x")</f>
        <v/>
      </c>
      <c r="AC1671" s="205"/>
      <c r="AD1671" s="205"/>
    </row>
    <row r="1672" spans="1:30" s="576" customFormat="1" ht="15.75" customHeight="1">
      <c r="A1672" s="827" t="str">
        <f>IF(B1672&lt;&gt;"",IF(AND(B1672&gt;=_TM1,B1672&lt;=_TM2,OR(TH!L1672="1111",TH!M1672="1111")),TH!D1672,""),"")</f>
        <v/>
      </c>
      <c r="B1672" s="36">
        <f t="shared" si="274"/>
        <v>3</v>
      </c>
      <c r="C1672" s="190">
        <f t="shared" si="275"/>
        <v>42458</v>
      </c>
      <c r="D1672" s="190" t="s">
        <v>1615</v>
      </c>
      <c r="E1672" s="190">
        <v>42458</v>
      </c>
      <c r="F1672" s="191" t="s">
        <v>453</v>
      </c>
      <c r="G1672" s="833" t="s">
        <v>1080</v>
      </c>
      <c r="H1672" s="192" t="s">
        <v>678</v>
      </c>
      <c r="I1672" s="253">
        <v>12</v>
      </c>
      <c r="J1672" s="253">
        <v>127273</v>
      </c>
      <c r="K1672" s="584">
        <f t="shared" si="276"/>
        <v>1527276</v>
      </c>
      <c r="L1672" s="193" t="s">
        <v>251</v>
      </c>
      <c r="M1672" s="193" t="s">
        <v>164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26"/>
      <c r="AB1672" s="576" t="str">
        <f>IF(VLOOKUP(F1672,NXT!$C$12:$C$786,1,0)=F1672,"","x")</f>
        <v/>
      </c>
      <c r="AC1672" s="205"/>
      <c r="AD1672" s="205"/>
    </row>
    <row r="1673" spans="1:30" s="576" customFormat="1" ht="15.75" customHeight="1">
      <c r="A1673" s="827" t="str">
        <f>IF(B1673&lt;&gt;"",IF(AND(B1673&gt;=_TM1,B1673&lt;=_TM2,OR(TH!L1673="1111",TH!M1673="1111")),TH!D1673,""),"")</f>
        <v/>
      </c>
      <c r="B1673" s="36">
        <f t="shared" si="274"/>
        <v>3</v>
      </c>
      <c r="C1673" s="190">
        <f t="shared" si="275"/>
        <v>42458</v>
      </c>
      <c r="D1673" s="190" t="s">
        <v>1615</v>
      </c>
      <c r="E1673" s="190">
        <v>42458</v>
      </c>
      <c r="F1673" s="191" t="s">
        <v>764</v>
      </c>
      <c r="G1673" s="833" t="s">
        <v>1080</v>
      </c>
      <c r="H1673" s="192" t="s">
        <v>678</v>
      </c>
      <c r="I1673" s="253">
        <v>12</v>
      </c>
      <c r="J1673" s="253">
        <v>221021</v>
      </c>
      <c r="K1673" s="584">
        <f t="shared" si="276"/>
        <v>2652252</v>
      </c>
      <c r="L1673" s="193" t="s">
        <v>251</v>
      </c>
      <c r="M1673" s="193" t="s">
        <v>164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26"/>
      <c r="AB1673" s="576" t="str">
        <f>IF(VLOOKUP(F1673,NXT!$C$12:$C$786,1,0)=F1673,"","x")</f>
        <v/>
      </c>
      <c r="AC1673" s="205"/>
      <c r="AD1673" s="205"/>
    </row>
    <row r="1674" spans="1:30" s="576" customFormat="1" ht="15.75" customHeight="1">
      <c r="A1674" s="827" t="str">
        <f>IF(B1674&lt;&gt;"",IF(AND(B1674&gt;=_TM1,B1674&lt;=_TM2,OR(TH!L1674="1111",TH!M1674="1111")),TH!D1674,""),"")</f>
        <v/>
      </c>
      <c r="B1674" s="36">
        <f t="shared" si="274"/>
        <v>3</v>
      </c>
      <c r="C1674" s="190">
        <f t="shared" si="275"/>
        <v>42458</v>
      </c>
      <c r="D1674" s="190" t="s">
        <v>1615</v>
      </c>
      <c r="E1674" s="190">
        <v>42458</v>
      </c>
      <c r="F1674" s="191" t="s">
        <v>454</v>
      </c>
      <c r="G1674" s="833" t="s">
        <v>1080</v>
      </c>
      <c r="H1674" s="192" t="s">
        <v>678</v>
      </c>
      <c r="I1674" s="253">
        <v>10</v>
      </c>
      <c r="J1674" s="253">
        <v>201814</v>
      </c>
      <c r="K1674" s="584">
        <f t="shared" si="276"/>
        <v>2018140</v>
      </c>
      <c r="L1674" s="193" t="s">
        <v>251</v>
      </c>
      <c r="M1674" s="193" t="s">
        <v>164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26"/>
      <c r="AB1674" s="576" t="str">
        <f>IF(VLOOKUP(F1674,NXT!$C$12:$C$786,1,0)=F1674,"","x")</f>
        <v/>
      </c>
      <c r="AC1674" s="205"/>
      <c r="AD1674" s="205"/>
    </row>
    <row r="1675" spans="1:30" s="576" customFormat="1" ht="15.75" customHeight="1">
      <c r="A1675" s="827" t="str">
        <f>IF(B1675&lt;&gt;"",IF(AND(B1675&gt;=_TM1,B1675&lt;=_TM2,OR(TH!L1675="1111",TH!M1675="1111")),TH!D1675,""),"")</f>
        <v/>
      </c>
      <c r="B1675" s="36">
        <f t="shared" si="274"/>
        <v>3</v>
      </c>
      <c r="C1675" s="190">
        <f t="shared" si="275"/>
        <v>42458</v>
      </c>
      <c r="D1675" s="190" t="s">
        <v>1615</v>
      </c>
      <c r="E1675" s="190">
        <v>42458</v>
      </c>
      <c r="F1675" s="191" t="s">
        <v>455</v>
      </c>
      <c r="G1675" s="833" t="s">
        <v>1080</v>
      </c>
      <c r="H1675" s="192" t="s">
        <v>678</v>
      </c>
      <c r="I1675" s="253">
        <v>10</v>
      </c>
      <c r="J1675" s="253">
        <v>165904</v>
      </c>
      <c r="K1675" s="584">
        <f t="shared" si="276"/>
        <v>1659040</v>
      </c>
      <c r="L1675" s="193" t="s">
        <v>251</v>
      </c>
      <c r="M1675" s="193" t="s">
        <v>164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26"/>
      <c r="AB1675" s="576" t="str">
        <f>IF(VLOOKUP(F1675,NXT!$C$12:$C$786,1,0)=F1675,"","x")</f>
        <v/>
      </c>
      <c r="AC1675" s="205"/>
      <c r="AD1675" s="205"/>
    </row>
    <row r="1676" spans="1:30" s="576" customFormat="1" ht="15.75" customHeight="1">
      <c r="A1676" s="827" t="str">
        <f>IF(B1676&lt;&gt;"",IF(AND(B1676&gt;=_TM1,B1676&lt;=_TM2,OR(TH!L1676="1111",TH!M1676="1111")),TH!D1676,""),"")</f>
        <v/>
      </c>
      <c r="B1676" s="36">
        <f t="shared" si="274"/>
        <v>3</v>
      </c>
      <c r="C1676" s="190">
        <f t="shared" si="275"/>
        <v>42458</v>
      </c>
      <c r="D1676" s="190" t="s">
        <v>1615</v>
      </c>
      <c r="E1676" s="190">
        <v>42458</v>
      </c>
      <c r="F1676" s="191" t="s">
        <v>765</v>
      </c>
      <c r="G1676" s="833" t="s">
        <v>1080</v>
      </c>
      <c r="H1676" s="192" t="s">
        <v>678</v>
      </c>
      <c r="I1676" s="253">
        <v>10</v>
      </c>
      <c r="J1676" s="253">
        <v>98427</v>
      </c>
      <c r="K1676" s="584">
        <f t="shared" si="276"/>
        <v>984270</v>
      </c>
      <c r="L1676" s="193" t="s">
        <v>251</v>
      </c>
      <c r="M1676" s="193" t="s">
        <v>164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26"/>
      <c r="AB1676" s="576" t="str">
        <f>IF(VLOOKUP(F1676,NXT!$C$12:$C$786,1,0)=F1676,"","x")</f>
        <v/>
      </c>
      <c r="AC1676" s="205"/>
      <c r="AD1676" s="205"/>
    </row>
    <row r="1677" spans="1:30" s="576" customFormat="1" ht="15.75" customHeight="1">
      <c r="A1677" s="827" t="str">
        <f>IF(B1677&lt;&gt;"",IF(AND(B1677&gt;=_TM1,B1677&lt;=_TM2,OR(TH!L1677="1111",TH!M1677="1111")),TH!D1677,""),"")</f>
        <v/>
      </c>
      <c r="B1677" s="36">
        <f t="shared" si="274"/>
        <v>3</v>
      </c>
      <c r="C1677" s="190">
        <f t="shared" si="275"/>
        <v>42458</v>
      </c>
      <c r="D1677" s="190" t="s">
        <v>1615</v>
      </c>
      <c r="E1677" s="190">
        <v>42458</v>
      </c>
      <c r="F1677" s="191" t="s">
        <v>456</v>
      </c>
      <c r="G1677" s="833" t="s">
        <v>1080</v>
      </c>
      <c r="H1677" s="192" t="s">
        <v>678</v>
      </c>
      <c r="I1677" s="253">
        <v>10</v>
      </c>
      <c r="J1677" s="253">
        <v>145454</v>
      </c>
      <c r="K1677" s="584">
        <f t="shared" si="276"/>
        <v>1454540</v>
      </c>
      <c r="L1677" s="193" t="s">
        <v>251</v>
      </c>
      <c r="M1677" s="193" t="s">
        <v>164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26"/>
      <c r="AB1677" s="576" t="str">
        <f>IF(VLOOKUP(F1677,NXT!$C$12:$C$786,1,0)=F1677,"","x")</f>
        <v/>
      </c>
      <c r="AC1677" s="205"/>
      <c r="AD1677" s="205"/>
    </row>
    <row r="1678" spans="1:30" s="576" customFormat="1" ht="15.75" customHeight="1">
      <c r="A1678" s="827" t="str">
        <f>IF(B1678&lt;&gt;"",IF(AND(B1678&gt;=_TM1,B1678&lt;=_TM2,OR(TH!L1678="1111",TH!M1678="1111")),TH!D1678,""),"")</f>
        <v/>
      </c>
      <c r="B1678" s="36">
        <f t="shared" si="274"/>
        <v>3</v>
      </c>
      <c r="C1678" s="190">
        <f t="shared" si="275"/>
        <v>42458</v>
      </c>
      <c r="D1678" s="190" t="s">
        <v>1615</v>
      </c>
      <c r="E1678" s="190">
        <v>42458</v>
      </c>
      <c r="F1678" s="191" t="s">
        <v>1010</v>
      </c>
      <c r="G1678" s="833" t="s">
        <v>1080</v>
      </c>
      <c r="H1678" s="192" t="s">
        <v>678</v>
      </c>
      <c r="I1678" s="253">
        <v>12</v>
      </c>
      <c r="J1678" s="253">
        <v>50816</v>
      </c>
      <c r="K1678" s="584">
        <f t="shared" si="276"/>
        <v>609792</v>
      </c>
      <c r="L1678" s="193" t="s">
        <v>251</v>
      </c>
      <c r="M1678" s="193" t="s">
        <v>164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26"/>
      <c r="AB1678" s="576" t="str">
        <f>IF(VLOOKUP(F1678,NXT!$C$12:$C$786,1,0)=F1678,"","x")</f>
        <v/>
      </c>
      <c r="AC1678" s="205"/>
      <c r="AD1678" s="205"/>
    </row>
    <row r="1679" spans="1:30" s="576" customFormat="1" ht="15.75" customHeight="1">
      <c r="A1679" s="827" t="str">
        <f>IF(B1679&lt;&gt;"",IF(AND(B1679&gt;=_TM1,B1679&lt;=_TM2,OR(TH!L1679="1111",TH!M1679="1111")),TH!D1679,""),"")</f>
        <v/>
      </c>
      <c r="B1679" s="36">
        <f t="shared" si="274"/>
        <v>3</v>
      </c>
      <c r="C1679" s="190">
        <f t="shared" si="275"/>
        <v>42458</v>
      </c>
      <c r="D1679" s="190" t="s">
        <v>1615</v>
      </c>
      <c r="E1679" s="190">
        <v>42458</v>
      </c>
      <c r="F1679" s="191" t="s">
        <v>457</v>
      </c>
      <c r="G1679" s="833" t="s">
        <v>1080</v>
      </c>
      <c r="H1679" s="192" t="s">
        <v>678</v>
      </c>
      <c r="I1679" s="253">
        <v>10</v>
      </c>
      <c r="J1679" s="253">
        <v>101632</v>
      </c>
      <c r="K1679" s="584">
        <f t="shared" si="276"/>
        <v>1016320</v>
      </c>
      <c r="L1679" s="193" t="s">
        <v>251</v>
      </c>
      <c r="M1679" s="193" t="s">
        <v>164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26"/>
      <c r="AB1679" s="576" t="str">
        <f>IF(VLOOKUP(F1679,NXT!$C$12:$C$786,1,0)=F1679,"","x")</f>
        <v/>
      </c>
      <c r="AC1679" s="205"/>
      <c r="AD1679" s="205"/>
    </row>
    <row r="1680" spans="1:30" s="576" customFormat="1" ht="15.75" customHeight="1">
      <c r="A1680" s="827" t="str">
        <f>IF(B1680&lt;&gt;"",IF(AND(B1680&gt;=_TM1,B1680&lt;=_TM2,OR(TH!L1680="1111",TH!M1680="1111")),TH!D1680,""),"")</f>
        <v/>
      </c>
      <c r="B1680" s="36">
        <f t="shared" si="274"/>
        <v>3</v>
      </c>
      <c r="C1680" s="190">
        <f t="shared" si="275"/>
        <v>42458</v>
      </c>
      <c r="D1680" s="190" t="s">
        <v>1615</v>
      </c>
      <c r="E1680" s="190">
        <v>42458</v>
      </c>
      <c r="F1680" s="191" t="s">
        <v>1011</v>
      </c>
      <c r="G1680" s="833" t="s">
        <v>1080</v>
      </c>
      <c r="H1680" s="192" t="s">
        <v>678</v>
      </c>
      <c r="I1680" s="253">
        <v>20</v>
      </c>
      <c r="J1680" s="253">
        <v>70976</v>
      </c>
      <c r="K1680" s="584">
        <f t="shared" si="276"/>
        <v>1419520</v>
      </c>
      <c r="L1680" s="193" t="s">
        <v>251</v>
      </c>
      <c r="M1680" s="193" t="s">
        <v>164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26"/>
      <c r="AB1680" s="576" t="str">
        <f>IF(VLOOKUP(F1680,NXT!$C$12:$C$786,1,0)=F1680,"","x")</f>
        <v/>
      </c>
      <c r="AC1680" s="205"/>
      <c r="AD1680" s="205"/>
    </row>
    <row r="1681" spans="1:30" ht="15.75" customHeight="1">
      <c r="A1681" s="827" t="str">
        <f>IF(B1681&lt;&gt;"",IF(AND(B1681&gt;=_TM1,B1681&lt;=_TM2,OR(TH!L1681="1111",TH!M1681="1111")),TH!D1681,""),"")</f>
        <v/>
      </c>
      <c r="B1681" s="36">
        <f t="shared" ref="B1681:B1744" si="277">IF(C1681&lt;&gt;"",MONTH(C1681),"")</f>
        <v>3</v>
      </c>
      <c r="C1681" s="190">
        <f t="shared" ref="C1681:C1744" si="278">E1681</f>
        <v>42458</v>
      </c>
      <c r="D1681" s="190" t="s">
        <v>1615</v>
      </c>
      <c r="E1681" s="190">
        <v>42458</v>
      </c>
      <c r="F1681" s="191" t="s">
        <v>458</v>
      </c>
      <c r="G1681" s="833" t="s">
        <v>1080</v>
      </c>
      <c r="H1681" s="192" t="s">
        <v>678</v>
      </c>
      <c r="I1681" s="253">
        <v>10</v>
      </c>
      <c r="J1681" s="253">
        <v>50312</v>
      </c>
      <c r="K1681" s="584">
        <f t="shared" si="276"/>
        <v>503120</v>
      </c>
      <c r="L1681" s="193" t="s">
        <v>251</v>
      </c>
      <c r="M1681" s="193" t="s">
        <v>164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26"/>
      <c r="AB1681" s="576" t="str">
        <f>IF(VLOOKUP(F1681,NXT!$C$12:$C$786,1,0)=F1681,"","x")</f>
        <v/>
      </c>
    </row>
    <row r="1682" spans="1:30" ht="15.75" customHeight="1">
      <c r="A1682" s="827" t="str">
        <f>IF(B1682&lt;&gt;"",IF(AND(B1682&gt;=_TM1,B1682&lt;=_TM2,OR(TH!L1682="1111",TH!M1682="1111")),TH!D1682,""),"")</f>
        <v/>
      </c>
      <c r="B1682" s="36">
        <f t="shared" si="277"/>
        <v>3</v>
      </c>
      <c r="C1682" s="190">
        <f t="shared" si="278"/>
        <v>42458</v>
      </c>
      <c r="D1682" s="190" t="s">
        <v>1615</v>
      </c>
      <c r="E1682" s="190">
        <v>42458</v>
      </c>
      <c r="F1682" s="191" t="s">
        <v>1012</v>
      </c>
      <c r="G1682" s="833" t="s">
        <v>1080</v>
      </c>
      <c r="H1682" s="192" t="s">
        <v>678</v>
      </c>
      <c r="I1682" s="253">
        <v>10</v>
      </c>
      <c r="J1682" s="253">
        <v>65474</v>
      </c>
      <c r="K1682" s="584">
        <f t="shared" si="276"/>
        <v>654740</v>
      </c>
      <c r="L1682" s="193" t="s">
        <v>251</v>
      </c>
      <c r="M1682" s="193" t="s">
        <v>164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26"/>
      <c r="AB1682" s="576" t="str">
        <f>IF(VLOOKUP(F1682,NXT!$C$12:$C$786,1,0)=F1682,"","x")</f>
        <v/>
      </c>
    </row>
    <row r="1683" spans="1:30" ht="15.75" customHeight="1">
      <c r="A1683" s="827" t="str">
        <f>IF(B1683&lt;&gt;"",IF(AND(B1683&gt;=_TM1,B1683&lt;=_TM2,OR(TH!L1683="1111",TH!M1683="1111")),TH!D1683,""),"")</f>
        <v/>
      </c>
      <c r="B1683" s="36">
        <f t="shared" si="277"/>
        <v>3</v>
      </c>
      <c r="C1683" s="190">
        <f t="shared" si="278"/>
        <v>42458</v>
      </c>
      <c r="D1683" s="190" t="s">
        <v>1615</v>
      </c>
      <c r="E1683" s="190">
        <v>42458</v>
      </c>
      <c r="F1683" s="191" t="s">
        <v>461</v>
      </c>
      <c r="G1683" s="833" t="s">
        <v>1080</v>
      </c>
      <c r="H1683" s="192" t="s">
        <v>678</v>
      </c>
      <c r="I1683" s="253"/>
      <c r="J1683" s="253"/>
      <c r="K1683" s="584">
        <v>5385913</v>
      </c>
      <c r="L1683" s="193" t="s">
        <v>251</v>
      </c>
      <c r="M1683" s="193" t="s">
        <v>354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26"/>
      <c r="AB1683" s="576"/>
    </row>
    <row r="1684" spans="1:30" s="576" customFormat="1" ht="15.75" customHeight="1">
      <c r="A1684" s="827" t="str">
        <f>IF(B1684&lt;&gt;"",IF(AND(B1684&gt;=_TM1,B1684&lt;=_TM2,OR(TH!L1684="1111",TH!M1684="1111")),TH!D1684,""),"")</f>
        <v/>
      </c>
      <c r="B1684" s="36">
        <f t="shared" si="277"/>
        <v>3</v>
      </c>
      <c r="C1684" s="190">
        <f t="shared" si="278"/>
        <v>42459</v>
      </c>
      <c r="D1684" s="190" t="s">
        <v>1616</v>
      </c>
      <c r="E1684" s="190">
        <v>42459</v>
      </c>
      <c r="F1684" s="191" t="s">
        <v>627</v>
      </c>
      <c r="G1684" s="833" t="s">
        <v>1081</v>
      </c>
      <c r="H1684" s="192" t="s">
        <v>636</v>
      </c>
      <c r="I1684" s="253">
        <v>2750</v>
      </c>
      <c r="J1684" s="253">
        <v>6519</v>
      </c>
      <c r="K1684" s="584">
        <f>ROUND(I1684*J1684,0)</f>
        <v>17927250</v>
      </c>
      <c r="L1684" s="193" t="s">
        <v>251</v>
      </c>
      <c r="M1684" s="193" t="s">
        <v>164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26"/>
      <c r="AB1684" s="576" t="str">
        <f>IF(VLOOKUP(F1684,NXT!$C$12:$C$786,1,0)=F1684,"","x")</f>
        <v/>
      </c>
      <c r="AC1684" s="205"/>
      <c r="AD1684" s="205"/>
    </row>
    <row r="1685" spans="1:30" s="576" customFormat="1" ht="15.75" customHeight="1">
      <c r="A1685" s="827" t="str">
        <f>IF(B1685&lt;&gt;"",IF(AND(B1685&gt;=_TM1,B1685&lt;=_TM2,OR(TH!L1685="1111",TH!M1685="1111")),TH!D1685,""),"")</f>
        <v/>
      </c>
      <c r="B1685" s="36">
        <f t="shared" si="277"/>
        <v>3</v>
      </c>
      <c r="C1685" s="190">
        <f t="shared" si="278"/>
        <v>42459</v>
      </c>
      <c r="D1685" s="190" t="s">
        <v>1616</v>
      </c>
      <c r="E1685" s="190">
        <v>42459</v>
      </c>
      <c r="F1685" s="191" t="s">
        <v>461</v>
      </c>
      <c r="G1685" s="833" t="s">
        <v>1081</v>
      </c>
      <c r="H1685" s="192" t="s">
        <v>636</v>
      </c>
      <c r="I1685" s="253"/>
      <c r="J1685" s="253"/>
      <c r="K1685" s="584">
        <v>1792725</v>
      </c>
      <c r="L1685" s="193" t="s">
        <v>251</v>
      </c>
      <c r="M1685" s="193" t="s">
        <v>354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26"/>
      <c r="AC1685" s="205"/>
      <c r="AD1685" s="205"/>
    </row>
    <row r="1686" spans="1:30" s="576" customFormat="1" ht="15.75" customHeight="1">
      <c r="A1686" s="827" t="str">
        <f>IF(B1686&lt;&gt;"",IF(AND(B1686&gt;=_TM1,B1686&lt;=_TM2,OR(TH!L1686="1111",TH!M1686="1111")),TH!D1686,""),"")</f>
        <v/>
      </c>
      <c r="B1686" s="36">
        <f t="shared" si="277"/>
        <v>4</v>
      </c>
      <c r="C1686" s="190">
        <f t="shared" si="278"/>
        <v>42461</v>
      </c>
      <c r="D1686" s="190"/>
      <c r="E1686" s="190">
        <v>42461</v>
      </c>
      <c r="F1686" s="191" t="s">
        <v>621</v>
      </c>
      <c r="G1686" s="833" t="s">
        <v>620</v>
      </c>
      <c r="H1686" s="825" t="s">
        <v>626</v>
      </c>
      <c r="I1686" s="253"/>
      <c r="J1686" s="253"/>
      <c r="K1686" s="584">
        <v>1000000</v>
      </c>
      <c r="L1686" s="193" t="s">
        <v>47</v>
      </c>
      <c r="M1686" s="193" t="s">
        <v>623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26"/>
      <c r="AC1686" s="205"/>
      <c r="AD1686" s="205"/>
    </row>
    <row r="1687" spans="1:30" s="576" customFormat="1" ht="15.75" customHeight="1">
      <c r="A1687" s="827" t="str">
        <f>IF(B1687&lt;&gt;"",IF(AND(B1687&gt;=_TM1,B1687&lt;=_TM2,OR(TH!L1687="1111",TH!M1687="1111")),TH!D1687,""),"")</f>
        <v/>
      </c>
      <c r="B1687" s="36">
        <f t="shared" si="277"/>
        <v>4</v>
      </c>
      <c r="C1687" s="190">
        <f t="shared" si="278"/>
        <v>42461</v>
      </c>
      <c r="D1687" s="190"/>
      <c r="E1687" s="190">
        <v>42461</v>
      </c>
      <c r="F1687" s="191" t="s">
        <v>622</v>
      </c>
      <c r="G1687" s="833" t="s">
        <v>620</v>
      </c>
      <c r="H1687" s="825" t="s">
        <v>626</v>
      </c>
      <c r="I1687" s="253"/>
      <c r="J1687" s="253"/>
      <c r="K1687" s="584">
        <v>100000</v>
      </c>
      <c r="L1687" s="193" t="s">
        <v>47</v>
      </c>
      <c r="M1687" s="193" t="s">
        <v>354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26"/>
      <c r="AC1687" s="205"/>
      <c r="AD1687" s="205"/>
    </row>
    <row r="1688" spans="1:30" s="576" customFormat="1" ht="15.75" customHeight="1">
      <c r="A1688" s="827" t="str">
        <f>IF(B1688&lt;&gt;"",IF(AND(B1688&gt;=_TM1,B1688&lt;=_TM2,OR(TH!L1688="1111",TH!M1688="1111")),TH!D1688,""),"")</f>
        <v/>
      </c>
      <c r="B1688" s="36">
        <f t="shared" si="277"/>
        <v>4</v>
      </c>
      <c r="C1688" s="190">
        <f t="shared" si="278"/>
        <v>42464</v>
      </c>
      <c r="D1688" s="190" t="s">
        <v>1578</v>
      </c>
      <c r="E1688" s="190">
        <v>42464</v>
      </c>
      <c r="F1688" s="191" t="s">
        <v>627</v>
      </c>
      <c r="G1688" s="833" t="s">
        <v>629</v>
      </c>
      <c r="H1688" s="192" t="s">
        <v>630</v>
      </c>
      <c r="I1688" s="253">
        <v>995</v>
      </c>
      <c r="J1688" s="253">
        <v>6519</v>
      </c>
      <c r="K1688" s="584">
        <f>ROUND(I1688*J1688,0)</f>
        <v>6486405</v>
      </c>
      <c r="L1688" s="193" t="s">
        <v>251</v>
      </c>
      <c r="M1688" s="193" t="s">
        <v>164</v>
      </c>
      <c r="N1688" s="52" t="str">
        <f>IF(AND('331-CT'!$E$7=TH!H1688,OR(L1688="331",M1688="331")),"331",IF(AND(OR(L1688="131",M1688="131"),H1688='131-CT'!$E$7),"131",""))</f>
        <v>131</v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26"/>
      <c r="AB1688" s="576" t="str">
        <f>IF(VLOOKUP(F1688,NXT!$C$12:$C$786,1,0)=F1688,"","x")</f>
        <v/>
      </c>
      <c r="AC1688" s="205"/>
      <c r="AD1688" s="205"/>
    </row>
    <row r="1689" spans="1:30" s="576" customFormat="1" ht="15.75" customHeight="1">
      <c r="A1689" s="827" t="str">
        <f>IF(B1689&lt;&gt;"",IF(AND(B1689&gt;=_TM1,B1689&lt;=_TM2,OR(TH!L1689="1111",TH!M1689="1111")),TH!D1689,""),"")</f>
        <v/>
      </c>
      <c r="B1689" s="36">
        <f t="shared" si="277"/>
        <v>4</v>
      </c>
      <c r="C1689" s="190">
        <f t="shared" si="278"/>
        <v>42464</v>
      </c>
      <c r="D1689" s="190" t="s">
        <v>1578</v>
      </c>
      <c r="E1689" s="190">
        <v>42464</v>
      </c>
      <c r="F1689" s="191" t="s">
        <v>628</v>
      </c>
      <c r="G1689" s="833" t="s">
        <v>629</v>
      </c>
      <c r="H1689" s="192" t="s">
        <v>630</v>
      </c>
      <c r="I1689" s="253"/>
      <c r="J1689" s="253"/>
      <c r="K1689" s="584">
        <v>648640</v>
      </c>
      <c r="L1689" s="193" t="s">
        <v>251</v>
      </c>
      <c r="M1689" s="193" t="s">
        <v>354</v>
      </c>
      <c r="N1689" s="52" t="str">
        <f>IF(AND('331-CT'!$E$7=TH!H1689,OR(L1689="331",M1689="331")),"331",IF(AND(OR(L1689="131",M1689="131"),H1689='131-CT'!$E$7),"131",""))</f>
        <v>131</v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26"/>
      <c r="AC1689" s="205"/>
      <c r="AD1689" s="205"/>
    </row>
    <row r="1690" spans="1:30" s="576" customFormat="1" ht="15.75" customHeight="1">
      <c r="A1690" s="827" t="str">
        <f>IF(B1690&lt;&gt;"",IF(AND(B1690&gt;=_TM1,B1690&lt;=_TM2,OR(TH!L1690="1111",TH!M1690="1111")),TH!D1690,""),"")</f>
        <v/>
      </c>
      <c r="B1690" s="36">
        <f t="shared" si="277"/>
        <v>4</v>
      </c>
      <c r="C1690" s="190">
        <f t="shared" si="278"/>
        <v>42464</v>
      </c>
      <c r="D1690" s="190" t="s">
        <v>1579</v>
      </c>
      <c r="E1690" s="190">
        <v>42464</v>
      </c>
      <c r="F1690" s="188" t="s">
        <v>451</v>
      </c>
      <c r="G1690" s="833" t="s">
        <v>631</v>
      </c>
      <c r="H1690" s="192" t="s">
        <v>633</v>
      </c>
      <c r="I1690" s="253">
        <v>300</v>
      </c>
      <c r="J1690" s="253">
        <v>15000</v>
      </c>
      <c r="K1690" s="584">
        <f>ROUND(I1690*J1690,0)</f>
        <v>4500000</v>
      </c>
      <c r="L1690" s="193" t="s">
        <v>251</v>
      </c>
      <c r="M1690" s="193" t="s">
        <v>164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26"/>
      <c r="AB1690" s="576" t="str">
        <f>IF(VLOOKUP(F1690,NXT!$C$12:$C$786,1,0)=F1690,"","x")</f>
        <v/>
      </c>
      <c r="AC1690" s="205"/>
      <c r="AD1690" s="205"/>
    </row>
    <row r="1691" spans="1:30" s="576" customFormat="1" ht="15.75" customHeight="1">
      <c r="A1691" s="827" t="str">
        <f>IF(B1691&lt;&gt;"",IF(AND(B1691&gt;=_TM1,B1691&lt;=_TM2,OR(TH!L1691="1111",TH!M1691="1111")),TH!D1691,""),"")</f>
        <v/>
      </c>
      <c r="B1691" s="36">
        <f t="shared" si="277"/>
        <v>4</v>
      </c>
      <c r="C1691" s="190">
        <f t="shared" si="278"/>
        <v>42464</v>
      </c>
      <c r="D1691" s="190" t="s">
        <v>1579</v>
      </c>
      <c r="E1691" s="190">
        <v>42464</v>
      </c>
      <c r="F1691" s="188" t="s">
        <v>632</v>
      </c>
      <c r="G1691" s="833" t="s">
        <v>631</v>
      </c>
      <c r="H1691" s="192" t="s">
        <v>633</v>
      </c>
      <c r="I1691" s="253"/>
      <c r="J1691" s="253"/>
      <c r="K1691" s="584">
        <v>450000</v>
      </c>
      <c r="L1691" s="193" t="s">
        <v>251</v>
      </c>
      <c r="M1691" s="193" t="s">
        <v>354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26"/>
      <c r="AC1691" s="205"/>
      <c r="AD1691" s="205"/>
    </row>
    <row r="1692" spans="1:30" s="576" customFormat="1" ht="15.75" customHeight="1">
      <c r="A1692" s="827" t="str">
        <f>IF(B1692&lt;&gt;"",IF(AND(B1692&gt;=_TM1,B1692&lt;=_TM2,OR(TH!L1692="1111",TH!M1692="1111")),TH!D1692,""),"")</f>
        <v/>
      </c>
      <c r="B1692" s="36">
        <f t="shared" si="277"/>
        <v>4</v>
      </c>
      <c r="C1692" s="190">
        <f t="shared" si="278"/>
        <v>42465</v>
      </c>
      <c r="D1692" s="190" t="s">
        <v>1580</v>
      </c>
      <c r="E1692" s="190">
        <v>42465</v>
      </c>
      <c r="F1692" s="188" t="s">
        <v>451</v>
      </c>
      <c r="G1692" s="833" t="s">
        <v>634</v>
      </c>
      <c r="H1692" s="192" t="s">
        <v>633</v>
      </c>
      <c r="I1692" s="253">
        <v>261</v>
      </c>
      <c r="J1692" s="253">
        <v>15000</v>
      </c>
      <c r="K1692" s="584">
        <f>ROUND(I1692*J1692,0)</f>
        <v>3915000</v>
      </c>
      <c r="L1692" s="193" t="s">
        <v>251</v>
      </c>
      <c r="M1692" s="193" t="s">
        <v>164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26"/>
      <c r="AB1692" s="576" t="str">
        <f>IF(VLOOKUP(F1692,NXT!$C$12:$C$786,1,0)=F1692,"","x")</f>
        <v/>
      </c>
      <c r="AC1692" s="205"/>
      <c r="AD1692" s="205"/>
    </row>
    <row r="1693" spans="1:30" s="576" customFormat="1" ht="15.75" customHeight="1">
      <c r="A1693" s="827" t="str">
        <f>IF(B1693&lt;&gt;"",IF(AND(B1693&gt;=_TM1,B1693&lt;=_TM2,OR(TH!L1693="1111",TH!M1693="1111")),TH!D1693,""),"")</f>
        <v/>
      </c>
      <c r="B1693" s="36">
        <f t="shared" si="277"/>
        <v>4</v>
      </c>
      <c r="C1693" s="190">
        <f t="shared" si="278"/>
        <v>42465</v>
      </c>
      <c r="D1693" s="190" t="s">
        <v>1580</v>
      </c>
      <c r="E1693" s="190">
        <v>42465</v>
      </c>
      <c r="F1693" s="188" t="s">
        <v>632</v>
      </c>
      <c r="G1693" s="833" t="s">
        <v>634</v>
      </c>
      <c r="H1693" s="192" t="s">
        <v>633</v>
      </c>
      <c r="I1693" s="253"/>
      <c r="J1693" s="253"/>
      <c r="K1693" s="584">
        <v>391500</v>
      </c>
      <c r="L1693" s="193" t="s">
        <v>251</v>
      </c>
      <c r="M1693" s="193" t="s">
        <v>354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26"/>
      <c r="AC1693" s="205"/>
      <c r="AD1693" s="205"/>
    </row>
    <row r="1694" spans="1:30" s="576" customFormat="1" ht="15.75" customHeight="1">
      <c r="A1694" s="827" t="str">
        <f>IF(B1694&lt;&gt;"",IF(AND(B1694&gt;=_TM1,B1694&lt;=_TM2,OR(TH!L1694="1111",TH!M1694="1111")),TH!D1694,""),"")</f>
        <v/>
      </c>
      <c r="B1694" s="36">
        <f t="shared" si="277"/>
        <v>4</v>
      </c>
      <c r="C1694" s="190">
        <f t="shared" si="278"/>
        <v>42466</v>
      </c>
      <c r="D1694" s="190" t="s">
        <v>1581</v>
      </c>
      <c r="E1694" s="190">
        <v>42466</v>
      </c>
      <c r="F1694" s="191" t="s">
        <v>921</v>
      </c>
      <c r="G1694" s="833" t="s">
        <v>635</v>
      </c>
      <c r="H1694" s="192" t="s">
        <v>636</v>
      </c>
      <c r="I1694" s="253">
        <v>84</v>
      </c>
      <c r="J1694" s="253">
        <v>7473</v>
      </c>
      <c r="K1694" s="584">
        <f>ROUND(I1694*J1694,0)</f>
        <v>627732</v>
      </c>
      <c r="L1694" s="193" t="s">
        <v>251</v>
      </c>
      <c r="M1694" s="193" t="s">
        <v>164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26"/>
      <c r="AB1694" s="576" t="str">
        <f>IF(VLOOKUP(F1694,NXT!$C$12:$C$786,1,0)=F1694,"","x")</f>
        <v/>
      </c>
      <c r="AC1694" s="205"/>
      <c r="AD1694" s="205"/>
    </row>
    <row r="1695" spans="1:30" s="576" customFormat="1" ht="15.75" customHeight="1">
      <c r="A1695" s="827" t="str">
        <f>IF(B1695&lt;&gt;"",IF(AND(B1695&gt;=_TM1,B1695&lt;=_TM2,OR(TH!L1695="1111",TH!M1695="1111")),TH!D1695,""),"")</f>
        <v/>
      </c>
      <c r="B1695" s="36">
        <f t="shared" si="277"/>
        <v>4</v>
      </c>
      <c r="C1695" s="190">
        <f t="shared" si="278"/>
        <v>42466</v>
      </c>
      <c r="D1695" s="190" t="s">
        <v>1581</v>
      </c>
      <c r="E1695" s="190">
        <v>42466</v>
      </c>
      <c r="F1695" s="191" t="s">
        <v>637</v>
      </c>
      <c r="G1695" s="833" t="s">
        <v>635</v>
      </c>
      <c r="H1695" s="192" t="s">
        <v>636</v>
      </c>
      <c r="I1695" s="253">
        <v>254</v>
      </c>
      <c r="J1695" s="253">
        <v>6888</v>
      </c>
      <c r="K1695" s="584">
        <f>ROUND(I1695*J1695,0)</f>
        <v>1749552</v>
      </c>
      <c r="L1695" s="193" t="s">
        <v>251</v>
      </c>
      <c r="M1695" s="193" t="s">
        <v>164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26"/>
      <c r="AB1695" s="576" t="str">
        <f>IF(VLOOKUP(F1695,NXT!$C$12:$C$786,1,0)=F1695,"","x")</f>
        <v/>
      </c>
      <c r="AC1695" s="205"/>
      <c r="AD1695" s="205"/>
    </row>
    <row r="1696" spans="1:30" s="576" customFormat="1" ht="15.75" customHeight="1">
      <c r="A1696" s="827" t="str">
        <f>IF(B1696&lt;&gt;"",IF(AND(B1696&gt;=_TM1,B1696&lt;=_TM2,OR(TH!L1696="1111",TH!M1696="1111")),TH!D1696,""),"")</f>
        <v/>
      </c>
      <c r="B1696" s="36">
        <f t="shared" si="277"/>
        <v>4</v>
      </c>
      <c r="C1696" s="190">
        <f t="shared" si="278"/>
        <v>42466</v>
      </c>
      <c r="D1696" s="190" t="s">
        <v>1581</v>
      </c>
      <c r="E1696" s="190">
        <v>42466</v>
      </c>
      <c r="F1696" s="191" t="s">
        <v>655</v>
      </c>
      <c r="G1696" s="833" t="s">
        <v>635</v>
      </c>
      <c r="H1696" s="192" t="s">
        <v>636</v>
      </c>
      <c r="I1696" s="253">
        <v>121</v>
      </c>
      <c r="J1696" s="253">
        <v>6880</v>
      </c>
      <c r="K1696" s="584">
        <f>ROUND(I1696*J1696,0)</f>
        <v>832480</v>
      </c>
      <c r="L1696" s="193" t="s">
        <v>251</v>
      </c>
      <c r="M1696" s="193" t="s">
        <v>164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26"/>
      <c r="AB1696" s="576" t="str">
        <f>IF(VLOOKUP(F1696,NXT!$C$12:$C$786,1,0)=F1696,"","x")</f>
        <v/>
      </c>
      <c r="AC1696" s="205"/>
      <c r="AD1696" s="205"/>
    </row>
    <row r="1697" spans="1:30" s="576" customFormat="1" ht="15.75" customHeight="1">
      <c r="A1697" s="827" t="str">
        <f>IF(B1697&lt;&gt;"",IF(AND(B1697&gt;=_TM1,B1697&lt;=_TM2,OR(TH!L1697="1111",TH!M1697="1111")),TH!D1697,""),"")</f>
        <v/>
      </c>
      <c r="B1697" s="36">
        <f t="shared" si="277"/>
        <v>4</v>
      </c>
      <c r="C1697" s="190">
        <f t="shared" si="278"/>
        <v>42466</v>
      </c>
      <c r="D1697" s="190" t="s">
        <v>1581</v>
      </c>
      <c r="E1697" s="190">
        <v>42466</v>
      </c>
      <c r="F1697" s="191" t="s">
        <v>461</v>
      </c>
      <c r="G1697" s="833" t="s">
        <v>635</v>
      </c>
      <c r="H1697" s="192" t="s">
        <v>636</v>
      </c>
      <c r="I1697" s="253"/>
      <c r="J1697" s="253"/>
      <c r="K1697" s="584">
        <v>320976</v>
      </c>
      <c r="L1697" s="193" t="s">
        <v>251</v>
      </c>
      <c r="M1697" s="193" t="s">
        <v>354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26"/>
      <c r="AC1697" s="205"/>
      <c r="AD1697" s="205"/>
    </row>
    <row r="1698" spans="1:30" s="576" customFormat="1" ht="15.75" customHeight="1">
      <c r="A1698" s="827" t="str">
        <f>IF(B1698&lt;&gt;"",IF(AND(B1698&gt;=_TM1,B1698&lt;=_TM2,OR(TH!L1698="1111",TH!M1698="1111")),TH!D1698,""),"")</f>
        <v/>
      </c>
      <c r="B1698" s="36">
        <f t="shared" si="277"/>
        <v>4</v>
      </c>
      <c r="C1698" s="190">
        <f t="shared" si="278"/>
        <v>42467</v>
      </c>
      <c r="D1698" s="190" t="s">
        <v>1582</v>
      </c>
      <c r="E1698" s="190">
        <v>42467</v>
      </c>
      <c r="F1698" s="191" t="s">
        <v>479</v>
      </c>
      <c r="G1698" s="833" t="s">
        <v>638</v>
      </c>
      <c r="H1698" s="764" t="s">
        <v>639</v>
      </c>
      <c r="I1698" s="255">
        <v>300</v>
      </c>
      <c r="J1698" s="253">
        <v>8030</v>
      </c>
      <c r="K1698" s="584">
        <f>ROUND(I1698*J1698,0)</f>
        <v>2409000</v>
      </c>
      <c r="L1698" s="193" t="s">
        <v>251</v>
      </c>
      <c r="M1698" s="193" t="s">
        <v>164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26"/>
      <c r="AB1698" s="576" t="str">
        <f>IF(VLOOKUP(F1698,NXT!$C$12:$C$786,1,0)=F1698,"","x")</f>
        <v/>
      </c>
      <c r="AC1698" s="205"/>
      <c r="AD1698" s="205"/>
    </row>
    <row r="1699" spans="1:30" s="576" customFormat="1" ht="15.75" customHeight="1">
      <c r="A1699" s="827" t="str">
        <f>IF(B1699&lt;&gt;"",IF(AND(B1699&gt;=_TM1,B1699&lt;=_TM2,OR(TH!L1699="1111",TH!M1699="1111")),TH!D1699,""),"")</f>
        <v/>
      </c>
      <c r="B1699" s="36">
        <f t="shared" si="277"/>
        <v>4</v>
      </c>
      <c r="C1699" s="190">
        <f t="shared" si="278"/>
        <v>42467</v>
      </c>
      <c r="D1699" s="190" t="s">
        <v>1582</v>
      </c>
      <c r="E1699" s="190">
        <v>42467</v>
      </c>
      <c r="F1699" s="191" t="s">
        <v>461</v>
      </c>
      <c r="G1699" s="833" t="s">
        <v>638</v>
      </c>
      <c r="H1699" s="764" t="s">
        <v>639</v>
      </c>
      <c r="I1699" s="253"/>
      <c r="J1699" s="253"/>
      <c r="K1699" s="584">
        <v>240900</v>
      </c>
      <c r="L1699" s="193" t="s">
        <v>251</v>
      </c>
      <c r="M1699" s="193" t="s">
        <v>354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26"/>
      <c r="AC1699" s="205"/>
      <c r="AD1699" s="205"/>
    </row>
    <row r="1700" spans="1:30" s="576" customFormat="1" ht="15.75" customHeight="1">
      <c r="A1700" s="827" t="str">
        <f>IF(B1700&lt;&gt;"",IF(AND(B1700&gt;=_TM1,B1700&lt;=_TM2,OR(TH!L1700="1111",TH!M1700="1111")),TH!D1700,""),"")</f>
        <v/>
      </c>
      <c r="B1700" s="36">
        <f t="shared" si="277"/>
        <v>4</v>
      </c>
      <c r="C1700" s="190">
        <f t="shared" si="278"/>
        <v>42472</v>
      </c>
      <c r="D1700" s="190" t="s">
        <v>1583</v>
      </c>
      <c r="E1700" s="190">
        <v>42472</v>
      </c>
      <c r="F1700" s="191" t="s">
        <v>641</v>
      </c>
      <c r="G1700" s="833" t="s">
        <v>640</v>
      </c>
      <c r="H1700" s="192" t="s">
        <v>630</v>
      </c>
      <c r="I1700" s="253">
        <v>474</v>
      </c>
      <c r="J1700" s="253">
        <v>10078</v>
      </c>
      <c r="K1700" s="584">
        <f>ROUND(I1700*J1700,0)</f>
        <v>4776972</v>
      </c>
      <c r="L1700" s="193" t="s">
        <v>251</v>
      </c>
      <c r="M1700" s="193" t="s">
        <v>164</v>
      </c>
      <c r="N1700" s="52" t="str">
        <f>IF(AND('331-CT'!$E$7=TH!H1700,OR(L1700="331",M1700="331")),"331",IF(AND(OR(L1700="131",M1700="131"),H1700='131-CT'!$E$7),"131",""))</f>
        <v>131</v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26"/>
      <c r="AB1700" s="576" t="str">
        <f>IF(VLOOKUP(F1700,NXT!$C$12:$C$786,1,0)=F1700,"","x")</f>
        <v/>
      </c>
      <c r="AC1700" s="205"/>
      <c r="AD1700" s="205"/>
    </row>
    <row r="1701" spans="1:30" s="576" customFormat="1" ht="15.75" customHeight="1">
      <c r="A1701" s="827" t="str">
        <f>IF(B1701&lt;&gt;"",IF(AND(B1701&gt;=_TM1,B1701&lt;=_TM2,OR(TH!L1701="1111",TH!M1701="1111")),TH!D1701,""),"")</f>
        <v/>
      </c>
      <c r="B1701" s="36">
        <f t="shared" si="277"/>
        <v>4</v>
      </c>
      <c r="C1701" s="190">
        <f t="shared" si="278"/>
        <v>42472</v>
      </c>
      <c r="D1701" s="190" t="s">
        <v>1583</v>
      </c>
      <c r="E1701" s="190">
        <v>42472</v>
      </c>
      <c r="F1701" s="191" t="s">
        <v>461</v>
      </c>
      <c r="G1701" s="833" t="s">
        <v>640</v>
      </c>
      <c r="H1701" s="192" t="s">
        <v>630</v>
      </c>
      <c r="I1701" s="254"/>
      <c r="J1701" s="254"/>
      <c r="K1701" s="584">
        <v>477697</v>
      </c>
      <c r="L1701" s="193" t="s">
        <v>251</v>
      </c>
      <c r="M1701" s="193" t="s">
        <v>354</v>
      </c>
      <c r="N1701" s="52" t="str">
        <f>IF(AND('331-CT'!$E$7=TH!H1701,OR(L1701="331",M1701="331")),"331",IF(AND(OR(L1701="131",M1701="131"),H1701='131-CT'!$E$7),"131",""))</f>
        <v>131</v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26"/>
      <c r="AC1701" s="205"/>
      <c r="AD1701" s="205"/>
    </row>
    <row r="1702" spans="1:30" s="576" customFormat="1" ht="15.75" customHeight="1">
      <c r="A1702" s="827" t="str">
        <f>IF(B1702&lt;&gt;"",IF(AND(B1702&gt;=_TM1,B1702&lt;=_TM2,OR(TH!L1702="1111",TH!M1702="1111")),TH!D1702,""),"")</f>
        <v/>
      </c>
      <c r="B1702" s="36">
        <f t="shared" si="277"/>
        <v>4</v>
      </c>
      <c r="C1702" s="190">
        <f t="shared" si="278"/>
        <v>42472</v>
      </c>
      <c r="D1702" s="190" t="s">
        <v>1584</v>
      </c>
      <c r="E1702" s="190">
        <v>42472</v>
      </c>
      <c r="F1702" s="188" t="s">
        <v>451</v>
      </c>
      <c r="G1702" s="833" t="s">
        <v>642</v>
      </c>
      <c r="H1702" s="192" t="s">
        <v>633</v>
      </c>
      <c r="I1702" s="253">
        <v>282</v>
      </c>
      <c r="J1702" s="253">
        <v>15000</v>
      </c>
      <c r="K1702" s="584">
        <f>ROUND(I1702*J1702,0)</f>
        <v>4230000</v>
      </c>
      <c r="L1702" s="193" t="s">
        <v>251</v>
      </c>
      <c r="M1702" s="193" t="s">
        <v>164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26"/>
      <c r="AB1702" s="576" t="str">
        <f>IF(VLOOKUP(F1702,NXT!$C$12:$C$786,1,0)=F1702,"","x")</f>
        <v/>
      </c>
      <c r="AC1702" s="205"/>
      <c r="AD1702" s="205"/>
    </row>
    <row r="1703" spans="1:30" s="576" customFormat="1" ht="15.75" customHeight="1">
      <c r="A1703" s="827" t="str">
        <f>IF(B1703&lt;&gt;"",IF(AND(B1703&gt;=_TM1,B1703&lt;=_TM2,OR(TH!L1703="1111",TH!M1703="1111")),TH!D1703,""),"")</f>
        <v/>
      </c>
      <c r="B1703" s="36">
        <f t="shared" si="277"/>
        <v>4</v>
      </c>
      <c r="C1703" s="190">
        <f t="shared" si="278"/>
        <v>42472</v>
      </c>
      <c r="D1703" s="190" t="s">
        <v>1584</v>
      </c>
      <c r="E1703" s="190">
        <v>42472</v>
      </c>
      <c r="F1703" s="188" t="s">
        <v>632</v>
      </c>
      <c r="G1703" s="833" t="s">
        <v>642</v>
      </c>
      <c r="H1703" s="192" t="s">
        <v>633</v>
      </c>
      <c r="I1703" s="254"/>
      <c r="J1703" s="254"/>
      <c r="K1703" s="584">
        <v>423000</v>
      </c>
      <c r="L1703" s="193" t="s">
        <v>251</v>
      </c>
      <c r="M1703" s="193" t="s">
        <v>354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26"/>
      <c r="AC1703" s="205"/>
      <c r="AD1703" s="205"/>
    </row>
    <row r="1704" spans="1:30" s="576" customFormat="1" ht="15.75" customHeight="1">
      <c r="A1704" s="827" t="str">
        <f>IF(B1704&lt;&gt;"",IF(AND(B1704&gt;=_TM1,B1704&lt;=_TM2,OR(TH!L1704="1111",TH!M1704="1111")),TH!D1704,""),"")</f>
        <v/>
      </c>
      <c r="B1704" s="36">
        <f t="shared" si="277"/>
        <v>4</v>
      </c>
      <c r="C1704" s="190">
        <f t="shared" si="278"/>
        <v>42472</v>
      </c>
      <c r="D1704" s="190" t="s">
        <v>1585</v>
      </c>
      <c r="E1704" s="190">
        <v>42472</v>
      </c>
      <c r="F1704" s="188" t="s">
        <v>451</v>
      </c>
      <c r="G1704" s="833" t="s">
        <v>643</v>
      </c>
      <c r="H1704" s="192" t="s">
        <v>633</v>
      </c>
      <c r="I1704" s="254">
        <v>282</v>
      </c>
      <c r="J1704" s="254">
        <v>15000</v>
      </c>
      <c r="K1704" s="584">
        <f>ROUND(I1704*J1704,0)</f>
        <v>4230000</v>
      </c>
      <c r="L1704" s="193" t="s">
        <v>251</v>
      </c>
      <c r="M1704" s="193" t="s">
        <v>164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26"/>
      <c r="AB1704" s="576" t="str">
        <f>IF(VLOOKUP(F1704,NXT!$C$12:$C$786,1,0)=F1704,"","x")</f>
        <v/>
      </c>
      <c r="AC1704" s="205"/>
      <c r="AD1704" s="205"/>
    </row>
    <row r="1705" spans="1:30" s="576" customFormat="1" ht="15.75" customHeight="1">
      <c r="A1705" s="827" t="str">
        <f>IF(B1705&lt;&gt;"",IF(AND(B1705&gt;=_TM1,B1705&lt;=_TM2,OR(TH!L1705="1111",TH!M1705="1111")),TH!D1705,""),"")</f>
        <v/>
      </c>
      <c r="B1705" s="36">
        <f t="shared" si="277"/>
        <v>4</v>
      </c>
      <c r="C1705" s="190">
        <f t="shared" si="278"/>
        <v>42472</v>
      </c>
      <c r="D1705" s="190" t="s">
        <v>1585</v>
      </c>
      <c r="E1705" s="190">
        <v>42472</v>
      </c>
      <c r="F1705" s="188" t="s">
        <v>632</v>
      </c>
      <c r="G1705" s="833" t="s">
        <v>643</v>
      </c>
      <c r="H1705" s="192" t="s">
        <v>633</v>
      </c>
      <c r="I1705" s="253"/>
      <c r="J1705" s="253"/>
      <c r="K1705" s="584">
        <v>423000</v>
      </c>
      <c r="L1705" s="193" t="s">
        <v>251</v>
      </c>
      <c r="M1705" s="193" t="s">
        <v>354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26"/>
      <c r="AC1705" s="205"/>
      <c r="AD1705" s="205"/>
    </row>
    <row r="1706" spans="1:30" s="576" customFormat="1" ht="15.75" customHeight="1">
      <c r="A1706" s="827" t="str">
        <f>IF(B1706&lt;&gt;"",IF(AND(B1706&gt;=_TM1,B1706&lt;=_TM2,OR(TH!L1706="1111",TH!M1706="1111")),TH!D1706,""),"")</f>
        <v/>
      </c>
      <c r="B1706" s="36">
        <f t="shared" si="277"/>
        <v>4</v>
      </c>
      <c r="C1706" s="190">
        <f t="shared" si="278"/>
        <v>42474</v>
      </c>
      <c r="D1706" s="190" t="s">
        <v>1586</v>
      </c>
      <c r="E1706" s="190">
        <v>42474</v>
      </c>
      <c r="F1706" s="188" t="s">
        <v>451</v>
      </c>
      <c r="G1706" s="833" t="s">
        <v>644</v>
      </c>
      <c r="H1706" s="192" t="s">
        <v>633</v>
      </c>
      <c r="I1706" s="254">
        <v>282</v>
      </c>
      <c r="J1706" s="254">
        <v>15000</v>
      </c>
      <c r="K1706" s="584">
        <f>ROUND(I1706*J1706,0)</f>
        <v>4230000</v>
      </c>
      <c r="L1706" s="193" t="s">
        <v>251</v>
      </c>
      <c r="M1706" s="193" t="s">
        <v>164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26"/>
      <c r="AB1706" s="576" t="str">
        <f>IF(VLOOKUP(F1706,NXT!$C$12:$C$786,1,0)=F1706,"","x")</f>
        <v/>
      </c>
      <c r="AC1706" s="205"/>
      <c r="AD1706" s="205"/>
    </row>
    <row r="1707" spans="1:30" s="576" customFormat="1" ht="15.75" customHeight="1">
      <c r="A1707" s="827" t="str">
        <f>IF(B1707&lt;&gt;"",IF(AND(B1707&gt;=_TM1,B1707&lt;=_TM2,OR(TH!L1707="1111",TH!M1707="1111")),TH!D1707,""),"")</f>
        <v/>
      </c>
      <c r="B1707" s="36">
        <f t="shared" si="277"/>
        <v>4</v>
      </c>
      <c r="C1707" s="190">
        <f t="shared" si="278"/>
        <v>42474</v>
      </c>
      <c r="D1707" s="190" t="s">
        <v>1586</v>
      </c>
      <c r="E1707" s="190">
        <v>42474</v>
      </c>
      <c r="F1707" s="188" t="s">
        <v>632</v>
      </c>
      <c r="G1707" s="833" t="s">
        <v>644</v>
      </c>
      <c r="H1707" s="192" t="s">
        <v>633</v>
      </c>
      <c r="I1707" s="253"/>
      <c r="J1707" s="253"/>
      <c r="K1707" s="584">
        <v>423000</v>
      </c>
      <c r="L1707" s="193" t="s">
        <v>251</v>
      </c>
      <c r="M1707" s="193" t="s">
        <v>354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26"/>
      <c r="AC1707" s="205"/>
      <c r="AD1707" s="205"/>
    </row>
    <row r="1708" spans="1:30" s="576" customFormat="1" ht="15.75" customHeight="1">
      <c r="A1708" s="827" t="str">
        <f>IF(B1708&lt;&gt;"",IF(AND(B1708&gt;=_TM1,B1708&lt;=_TM2,OR(TH!L1708="1111",TH!M1708="1111")),TH!D1708,""),"")</f>
        <v/>
      </c>
      <c r="B1708" s="36">
        <f t="shared" si="277"/>
        <v>4</v>
      </c>
      <c r="C1708" s="190">
        <f t="shared" si="278"/>
        <v>42474</v>
      </c>
      <c r="D1708" s="190" t="s">
        <v>1587</v>
      </c>
      <c r="E1708" s="190">
        <v>42474</v>
      </c>
      <c r="F1708" s="188" t="s">
        <v>451</v>
      </c>
      <c r="G1708" s="833" t="s">
        <v>645</v>
      </c>
      <c r="H1708" s="192" t="s">
        <v>633</v>
      </c>
      <c r="I1708" s="253">
        <v>280</v>
      </c>
      <c r="J1708" s="253">
        <v>15000</v>
      </c>
      <c r="K1708" s="584">
        <f>ROUND(I1708*J1708,0)</f>
        <v>4200000</v>
      </c>
      <c r="L1708" s="193" t="s">
        <v>251</v>
      </c>
      <c r="M1708" s="193" t="s">
        <v>164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26"/>
      <c r="AB1708" s="576" t="str">
        <f>IF(VLOOKUP(F1708,NXT!$C$12:$C$786,1,0)=F1708,"","x")</f>
        <v/>
      </c>
      <c r="AC1708" s="205"/>
      <c r="AD1708" s="205"/>
    </row>
    <row r="1709" spans="1:30" s="576" customFormat="1" ht="15.75" customHeight="1">
      <c r="A1709" s="827" t="str">
        <f>IF(B1709&lt;&gt;"",IF(AND(B1709&gt;=_TM1,B1709&lt;=_TM2,OR(TH!L1709="1111",TH!M1709="1111")),TH!D1709,""),"")</f>
        <v/>
      </c>
      <c r="B1709" s="36">
        <f t="shared" si="277"/>
        <v>4</v>
      </c>
      <c r="C1709" s="190">
        <f t="shared" si="278"/>
        <v>42474</v>
      </c>
      <c r="D1709" s="190" t="s">
        <v>1587</v>
      </c>
      <c r="E1709" s="190">
        <v>42474</v>
      </c>
      <c r="F1709" s="188" t="s">
        <v>632</v>
      </c>
      <c r="G1709" s="833" t="s">
        <v>645</v>
      </c>
      <c r="H1709" s="192" t="s">
        <v>633</v>
      </c>
      <c r="I1709" s="253"/>
      <c r="J1709" s="253"/>
      <c r="K1709" s="584">
        <v>420000</v>
      </c>
      <c r="L1709" s="193" t="s">
        <v>251</v>
      </c>
      <c r="M1709" s="193" t="s">
        <v>354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26"/>
      <c r="AC1709" s="205"/>
      <c r="AD1709" s="205"/>
    </row>
    <row r="1710" spans="1:30" s="576" customFormat="1" ht="15.75" customHeight="1">
      <c r="A1710" s="827" t="str">
        <f>IF(B1710&lt;&gt;"",IF(AND(B1710&gt;=_TM1,B1710&lt;=_TM2,OR(TH!L1710="1111",TH!M1710="1111")),TH!D1710,""),"")</f>
        <v/>
      </c>
      <c r="B1710" s="36">
        <f t="shared" si="277"/>
        <v>4</v>
      </c>
      <c r="C1710" s="190">
        <f t="shared" si="278"/>
        <v>42475</v>
      </c>
      <c r="D1710" s="190" t="s">
        <v>1588</v>
      </c>
      <c r="E1710" s="190">
        <v>42475</v>
      </c>
      <c r="F1710" s="188" t="s">
        <v>451</v>
      </c>
      <c r="G1710" s="833" t="s">
        <v>646</v>
      </c>
      <c r="H1710" s="192" t="s">
        <v>633</v>
      </c>
      <c r="I1710" s="253">
        <v>275</v>
      </c>
      <c r="J1710" s="253">
        <v>15000</v>
      </c>
      <c r="K1710" s="584">
        <f>ROUND(I1710*J1710,0)</f>
        <v>4125000</v>
      </c>
      <c r="L1710" s="193" t="s">
        <v>251</v>
      </c>
      <c r="M1710" s="193" t="s">
        <v>164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26"/>
      <c r="AB1710" s="576" t="str">
        <f>IF(VLOOKUP(F1710,NXT!$C$12:$C$786,1,0)=F1710,"","x")</f>
        <v/>
      </c>
      <c r="AC1710" s="205"/>
      <c r="AD1710" s="205"/>
    </row>
    <row r="1711" spans="1:30" s="576" customFormat="1" ht="15.75" customHeight="1">
      <c r="A1711" s="827" t="str">
        <f>IF(B1711&lt;&gt;"",IF(AND(B1711&gt;=_TM1,B1711&lt;=_TM2,OR(TH!L1711="1111",TH!M1711="1111")),TH!D1711,""),"")</f>
        <v/>
      </c>
      <c r="B1711" s="36">
        <f t="shared" si="277"/>
        <v>4</v>
      </c>
      <c r="C1711" s="190">
        <f t="shared" si="278"/>
        <v>42475</v>
      </c>
      <c r="D1711" s="190" t="s">
        <v>1588</v>
      </c>
      <c r="E1711" s="190">
        <v>42475</v>
      </c>
      <c r="F1711" s="188" t="s">
        <v>632</v>
      </c>
      <c r="G1711" s="833" t="s">
        <v>646</v>
      </c>
      <c r="H1711" s="192" t="s">
        <v>633</v>
      </c>
      <c r="I1711" s="253"/>
      <c r="J1711" s="253"/>
      <c r="K1711" s="584">
        <v>412500</v>
      </c>
      <c r="L1711" s="193" t="s">
        <v>251</v>
      </c>
      <c r="M1711" s="193" t="s">
        <v>354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26"/>
      <c r="AC1711" s="205"/>
      <c r="AD1711" s="205"/>
    </row>
    <row r="1712" spans="1:30" s="576" customFormat="1" ht="15.75" customHeight="1">
      <c r="A1712" s="827" t="str">
        <f>IF(B1712&lt;&gt;"",IF(AND(B1712&gt;=_TM1,B1712&lt;=_TM2,OR(TH!L1712="1111",TH!M1712="1111")),TH!D1712,""),"")</f>
        <v/>
      </c>
      <c r="B1712" s="36">
        <f t="shared" si="277"/>
        <v>4</v>
      </c>
      <c r="C1712" s="190">
        <f t="shared" si="278"/>
        <v>42475</v>
      </c>
      <c r="D1712" s="190" t="s">
        <v>1589</v>
      </c>
      <c r="E1712" s="190">
        <v>42475</v>
      </c>
      <c r="F1712" s="188" t="s">
        <v>451</v>
      </c>
      <c r="G1712" s="833" t="s">
        <v>647</v>
      </c>
      <c r="H1712" s="192" t="s">
        <v>633</v>
      </c>
      <c r="I1712" s="253">
        <v>291</v>
      </c>
      <c r="J1712" s="253">
        <v>15000</v>
      </c>
      <c r="K1712" s="584">
        <f>ROUND(I1712*J1712,0)</f>
        <v>4365000</v>
      </c>
      <c r="L1712" s="193" t="s">
        <v>251</v>
      </c>
      <c r="M1712" s="193" t="s">
        <v>164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26"/>
      <c r="AB1712" s="576" t="str">
        <f>IF(VLOOKUP(F1712,NXT!$C$12:$C$786,1,0)=F1712,"","x")</f>
        <v/>
      </c>
      <c r="AC1712" s="205"/>
      <c r="AD1712" s="205"/>
    </row>
    <row r="1713" spans="1:30" s="576" customFormat="1" ht="15.75" customHeight="1">
      <c r="A1713" s="827" t="str">
        <f>IF(B1713&lt;&gt;"",IF(AND(B1713&gt;=_TM1,B1713&lt;=_TM2,OR(TH!L1713="1111",TH!M1713="1111")),TH!D1713,""),"")</f>
        <v/>
      </c>
      <c r="B1713" s="36">
        <f t="shared" si="277"/>
        <v>4</v>
      </c>
      <c r="C1713" s="190">
        <f t="shared" si="278"/>
        <v>42475</v>
      </c>
      <c r="D1713" s="190" t="s">
        <v>1589</v>
      </c>
      <c r="E1713" s="190">
        <v>42475</v>
      </c>
      <c r="F1713" s="188" t="s">
        <v>632</v>
      </c>
      <c r="G1713" s="833" t="s">
        <v>647</v>
      </c>
      <c r="H1713" s="192" t="s">
        <v>633</v>
      </c>
      <c r="I1713" s="253"/>
      <c r="J1713" s="253"/>
      <c r="K1713" s="584">
        <v>436500</v>
      </c>
      <c r="L1713" s="193" t="s">
        <v>251</v>
      </c>
      <c r="M1713" s="193" t="s">
        <v>354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26"/>
      <c r="AC1713" s="205"/>
      <c r="AD1713" s="205"/>
    </row>
    <row r="1714" spans="1:30" ht="15.75" customHeight="1">
      <c r="A1714" s="827" t="str">
        <f>IF(B1714&lt;&gt;"",IF(AND(B1714&gt;=_TM1,B1714&lt;=_TM2,OR(TH!L1714="1111",TH!M1714="1111")),TH!D1714,""),"")</f>
        <v/>
      </c>
      <c r="B1714" s="36">
        <f t="shared" si="277"/>
        <v>4</v>
      </c>
      <c r="C1714" s="190">
        <f t="shared" si="278"/>
        <v>42475</v>
      </c>
      <c r="D1714" s="190" t="s">
        <v>1590</v>
      </c>
      <c r="E1714" s="190">
        <v>42475</v>
      </c>
      <c r="F1714" s="188" t="s">
        <v>451</v>
      </c>
      <c r="G1714" s="833" t="s">
        <v>648</v>
      </c>
      <c r="H1714" s="192" t="s">
        <v>633</v>
      </c>
      <c r="I1714" s="253">
        <v>300</v>
      </c>
      <c r="J1714" s="253">
        <v>15000</v>
      </c>
      <c r="K1714" s="584">
        <f>ROUND(I1714*J1714,0)</f>
        <v>4500000</v>
      </c>
      <c r="L1714" s="193" t="s">
        <v>251</v>
      </c>
      <c r="M1714" s="193" t="s">
        <v>164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26"/>
      <c r="AB1714" s="576" t="str">
        <f>IF(VLOOKUP(F1714,NXT!$C$12:$C$786,1,0)=F1714,"","x")</f>
        <v/>
      </c>
    </row>
    <row r="1715" spans="1:30" ht="15.75" customHeight="1">
      <c r="A1715" s="827" t="str">
        <f>IF(B1715&lt;&gt;"",IF(AND(B1715&gt;=_TM1,B1715&lt;=_TM2,OR(TH!L1715="1111",TH!M1715="1111")),TH!D1715,""),"")</f>
        <v/>
      </c>
      <c r="B1715" s="36">
        <f t="shared" si="277"/>
        <v>4</v>
      </c>
      <c r="C1715" s="190">
        <f t="shared" si="278"/>
        <v>42475</v>
      </c>
      <c r="D1715" s="190" t="s">
        <v>1590</v>
      </c>
      <c r="E1715" s="190">
        <v>42475</v>
      </c>
      <c r="F1715" s="188" t="s">
        <v>632</v>
      </c>
      <c r="G1715" s="833" t="s">
        <v>648</v>
      </c>
      <c r="H1715" s="192" t="s">
        <v>633</v>
      </c>
      <c r="I1715" s="253"/>
      <c r="J1715" s="253"/>
      <c r="K1715" s="584">
        <v>450000</v>
      </c>
      <c r="L1715" s="193" t="s">
        <v>251</v>
      </c>
      <c r="M1715" s="193" t="s">
        <v>354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26"/>
      <c r="AB1715" s="576"/>
    </row>
    <row r="1716" spans="1:30" ht="15.75" customHeight="1">
      <c r="A1716" s="827" t="str">
        <f>IF(B1716&lt;&gt;"",IF(AND(B1716&gt;=_TM1,B1716&lt;=_TM2,OR(TH!L1716="1111",TH!M1716="1111")),TH!D1716,""),"")</f>
        <v/>
      </c>
      <c r="B1716" s="36">
        <f t="shared" si="277"/>
        <v>4</v>
      </c>
      <c r="C1716" s="190">
        <f t="shared" si="278"/>
        <v>42475</v>
      </c>
      <c r="D1716" s="190" t="s">
        <v>1591</v>
      </c>
      <c r="E1716" s="190">
        <v>42475</v>
      </c>
      <c r="F1716" s="188" t="s">
        <v>451</v>
      </c>
      <c r="G1716" s="833" t="s">
        <v>649</v>
      </c>
      <c r="H1716" s="192" t="s">
        <v>633</v>
      </c>
      <c r="I1716" s="253">
        <v>253</v>
      </c>
      <c r="J1716" s="253">
        <v>15000</v>
      </c>
      <c r="K1716" s="584">
        <f>ROUND(I1716*J1716,0)</f>
        <v>3795000</v>
      </c>
      <c r="L1716" s="193" t="s">
        <v>251</v>
      </c>
      <c r="M1716" s="193" t="s">
        <v>164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26"/>
      <c r="AB1716" s="576" t="str">
        <f>IF(VLOOKUP(F1716,NXT!$C$12:$C$786,1,0)=F1716,"","x")</f>
        <v/>
      </c>
    </row>
    <row r="1717" spans="1:30" ht="15.75" customHeight="1">
      <c r="A1717" s="827" t="str">
        <f>IF(B1717&lt;&gt;"",IF(AND(B1717&gt;=_TM1,B1717&lt;=_TM2,OR(TH!L1717="1111",TH!M1717="1111")),TH!D1717,""),"")</f>
        <v/>
      </c>
      <c r="B1717" s="36">
        <f t="shared" si="277"/>
        <v>4</v>
      </c>
      <c r="C1717" s="190">
        <f t="shared" si="278"/>
        <v>42475</v>
      </c>
      <c r="D1717" s="190" t="s">
        <v>1591</v>
      </c>
      <c r="E1717" s="190">
        <v>42475</v>
      </c>
      <c r="F1717" s="188" t="s">
        <v>632</v>
      </c>
      <c r="G1717" s="833" t="s">
        <v>649</v>
      </c>
      <c r="H1717" s="192" t="s">
        <v>633</v>
      </c>
      <c r="I1717" s="253"/>
      <c r="J1717" s="253"/>
      <c r="K1717" s="584">
        <v>379500</v>
      </c>
      <c r="L1717" s="193" t="s">
        <v>251</v>
      </c>
      <c r="M1717" s="193" t="s">
        <v>354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26"/>
      <c r="AB1717" s="576"/>
    </row>
    <row r="1718" spans="1:30" ht="15.75" customHeight="1">
      <c r="A1718" s="827" t="str">
        <f>IF(B1718&lt;&gt;"",IF(AND(B1718&gt;=_TM1,B1718&lt;=_TM2,OR(TH!L1718="1111",TH!M1718="1111")),TH!D1718,""),"")</f>
        <v/>
      </c>
      <c r="B1718" s="36">
        <f t="shared" si="277"/>
        <v>4</v>
      </c>
      <c r="C1718" s="190">
        <f t="shared" si="278"/>
        <v>42480</v>
      </c>
      <c r="D1718" s="190" t="s">
        <v>1592</v>
      </c>
      <c r="E1718" s="190">
        <v>42480</v>
      </c>
      <c r="F1718" s="191" t="s">
        <v>572</v>
      </c>
      <c r="G1718" s="833" t="s">
        <v>650</v>
      </c>
      <c r="H1718" s="192" t="s">
        <v>651</v>
      </c>
      <c r="I1718" s="253">
        <v>500</v>
      </c>
      <c r="J1718" s="253">
        <v>12170</v>
      </c>
      <c r="K1718" s="584">
        <f>ROUND(I1718*J1718,0)</f>
        <v>6085000</v>
      </c>
      <c r="L1718" s="193" t="s">
        <v>251</v>
      </c>
      <c r="M1718" s="193" t="s">
        <v>164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26"/>
      <c r="AB1718" s="576" t="str">
        <f>IF(VLOOKUP(F1718,NXT!$C$12:$C$786,1,0)=F1718,"","x")</f>
        <v/>
      </c>
    </row>
    <row r="1719" spans="1:30" ht="15.75" customHeight="1">
      <c r="A1719" s="827" t="str">
        <f>IF(B1719&lt;&gt;"",IF(AND(B1719&gt;=_TM1,B1719&lt;=_TM2,OR(TH!L1719="1111",TH!M1719="1111")),TH!D1719,""),"")</f>
        <v/>
      </c>
      <c r="B1719" s="36">
        <f t="shared" si="277"/>
        <v>4</v>
      </c>
      <c r="C1719" s="190">
        <f t="shared" si="278"/>
        <v>42480</v>
      </c>
      <c r="D1719" s="190" t="s">
        <v>1592</v>
      </c>
      <c r="E1719" s="190">
        <v>42480</v>
      </c>
      <c r="F1719" s="191" t="s">
        <v>461</v>
      </c>
      <c r="G1719" s="833" t="s">
        <v>650</v>
      </c>
      <c r="H1719" s="192" t="s">
        <v>651</v>
      </c>
      <c r="I1719" s="253"/>
      <c r="J1719" s="253"/>
      <c r="K1719" s="584">
        <v>608500</v>
      </c>
      <c r="L1719" s="193" t="s">
        <v>251</v>
      </c>
      <c r="M1719" s="193" t="s">
        <v>354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26"/>
      <c r="AB1719" s="576"/>
    </row>
    <row r="1720" spans="1:30" ht="15.75" customHeight="1">
      <c r="A1720" s="827" t="str">
        <f>IF(B1720&lt;&gt;"",IF(AND(B1720&gt;=_TM1,B1720&lt;=_TM2,OR(TH!L1720="1111",TH!M1720="1111")),TH!D1720,""),"")</f>
        <v/>
      </c>
      <c r="B1720" s="36">
        <f t="shared" si="277"/>
        <v>4</v>
      </c>
      <c r="C1720" s="190">
        <f t="shared" si="278"/>
        <v>42480</v>
      </c>
      <c r="D1720" s="190" t="s">
        <v>1593</v>
      </c>
      <c r="E1720" s="190">
        <v>42480</v>
      </c>
      <c r="F1720" s="191" t="s">
        <v>655</v>
      </c>
      <c r="G1720" s="833" t="s">
        <v>654</v>
      </c>
      <c r="H1720" s="192" t="s">
        <v>636</v>
      </c>
      <c r="I1720" s="253">
        <v>316</v>
      </c>
      <c r="J1720" s="253">
        <v>6519</v>
      </c>
      <c r="K1720" s="584">
        <f>ROUND(I1720*J1720,0)</f>
        <v>2060004</v>
      </c>
      <c r="L1720" s="193" t="s">
        <v>251</v>
      </c>
      <c r="M1720" s="193" t="s">
        <v>164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26"/>
      <c r="AB1720" s="576" t="str">
        <f>IF(VLOOKUP(F1720,NXT!$C$12:$C$786,1,0)=F1720,"","x")</f>
        <v/>
      </c>
    </row>
    <row r="1721" spans="1:30" ht="15.75" customHeight="1">
      <c r="A1721" s="827" t="str">
        <f>IF(B1721&lt;&gt;"",IF(AND(B1721&gt;=_TM1,B1721&lt;=_TM2,OR(TH!L1721="1111",TH!M1721="1111")),TH!D1721,""),"")</f>
        <v/>
      </c>
      <c r="B1721" s="36">
        <f t="shared" si="277"/>
        <v>4</v>
      </c>
      <c r="C1721" s="190">
        <f t="shared" si="278"/>
        <v>42480</v>
      </c>
      <c r="D1721" s="190" t="s">
        <v>1593</v>
      </c>
      <c r="E1721" s="190">
        <v>42480</v>
      </c>
      <c r="F1721" s="191" t="s">
        <v>656</v>
      </c>
      <c r="G1721" s="833" t="s">
        <v>654</v>
      </c>
      <c r="H1721" s="192" t="s">
        <v>636</v>
      </c>
      <c r="I1721" s="253">
        <v>259</v>
      </c>
      <c r="J1721" s="253">
        <v>4464</v>
      </c>
      <c r="K1721" s="584">
        <f>ROUND(I1721*J1721,0)</f>
        <v>1156176</v>
      </c>
      <c r="L1721" s="193" t="s">
        <v>251</v>
      </c>
      <c r="M1721" s="193" t="s">
        <v>164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26"/>
      <c r="AB1721" s="576" t="str">
        <f>IF(VLOOKUP(F1721,NXT!$C$12:$C$786,1,0)=F1721,"","x")</f>
        <v/>
      </c>
    </row>
    <row r="1722" spans="1:30" ht="15.75" customHeight="1">
      <c r="A1722" s="827" t="str">
        <f>IF(B1722&lt;&gt;"",IF(AND(B1722&gt;=_TM1,B1722&lt;=_TM2,OR(TH!L1722="1111",TH!M1722="1111")),TH!D1722,""),"")</f>
        <v/>
      </c>
      <c r="B1722" s="36">
        <f t="shared" si="277"/>
        <v>4</v>
      </c>
      <c r="C1722" s="190">
        <f t="shared" si="278"/>
        <v>42480</v>
      </c>
      <c r="D1722" s="190" t="s">
        <v>1593</v>
      </c>
      <c r="E1722" s="190">
        <v>42480</v>
      </c>
      <c r="F1722" s="191" t="s">
        <v>461</v>
      </c>
      <c r="G1722" s="833" t="s">
        <v>654</v>
      </c>
      <c r="H1722" s="192" t="s">
        <v>636</v>
      </c>
      <c r="I1722" s="253"/>
      <c r="J1722" s="253"/>
      <c r="K1722" s="584">
        <v>321618</v>
      </c>
      <c r="L1722" s="193" t="s">
        <v>251</v>
      </c>
      <c r="M1722" s="193" t="s">
        <v>354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26"/>
      <c r="AB1722" s="576"/>
    </row>
    <row r="1723" spans="1:30" ht="15.75" customHeight="1">
      <c r="A1723" s="827" t="str">
        <f>IF(B1723&lt;&gt;"",IF(AND(B1723&gt;=_TM1,B1723&lt;=_TM2,OR(TH!L1723="1111",TH!M1723="1111")),TH!D1723,""),"")</f>
        <v/>
      </c>
      <c r="B1723" s="36">
        <f t="shared" si="277"/>
        <v>4</v>
      </c>
      <c r="C1723" s="190">
        <f t="shared" si="278"/>
        <v>42481</v>
      </c>
      <c r="D1723" s="190" t="s">
        <v>1594</v>
      </c>
      <c r="E1723" s="190">
        <v>42481</v>
      </c>
      <c r="F1723" s="191" t="s">
        <v>659</v>
      </c>
      <c r="G1723" s="833" t="s">
        <v>657</v>
      </c>
      <c r="H1723" s="192" t="s">
        <v>658</v>
      </c>
      <c r="I1723" s="253">
        <v>1000</v>
      </c>
      <c r="J1723" s="253">
        <v>9800</v>
      </c>
      <c r="K1723" s="584">
        <f>ROUND(I1723*J1723,0)</f>
        <v>9800000</v>
      </c>
      <c r="L1723" s="193" t="s">
        <v>251</v>
      </c>
      <c r="M1723" s="193" t="s">
        <v>164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26"/>
      <c r="AB1723" s="576" t="str">
        <f>IF(VLOOKUP(F1723,NXT!$C$12:$C$786,1,0)=F1723,"","x")</f>
        <v/>
      </c>
    </row>
    <row r="1724" spans="1:30" ht="15.75" customHeight="1">
      <c r="A1724" s="827" t="str">
        <f>IF(B1724&lt;&gt;"",IF(AND(B1724&gt;=_TM1,B1724&lt;=_TM2,OR(TH!L1724="1111",TH!M1724="1111")),TH!D1724,""),"")</f>
        <v/>
      </c>
      <c r="B1724" s="36">
        <f t="shared" si="277"/>
        <v>4</v>
      </c>
      <c r="C1724" s="190">
        <f t="shared" si="278"/>
        <v>42481</v>
      </c>
      <c r="D1724" s="190" t="s">
        <v>1594</v>
      </c>
      <c r="E1724" s="190">
        <v>42481</v>
      </c>
      <c r="F1724" s="191" t="s">
        <v>461</v>
      </c>
      <c r="G1724" s="833" t="s">
        <v>657</v>
      </c>
      <c r="H1724" s="192" t="s">
        <v>658</v>
      </c>
      <c r="I1724" s="253"/>
      <c r="J1724" s="253"/>
      <c r="K1724" s="584">
        <v>980000</v>
      </c>
      <c r="L1724" s="193" t="s">
        <v>251</v>
      </c>
      <c r="M1724" s="193" t="s">
        <v>354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26"/>
      <c r="AB1724" s="576"/>
    </row>
    <row r="1725" spans="1:30" ht="15.75" customHeight="1">
      <c r="A1725" s="827" t="str">
        <f>IF(B1725&lt;&gt;"",IF(AND(B1725&gt;=_TM1,B1725&lt;=_TM2,OR(TH!L1725="1111",TH!M1725="1111")),TH!D1725,""),"")</f>
        <v/>
      </c>
      <c r="B1725" s="36">
        <f t="shared" si="277"/>
        <v>4</v>
      </c>
      <c r="C1725" s="190">
        <f t="shared" si="278"/>
        <v>42485</v>
      </c>
      <c r="D1725" s="190" t="s">
        <v>1595</v>
      </c>
      <c r="E1725" s="190">
        <v>42485</v>
      </c>
      <c r="F1725" s="191" t="s">
        <v>680</v>
      </c>
      <c r="G1725" s="833" t="s">
        <v>660</v>
      </c>
      <c r="H1725" s="192" t="s">
        <v>630</v>
      </c>
      <c r="I1725" s="253">
        <v>221</v>
      </c>
      <c r="J1725" s="253">
        <v>8046</v>
      </c>
      <c r="K1725" s="584">
        <f>ROUND(I1725*J1725,0)</f>
        <v>1778166</v>
      </c>
      <c r="L1725" s="193" t="s">
        <v>251</v>
      </c>
      <c r="M1725" s="193" t="s">
        <v>164</v>
      </c>
      <c r="N1725" s="52" t="str">
        <f>IF(AND('331-CT'!$E$7=TH!H1725,OR(L1725="331",M1725="331")),"331",IF(AND(OR(L1725="131",M1725="131"),H1725='131-CT'!$E$7),"131",""))</f>
        <v>131</v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26"/>
      <c r="AB1725" s="576" t="str">
        <f>IF(VLOOKUP(F1725,NXT!$C$12:$C$786,1,0)=F1725,"","x")</f>
        <v/>
      </c>
    </row>
    <row r="1726" spans="1:30" ht="15.75" customHeight="1">
      <c r="A1726" s="827" t="str">
        <f>IF(B1726&lt;&gt;"",IF(AND(B1726&gt;=_TM1,B1726&lt;=_TM2,OR(TH!L1726="1111",TH!M1726="1111")),TH!D1726,""),"")</f>
        <v/>
      </c>
      <c r="B1726" s="36">
        <f t="shared" si="277"/>
        <v>4</v>
      </c>
      <c r="C1726" s="190">
        <f t="shared" si="278"/>
        <v>42485</v>
      </c>
      <c r="D1726" s="190" t="s">
        <v>1595</v>
      </c>
      <c r="E1726" s="190">
        <v>42485</v>
      </c>
      <c r="F1726" s="191" t="s">
        <v>461</v>
      </c>
      <c r="G1726" s="833" t="s">
        <v>660</v>
      </c>
      <c r="H1726" s="192" t="s">
        <v>630</v>
      </c>
      <c r="I1726" s="253"/>
      <c r="J1726" s="253"/>
      <c r="K1726" s="584">
        <v>177817</v>
      </c>
      <c r="L1726" s="193" t="s">
        <v>251</v>
      </c>
      <c r="M1726" s="193" t="s">
        <v>354</v>
      </c>
      <c r="N1726" s="52" t="str">
        <f>IF(AND('331-CT'!$E$7=TH!H1726,OR(L1726="331",M1726="331")),"331",IF(AND(OR(L1726="131",M1726="131"),H1726='131-CT'!$E$7),"131",""))</f>
        <v>131</v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26"/>
      <c r="AB1726" s="576"/>
    </row>
    <row r="1727" spans="1:30" ht="15.75" customHeight="1">
      <c r="A1727" s="827" t="str">
        <f>IF(B1727&lt;&gt;"",IF(AND(B1727&gt;=_TM1,B1727&lt;=_TM2,OR(TH!L1727="1111",TH!M1727="1111")),TH!D1727,""),"")</f>
        <v/>
      </c>
      <c r="B1727" s="36">
        <f t="shared" si="277"/>
        <v>4</v>
      </c>
      <c r="C1727" s="190">
        <f t="shared" si="278"/>
        <v>42485</v>
      </c>
      <c r="D1727" s="190" t="s">
        <v>1596</v>
      </c>
      <c r="E1727" s="190">
        <v>42485</v>
      </c>
      <c r="F1727" s="191" t="s">
        <v>1178</v>
      </c>
      <c r="G1727" s="833" t="s">
        <v>661</v>
      </c>
      <c r="H1727" s="192" t="s">
        <v>662</v>
      </c>
      <c r="I1727" s="253">
        <v>1000</v>
      </c>
      <c r="J1727" s="253">
        <v>32500</v>
      </c>
      <c r="K1727" s="584">
        <f>ROUND(I1727*J1727,0)</f>
        <v>32500000</v>
      </c>
      <c r="L1727" s="193" t="s">
        <v>251</v>
      </c>
      <c r="M1727" s="193" t="s">
        <v>164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26"/>
      <c r="AB1727" s="576" t="str">
        <f>IF(VLOOKUP(F1727,NXT!$C$12:$C$786,1,0)=F1727,"","x")</f>
        <v/>
      </c>
    </row>
    <row r="1728" spans="1:30" ht="15.75" customHeight="1">
      <c r="A1728" s="827" t="str">
        <f>IF(B1728&lt;&gt;"",IF(AND(B1728&gt;=_TM1,B1728&lt;=_TM2,OR(TH!L1728="1111",TH!M1728="1111")),TH!D1728,""),"")</f>
        <v/>
      </c>
      <c r="B1728" s="36">
        <f t="shared" si="277"/>
        <v>4</v>
      </c>
      <c r="C1728" s="190">
        <f t="shared" si="278"/>
        <v>42485</v>
      </c>
      <c r="D1728" s="190" t="s">
        <v>1596</v>
      </c>
      <c r="E1728" s="190">
        <v>42485</v>
      </c>
      <c r="F1728" s="191" t="s">
        <v>1179</v>
      </c>
      <c r="G1728" s="833" t="s">
        <v>661</v>
      </c>
      <c r="H1728" s="192" t="s">
        <v>662</v>
      </c>
      <c r="I1728" s="253">
        <v>1100</v>
      </c>
      <c r="J1728" s="253">
        <v>31700</v>
      </c>
      <c r="K1728" s="584">
        <f>ROUND(I1728*J1728,0)</f>
        <v>34870000</v>
      </c>
      <c r="L1728" s="193" t="s">
        <v>251</v>
      </c>
      <c r="M1728" s="193" t="s">
        <v>164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26"/>
      <c r="AB1728" s="576" t="str">
        <f>IF(VLOOKUP(F1728,NXT!$C$12:$C$786,1,0)=F1728,"","x")</f>
        <v/>
      </c>
    </row>
    <row r="1729" spans="1:28" ht="15.75" customHeight="1">
      <c r="A1729" s="827" t="str">
        <f>IF(B1729&lt;&gt;"",IF(AND(B1729&gt;=_TM1,B1729&lt;=_TM2,OR(TH!L1729="1111",TH!M1729="1111")),TH!D1729,""),"")</f>
        <v/>
      </c>
      <c r="B1729" s="36">
        <f t="shared" si="277"/>
        <v>4</v>
      </c>
      <c r="C1729" s="190">
        <f t="shared" si="278"/>
        <v>42485</v>
      </c>
      <c r="D1729" s="190" t="s">
        <v>1596</v>
      </c>
      <c r="E1729" s="190">
        <v>42485</v>
      </c>
      <c r="F1729" s="188" t="s">
        <v>451</v>
      </c>
      <c r="G1729" s="833" t="s">
        <v>661</v>
      </c>
      <c r="H1729" s="192" t="s">
        <v>662</v>
      </c>
      <c r="I1729" s="253">
        <v>3500</v>
      </c>
      <c r="J1729" s="253">
        <v>15000</v>
      </c>
      <c r="K1729" s="584">
        <f>ROUND(I1729*J1729,0)</f>
        <v>52500000</v>
      </c>
      <c r="L1729" s="193" t="s">
        <v>251</v>
      </c>
      <c r="M1729" s="193" t="s">
        <v>164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26"/>
      <c r="AB1729" s="576" t="str">
        <f>IF(VLOOKUP(F1729,NXT!$C$12:$C$786,1,0)=F1729,"","x")</f>
        <v/>
      </c>
    </row>
    <row r="1730" spans="1:28" ht="15.75" customHeight="1">
      <c r="A1730" s="827" t="str">
        <f>IF(B1730&lt;&gt;"",IF(AND(B1730&gt;=_TM1,B1730&lt;=_TM2,OR(TH!L1730="1111",TH!M1730="1111")),TH!D1730,""),"")</f>
        <v/>
      </c>
      <c r="B1730" s="36">
        <f t="shared" si="277"/>
        <v>4</v>
      </c>
      <c r="C1730" s="190">
        <f t="shared" si="278"/>
        <v>42485</v>
      </c>
      <c r="D1730" s="190" t="s">
        <v>1596</v>
      </c>
      <c r="E1730" s="190">
        <v>42485</v>
      </c>
      <c r="F1730" s="188" t="s">
        <v>450</v>
      </c>
      <c r="G1730" s="833" t="s">
        <v>661</v>
      </c>
      <c r="H1730" s="192" t="s">
        <v>662</v>
      </c>
      <c r="I1730" s="253">
        <v>3200</v>
      </c>
      <c r="J1730" s="253">
        <v>16500</v>
      </c>
      <c r="K1730" s="584">
        <f>ROUND(I1730*J1730,0)</f>
        <v>52800000</v>
      </c>
      <c r="L1730" s="193" t="s">
        <v>251</v>
      </c>
      <c r="M1730" s="193" t="s">
        <v>164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26"/>
      <c r="AB1730" s="576" t="str">
        <f>IF(VLOOKUP(F1730,NXT!$C$12:$C$786,1,0)=F1730,"","x")</f>
        <v/>
      </c>
    </row>
    <row r="1731" spans="1:28" ht="15.75" customHeight="1">
      <c r="A1731" s="827" t="str">
        <f>IF(B1731&lt;&gt;"",IF(AND(B1731&gt;=_TM1,B1731&lt;=_TM2,OR(TH!L1731="1111",TH!M1731="1111")),TH!D1731,""),"")</f>
        <v/>
      </c>
      <c r="B1731" s="36">
        <f t="shared" si="277"/>
        <v>4</v>
      </c>
      <c r="C1731" s="190">
        <f t="shared" si="278"/>
        <v>42485</v>
      </c>
      <c r="D1731" s="190" t="s">
        <v>1596</v>
      </c>
      <c r="E1731" s="190">
        <v>42485</v>
      </c>
      <c r="F1731" s="191" t="s">
        <v>461</v>
      </c>
      <c r="G1731" s="833" t="s">
        <v>661</v>
      </c>
      <c r="H1731" s="192" t="s">
        <v>662</v>
      </c>
      <c r="I1731" s="253"/>
      <c r="J1731" s="253"/>
      <c r="K1731" s="584">
        <v>17267000</v>
      </c>
      <c r="L1731" s="193" t="s">
        <v>251</v>
      </c>
      <c r="M1731" s="193" t="s">
        <v>354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26"/>
      <c r="AB1731" s="576"/>
    </row>
    <row r="1732" spans="1:28" ht="15.75" customHeight="1">
      <c r="A1732" s="827" t="str">
        <f>IF(B1732&lt;&gt;"",IF(AND(B1732&gt;=_TM1,B1732&lt;=_TM2,OR(TH!L1732="1111",TH!M1732="1111")),TH!D1732,""),"")</f>
        <v/>
      </c>
      <c r="B1732" s="36">
        <f t="shared" si="277"/>
        <v>4</v>
      </c>
      <c r="C1732" s="190">
        <f t="shared" si="278"/>
        <v>42486</v>
      </c>
      <c r="D1732" s="190" t="s">
        <v>1597</v>
      </c>
      <c r="E1732" s="190">
        <v>42486</v>
      </c>
      <c r="F1732" s="191" t="s">
        <v>664</v>
      </c>
      <c r="G1732" s="833" t="s">
        <v>663</v>
      </c>
      <c r="H1732" s="192" t="s">
        <v>636</v>
      </c>
      <c r="I1732" s="253">
        <v>200</v>
      </c>
      <c r="J1732" s="253">
        <v>86597</v>
      </c>
      <c r="K1732" s="584">
        <f>ROUND(I1732*J1732,0)</f>
        <v>17319400</v>
      </c>
      <c r="L1732" s="193" t="s">
        <v>251</v>
      </c>
      <c r="M1732" s="193" t="s">
        <v>164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26"/>
      <c r="AB1732" s="576" t="str">
        <f>IF(VLOOKUP(F1732,NXT!$C$12:$C$786,1,0)=F1732,"","x")</f>
        <v/>
      </c>
    </row>
    <row r="1733" spans="1:28" ht="15.75" customHeight="1">
      <c r="A1733" s="827" t="str">
        <f>IF(B1733&lt;&gt;"",IF(AND(B1733&gt;=_TM1,B1733&lt;=_TM2,OR(TH!L1733="1111",TH!M1733="1111")),TH!D1733,""),"")</f>
        <v/>
      </c>
      <c r="B1733" s="36">
        <f t="shared" si="277"/>
        <v>4</v>
      </c>
      <c r="C1733" s="190">
        <f t="shared" si="278"/>
        <v>42486</v>
      </c>
      <c r="D1733" s="190" t="s">
        <v>1597</v>
      </c>
      <c r="E1733" s="190">
        <v>42486</v>
      </c>
      <c r="F1733" s="191" t="s">
        <v>461</v>
      </c>
      <c r="G1733" s="833" t="s">
        <v>663</v>
      </c>
      <c r="H1733" s="192" t="s">
        <v>636</v>
      </c>
      <c r="I1733" s="253"/>
      <c r="J1733" s="253"/>
      <c r="K1733" s="584">
        <v>1731940</v>
      </c>
      <c r="L1733" s="193" t="s">
        <v>251</v>
      </c>
      <c r="M1733" s="193" t="s">
        <v>354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26"/>
      <c r="AB1733" s="576"/>
    </row>
    <row r="1734" spans="1:28" ht="15.75" customHeight="1">
      <c r="A1734" s="827" t="str">
        <f>IF(B1734&lt;&gt;"",IF(AND(B1734&gt;=_TM1,B1734&lt;=_TM2,OR(TH!L1734="1111",TH!M1734="1111")),TH!D1734,""),"")</f>
        <v/>
      </c>
      <c r="B1734" s="36">
        <f t="shared" si="277"/>
        <v>4</v>
      </c>
      <c r="C1734" s="190">
        <f t="shared" si="278"/>
        <v>42487</v>
      </c>
      <c r="D1734" s="190"/>
      <c r="E1734" s="190">
        <v>42487</v>
      </c>
      <c r="F1734" s="191" t="s">
        <v>621</v>
      </c>
      <c r="G1734" s="833" t="s">
        <v>665</v>
      </c>
      <c r="H1734" s="825" t="s">
        <v>626</v>
      </c>
      <c r="I1734" s="253"/>
      <c r="J1734" s="253"/>
      <c r="K1734" s="584">
        <v>700000</v>
      </c>
      <c r="L1734" s="193" t="s">
        <v>47</v>
      </c>
      <c r="M1734" s="193" t="s">
        <v>623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26"/>
      <c r="AB1734" s="576"/>
    </row>
    <row r="1735" spans="1:28" ht="15.75" customHeight="1">
      <c r="A1735" s="827" t="str">
        <f>IF(B1735&lt;&gt;"",IF(AND(B1735&gt;=_TM1,B1735&lt;=_TM2,OR(TH!L1735="1111",TH!M1735="1111")),TH!D1735,""),"")</f>
        <v/>
      </c>
      <c r="B1735" s="36">
        <f t="shared" si="277"/>
        <v>4</v>
      </c>
      <c r="C1735" s="190">
        <f t="shared" si="278"/>
        <v>42487</v>
      </c>
      <c r="D1735" s="190"/>
      <c r="E1735" s="190">
        <v>42487</v>
      </c>
      <c r="F1735" s="191" t="s">
        <v>622</v>
      </c>
      <c r="G1735" s="833" t="s">
        <v>665</v>
      </c>
      <c r="H1735" s="825" t="s">
        <v>626</v>
      </c>
      <c r="I1735" s="253"/>
      <c r="J1735" s="253"/>
      <c r="K1735" s="584">
        <v>70000</v>
      </c>
      <c r="L1735" s="193" t="s">
        <v>47</v>
      </c>
      <c r="M1735" s="193" t="s">
        <v>354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26"/>
      <c r="AB1735" s="576"/>
    </row>
    <row r="1736" spans="1:28" ht="15.75" customHeight="1">
      <c r="A1736" s="827" t="str">
        <f>IF(B1736&lt;&gt;"",IF(AND(B1736&gt;=_TM1,B1736&lt;=_TM2,OR(TH!L1736="1111",TH!M1736="1111")),TH!D1736,""),"")</f>
        <v/>
      </c>
      <c r="B1736" s="36">
        <f t="shared" si="277"/>
        <v>4</v>
      </c>
      <c r="C1736" s="190">
        <f t="shared" si="278"/>
        <v>42488</v>
      </c>
      <c r="D1736" s="190" t="s">
        <v>1598</v>
      </c>
      <c r="E1736" s="190">
        <v>42488</v>
      </c>
      <c r="F1736" s="191" t="s">
        <v>680</v>
      </c>
      <c r="G1736" s="833" t="s">
        <v>666</v>
      </c>
      <c r="H1736" s="192" t="s">
        <v>636</v>
      </c>
      <c r="I1736" s="253">
        <v>179</v>
      </c>
      <c r="J1736" s="253">
        <v>8046</v>
      </c>
      <c r="K1736" s="584">
        <f>ROUND(I1736*J1736,0)</f>
        <v>1440234</v>
      </c>
      <c r="L1736" s="193" t="s">
        <v>251</v>
      </c>
      <c r="M1736" s="193" t="s">
        <v>164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26"/>
      <c r="AB1736" s="576" t="str">
        <f>IF(VLOOKUP(F1736,NXT!$C$12:$C$786,1,0)=F1736,"","x")</f>
        <v/>
      </c>
    </row>
    <row r="1737" spans="1:28" ht="15.75" customHeight="1">
      <c r="A1737" s="827" t="str">
        <f>IF(B1737&lt;&gt;"",IF(AND(B1737&gt;=_TM1,B1737&lt;=_TM2,OR(TH!L1737="1111",TH!M1737="1111")),TH!D1737,""),"")</f>
        <v/>
      </c>
      <c r="B1737" s="36">
        <f t="shared" si="277"/>
        <v>4</v>
      </c>
      <c r="C1737" s="190">
        <f t="shared" si="278"/>
        <v>42488</v>
      </c>
      <c r="D1737" s="190" t="s">
        <v>1598</v>
      </c>
      <c r="E1737" s="190">
        <v>42488</v>
      </c>
      <c r="F1737" s="191" t="s">
        <v>681</v>
      </c>
      <c r="G1737" s="833" t="s">
        <v>666</v>
      </c>
      <c r="H1737" s="192" t="s">
        <v>636</v>
      </c>
      <c r="I1737" s="253">
        <v>26</v>
      </c>
      <c r="J1737" s="253">
        <v>10078</v>
      </c>
      <c r="K1737" s="584">
        <f>ROUND(I1737*J1737,0)</f>
        <v>262028</v>
      </c>
      <c r="L1737" s="193" t="s">
        <v>251</v>
      </c>
      <c r="M1737" s="193" t="s">
        <v>164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26"/>
      <c r="AB1737" s="576" t="str">
        <f>IF(VLOOKUP(F1737,NXT!$C$12:$C$786,1,0)=F1737,"","x")</f>
        <v/>
      </c>
    </row>
    <row r="1738" spans="1:28" ht="15.75" customHeight="1">
      <c r="A1738" s="827" t="str">
        <f>IF(B1738&lt;&gt;"",IF(AND(B1738&gt;=_TM1,B1738&lt;=_TM2,OR(TH!L1738="1111",TH!M1738="1111")),TH!D1738,""),"")</f>
        <v/>
      </c>
      <c r="B1738" s="36">
        <f t="shared" si="277"/>
        <v>4</v>
      </c>
      <c r="C1738" s="190">
        <f t="shared" si="278"/>
        <v>42488</v>
      </c>
      <c r="D1738" s="190" t="s">
        <v>1598</v>
      </c>
      <c r="E1738" s="190">
        <v>42488</v>
      </c>
      <c r="F1738" s="191" t="s">
        <v>682</v>
      </c>
      <c r="G1738" s="833" t="s">
        <v>666</v>
      </c>
      <c r="H1738" s="192" t="s">
        <v>636</v>
      </c>
      <c r="I1738" s="253">
        <v>1000</v>
      </c>
      <c r="J1738" s="253">
        <v>801</v>
      </c>
      <c r="K1738" s="584">
        <f>ROUND(I1738*J1738,0)</f>
        <v>801000</v>
      </c>
      <c r="L1738" s="193" t="s">
        <v>251</v>
      </c>
      <c r="M1738" s="193" t="s">
        <v>164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26"/>
      <c r="AB1738" s="576" t="str">
        <f>IF(VLOOKUP(F1738,NXT!$C$12:$C$786,1,0)=F1738,"","x")</f>
        <v/>
      </c>
    </row>
    <row r="1739" spans="1:28" ht="15.75" customHeight="1">
      <c r="A1739" s="827" t="str">
        <f>IF(B1739&lt;&gt;"",IF(AND(B1739&gt;=_TM1,B1739&lt;=_TM2,OR(TH!L1739="1111",TH!M1739="1111")),TH!D1739,""),"")</f>
        <v/>
      </c>
      <c r="B1739" s="36">
        <f t="shared" si="277"/>
        <v>4</v>
      </c>
      <c r="C1739" s="190">
        <f t="shared" si="278"/>
        <v>42488</v>
      </c>
      <c r="D1739" s="190" t="s">
        <v>1598</v>
      </c>
      <c r="E1739" s="190">
        <v>42488</v>
      </c>
      <c r="F1739" s="191" t="s">
        <v>683</v>
      </c>
      <c r="G1739" s="833" t="s">
        <v>666</v>
      </c>
      <c r="H1739" s="192" t="s">
        <v>636</v>
      </c>
      <c r="I1739" s="253">
        <v>210</v>
      </c>
      <c r="J1739" s="253">
        <v>57731</v>
      </c>
      <c r="K1739" s="584">
        <f>ROUND(I1739*J1739,0)</f>
        <v>12123510</v>
      </c>
      <c r="L1739" s="193" t="s">
        <v>251</v>
      </c>
      <c r="M1739" s="193" t="s">
        <v>164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26"/>
      <c r="AB1739" s="576" t="str">
        <f>IF(VLOOKUP(F1739,NXT!$C$12:$C$786,1,0)=F1739,"","x")</f>
        <v/>
      </c>
    </row>
    <row r="1740" spans="1:28" ht="15.75" customHeight="1">
      <c r="A1740" s="827" t="str">
        <f>IF(B1740&lt;&gt;"",IF(AND(B1740&gt;=_TM1,B1740&lt;=_TM2,OR(TH!L1740="1111",TH!M1740="1111")),TH!D1740,""),"")</f>
        <v/>
      </c>
      <c r="B1740" s="36">
        <f t="shared" si="277"/>
        <v>4</v>
      </c>
      <c r="C1740" s="190">
        <f t="shared" si="278"/>
        <v>42488</v>
      </c>
      <c r="D1740" s="190" t="s">
        <v>1598</v>
      </c>
      <c r="E1740" s="190">
        <v>42488</v>
      </c>
      <c r="F1740" s="191" t="s">
        <v>461</v>
      </c>
      <c r="G1740" s="833" t="s">
        <v>666</v>
      </c>
      <c r="H1740" s="192" t="s">
        <v>636</v>
      </c>
      <c r="I1740" s="253"/>
      <c r="J1740" s="253"/>
      <c r="K1740" s="584">
        <v>1462677</v>
      </c>
      <c r="L1740" s="193" t="s">
        <v>251</v>
      </c>
      <c r="M1740" s="193" t="s">
        <v>354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26"/>
      <c r="AB1740" s="576"/>
    </row>
    <row r="1741" spans="1:28" ht="15.75" customHeight="1">
      <c r="A1741" s="827" t="str">
        <f>IF(B1741&lt;&gt;"",IF(AND(B1741&gt;=_TM1,B1741&lt;=_TM2,OR(TH!L1741="1111",TH!M1741="1111")),TH!D1741,""),"")</f>
        <v/>
      </c>
      <c r="B1741" s="36">
        <f t="shared" si="277"/>
        <v>4</v>
      </c>
      <c r="C1741" s="190">
        <f t="shared" si="278"/>
        <v>42488</v>
      </c>
      <c r="D1741" s="190"/>
      <c r="E1741" s="190">
        <v>42488</v>
      </c>
      <c r="F1741" s="191" t="s">
        <v>621</v>
      </c>
      <c r="G1741" s="833" t="s">
        <v>677</v>
      </c>
      <c r="H1741" s="192" t="s">
        <v>679</v>
      </c>
      <c r="I1741" s="253"/>
      <c r="J1741" s="253"/>
      <c r="K1741" s="584">
        <v>7800000</v>
      </c>
      <c r="L1741" s="193" t="s">
        <v>47</v>
      </c>
      <c r="M1741" s="193" t="s">
        <v>623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26"/>
      <c r="AB1741" s="576"/>
    </row>
    <row r="1742" spans="1:28" ht="15.75" customHeight="1">
      <c r="A1742" s="827" t="str">
        <f>IF(B1742&lt;&gt;"",IF(AND(B1742&gt;=_TM1,B1742&lt;=_TM2,OR(TH!L1742="1111",TH!M1742="1111")),TH!D1742,""),"")</f>
        <v/>
      </c>
      <c r="B1742" s="36">
        <f t="shared" si="277"/>
        <v>4</v>
      </c>
      <c r="C1742" s="190">
        <f t="shared" si="278"/>
        <v>42488</v>
      </c>
      <c r="D1742" s="190"/>
      <c r="E1742" s="190">
        <v>42488</v>
      </c>
      <c r="F1742" s="766" t="s">
        <v>622</v>
      </c>
      <c r="G1742" s="833" t="s">
        <v>677</v>
      </c>
      <c r="H1742" s="192" t="s">
        <v>679</v>
      </c>
      <c r="I1742" s="253"/>
      <c r="J1742" s="253"/>
      <c r="K1742" s="584">
        <v>780000</v>
      </c>
      <c r="L1742" s="193" t="s">
        <v>47</v>
      </c>
      <c r="M1742" s="193" t="s">
        <v>354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26"/>
      <c r="AB1742" s="576"/>
    </row>
    <row r="1743" spans="1:28" ht="15.75" customHeight="1">
      <c r="A1743" s="827" t="str">
        <f>IF(B1743&lt;&gt;"",IF(AND(B1743&gt;=_TM1,B1743&lt;=_TM2,OR(TH!L1743="1111",TH!M1743="1111")),TH!D1743,""),"")</f>
        <v/>
      </c>
      <c r="B1743" s="36">
        <f t="shared" si="277"/>
        <v>4</v>
      </c>
      <c r="C1743" s="190">
        <f t="shared" si="278"/>
        <v>42489</v>
      </c>
      <c r="D1743" s="190"/>
      <c r="E1743" s="190">
        <v>42489</v>
      </c>
      <c r="F1743" s="191" t="s">
        <v>621</v>
      </c>
      <c r="G1743" s="833" t="s">
        <v>667</v>
      </c>
      <c r="H1743" s="192" t="s">
        <v>668</v>
      </c>
      <c r="I1743" s="253"/>
      <c r="J1743" s="253"/>
      <c r="K1743" s="584">
        <v>1500000</v>
      </c>
      <c r="L1743" s="193" t="s">
        <v>47</v>
      </c>
      <c r="M1743" s="193" t="s">
        <v>623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26"/>
      <c r="AB1743" s="576"/>
    </row>
    <row r="1744" spans="1:28" ht="15.75" customHeight="1">
      <c r="A1744" s="827" t="str">
        <f>IF(B1744&lt;&gt;"",IF(AND(B1744&gt;=_TM1,B1744&lt;=_TM2,OR(TH!L1744="1111",TH!M1744="1111")),TH!D1744,""),"")</f>
        <v/>
      </c>
      <c r="B1744" s="36">
        <f t="shared" si="277"/>
        <v>4</v>
      </c>
      <c r="C1744" s="190">
        <f t="shared" si="278"/>
        <v>42489</v>
      </c>
      <c r="D1744" s="190"/>
      <c r="E1744" s="190">
        <v>42489</v>
      </c>
      <c r="F1744" s="191" t="s">
        <v>622</v>
      </c>
      <c r="G1744" s="833" t="s">
        <v>667</v>
      </c>
      <c r="H1744" s="192" t="s">
        <v>668</v>
      </c>
      <c r="I1744" s="253"/>
      <c r="J1744" s="253"/>
      <c r="K1744" s="584">
        <v>150000</v>
      </c>
      <c r="L1744" s="193" t="s">
        <v>47</v>
      </c>
      <c r="M1744" s="193" t="s">
        <v>354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26"/>
      <c r="AB1744" s="576"/>
    </row>
    <row r="1745" spans="1:28" ht="15.75" customHeight="1">
      <c r="A1745" s="827" t="str">
        <f>IF(B1745&lt;&gt;"",IF(AND(B1745&gt;=_TM1,B1745&lt;=_TM2,OR(TH!L1745="1111",TH!M1745="1111")),TH!D1745,""),"")</f>
        <v/>
      </c>
      <c r="B1745" s="36">
        <f t="shared" ref="B1745:B1808" si="279">IF(C1745&lt;&gt;"",MONTH(C1745),"")</f>
        <v>4</v>
      </c>
      <c r="C1745" s="190">
        <f t="shared" ref="C1745:C1808" si="280">E1745</f>
        <v>42489</v>
      </c>
      <c r="D1745" s="190" t="s">
        <v>1599</v>
      </c>
      <c r="E1745" s="190">
        <v>42489</v>
      </c>
      <c r="F1745" s="191" t="s">
        <v>536</v>
      </c>
      <c r="G1745" s="833" t="s">
        <v>669</v>
      </c>
      <c r="H1745" s="192" t="s">
        <v>678</v>
      </c>
      <c r="I1745" s="253">
        <v>50</v>
      </c>
      <c r="J1745" s="253">
        <v>60078</v>
      </c>
      <c r="K1745" s="584">
        <f t="shared" ref="K1745:K1776" si="281">ROUND(I1745*J1745,0)</f>
        <v>3003900</v>
      </c>
      <c r="L1745" s="193" t="s">
        <v>251</v>
      </c>
      <c r="M1745" s="193" t="s">
        <v>164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26"/>
      <c r="AB1745" s="576" t="str">
        <f>IF(VLOOKUP(F1745,NXT!$C$12:$C$786,1,0)=F1745,"","x")</f>
        <v/>
      </c>
    </row>
    <row r="1746" spans="1:28" ht="15.75" customHeight="1">
      <c r="A1746" s="827" t="str">
        <f>IF(B1746&lt;&gt;"",IF(AND(B1746&gt;=_TM1,B1746&lt;=_TM2,OR(TH!L1746="1111",TH!M1746="1111")),TH!D1746,""),"")</f>
        <v/>
      </c>
      <c r="B1746" s="36">
        <f t="shared" si="279"/>
        <v>4</v>
      </c>
      <c r="C1746" s="190">
        <f t="shared" si="280"/>
        <v>42489</v>
      </c>
      <c r="D1746" s="190" t="s">
        <v>1599</v>
      </c>
      <c r="E1746" s="190">
        <v>42489</v>
      </c>
      <c r="F1746" s="191" t="s">
        <v>670</v>
      </c>
      <c r="G1746" s="833" t="s">
        <v>669</v>
      </c>
      <c r="H1746" s="192" t="s">
        <v>678</v>
      </c>
      <c r="I1746" s="253">
        <v>31</v>
      </c>
      <c r="J1746" s="253">
        <v>137667</v>
      </c>
      <c r="K1746" s="584">
        <f t="shared" si="281"/>
        <v>4267677</v>
      </c>
      <c r="L1746" s="193" t="s">
        <v>251</v>
      </c>
      <c r="M1746" s="193" t="s">
        <v>164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26"/>
      <c r="AB1746" s="576" t="str">
        <f>IF(VLOOKUP(F1746,NXT!$C$12:$C$786,1,0)=F1746,"","x")</f>
        <v/>
      </c>
    </row>
    <row r="1747" spans="1:28" ht="15.75" customHeight="1">
      <c r="A1747" s="827" t="str">
        <f>IF(B1747&lt;&gt;"",IF(AND(B1747&gt;=_TM1,B1747&lt;=_TM2,OR(TH!L1747="1111",TH!M1747="1111")),TH!D1747,""),"")</f>
        <v/>
      </c>
      <c r="B1747" s="36">
        <f t="shared" si="279"/>
        <v>4</v>
      </c>
      <c r="C1747" s="190">
        <f t="shared" si="280"/>
        <v>42489</v>
      </c>
      <c r="D1747" s="190" t="s">
        <v>1599</v>
      </c>
      <c r="E1747" s="190">
        <v>42489</v>
      </c>
      <c r="F1747" s="766" t="s">
        <v>464</v>
      </c>
      <c r="G1747" s="833" t="s">
        <v>669</v>
      </c>
      <c r="H1747" s="192" t="s">
        <v>678</v>
      </c>
      <c r="I1747" s="253">
        <v>24</v>
      </c>
      <c r="J1747" s="253">
        <v>137835</v>
      </c>
      <c r="K1747" s="584">
        <f t="shared" si="281"/>
        <v>3308040</v>
      </c>
      <c r="L1747" s="193" t="s">
        <v>251</v>
      </c>
      <c r="M1747" s="193" t="s">
        <v>164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26"/>
      <c r="AB1747" s="576" t="str">
        <f>IF(VLOOKUP(F1747,NXT!$C$12:$C$786,1,0)=F1747,"","x")</f>
        <v/>
      </c>
    </row>
    <row r="1748" spans="1:28" ht="15.75" customHeight="1">
      <c r="A1748" s="827" t="str">
        <f>IF(B1748&lt;&gt;"",IF(AND(B1748&gt;=_TM1,B1748&lt;=_TM2,OR(TH!L1748="1111",TH!M1748="1111")),TH!D1748,""),"")</f>
        <v/>
      </c>
      <c r="B1748" s="36">
        <f t="shared" si="279"/>
        <v>4</v>
      </c>
      <c r="C1748" s="190">
        <f t="shared" si="280"/>
        <v>42489</v>
      </c>
      <c r="D1748" s="190" t="s">
        <v>1599</v>
      </c>
      <c r="E1748" s="190">
        <v>42489</v>
      </c>
      <c r="F1748" s="191" t="s">
        <v>482</v>
      </c>
      <c r="G1748" s="833" t="s">
        <v>669</v>
      </c>
      <c r="H1748" s="192" t="s">
        <v>678</v>
      </c>
      <c r="I1748" s="253">
        <v>9</v>
      </c>
      <c r="J1748" s="253">
        <v>57845</v>
      </c>
      <c r="K1748" s="584">
        <f t="shared" si="281"/>
        <v>520605</v>
      </c>
      <c r="L1748" s="193" t="s">
        <v>251</v>
      </c>
      <c r="M1748" s="193" t="s">
        <v>164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26"/>
      <c r="AB1748" s="576" t="str">
        <f>IF(VLOOKUP(F1748,NXT!$C$12:$C$786,1,0)=F1748,"","x")</f>
        <v/>
      </c>
    </row>
    <row r="1749" spans="1:28" ht="15.75" customHeight="1">
      <c r="A1749" s="827" t="str">
        <f>IF(B1749&lt;&gt;"",IF(AND(B1749&gt;=_TM1,B1749&lt;=_TM2,OR(TH!L1749="1111",TH!M1749="1111")),TH!D1749,""),"")</f>
        <v/>
      </c>
      <c r="B1749" s="36">
        <f t="shared" si="279"/>
        <v>4</v>
      </c>
      <c r="C1749" s="190">
        <f t="shared" si="280"/>
        <v>42489</v>
      </c>
      <c r="D1749" s="190" t="s">
        <v>1599</v>
      </c>
      <c r="E1749" s="190">
        <v>42489</v>
      </c>
      <c r="F1749" s="191" t="s">
        <v>540</v>
      </c>
      <c r="G1749" s="833" t="s">
        <v>669</v>
      </c>
      <c r="H1749" s="192" t="s">
        <v>678</v>
      </c>
      <c r="I1749" s="253">
        <v>24</v>
      </c>
      <c r="J1749" s="253">
        <v>69283</v>
      </c>
      <c r="K1749" s="584">
        <f t="shared" si="281"/>
        <v>1662792</v>
      </c>
      <c r="L1749" s="193" t="s">
        <v>251</v>
      </c>
      <c r="M1749" s="193" t="s">
        <v>164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26"/>
      <c r="AB1749" s="576" t="str">
        <f>IF(VLOOKUP(F1749,NXT!$C$12:$C$786,1,0)=F1749,"","x")</f>
        <v/>
      </c>
    </row>
    <row r="1750" spans="1:28" ht="15.75" customHeight="1">
      <c r="A1750" s="827" t="str">
        <f>IF(B1750&lt;&gt;"",IF(AND(B1750&gt;=_TM1,B1750&lt;=_TM2,OR(TH!L1750="1111",TH!M1750="1111")),TH!D1750,""),"")</f>
        <v/>
      </c>
      <c r="B1750" s="36">
        <f t="shared" si="279"/>
        <v>4</v>
      </c>
      <c r="C1750" s="190">
        <f t="shared" si="280"/>
        <v>42489</v>
      </c>
      <c r="D1750" s="190" t="s">
        <v>1599</v>
      </c>
      <c r="E1750" s="190">
        <v>42489</v>
      </c>
      <c r="F1750" s="191" t="s">
        <v>471</v>
      </c>
      <c r="G1750" s="833" t="s">
        <v>669</v>
      </c>
      <c r="H1750" s="192" t="s">
        <v>678</v>
      </c>
      <c r="I1750" s="253">
        <v>10</v>
      </c>
      <c r="J1750" s="253">
        <v>56420</v>
      </c>
      <c r="K1750" s="584">
        <f t="shared" si="281"/>
        <v>564200</v>
      </c>
      <c r="L1750" s="193" t="s">
        <v>251</v>
      </c>
      <c r="M1750" s="193" t="s">
        <v>164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26"/>
      <c r="AB1750" s="576" t="str">
        <f>IF(VLOOKUP(F1750,NXT!$C$12:$C$786,1,0)=F1750,"","x")</f>
        <v/>
      </c>
    </row>
    <row r="1751" spans="1:28" ht="15.75" customHeight="1">
      <c r="A1751" s="827" t="str">
        <f>IF(B1751&lt;&gt;"",IF(AND(B1751&gt;=_TM1,B1751&lt;=_TM2,OR(TH!L1751="1111",TH!M1751="1111")),TH!D1751,""),"")</f>
        <v/>
      </c>
      <c r="B1751" s="36">
        <f t="shared" si="279"/>
        <v>4</v>
      </c>
      <c r="C1751" s="190">
        <f t="shared" si="280"/>
        <v>42489</v>
      </c>
      <c r="D1751" s="190" t="s">
        <v>1599</v>
      </c>
      <c r="E1751" s="190">
        <v>42489</v>
      </c>
      <c r="F1751" s="191" t="s">
        <v>534</v>
      </c>
      <c r="G1751" s="833" t="s">
        <v>669</v>
      </c>
      <c r="H1751" s="192" t="s">
        <v>678</v>
      </c>
      <c r="I1751" s="253">
        <v>12</v>
      </c>
      <c r="J1751" s="253">
        <v>93345</v>
      </c>
      <c r="K1751" s="584">
        <f t="shared" si="281"/>
        <v>1120140</v>
      </c>
      <c r="L1751" s="193" t="s">
        <v>251</v>
      </c>
      <c r="M1751" s="193" t="s">
        <v>164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26"/>
      <c r="AB1751" s="576" t="str">
        <f>IF(VLOOKUP(F1751,NXT!$C$12:$C$786,1,0)=F1751,"","x")</f>
        <v/>
      </c>
    </row>
    <row r="1752" spans="1:28" ht="15.75" customHeight="1">
      <c r="A1752" s="827" t="str">
        <f>IF(B1752&lt;&gt;"",IF(AND(B1752&gt;=_TM1,B1752&lt;=_TM2,OR(TH!L1752="1111",TH!M1752="1111")),TH!D1752,""),"")</f>
        <v/>
      </c>
      <c r="B1752" s="36">
        <f t="shared" si="279"/>
        <v>4</v>
      </c>
      <c r="C1752" s="190">
        <f t="shared" si="280"/>
        <v>42489</v>
      </c>
      <c r="D1752" s="190" t="s">
        <v>1599</v>
      </c>
      <c r="E1752" s="190">
        <v>42489</v>
      </c>
      <c r="F1752" s="191" t="s">
        <v>469</v>
      </c>
      <c r="G1752" s="833" t="s">
        <v>669</v>
      </c>
      <c r="H1752" s="192" t="s">
        <v>678</v>
      </c>
      <c r="I1752" s="253">
        <v>9</v>
      </c>
      <c r="J1752" s="253">
        <v>62868</v>
      </c>
      <c r="K1752" s="584">
        <f t="shared" si="281"/>
        <v>565812</v>
      </c>
      <c r="L1752" s="193" t="s">
        <v>251</v>
      </c>
      <c r="M1752" s="193" t="s">
        <v>164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26"/>
      <c r="AB1752" s="576" t="str">
        <f>IF(VLOOKUP(F1752,NXT!$C$12:$C$786,1,0)=F1752,"","x")</f>
        <v/>
      </c>
    </row>
    <row r="1753" spans="1:28" ht="15.75" customHeight="1">
      <c r="A1753" s="827" t="str">
        <f>IF(B1753&lt;&gt;"",IF(AND(B1753&gt;=_TM1,B1753&lt;=_TM2,OR(TH!L1753="1111",TH!M1753="1111")),TH!D1753,""),"")</f>
        <v/>
      </c>
      <c r="B1753" s="36">
        <f t="shared" si="279"/>
        <v>4</v>
      </c>
      <c r="C1753" s="190">
        <f t="shared" si="280"/>
        <v>42489</v>
      </c>
      <c r="D1753" s="190" t="s">
        <v>1599</v>
      </c>
      <c r="E1753" s="190">
        <v>42489</v>
      </c>
      <c r="F1753" s="191" t="s">
        <v>468</v>
      </c>
      <c r="G1753" s="833" t="s">
        <v>669</v>
      </c>
      <c r="H1753" s="192" t="s">
        <v>678</v>
      </c>
      <c r="I1753" s="253">
        <v>22</v>
      </c>
      <c r="J1753" s="253">
        <v>71581</v>
      </c>
      <c r="K1753" s="584">
        <f t="shared" si="281"/>
        <v>1574782</v>
      </c>
      <c r="L1753" s="193" t="s">
        <v>251</v>
      </c>
      <c r="M1753" s="193" t="s">
        <v>164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26"/>
      <c r="AB1753" s="576" t="str">
        <f>IF(VLOOKUP(F1753,NXT!$C$12:$C$786,1,0)=F1753,"","x")</f>
        <v/>
      </c>
    </row>
    <row r="1754" spans="1:28" ht="15.75" customHeight="1">
      <c r="A1754" s="827" t="str">
        <f>IF(B1754&lt;&gt;"",IF(AND(B1754&gt;=_TM1,B1754&lt;=_TM2,OR(TH!L1754="1111",TH!M1754="1111")),TH!D1754,""),"")</f>
        <v/>
      </c>
      <c r="B1754" s="36">
        <f t="shared" si="279"/>
        <v>4</v>
      </c>
      <c r="C1754" s="190">
        <f t="shared" si="280"/>
        <v>42489</v>
      </c>
      <c r="D1754" s="190" t="s">
        <v>1599</v>
      </c>
      <c r="E1754" s="190">
        <v>42489</v>
      </c>
      <c r="F1754" s="191" t="s">
        <v>483</v>
      </c>
      <c r="G1754" s="833" t="s">
        <v>669</v>
      </c>
      <c r="H1754" s="192" t="s">
        <v>678</v>
      </c>
      <c r="I1754" s="253">
        <v>18</v>
      </c>
      <c r="J1754" s="253">
        <v>52807</v>
      </c>
      <c r="K1754" s="584">
        <f t="shared" si="281"/>
        <v>950526</v>
      </c>
      <c r="L1754" s="193" t="s">
        <v>251</v>
      </c>
      <c r="M1754" s="193" t="s">
        <v>164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26"/>
      <c r="AB1754" s="576" t="str">
        <f>IF(VLOOKUP(F1754,NXT!$C$12:$C$786,1,0)=F1754,"","x")</f>
        <v/>
      </c>
    </row>
    <row r="1755" spans="1:28" ht="15.75" customHeight="1">
      <c r="A1755" s="827" t="str">
        <f>IF(B1755&lt;&gt;"",IF(AND(B1755&gt;=_TM1,B1755&lt;=_TM2,OR(TH!L1755="1111",TH!M1755="1111")),TH!D1755,""),"")</f>
        <v/>
      </c>
      <c r="B1755" s="36">
        <f t="shared" si="279"/>
        <v>4</v>
      </c>
      <c r="C1755" s="190">
        <f t="shared" si="280"/>
        <v>42489</v>
      </c>
      <c r="D1755" s="190" t="s">
        <v>1599</v>
      </c>
      <c r="E1755" s="190">
        <v>42489</v>
      </c>
      <c r="F1755" s="191" t="s">
        <v>466</v>
      </c>
      <c r="G1755" s="833" t="s">
        <v>669</v>
      </c>
      <c r="H1755" s="192" t="s">
        <v>678</v>
      </c>
      <c r="I1755" s="253">
        <v>27</v>
      </c>
      <c r="J1755" s="253">
        <v>79980</v>
      </c>
      <c r="K1755" s="584">
        <f t="shared" si="281"/>
        <v>2159460</v>
      </c>
      <c r="L1755" s="193" t="s">
        <v>251</v>
      </c>
      <c r="M1755" s="193" t="s">
        <v>164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26"/>
      <c r="AB1755" s="576" t="str">
        <f>IF(VLOOKUP(F1755,NXT!$C$12:$C$786,1,0)=F1755,"","x")</f>
        <v/>
      </c>
    </row>
    <row r="1756" spans="1:28" ht="15.75" customHeight="1">
      <c r="A1756" s="827" t="str">
        <f>IF(B1756&lt;&gt;"",IF(AND(B1756&gt;=_TM1,B1756&lt;=_TM2,OR(TH!L1756="1111",TH!M1756="1111")),TH!D1756,""),"")</f>
        <v/>
      </c>
      <c r="B1756" s="36">
        <f t="shared" si="279"/>
        <v>4</v>
      </c>
      <c r="C1756" s="190">
        <f t="shared" si="280"/>
        <v>42489</v>
      </c>
      <c r="D1756" s="190" t="s">
        <v>1599</v>
      </c>
      <c r="E1756" s="190">
        <v>42489</v>
      </c>
      <c r="F1756" s="191" t="s">
        <v>502</v>
      </c>
      <c r="G1756" s="833" t="s">
        <v>669</v>
      </c>
      <c r="H1756" s="192" t="s">
        <v>678</v>
      </c>
      <c r="I1756" s="253">
        <v>24</v>
      </c>
      <c r="J1756" s="253">
        <v>98725</v>
      </c>
      <c r="K1756" s="584">
        <f t="shared" si="281"/>
        <v>2369400</v>
      </c>
      <c r="L1756" s="193" t="s">
        <v>251</v>
      </c>
      <c r="M1756" s="193" t="s">
        <v>164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26"/>
      <c r="AB1756" s="576" t="str">
        <f>IF(VLOOKUP(F1756,NXT!$C$12:$C$786,1,0)=F1756,"","x")</f>
        <v/>
      </c>
    </row>
    <row r="1757" spans="1:28" ht="15.75" customHeight="1">
      <c r="A1757" s="827" t="str">
        <f>IF(B1757&lt;&gt;"",IF(AND(B1757&gt;=_TM1,B1757&lt;=_TM2,OR(TH!L1757="1111",TH!M1757="1111")),TH!D1757,""),"")</f>
        <v/>
      </c>
      <c r="B1757" s="36">
        <f t="shared" si="279"/>
        <v>4</v>
      </c>
      <c r="C1757" s="190">
        <f t="shared" si="280"/>
        <v>42489</v>
      </c>
      <c r="D1757" s="190" t="s">
        <v>1599</v>
      </c>
      <c r="E1757" s="190">
        <v>42489</v>
      </c>
      <c r="F1757" s="191" t="s">
        <v>470</v>
      </c>
      <c r="G1757" s="833" t="s">
        <v>669</v>
      </c>
      <c r="H1757" s="192" t="s">
        <v>678</v>
      </c>
      <c r="I1757" s="253">
        <v>10</v>
      </c>
      <c r="J1757" s="253">
        <v>99728</v>
      </c>
      <c r="K1757" s="584">
        <f t="shared" si="281"/>
        <v>997280</v>
      </c>
      <c r="L1757" s="193" t="s">
        <v>251</v>
      </c>
      <c r="M1757" s="193" t="s">
        <v>164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26"/>
      <c r="AB1757" s="576" t="str">
        <f>IF(VLOOKUP(F1757,NXT!$C$12:$C$786,1,0)=F1757,"","x")</f>
        <v/>
      </c>
    </row>
    <row r="1758" spans="1:28" ht="15.75" customHeight="1">
      <c r="A1758" s="827" t="str">
        <f>IF(B1758&lt;&gt;"",IF(AND(B1758&gt;=_TM1,B1758&lt;=_TM2,OR(TH!L1758="1111",TH!M1758="1111")),TH!D1758,""),"")</f>
        <v/>
      </c>
      <c r="B1758" s="36">
        <f t="shared" si="279"/>
        <v>4</v>
      </c>
      <c r="C1758" s="190">
        <f t="shared" si="280"/>
        <v>42489</v>
      </c>
      <c r="D1758" s="190" t="s">
        <v>1599</v>
      </c>
      <c r="E1758" s="190">
        <v>42489</v>
      </c>
      <c r="F1758" s="191" t="s">
        <v>475</v>
      </c>
      <c r="G1758" s="833" t="s">
        <v>669</v>
      </c>
      <c r="H1758" s="192" t="s">
        <v>678</v>
      </c>
      <c r="I1758" s="253">
        <v>10</v>
      </c>
      <c r="J1758" s="253">
        <v>88600</v>
      </c>
      <c r="K1758" s="584">
        <f t="shared" si="281"/>
        <v>886000</v>
      </c>
      <c r="L1758" s="193" t="s">
        <v>251</v>
      </c>
      <c r="M1758" s="193" t="s">
        <v>164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26"/>
      <c r="AB1758" s="576" t="str">
        <f>IF(VLOOKUP(F1758,NXT!$C$12:$C$786,1,0)=F1758,"","x")</f>
        <v/>
      </c>
    </row>
    <row r="1759" spans="1:28" ht="15.75" customHeight="1">
      <c r="A1759" s="827" t="str">
        <f>IF(B1759&lt;&gt;"",IF(AND(B1759&gt;=_TM1,B1759&lt;=_TM2,OR(TH!L1759="1111",TH!M1759="1111")),TH!D1759,""),"")</f>
        <v/>
      </c>
      <c r="B1759" s="36">
        <f t="shared" si="279"/>
        <v>4</v>
      </c>
      <c r="C1759" s="190">
        <f t="shared" si="280"/>
        <v>42489</v>
      </c>
      <c r="D1759" s="190" t="s">
        <v>1599</v>
      </c>
      <c r="E1759" s="190">
        <v>42489</v>
      </c>
      <c r="F1759" s="191" t="s">
        <v>564</v>
      </c>
      <c r="G1759" s="833" t="s">
        <v>669</v>
      </c>
      <c r="H1759" s="192" t="s">
        <v>678</v>
      </c>
      <c r="I1759" s="253">
        <v>112</v>
      </c>
      <c r="J1759" s="253">
        <v>8392</v>
      </c>
      <c r="K1759" s="584">
        <f t="shared" si="281"/>
        <v>939904</v>
      </c>
      <c r="L1759" s="193" t="s">
        <v>251</v>
      </c>
      <c r="M1759" s="193" t="s">
        <v>164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26"/>
      <c r="AB1759" s="576" t="str">
        <f>IF(VLOOKUP(F1759,NXT!$C$12:$C$786,1,0)=F1759,"","x")</f>
        <v/>
      </c>
    </row>
    <row r="1760" spans="1:28" ht="15.75" customHeight="1">
      <c r="A1760" s="827" t="str">
        <f>IF(B1760&lt;&gt;"",IF(AND(B1760&gt;=_TM1,B1760&lt;=_TM2,OR(TH!L1760="1111",TH!M1760="1111")),TH!D1760,""),"")</f>
        <v/>
      </c>
      <c r="B1760" s="36">
        <f t="shared" si="279"/>
        <v>4</v>
      </c>
      <c r="C1760" s="190">
        <f t="shared" si="280"/>
        <v>42489</v>
      </c>
      <c r="D1760" s="190" t="s">
        <v>1599</v>
      </c>
      <c r="E1760" s="190">
        <v>42489</v>
      </c>
      <c r="F1760" s="191" t="s">
        <v>495</v>
      </c>
      <c r="G1760" s="833" t="s">
        <v>669</v>
      </c>
      <c r="H1760" s="192" t="s">
        <v>678</v>
      </c>
      <c r="I1760" s="253">
        <v>126</v>
      </c>
      <c r="J1760" s="253">
        <v>8212</v>
      </c>
      <c r="K1760" s="584">
        <f t="shared" si="281"/>
        <v>1034712</v>
      </c>
      <c r="L1760" s="193" t="s">
        <v>251</v>
      </c>
      <c r="M1760" s="193" t="s">
        <v>164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26"/>
      <c r="AB1760" s="576" t="str">
        <f>IF(VLOOKUP(F1760,NXT!$C$12:$C$786,1,0)=F1760,"","x")</f>
        <v/>
      </c>
    </row>
    <row r="1761" spans="1:28" ht="15.75" customHeight="1">
      <c r="A1761" s="827" t="str">
        <f>IF(B1761&lt;&gt;"",IF(AND(B1761&gt;=_TM1,B1761&lt;=_TM2,OR(TH!L1761="1111",TH!M1761="1111")),TH!D1761,""),"")</f>
        <v/>
      </c>
      <c r="B1761" s="36">
        <f t="shared" si="279"/>
        <v>4</v>
      </c>
      <c r="C1761" s="190">
        <f t="shared" si="280"/>
        <v>42489</v>
      </c>
      <c r="D1761" s="190" t="s">
        <v>1599</v>
      </c>
      <c r="E1761" s="190">
        <v>42489</v>
      </c>
      <c r="F1761" s="191" t="s">
        <v>486</v>
      </c>
      <c r="G1761" s="833" t="s">
        <v>669</v>
      </c>
      <c r="H1761" s="192" t="s">
        <v>678</v>
      </c>
      <c r="I1761" s="253">
        <v>45</v>
      </c>
      <c r="J1761" s="253">
        <v>12052</v>
      </c>
      <c r="K1761" s="584">
        <f t="shared" si="281"/>
        <v>542340</v>
      </c>
      <c r="L1761" s="193" t="s">
        <v>251</v>
      </c>
      <c r="M1761" s="193" t="s">
        <v>164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26"/>
      <c r="AB1761" s="576" t="str">
        <f>IF(VLOOKUP(F1761,NXT!$C$12:$C$786,1,0)=F1761,"","x")</f>
        <v/>
      </c>
    </row>
    <row r="1762" spans="1:28" ht="15.75" customHeight="1">
      <c r="A1762" s="827" t="str">
        <f>IF(B1762&lt;&gt;"",IF(AND(B1762&gt;=_TM1,B1762&lt;=_TM2,OR(TH!L1762="1111",TH!M1762="1111")),TH!D1762,""),"")</f>
        <v/>
      </c>
      <c r="B1762" s="36">
        <f t="shared" si="279"/>
        <v>4</v>
      </c>
      <c r="C1762" s="190">
        <f t="shared" si="280"/>
        <v>42489</v>
      </c>
      <c r="D1762" s="190" t="s">
        <v>1599</v>
      </c>
      <c r="E1762" s="190">
        <v>42489</v>
      </c>
      <c r="F1762" s="191" t="s">
        <v>563</v>
      </c>
      <c r="G1762" s="833" t="s">
        <v>669</v>
      </c>
      <c r="H1762" s="192" t="s">
        <v>678</v>
      </c>
      <c r="I1762" s="253">
        <v>24</v>
      </c>
      <c r="J1762" s="253">
        <v>8938</v>
      </c>
      <c r="K1762" s="584">
        <f t="shared" si="281"/>
        <v>214512</v>
      </c>
      <c r="L1762" s="193" t="s">
        <v>251</v>
      </c>
      <c r="M1762" s="193" t="s">
        <v>164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26"/>
      <c r="AB1762" s="576" t="str">
        <f>IF(VLOOKUP(F1762,NXT!$C$12:$C$786,1,0)=F1762,"","x")</f>
        <v/>
      </c>
    </row>
    <row r="1763" spans="1:28" ht="15.75" customHeight="1">
      <c r="A1763" s="827" t="str">
        <f>IF(B1763&lt;&gt;"",IF(AND(B1763&gt;=_TM1,B1763&lt;=_TM2,OR(TH!L1763="1111",TH!M1763="1111")),TH!D1763,""),"")</f>
        <v/>
      </c>
      <c r="B1763" s="36">
        <f t="shared" si="279"/>
        <v>4</v>
      </c>
      <c r="C1763" s="190">
        <f t="shared" si="280"/>
        <v>42489</v>
      </c>
      <c r="D1763" s="190" t="s">
        <v>1599</v>
      </c>
      <c r="E1763" s="190">
        <v>42489</v>
      </c>
      <c r="F1763" s="191" t="s">
        <v>568</v>
      </c>
      <c r="G1763" s="833" t="s">
        <v>669</v>
      </c>
      <c r="H1763" s="192" t="s">
        <v>678</v>
      </c>
      <c r="I1763" s="253">
        <v>24</v>
      </c>
      <c r="J1763" s="253">
        <v>9378</v>
      </c>
      <c r="K1763" s="584">
        <f t="shared" si="281"/>
        <v>225072</v>
      </c>
      <c r="L1763" s="193" t="s">
        <v>251</v>
      </c>
      <c r="M1763" s="193" t="s">
        <v>164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26"/>
      <c r="AB1763" s="576" t="str">
        <f>IF(VLOOKUP(F1763,NXT!$C$12:$C$786,1,0)=F1763,"","x")</f>
        <v/>
      </c>
    </row>
    <row r="1764" spans="1:28" ht="15.75" customHeight="1">
      <c r="A1764" s="827" t="str">
        <f>IF(B1764&lt;&gt;"",IF(AND(B1764&gt;=_TM1,B1764&lt;=_TM2,OR(TH!L1764="1111",TH!M1764="1111")),TH!D1764,""),"")</f>
        <v/>
      </c>
      <c r="B1764" s="36">
        <f t="shared" si="279"/>
        <v>4</v>
      </c>
      <c r="C1764" s="190">
        <f t="shared" si="280"/>
        <v>42489</v>
      </c>
      <c r="D1764" s="190" t="s">
        <v>1599</v>
      </c>
      <c r="E1764" s="190">
        <v>42489</v>
      </c>
      <c r="F1764" s="191" t="s">
        <v>567</v>
      </c>
      <c r="G1764" s="833" t="s">
        <v>669</v>
      </c>
      <c r="H1764" s="192" t="s">
        <v>678</v>
      </c>
      <c r="I1764" s="253">
        <v>50</v>
      </c>
      <c r="J1764" s="253">
        <v>9642</v>
      </c>
      <c r="K1764" s="584">
        <f t="shared" si="281"/>
        <v>482100</v>
      </c>
      <c r="L1764" s="193" t="s">
        <v>251</v>
      </c>
      <c r="M1764" s="193" t="s">
        <v>164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26"/>
      <c r="AB1764" s="576" t="str">
        <f>IF(VLOOKUP(F1764,NXT!$C$12:$C$786,1,0)=F1764,"","x")</f>
        <v/>
      </c>
    </row>
    <row r="1765" spans="1:28" ht="15.75" customHeight="1">
      <c r="A1765" s="827" t="str">
        <f>IF(B1765&lt;&gt;"",IF(AND(B1765&gt;=_TM1,B1765&lt;=_TM2,OR(TH!L1765="1111",TH!M1765="1111")),TH!D1765,""),"")</f>
        <v/>
      </c>
      <c r="B1765" s="36">
        <f t="shared" si="279"/>
        <v>4</v>
      </c>
      <c r="C1765" s="190">
        <f t="shared" si="280"/>
        <v>42489</v>
      </c>
      <c r="D1765" s="190" t="s">
        <v>1599</v>
      </c>
      <c r="E1765" s="190">
        <v>42489</v>
      </c>
      <c r="F1765" s="191" t="s">
        <v>565</v>
      </c>
      <c r="G1765" s="833" t="s">
        <v>669</v>
      </c>
      <c r="H1765" s="192" t="s">
        <v>678</v>
      </c>
      <c r="I1765" s="253">
        <v>24</v>
      </c>
      <c r="J1765" s="253">
        <v>9827</v>
      </c>
      <c r="K1765" s="584">
        <f t="shared" si="281"/>
        <v>235848</v>
      </c>
      <c r="L1765" s="193" t="s">
        <v>251</v>
      </c>
      <c r="M1765" s="193" t="s">
        <v>164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26"/>
      <c r="AB1765" s="576" t="str">
        <f>IF(VLOOKUP(F1765,NXT!$C$12:$C$786,1,0)=F1765,"","x")</f>
        <v/>
      </c>
    </row>
    <row r="1766" spans="1:28" ht="15.75" customHeight="1">
      <c r="A1766" s="827" t="str">
        <f>IF(B1766&lt;&gt;"",IF(AND(B1766&gt;=_TM1,B1766&lt;=_TM2,OR(TH!L1766="1111",TH!M1766="1111")),TH!D1766,""),"")</f>
        <v/>
      </c>
      <c r="B1766" s="36">
        <f t="shared" si="279"/>
        <v>4</v>
      </c>
      <c r="C1766" s="190">
        <f t="shared" si="280"/>
        <v>42489</v>
      </c>
      <c r="D1766" s="190" t="s">
        <v>1599</v>
      </c>
      <c r="E1766" s="190">
        <v>42489</v>
      </c>
      <c r="F1766" s="191" t="s">
        <v>561</v>
      </c>
      <c r="G1766" s="833" t="s">
        <v>669</v>
      </c>
      <c r="H1766" s="192" t="s">
        <v>678</v>
      </c>
      <c r="I1766" s="253">
        <v>24</v>
      </c>
      <c r="J1766" s="253">
        <v>9176</v>
      </c>
      <c r="K1766" s="584">
        <f t="shared" si="281"/>
        <v>220224</v>
      </c>
      <c r="L1766" s="193" t="s">
        <v>251</v>
      </c>
      <c r="M1766" s="193" t="s">
        <v>164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26"/>
      <c r="AB1766" s="576" t="str">
        <f>IF(VLOOKUP(F1766,NXT!$C$12:$C$786,1,0)=F1766,"","x")</f>
        <v/>
      </c>
    </row>
    <row r="1767" spans="1:28" ht="15.75" customHeight="1">
      <c r="A1767" s="827" t="str">
        <f>IF(B1767&lt;&gt;"",IF(AND(B1767&gt;=_TM1,B1767&lt;=_TM2,OR(TH!L1767="1111",TH!M1767="1111")),TH!D1767,""),"")</f>
        <v/>
      </c>
      <c r="B1767" s="36">
        <f t="shared" si="279"/>
        <v>4</v>
      </c>
      <c r="C1767" s="190">
        <f t="shared" si="280"/>
        <v>42489</v>
      </c>
      <c r="D1767" s="190" t="s">
        <v>1599</v>
      </c>
      <c r="E1767" s="190">
        <v>42489</v>
      </c>
      <c r="F1767" s="191" t="s">
        <v>550</v>
      </c>
      <c r="G1767" s="833" t="s">
        <v>669</v>
      </c>
      <c r="H1767" s="192" t="s">
        <v>678</v>
      </c>
      <c r="I1767" s="253">
        <v>16</v>
      </c>
      <c r="J1767" s="253">
        <v>25200</v>
      </c>
      <c r="K1767" s="584">
        <f t="shared" si="281"/>
        <v>403200</v>
      </c>
      <c r="L1767" s="193" t="s">
        <v>251</v>
      </c>
      <c r="M1767" s="193" t="s">
        <v>164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26"/>
      <c r="AB1767" s="576" t="str">
        <f>IF(VLOOKUP(F1767,NXT!$C$12:$C$786,1,0)=F1767,"","x")</f>
        <v/>
      </c>
    </row>
    <row r="1768" spans="1:28" ht="15.75" customHeight="1">
      <c r="A1768" s="827" t="str">
        <f>IF(B1768&lt;&gt;"",IF(AND(B1768&gt;=_TM1,B1768&lt;=_TM2,OR(TH!L1768="1111",TH!M1768="1111")),TH!D1768,""),"")</f>
        <v/>
      </c>
      <c r="B1768" s="36">
        <f t="shared" si="279"/>
        <v>4</v>
      </c>
      <c r="C1768" s="190">
        <f t="shared" si="280"/>
        <v>42489</v>
      </c>
      <c r="D1768" s="190" t="s">
        <v>1599</v>
      </c>
      <c r="E1768" s="190">
        <v>42489</v>
      </c>
      <c r="F1768" s="191" t="s">
        <v>554</v>
      </c>
      <c r="G1768" s="833" t="s">
        <v>669</v>
      </c>
      <c r="H1768" s="192" t="s">
        <v>678</v>
      </c>
      <c r="I1768" s="253">
        <v>36</v>
      </c>
      <c r="J1768" s="253">
        <v>17336</v>
      </c>
      <c r="K1768" s="584">
        <f t="shared" si="281"/>
        <v>624096</v>
      </c>
      <c r="L1768" s="193" t="s">
        <v>251</v>
      </c>
      <c r="M1768" s="193" t="s">
        <v>164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26"/>
      <c r="AB1768" s="576" t="str">
        <f>IF(VLOOKUP(F1768,NXT!$C$12:$C$786,1,0)=F1768,"","x")</f>
        <v/>
      </c>
    </row>
    <row r="1769" spans="1:28" ht="15.75" customHeight="1">
      <c r="A1769" s="827" t="str">
        <f>IF(B1769&lt;&gt;"",IF(AND(B1769&gt;=_TM1,B1769&lt;=_TM2,OR(TH!L1769="1111",TH!M1769="1111")),TH!D1769,""),"")</f>
        <v/>
      </c>
      <c r="B1769" s="36">
        <f t="shared" si="279"/>
        <v>4</v>
      </c>
      <c r="C1769" s="190">
        <f t="shared" si="280"/>
        <v>42489</v>
      </c>
      <c r="D1769" s="190" t="s">
        <v>1599</v>
      </c>
      <c r="E1769" s="190">
        <v>42489</v>
      </c>
      <c r="F1769" s="191" t="s">
        <v>566</v>
      </c>
      <c r="G1769" s="833" t="s">
        <v>669</v>
      </c>
      <c r="H1769" s="192" t="s">
        <v>678</v>
      </c>
      <c r="I1769" s="253">
        <v>33</v>
      </c>
      <c r="J1769" s="253">
        <v>6274</v>
      </c>
      <c r="K1769" s="584">
        <f t="shared" si="281"/>
        <v>207042</v>
      </c>
      <c r="L1769" s="193" t="s">
        <v>251</v>
      </c>
      <c r="M1769" s="193" t="s">
        <v>164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26"/>
      <c r="AB1769" s="576" t="str">
        <f>IF(VLOOKUP(F1769,NXT!$C$12:$C$786,1,0)=F1769,"","x")</f>
        <v/>
      </c>
    </row>
    <row r="1770" spans="1:28" ht="15.75" customHeight="1">
      <c r="A1770" s="827" t="str">
        <f>IF(B1770&lt;&gt;"",IF(AND(B1770&gt;=_TM1,B1770&lt;=_TM2,OR(TH!L1770="1111",TH!M1770="1111")),TH!D1770,""),"")</f>
        <v/>
      </c>
      <c r="B1770" s="36">
        <f t="shared" si="279"/>
        <v>4</v>
      </c>
      <c r="C1770" s="190">
        <f t="shared" si="280"/>
        <v>42489</v>
      </c>
      <c r="D1770" s="190" t="s">
        <v>1599</v>
      </c>
      <c r="E1770" s="190">
        <v>42489</v>
      </c>
      <c r="F1770" s="191" t="s">
        <v>547</v>
      </c>
      <c r="G1770" s="833" t="s">
        <v>669</v>
      </c>
      <c r="H1770" s="192" t="s">
        <v>678</v>
      </c>
      <c r="I1770" s="253">
        <v>36</v>
      </c>
      <c r="J1770" s="253">
        <v>17457</v>
      </c>
      <c r="K1770" s="584">
        <f t="shared" si="281"/>
        <v>628452</v>
      </c>
      <c r="L1770" s="193" t="s">
        <v>251</v>
      </c>
      <c r="M1770" s="193" t="s">
        <v>164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26"/>
      <c r="AB1770" s="576" t="str">
        <f>IF(VLOOKUP(F1770,NXT!$C$12:$C$786,1,0)=F1770,"","x")</f>
        <v/>
      </c>
    </row>
    <row r="1771" spans="1:28" ht="15.75" customHeight="1">
      <c r="A1771" s="827" t="str">
        <f>IF(B1771&lt;&gt;"",IF(AND(B1771&gt;=_TM1,B1771&lt;=_TM2,OR(TH!L1771="1111",TH!M1771="1111")),TH!D1771,""),"")</f>
        <v/>
      </c>
      <c r="B1771" s="36">
        <f t="shared" si="279"/>
        <v>4</v>
      </c>
      <c r="C1771" s="190">
        <f t="shared" si="280"/>
        <v>42489</v>
      </c>
      <c r="D1771" s="190" t="s">
        <v>1599</v>
      </c>
      <c r="E1771" s="190">
        <v>42489</v>
      </c>
      <c r="F1771" s="191" t="s">
        <v>525</v>
      </c>
      <c r="G1771" s="833" t="s">
        <v>669</v>
      </c>
      <c r="H1771" s="192" t="s">
        <v>678</v>
      </c>
      <c r="I1771" s="253">
        <v>108</v>
      </c>
      <c r="J1771" s="253">
        <v>17658</v>
      </c>
      <c r="K1771" s="584">
        <f t="shared" si="281"/>
        <v>1907064</v>
      </c>
      <c r="L1771" s="193" t="s">
        <v>251</v>
      </c>
      <c r="M1771" s="193" t="s">
        <v>164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26"/>
      <c r="AB1771" s="576" t="str">
        <f>IF(VLOOKUP(F1771,NXT!$C$12:$C$786,1,0)=F1771,"","x")</f>
        <v/>
      </c>
    </row>
    <row r="1772" spans="1:28" ht="15.75" customHeight="1">
      <c r="A1772" s="827" t="str">
        <f>IF(B1772&lt;&gt;"",IF(AND(B1772&gt;=_TM1,B1772&lt;=_TM2,OR(TH!L1772="1111",TH!M1772="1111")),TH!D1772,""),"")</f>
        <v/>
      </c>
      <c r="B1772" s="36">
        <f t="shared" si="279"/>
        <v>4</v>
      </c>
      <c r="C1772" s="190">
        <f t="shared" si="280"/>
        <v>42489</v>
      </c>
      <c r="D1772" s="190" t="s">
        <v>1599</v>
      </c>
      <c r="E1772" s="190">
        <v>42489</v>
      </c>
      <c r="F1772" s="191" t="s">
        <v>548</v>
      </c>
      <c r="G1772" s="833" t="s">
        <v>669</v>
      </c>
      <c r="H1772" s="192" t="s">
        <v>678</v>
      </c>
      <c r="I1772" s="253">
        <v>54</v>
      </c>
      <c r="J1772" s="253">
        <v>18517</v>
      </c>
      <c r="K1772" s="584">
        <f t="shared" si="281"/>
        <v>999918</v>
      </c>
      <c r="L1772" s="193" t="s">
        <v>251</v>
      </c>
      <c r="M1772" s="193" t="s">
        <v>164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26"/>
      <c r="AB1772" s="576" t="str">
        <f>IF(VLOOKUP(F1772,NXT!$C$12:$C$786,1,0)=F1772,"","x")</f>
        <v/>
      </c>
    </row>
    <row r="1773" spans="1:28" ht="15.75" customHeight="1">
      <c r="A1773" s="827" t="str">
        <f>IF(B1773&lt;&gt;"",IF(AND(B1773&gt;=_TM1,B1773&lt;=_TM2,OR(TH!L1773="1111",TH!M1773="1111")),TH!D1773,""),"")</f>
        <v/>
      </c>
      <c r="B1773" s="36">
        <f t="shared" si="279"/>
        <v>4</v>
      </c>
      <c r="C1773" s="190">
        <f t="shared" si="280"/>
        <v>42489</v>
      </c>
      <c r="D1773" s="190" t="s">
        <v>1599</v>
      </c>
      <c r="E1773" s="190">
        <v>42489</v>
      </c>
      <c r="F1773" s="191" t="s">
        <v>472</v>
      </c>
      <c r="G1773" s="833" t="s">
        <v>669</v>
      </c>
      <c r="H1773" s="192" t="s">
        <v>678</v>
      </c>
      <c r="I1773" s="253">
        <v>52</v>
      </c>
      <c r="J1773" s="253">
        <v>18990</v>
      </c>
      <c r="K1773" s="584">
        <f t="shared" si="281"/>
        <v>987480</v>
      </c>
      <c r="L1773" s="193" t="s">
        <v>251</v>
      </c>
      <c r="M1773" s="193" t="s">
        <v>164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26"/>
      <c r="AB1773" s="576" t="str">
        <f>IF(VLOOKUP(F1773,NXT!$C$12:$C$786,1,0)=F1773,"","x")</f>
        <v/>
      </c>
    </row>
    <row r="1774" spans="1:28" ht="15.75" customHeight="1">
      <c r="A1774" s="827" t="str">
        <f>IF(B1774&lt;&gt;"",IF(AND(B1774&gt;=_TM1,B1774&lt;=_TM2,OR(TH!L1774="1111",TH!M1774="1111")),TH!D1774,""),"")</f>
        <v/>
      </c>
      <c r="B1774" s="36">
        <f t="shared" si="279"/>
        <v>4</v>
      </c>
      <c r="C1774" s="190">
        <f t="shared" si="280"/>
        <v>42489</v>
      </c>
      <c r="D1774" s="190" t="s">
        <v>1599</v>
      </c>
      <c r="E1774" s="190">
        <v>42489</v>
      </c>
      <c r="F1774" s="191" t="s">
        <v>570</v>
      </c>
      <c r="G1774" s="833" t="s">
        <v>669</v>
      </c>
      <c r="H1774" s="192" t="s">
        <v>678</v>
      </c>
      <c r="I1774" s="253">
        <v>12</v>
      </c>
      <c r="J1774" s="253">
        <v>12004</v>
      </c>
      <c r="K1774" s="584">
        <f t="shared" si="281"/>
        <v>144048</v>
      </c>
      <c r="L1774" s="193" t="s">
        <v>251</v>
      </c>
      <c r="M1774" s="193" t="s">
        <v>164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26"/>
      <c r="AB1774" s="576" t="str">
        <f>IF(VLOOKUP(F1774,NXT!$C$12:$C$786,1,0)=F1774,"","x")</f>
        <v/>
      </c>
    </row>
    <row r="1775" spans="1:28" ht="15.75" customHeight="1">
      <c r="A1775" s="827" t="str">
        <f>IF(B1775&lt;&gt;"",IF(AND(B1775&gt;=_TM1,B1775&lt;=_TM2,OR(TH!L1775="1111",TH!M1775="1111")),TH!D1775,""),"")</f>
        <v/>
      </c>
      <c r="B1775" s="36">
        <f t="shared" si="279"/>
        <v>4</v>
      </c>
      <c r="C1775" s="190">
        <f t="shared" si="280"/>
        <v>42489</v>
      </c>
      <c r="D1775" s="190" t="s">
        <v>1599</v>
      </c>
      <c r="E1775" s="190">
        <v>42489</v>
      </c>
      <c r="F1775" s="191" t="s">
        <v>473</v>
      </c>
      <c r="G1775" s="833" t="s">
        <v>669</v>
      </c>
      <c r="H1775" s="192" t="s">
        <v>678</v>
      </c>
      <c r="I1775" s="253">
        <v>21</v>
      </c>
      <c r="J1775" s="253">
        <v>19669</v>
      </c>
      <c r="K1775" s="584">
        <f t="shared" si="281"/>
        <v>413049</v>
      </c>
      <c r="L1775" s="193" t="s">
        <v>251</v>
      </c>
      <c r="M1775" s="193" t="s">
        <v>164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26"/>
      <c r="AB1775" s="576" t="str">
        <f>IF(VLOOKUP(F1775,NXT!$C$12:$C$786,1,0)=F1775,"","x")</f>
        <v/>
      </c>
    </row>
    <row r="1776" spans="1:28" ht="15.75" customHeight="1">
      <c r="A1776" s="827" t="str">
        <f>IF(B1776&lt;&gt;"",IF(AND(B1776&gt;=_TM1,B1776&lt;=_TM2,OR(TH!L1776="1111",TH!M1776="1111")),TH!D1776,""),"")</f>
        <v/>
      </c>
      <c r="B1776" s="36">
        <f t="shared" si="279"/>
        <v>4</v>
      </c>
      <c r="C1776" s="190">
        <f t="shared" si="280"/>
        <v>42489</v>
      </c>
      <c r="D1776" s="190" t="s">
        <v>1599</v>
      </c>
      <c r="E1776" s="190">
        <v>42489</v>
      </c>
      <c r="F1776" s="191" t="s">
        <v>467</v>
      </c>
      <c r="G1776" s="833" t="s">
        <v>669</v>
      </c>
      <c r="H1776" s="192" t="s">
        <v>678</v>
      </c>
      <c r="I1776" s="253">
        <v>114</v>
      </c>
      <c r="J1776" s="253">
        <v>20079</v>
      </c>
      <c r="K1776" s="584">
        <f t="shared" si="281"/>
        <v>2289006</v>
      </c>
      <c r="L1776" s="193" t="s">
        <v>251</v>
      </c>
      <c r="M1776" s="193" t="s">
        <v>164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26"/>
      <c r="AB1776" s="576" t="str">
        <f>IF(VLOOKUP(F1776,NXT!$C$12:$C$786,1,0)=F1776,"","x")</f>
        <v/>
      </c>
    </row>
    <row r="1777" spans="1:28" ht="15.75" customHeight="1">
      <c r="A1777" s="827" t="str">
        <f>IF(B1777&lt;&gt;"",IF(AND(B1777&gt;=_TM1,B1777&lt;=_TM2,OR(TH!L1777="1111",TH!M1777="1111")),TH!D1777,""),"")</f>
        <v/>
      </c>
      <c r="B1777" s="36">
        <f t="shared" si="279"/>
        <v>4</v>
      </c>
      <c r="C1777" s="190">
        <f t="shared" si="280"/>
        <v>42489</v>
      </c>
      <c r="D1777" s="190" t="s">
        <v>1599</v>
      </c>
      <c r="E1777" s="190">
        <v>42489</v>
      </c>
      <c r="F1777" s="191" t="s">
        <v>467</v>
      </c>
      <c r="G1777" s="833" t="s">
        <v>669</v>
      </c>
      <c r="H1777" s="192" t="s">
        <v>678</v>
      </c>
      <c r="I1777" s="253">
        <v>8</v>
      </c>
      <c r="J1777" s="253">
        <v>33201</v>
      </c>
      <c r="K1777" s="584">
        <f t="shared" ref="K1777:K1808" si="282">ROUND(I1777*J1777,0)</f>
        <v>265608</v>
      </c>
      <c r="L1777" s="193" t="s">
        <v>251</v>
      </c>
      <c r="M1777" s="193" t="s">
        <v>164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26"/>
      <c r="AB1777" s="576" t="str">
        <f>IF(VLOOKUP(F1777,NXT!$C$12:$C$786,1,0)=F1777,"","x")</f>
        <v/>
      </c>
    </row>
    <row r="1778" spans="1:28" ht="15.75" customHeight="1">
      <c r="A1778" s="827" t="str">
        <f>IF(B1778&lt;&gt;"",IF(AND(B1778&gt;=_TM1,B1778&lt;=_TM2,OR(TH!L1778="1111",TH!M1778="1111")),TH!D1778,""),"")</f>
        <v/>
      </c>
      <c r="B1778" s="36">
        <f t="shared" si="279"/>
        <v>4</v>
      </c>
      <c r="C1778" s="190">
        <f t="shared" si="280"/>
        <v>42489</v>
      </c>
      <c r="D1778" s="190" t="s">
        <v>1599</v>
      </c>
      <c r="E1778" s="190">
        <v>42489</v>
      </c>
      <c r="F1778" s="191" t="s">
        <v>555</v>
      </c>
      <c r="G1778" s="833" t="s">
        <v>669</v>
      </c>
      <c r="H1778" s="192" t="s">
        <v>678</v>
      </c>
      <c r="I1778" s="253">
        <v>36</v>
      </c>
      <c r="J1778" s="253">
        <v>20452</v>
      </c>
      <c r="K1778" s="584">
        <f t="shared" si="282"/>
        <v>736272</v>
      </c>
      <c r="L1778" s="193" t="s">
        <v>251</v>
      </c>
      <c r="M1778" s="193" t="s">
        <v>164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26"/>
      <c r="AB1778" s="576" t="str">
        <f>IF(VLOOKUP(F1778,NXT!$C$12:$C$786,1,0)=F1778,"","x")</f>
        <v/>
      </c>
    </row>
    <row r="1779" spans="1:28" ht="15.75" customHeight="1">
      <c r="A1779" s="827" t="str">
        <f>IF(B1779&lt;&gt;"",IF(AND(B1779&gt;=_TM1,B1779&lt;=_TM2,OR(TH!L1779="1111",TH!M1779="1111")),TH!D1779,""),"")</f>
        <v/>
      </c>
      <c r="B1779" s="36">
        <f t="shared" si="279"/>
        <v>4</v>
      </c>
      <c r="C1779" s="190">
        <f t="shared" si="280"/>
        <v>42489</v>
      </c>
      <c r="D1779" s="190" t="s">
        <v>1599</v>
      </c>
      <c r="E1779" s="190">
        <v>42489</v>
      </c>
      <c r="F1779" s="191" t="s">
        <v>496</v>
      </c>
      <c r="G1779" s="833" t="s">
        <v>669</v>
      </c>
      <c r="H1779" s="192" t="s">
        <v>678</v>
      </c>
      <c r="I1779" s="253">
        <v>90</v>
      </c>
      <c r="J1779" s="253">
        <v>17633</v>
      </c>
      <c r="K1779" s="584">
        <f t="shared" si="282"/>
        <v>1586970</v>
      </c>
      <c r="L1779" s="193" t="s">
        <v>251</v>
      </c>
      <c r="M1779" s="193" t="s">
        <v>164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26"/>
      <c r="AB1779" s="576" t="str">
        <f>IF(VLOOKUP(F1779,NXT!$C$12:$C$786,1,0)=F1779,"","x")</f>
        <v/>
      </c>
    </row>
    <row r="1780" spans="1:28" ht="15.75" customHeight="1">
      <c r="A1780" s="827" t="str">
        <f>IF(B1780&lt;&gt;"",IF(AND(B1780&gt;=_TM1,B1780&lt;=_TM2,OR(TH!L1780="1111",TH!M1780="1111")),TH!D1780,""),"")</f>
        <v/>
      </c>
      <c r="B1780" s="36">
        <f t="shared" si="279"/>
        <v>4</v>
      </c>
      <c r="C1780" s="190">
        <f t="shared" si="280"/>
        <v>42489</v>
      </c>
      <c r="D1780" s="190" t="s">
        <v>1599</v>
      </c>
      <c r="E1780" s="190">
        <v>42489</v>
      </c>
      <c r="F1780" s="191" t="s">
        <v>498</v>
      </c>
      <c r="G1780" s="833" t="s">
        <v>669</v>
      </c>
      <c r="H1780" s="192" t="s">
        <v>678</v>
      </c>
      <c r="I1780" s="253">
        <v>72</v>
      </c>
      <c r="J1780" s="253">
        <v>22606</v>
      </c>
      <c r="K1780" s="584">
        <f t="shared" si="282"/>
        <v>1627632</v>
      </c>
      <c r="L1780" s="193" t="s">
        <v>251</v>
      </c>
      <c r="M1780" s="193" t="s">
        <v>164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26"/>
      <c r="AB1780" s="576" t="str">
        <f>IF(VLOOKUP(F1780,NXT!$C$12:$C$786,1,0)=F1780,"","x")</f>
        <v/>
      </c>
    </row>
    <row r="1781" spans="1:28" ht="15.75" customHeight="1">
      <c r="A1781" s="827" t="str">
        <f>IF(B1781&lt;&gt;"",IF(AND(B1781&gt;=_TM1,B1781&lt;=_TM2,OR(TH!L1781="1111",TH!M1781="1111")),TH!D1781,""),"")</f>
        <v/>
      </c>
      <c r="B1781" s="36">
        <f t="shared" si="279"/>
        <v>4</v>
      </c>
      <c r="C1781" s="190">
        <f t="shared" si="280"/>
        <v>42489</v>
      </c>
      <c r="D1781" s="190" t="s">
        <v>1599</v>
      </c>
      <c r="E1781" s="190">
        <v>42489</v>
      </c>
      <c r="F1781" s="191" t="s">
        <v>552</v>
      </c>
      <c r="G1781" s="833" t="s">
        <v>669</v>
      </c>
      <c r="H1781" s="192" t="s">
        <v>678</v>
      </c>
      <c r="I1781" s="253">
        <v>36</v>
      </c>
      <c r="J1781" s="253">
        <v>34633</v>
      </c>
      <c r="K1781" s="584">
        <f t="shared" si="282"/>
        <v>1246788</v>
      </c>
      <c r="L1781" s="193" t="s">
        <v>251</v>
      </c>
      <c r="M1781" s="193" t="s">
        <v>164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26"/>
      <c r="AB1781" s="576" t="str">
        <f>IF(VLOOKUP(F1781,NXT!$C$12:$C$786,1,0)=F1781,"","x")</f>
        <v/>
      </c>
    </row>
    <row r="1782" spans="1:28" ht="15.75" customHeight="1">
      <c r="A1782" s="827" t="str">
        <f>IF(B1782&lt;&gt;"",IF(AND(B1782&gt;=_TM1,B1782&lt;=_TM2,OR(TH!L1782="1111",TH!M1782="1111")),TH!D1782,""),"")</f>
        <v/>
      </c>
      <c r="B1782" s="36">
        <f t="shared" si="279"/>
        <v>4</v>
      </c>
      <c r="C1782" s="190">
        <f t="shared" si="280"/>
        <v>42489</v>
      </c>
      <c r="D1782" s="190" t="s">
        <v>1599</v>
      </c>
      <c r="E1782" s="190">
        <v>42489</v>
      </c>
      <c r="F1782" s="191" t="s">
        <v>500</v>
      </c>
      <c r="G1782" s="833" t="s">
        <v>669</v>
      </c>
      <c r="H1782" s="192" t="s">
        <v>678</v>
      </c>
      <c r="I1782" s="253">
        <v>36</v>
      </c>
      <c r="J1782" s="253">
        <v>22441</v>
      </c>
      <c r="K1782" s="584">
        <f t="shared" si="282"/>
        <v>807876</v>
      </c>
      <c r="L1782" s="193" t="s">
        <v>251</v>
      </c>
      <c r="M1782" s="193" t="s">
        <v>164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26"/>
      <c r="AB1782" s="576" t="str">
        <f>IF(VLOOKUP(F1782,NXT!$C$12:$C$786,1,0)=F1782,"","x")</f>
        <v/>
      </c>
    </row>
    <row r="1783" spans="1:28" ht="15.75" customHeight="1">
      <c r="A1783" s="827" t="str">
        <f>IF(B1783&lt;&gt;"",IF(AND(B1783&gt;=_TM1,B1783&lt;=_TM2,OR(TH!L1783="1111",TH!M1783="1111")),TH!D1783,""),"")</f>
        <v/>
      </c>
      <c r="B1783" s="36">
        <f t="shared" si="279"/>
        <v>4</v>
      </c>
      <c r="C1783" s="190">
        <f t="shared" si="280"/>
        <v>42489</v>
      </c>
      <c r="D1783" s="190" t="s">
        <v>1599</v>
      </c>
      <c r="E1783" s="190">
        <v>42489</v>
      </c>
      <c r="F1783" s="191" t="s">
        <v>672</v>
      </c>
      <c r="G1783" s="833" t="s">
        <v>669</v>
      </c>
      <c r="H1783" s="192" t="s">
        <v>678</v>
      </c>
      <c r="I1783" s="253">
        <v>80</v>
      </c>
      <c r="J1783" s="253">
        <v>40177</v>
      </c>
      <c r="K1783" s="584">
        <f t="shared" si="282"/>
        <v>3214160</v>
      </c>
      <c r="L1783" s="193" t="s">
        <v>251</v>
      </c>
      <c r="M1783" s="193" t="s">
        <v>164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26"/>
      <c r="AB1783" s="576" t="str">
        <f>IF(VLOOKUP(F1783,NXT!$C$12:$C$786,1,0)=F1783,"","x")</f>
        <v/>
      </c>
    </row>
    <row r="1784" spans="1:28" ht="15.75" customHeight="1">
      <c r="A1784" s="827" t="str">
        <f>IF(B1784&lt;&gt;"",IF(AND(B1784&gt;=_TM1,B1784&lt;=_TM2,OR(TH!L1784="1111",TH!M1784="1111")),TH!D1784,""),"")</f>
        <v/>
      </c>
      <c r="B1784" s="36">
        <f t="shared" si="279"/>
        <v>4</v>
      </c>
      <c r="C1784" s="190">
        <f t="shared" si="280"/>
        <v>42489</v>
      </c>
      <c r="D1784" s="190" t="s">
        <v>1599</v>
      </c>
      <c r="E1784" s="190">
        <v>42489</v>
      </c>
      <c r="F1784" s="191" t="s">
        <v>474</v>
      </c>
      <c r="G1784" s="833" t="s">
        <v>669</v>
      </c>
      <c r="H1784" s="192" t="s">
        <v>678</v>
      </c>
      <c r="I1784" s="253">
        <v>13</v>
      </c>
      <c r="J1784" s="253">
        <v>30373</v>
      </c>
      <c r="K1784" s="584">
        <f t="shared" si="282"/>
        <v>394849</v>
      </c>
      <c r="L1784" s="193" t="s">
        <v>251</v>
      </c>
      <c r="M1784" s="193" t="s">
        <v>164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26"/>
      <c r="AB1784" s="576" t="str">
        <f>IF(VLOOKUP(F1784,NXT!$C$12:$C$786,1,0)=F1784,"","x")</f>
        <v/>
      </c>
    </row>
    <row r="1785" spans="1:28" ht="15.75" customHeight="1">
      <c r="A1785" s="827" t="str">
        <f>IF(B1785&lt;&gt;"",IF(AND(B1785&gt;=_TM1,B1785&lt;=_TM2,OR(TH!L1785="1111",TH!M1785="1111")),TH!D1785,""),"")</f>
        <v/>
      </c>
      <c r="B1785" s="36">
        <f t="shared" si="279"/>
        <v>4</v>
      </c>
      <c r="C1785" s="190">
        <f t="shared" si="280"/>
        <v>42489</v>
      </c>
      <c r="D1785" s="190" t="s">
        <v>1599</v>
      </c>
      <c r="E1785" s="190">
        <v>42489</v>
      </c>
      <c r="F1785" s="191" t="s">
        <v>542</v>
      </c>
      <c r="G1785" s="833" t="s">
        <v>669</v>
      </c>
      <c r="H1785" s="192" t="s">
        <v>678</v>
      </c>
      <c r="I1785" s="253">
        <v>134</v>
      </c>
      <c r="J1785" s="253">
        <v>42218</v>
      </c>
      <c r="K1785" s="584">
        <f t="shared" si="282"/>
        <v>5657212</v>
      </c>
      <c r="L1785" s="193" t="s">
        <v>251</v>
      </c>
      <c r="M1785" s="193" t="s">
        <v>164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26"/>
      <c r="AB1785" s="576" t="str">
        <f>IF(VLOOKUP(F1785,NXT!$C$12:$C$786,1,0)=F1785,"","x")</f>
        <v/>
      </c>
    </row>
    <row r="1786" spans="1:28" ht="15.75" customHeight="1">
      <c r="A1786" s="827" t="str">
        <f>IF(B1786&lt;&gt;"",IF(AND(B1786&gt;=_TM1,B1786&lt;=_TM2,OR(TH!L1786="1111",TH!M1786="1111")),TH!D1786,""),"")</f>
        <v/>
      </c>
      <c r="B1786" s="36">
        <f t="shared" si="279"/>
        <v>4</v>
      </c>
      <c r="C1786" s="190">
        <f t="shared" si="280"/>
        <v>42489</v>
      </c>
      <c r="D1786" s="190" t="s">
        <v>1599</v>
      </c>
      <c r="E1786" s="190">
        <v>42489</v>
      </c>
      <c r="F1786" s="191" t="s">
        <v>542</v>
      </c>
      <c r="G1786" s="833" t="s">
        <v>669</v>
      </c>
      <c r="H1786" s="192" t="s">
        <v>678</v>
      </c>
      <c r="I1786" s="253">
        <v>12</v>
      </c>
      <c r="J1786" s="253">
        <v>44429</v>
      </c>
      <c r="K1786" s="584">
        <f t="shared" si="282"/>
        <v>533148</v>
      </c>
      <c r="L1786" s="193" t="s">
        <v>251</v>
      </c>
      <c r="M1786" s="193" t="s">
        <v>164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26"/>
      <c r="AB1786" s="576" t="str">
        <f>IF(VLOOKUP(F1786,NXT!$C$12:$C$786,1,0)=F1786,"","x")</f>
        <v/>
      </c>
    </row>
    <row r="1787" spans="1:28" ht="15.75" customHeight="1">
      <c r="A1787" s="827" t="str">
        <f>IF(B1787&lt;&gt;"",IF(AND(B1787&gt;=_TM1,B1787&lt;=_TM2,OR(TH!L1787="1111",TH!M1787="1111")),TH!D1787,""),"")</f>
        <v/>
      </c>
      <c r="B1787" s="36">
        <f t="shared" si="279"/>
        <v>4</v>
      </c>
      <c r="C1787" s="190">
        <f t="shared" si="280"/>
        <v>42489</v>
      </c>
      <c r="D1787" s="190" t="s">
        <v>1599</v>
      </c>
      <c r="E1787" s="190">
        <v>42489</v>
      </c>
      <c r="F1787" s="191" t="s">
        <v>463</v>
      </c>
      <c r="G1787" s="833" t="s">
        <v>669</v>
      </c>
      <c r="H1787" s="192" t="s">
        <v>678</v>
      </c>
      <c r="I1787" s="253">
        <v>60</v>
      </c>
      <c r="J1787" s="253">
        <v>43445</v>
      </c>
      <c r="K1787" s="584">
        <f t="shared" si="282"/>
        <v>2606700</v>
      </c>
      <c r="L1787" s="193" t="s">
        <v>251</v>
      </c>
      <c r="M1787" s="193" t="s">
        <v>164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26"/>
      <c r="AB1787" s="576" t="str">
        <f>IF(VLOOKUP(F1787,NXT!$C$12:$C$786,1,0)=F1787,"","x")</f>
        <v/>
      </c>
    </row>
    <row r="1788" spans="1:28" ht="15.75" customHeight="1">
      <c r="A1788" s="827" t="str">
        <f>IF(B1788&lt;&gt;"",IF(AND(B1788&gt;=_TM1,B1788&lt;=_TM2,OR(TH!L1788="1111",TH!M1788="1111")),TH!D1788,""),"")</f>
        <v/>
      </c>
      <c r="B1788" s="36">
        <f t="shared" si="279"/>
        <v>4</v>
      </c>
      <c r="C1788" s="190">
        <f t="shared" si="280"/>
        <v>42489</v>
      </c>
      <c r="D1788" s="190" t="s">
        <v>1599</v>
      </c>
      <c r="E1788" s="190">
        <v>42489</v>
      </c>
      <c r="F1788" s="191" t="s">
        <v>463</v>
      </c>
      <c r="G1788" s="833" t="s">
        <v>669</v>
      </c>
      <c r="H1788" s="192" t="s">
        <v>678</v>
      </c>
      <c r="I1788" s="253">
        <v>54</v>
      </c>
      <c r="J1788" s="253">
        <v>45618</v>
      </c>
      <c r="K1788" s="584">
        <f t="shared" si="282"/>
        <v>2463372</v>
      </c>
      <c r="L1788" s="193" t="s">
        <v>251</v>
      </c>
      <c r="M1788" s="193" t="s">
        <v>164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26"/>
      <c r="AB1788" s="576" t="str">
        <f>IF(VLOOKUP(F1788,NXT!$C$12:$C$786,1,0)=F1788,"","x")</f>
        <v/>
      </c>
    </row>
    <row r="1789" spans="1:28" ht="15.75" customHeight="1">
      <c r="A1789" s="827" t="str">
        <f>IF(B1789&lt;&gt;"",IF(AND(B1789&gt;=_TM1,B1789&lt;=_TM2,OR(TH!L1789="1111",TH!M1789="1111")),TH!D1789,""),"")</f>
        <v/>
      </c>
      <c r="B1789" s="36">
        <f t="shared" si="279"/>
        <v>4</v>
      </c>
      <c r="C1789" s="190">
        <f t="shared" si="280"/>
        <v>42489</v>
      </c>
      <c r="D1789" s="190" t="s">
        <v>1599</v>
      </c>
      <c r="E1789" s="190">
        <v>42489</v>
      </c>
      <c r="F1789" s="191" t="s">
        <v>569</v>
      </c>
      <c r="G1789" s="833" t="s">
        <v>669</v>
      </c>
      <c r="H1789" s="192" t="s">
        <v>678</v>
      </c>
      <c r="I1789" s="253">
        <v>24</v>
      </c>
      <c r="J1789" s="253">
        <v>9174</v>
      </c>
      <c r="K1789" s="584">
        <f t="shared" si="282"/>
        <v>220176</v>
      </c>
      <c r="L1789" s="193" t="s">
        <v>251</v>
      </c>
      <c r="M1789" s="193" t="s">
        <v>164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26"/>
      <c r="AB1789" s="576" t="str">
        <f>IF(VLOOKUP(F1789,NXT!$C$12:$C$786,1,0)=F1789,"","x")</f>
        <v/>
      </c>
    </row>
    <row r="1790" spans="1:28" ht="15.75" customHeight="1">
      <c r="A1790" s="827" t="str">
        <f>IF(B1790&lt;&gt;"",IF(AND(B1790&gt;=_TM1,B1790&lt;=_TM2,OR(TH!L1790="1111",TH!M1790="1111")),TH!D1790,""),"")</f>
        <v/>
      </c>
      <c r="B1790" s="36">
        <f t="shared" si="279"/>
        <v>4</v>
      </c>
      <c r="C1790" s="190">
        <f t="shared" si="280"/>
        <v>42489</v>
      </c>
      <c r="D1790" s="190" t="s">
        <v>1599</v>
      </c>
      <c r="E1790" s="190">
        <v>42489</v>
      </c>
      <c r="F1790" s="191" t="s">
        <v>544</v>
      </c>
      <c r="G1790" s="833" t="s">
        <v>669</v>
      </c>
      <c r="H1790" s="192" t="s">
        <v>678</v>
      </c>
      <c r="I1790" s="253">
        <v>32</v>
      </c>
      <c r="J1790" s="253">
        <v>47426</v>
      </c>
      <c r="K1790" s="584">
        <f t="shared" si="282"/>
        <v>1517632</v>
      </c>
      <c r="L1790" s="193" t="s">
        <v>251</v>
      </c>
      <c r="M1790" s="193" t="s">
        <v>164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26"/>
      <c r="AB1790" s="576" t="str">
        <f>IF(VLOOKUP(F1790,NXT!$C$12:$C$786,1,0)=F1790,"","x")</f>
        <v/>
      </c>
    </row>
    <row r="1791" spans="1:28" ht="15.75" customHeight="1">
      <c r="A1791" s="827" t="str">
        <f>IF(B1791&lt;&gt;"",IF(AND(B1791&gt;=_TM1,B1791&lt;=_TM2,OR(TH!L1791="1111",TH!M1791="1111")),TH!D1791,""),"")</f>
        <v/>
      </c>
      <c r="B1791" s="36">
        <f t="shared" si="279"/>
        <v>4</v>
      </c>
      <c r="C1791" s="190">
        <f t="shared" si="280"/>
        <v>42489</v>
      </c>
      <c r="D1791" s="190" t="s">
        <v>1599</v>
      </c>
      <c r="E1791" s="190">
        <v>42489</v>
      </c>
      <c r="F1791" s="191" t="s">
        <v>675</v>
      </c>
      <c r="G1791" s="833" t="s">
        <v>669</v>
      </c>
      <c r="H1791" s="192" t="s">
        <v>678</v>
      </c>
      <c r="I1791" s="253">
        <v>90</v>
      </c>
      <c r="J1791" s="253">
        <v>45939</v>
      </c>
      <c r="K1791" s="584">
        <f t="shared" si="282"/>
        <v>4134510</v>
      </c>
      <c r="L1791" s="193" t="s">
        <v>251</v>
      </c>
      <c r="M1791" s="193" t="s">
        <v>164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26"/>
      <c r="AB1791" s="576" t="str">
        <f>IF(VLOOKUP(F1791,NXT!$C$12:$C$786,1,0)=F1791,"","x")</f>
        <v/>
      </c>
    </row>
    <row r="1792" spans="1:28" ht="15.75" customHeight="1">
      <c r="A1792" s="827" t="str">
        <f>IF(B1792&lt;&gt;"",IF(AND(B1792&gt;=_TM1,B1792&lt;=_TM2,OR(TH!L1792="1111",TH!M1792="1111")),TH!D1792,""),"")</f>
        <v/>
      </c>
      <c r="B1792" s="36">
        <f t="shared" si="279"/>
        <v>4</v>
      </c>
      <c r="C1792" s="190">
        <f t="shared" si="280"/>
        <v>42489</v>
      </c>
      <c r="D1792" s="190" t="s">
        <v>1599</v>
      </c>
      <c r="E1792" s="190">
        <v>42489</v>
      </c>
      <c r="F1792" s="191" t="s">
        <v>673</v>
      </c>
      <c r="G1792" s="833" t="s">
        <v>669</v>
      </c>
      <c r="H1792" s="192" t="s">
        <v>678</v>
      </c>
      <c r="I1792" s="253">
        <v>64</v>
      </c>
      <c r="J1792" s="253">
        <v>46946</v>
      </c>
      <c r="K1792" s="584">
        <f t="shared" si="282"/>
        <v>3004544</v>
      </c>
      <c r="L1792" s="193" t="s">
        <v>251</v>
      </c>
      <c r="M1792" s="193" t="s">
        <v>164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26"/>
      <c r="AB1792" s="576" t="str">
        <f>IF(VLOOKUP(F1792,NXT!$C$12:$C$786,1,0)=F1792,"","x")</f>
        <v/>
      </c>
    </row>
    <row r="1793" spans="1:28" ht="15.75" customHeight="1">
      <c r="A1793" s="827" t="str">
        <f>IF(B1793&lt;&gt;"",IF(AND(B1793&gt;=_TM1,B1793&lt;=_TM2,OR(TH!L1793="1111",TH!M1793="1111")),TH!D1793,""),"")</f>
        <v/>
      </c>
      <c r="B1793" s="36">
        <f t="shared" si="279"/>
        <v>4</v>
      </c>
      <c r="C1793" s="190">
        <f t="shared" si="280"/>
        <v>42489</v>
      </c>
      <c r="D1793" s="190" t="s">
        <v>1599</v>
      </c>
      <c r="E1793" s="190">
        <v>42489</v>
      </c>
      <c r="F1793" s="191" t="s">
        <v>674</v>
      </c>
      <c r="G1793" s="833" t="s">
        <v>669</v>
      </c>
      <c r="H1793" s="192" t="s">
        <v>678</v>
      </c>
      <c r="I1793" s="253">
        <v>12</v>
      </c>
      <c r="J1793" s="253">
        <v>54545</v>
      </c>
      <c r="K1793" s="584">
        <f t="shared" si="282"/>
        <v>654540</v>
      </c>
      <c r="L1793" s="193" t="s">
        <v>251</v>
      </c>
      <c r="M1793" s="193" t="s">
        <v>164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26"/>
      <c r="AB1793" s="576" t="str">
        <f>IF(VLOOKUP(F1793,NXT!$C$12:$C$786,1,0)=F1793,"","x")</f>
        <v/>
      </c>
    </row>
    <row r="1794" spans="1:28" ht="15.75" customHeight="1">
      <c r="A1794" s="827" t="str">
        <f>IF(B1794&lt;&gt;"",IF(AND(B1794&gt;=_TM1,B1794&lt;=_TM2,OR(TH!L1794="1111",TH!M1794="1111")),TH!D1794,""),"")</f>
        <v/>
      </c>
      <c r="B1794" s="36">
        <f t="shared" si="279"/>
        <v>4</v>
      </c>
      <c r="C1794" s="190">
        <f t="shared" si="280"/>
        <v>42489</v>
      </c>
      <c r="D1794" s="190" t="s">
        <v>1599</v>
      </c>
      <c r="E1794" s="190">
        <v>42489</v>
      </c>
      <c r="F1794" s="191" t="s">
        <v>503</v>
      </c>
      <c r="G1794" s="833" t="s">
        <v>669</v>
      </c>
      <c r="H1794" s="192" t="s">
        <v>678</v>
      </c>
      <c r="I1794" s="253">
        <v>48</v>
      </c>
      <c r="J1794" s="253">
        <v>25603</v>
      </c>
      <c r="K1794" s="584">
        <f t="shared" si="282"/>
        <v>1228944</v>
      </c>
      <c r="L1794" s="193" t="s">
        <v>251</v>
      </c>
      <c r="M1794" s="193" t="s">
        <v>164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26"/>
      <c r="AB1794" s="576" t="str">
        <f>IF(VLOOKUP(F1794,NXT!$C$12:$C$786,1,0)=F1794,"","x")</f>
        <v/>
      </c>
    </row>
    <row r="1795" spans="1:28" ht="15.75" customHeight="1">
      <c r="A1795" s="827" t="str">
        <f>IF(B1795&lt;&gt;"",IF(AND(B1795&gt;=_TM1,B1795&lt;=_TM2,OR(TH!L1795="1111",TH!M1795="1111")),TH!D1795,""),"")</f>
        <v/>
      </c>
      <c r="B1795" s="36">
        <f t="shared" si="279"/>
        <v>4</v>
      </c>
      <c r="C1795" s="190">
        <f t="shared" si="280"/>
        <v>42489</v>
      </c>
      <c r="D1795" s="190" t="s">
        <v>1599</v>
      </c>
      <c r="E1795" s="190">
        <v>42489</v>
      </c>
      <c r="F1795" s="191" t="s">
        <v>465</v>
      </c>
      <c r="G1795" s="833" t="s">
        <v>669</v>
      </c>
      <c r="H1795" s="192" t="s">
        <v>678</v>
      </c>
      <c r="I1795" s="253">
        <v>24</v>
      </c>
      <c r="J1795" s="253">
        <v>43132</v>
      </c>
      <c r="K1795" s="584">
        <f t="shared" si="282"/>
        <v>1035168</v>
      </c>
      <c r="L1795" s="193" t="s">
        <v>251</v>
      </c>
      <c r="M1795" s="193" t="s">
        <v>164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26"/>
      <c r="AB1795" s="576" t="str">
        <f>IF(VLOOKUP(F1795,NXT!$C$12:$C$786,1,0)=F1795,"","x")</f>
        <v/>
      </c>
    </row>
    <row r="1796" spans="1:28" ht="15.75" customHeight="1">
      <c r="A1796" s="827" t="str">
        <f>IF(B1796&lt;&gt;"",IF(AND(B1796&gt;=_TM1,B1796&lt;=_TM2,OR(TH!L1796="1111",TH!M1796="1111")),TH!D1796,""),"")</f>
        <v/>
      </c>
      <c r="B1796" s="36">
        <f t="shared" si="279"/>
        <v>4</v>
      </c>
      <c r="C1796" s="190">
        <f t="shared" si="280"/>
        <v>42489</v>
      </c>
      <c r="D1796" s="190" t="s">
        <v>1599</v>
      </c>
      <c r="E1796" s="190">
        <v>42489</v>
      </c>
      <c r="F1796" s="191" t="s">
        <v>485</v>
      </c>
      <c r="G1796" s="833" t="s">
        <v>669</v>
      </c>
      <c r="H1796" s="192" t="s">
        <v>678</v>
      </c>
      <c r="I1796" s="253">
        <v>26</v>
      </c>
      <c r="J1796" s="253">
        <v>27750</v>
      </c>
      <c r="K1796" s="584">
        <f t="shared" si="282"/>
        <v>721500</v>
      </c>
      <c r="L1796" s="193" t="s">
        <v>251</v>
      </c>
      <c r="M1796" s="193" t="s">
        <v>164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26"/>
      <c r="AB1796" s="576" t="str">
        <f>IF(VLOOKUP(F1796,NXT!$C$12:$C$786,1,0)=F1796,"","x")</f>
        <v/>
      </c>
    </row>
    <row r="1797" spans="1:28" ht="15.75" customHeight="1">
      <c r="A1797" s="827" t="str">
        <f>IF(B1797&lt;&gt;"",IF(AND(B1797&gt;=_TM1,B1797&lt;=_TM2,OR(TH!L1797="1111",TH!M1797="1111")),TH!D1797,""),"")</f>
        <v/>
      </c>
      <c r="B1797" s="36">
        <f t="shared" si="279"/>
        <v>4</v>
      </c>
      <c r="C1797" s="190">
        <f t="shared" si="280"/>
        <v>42489</v>
      </c>
      <c r="D1797" s="190" t="s">
        <v>1599</v>
      </c>
      <c r="E1797" s="190">
        <v>42489</v>
      </c>
      <c r="F1797" s="191" t="s">
        <v>535</v>
      </c>
      <c r="G1797" s="833" t="s">
        <v>669</v>
      </c>
      <c r="H1797" s="192" t="s">
        <v>678</v>
      </c>
      <c r="I1797" s="253">
        <v>8</v>
      </c>
      <c r="J1797" s="253">
        <v>51681</v>
      </c>
      <c r="K1797" s="584">
        <f t="shared" si="282"/>
        <v>413448</v>
      </c>
      <c r="L1797" s="193" t="s">
        <v>251</v>
      </c>
      <c r="M1797" s="193" t="s">
        <v>164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26"/>
      <c r="AB1797" s="576" t="str">
        <f>IF(VLOOKUP(F1797,NXT!$C$12:$C$786,1,0)=F1797,"","x")</f>
        <v/>
      </c>
    </row>
    <row r="1798" spans="1:28" ht="15.75" customHeight="1">
      <c r="A1798" s="827" t="str">
        <f>IF(B1798&lt;&gt;"",IF(AND(B1798&gt;=_TM1,B1798&lt;=_TM2,OR(TH!L1798="1111",TH!M1798="1111")),TH!D1798,""),"")</f>
        <v/>
      </c>
      <c r="B1798" s="36">
        <f t="shared" si="279"/>
        <v>4</v>
      </c>
      <c r="C1798" s="190">
        <f t="shared" si="280"/>
        <v>42489</v>
      </c>
      <c r="D1798" s="190" t="s">
        <v>1599</v>
      </c>
      <c r="E1798" s="190">
        <v>42489</v>
      </c>
      <c r="F1798" s="191" t="s">
        <v>541</v>
      </c>
      <c r="G1798" s="833" t="s">
        <v>669</v>
      </c>
      <c r="H1798" s="192" t="s">
        <v>678</v>
      </c>
      <c r="I1798" s="253">
        <v>60</v>
      </c>
      <c r="J1798" s="253">
        <v>49163</v>
      </c>
      <c r="K1798" s="584">
        <f t="shared" si="282"/>
        <v>2949780</v>
      </c>
      <c r="L1798" s="193" t="s">
        <v>251</v>
      </c>
      <c r="M1798" s="193" t="s">
        <v>164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26"/>
      <c r="AB1798" s="576" t="str">
        <f>IF(VLOOKUP(F1798,NXT!$C$12:$C$786,1,0)=F1798,"","x")</f>
        <v/>
      </c>
    </row>
    <row r="1799" spans="1:28" ht="15.75" customHeight="1">
      <c r="A1799" s="827" t="str">
        <f>IF(B1799&lt;&gt;"",IF(AND(B1799&gt;=_TM1,B1799&lt;=_TM2,OR(TH!L1799="1111",TH!M1799="1111")),TH!D1799,""),"")</f>
        <v/>
      </c>
      <c r="B1799" s="36">
        <f t="shared" si="279"/>
        <v>4</v>
      </c>
      <c r="C1799" s="190">
        <f t="shared" si="280"/>
        <v>42489</v>
      </c>
      <c r="D1799" s="190" t="s">
        <v>1599</v>
      </c>
      <c r="E1799" s="190">
        <v>42489</v>
      </c>
      <c r="F1799" s="191" t="s">
        <v>501</v>
      </c>
      <c r="G1799" s="833" t="s">
        <v>669</v>
      </c>
      <c r="H1799" s="192" t="s">
        <v>678</v>
      </c>
      <c r="I1799" s="253">
        <v>30</v>
      </c>
      <c r="J1799" s="253">
        <v>33007</v>
      </c>
      <c r="K1799" s="584">
        <f t="shared" si="282"/>
        <v>990210</v>
      </c>
      <c r="L1799" s="193" t="s">
        <v>251</v>
      </c>
      <c r="M1799" s="193" t="s">
        <v>164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26"/>
      <c r="AB1799" s="576" t="str">
        <f>IF(VLOOKUP(F1799,NXT!$C$12:$C$786,1,0)=F1799,"","x")</f>
        <v/>
      </c>
    </row>
    <row r="1800" spans="1:28" ht="15.75" customHeight="1">
      <c r="A1800" s="827" t="str">
        <f>IF(B1800&lt;&gt;"",IF(AND(B1800&gt;=_TM1,B1800&lt;=_TM2,OR(TH!L1800="1111",TH!M1800="1111")),TH!D1800,""),"")</f>
        <v/>
      </c>
      <c r="B1800" s="36">
        <f t="shared" si="279"/>
        <v>4</v>
      </c>
      <c r="C1800" s="190">
        <f t="shared" si="280"/>
        <v>42489</v>
      </c>
      <c r="D1800" s="190" t="s">
        <v>1599</v>
      </c>
      <c r="E1800" s="190">
        <v>42489</v>
      </c>
      <c r="F1800" s="191" t="s">
        <v>501</v>
      </c>
      <c r="G1800" s="833" t="s">
        <v>669</v>
      </c>
      <c r="H1800" s="192" t="s">
        <v>678</v>
      </c>
      <c r="I1800" s="253">
        <v>50</v>
      </c>
      <c r="J1800" s="253">
        <v>49381</v>
      </c>
      <c r="K1800" s="584">
        <f t="shared" si="282"/>
        <v>2469050</v>
      </c>
      <c r="L1800" s="193" t="s">
        <v>251</v>
      </c>
      <c r="M1800" s="193" t="s">
        <v>164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26"/>
      <c r="AB1800" s="576" t="str">
        <f>IF(VLOOKUP(F1800,NXT!$C$12:$C$786,1,0)=F1800,"","x")</f>
        <v/>
      </c>
    </row>
    <row r="1801" spans="1:28" ht="15.75" customHeight="1">
      <c r="A1801" s="827" t="str">
        <f>IF(B1801&lt;&gt;"",IF(AND(B1801&gt;=_TM1,B1801&lt;=_TM2,OR(TH!L1801="1111",TH!M1801="1111")),TH!D1801,""),"")</f>
        <v/>
      </c>
      <c r="B1801" s="36">
        <f t="shared" si="279"/>
        <v>4</v>
      </c>
      <c r="C1801" s="190">
        <f t="shared" si="280"/>
        <v>42489</v>
      </c>
      <c r="D1801" s="190" t="s">
        <v>1599</v>
      </c>
      <c r="E1801" s="190">
        <v>42489</v>
      </c>
      <c r="F1801" s="191" t="s">
        <v>476</v>
      </c>
      <c r="G1801" s="833" t="s">
        <v>669</v>
      </c>
      <c r="H1801" s="192" t="s">
        <v>678</v>
      </c>
      <c r="I1801" s="253">
        <v>12</v>
      </c>
      <c r="J1801" s="253">
        <v>40664</v>
      </c>
      <c r="K1801" s="584">
        <f t="shared" si="282"/>
        <v>487968</v>
      </c>
      <c r="L1801" s="193" t="s">
        <v>251</v>
      </c>
      <c r="M1801" s="193" t="s">
        <v>164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26"/>
      <c r="AB1801" s="576" t="str">
        <f>IF(VLOOKUP(F1801,NXT!$C$12:$C$786,1,0)=F1801,"","x")</f>
        <v/>
      </c>
    </row>
    <row r="1802" spans="1:28" ht="15.75" customHeight="1">
      <c r="A1802" s="827" t="str">
        <f>IF(B1802&lt;&gt;"",IF(AND(B1802&gt;=_TM1,B1802&lt;=_TM2,OR(TH!L1802="1111",TH!M1802="1111")),TH!D1802,""),"")</f>
        <v/>
      </c>
      <c r="B1802" s="36">
        <f t="shared" si="279"/>
        <v>4</v>
      </c>
      <c r="C1802" s="190">
        <f t="shared" si="280"/>
        <v>42489</v>
      </c>
      <c r="D1802" s="190" t="s">
        <v>1599</v>
      </c>
      <c r="E1802" s="190">
        <v>42489</v>
      </c>
      <c r="F1802" s="191" t="s">
        <v>562</v>
      </c>
      <c r="G1802" s="833" t="s">
        <v>669</v>
      </c>
      <c r="H1802" s="192" t="s">
        <v>678</v>
      </c>
      <c r="I1802" s="253">
        <v>72</v>
      </c>
      <c r="J1802" s="253">
        <v>13320</v>
      </c>
      <c r="K1802" s="584">
        <f t="shared" si="282"/>
        <v>959040</v>
      </c>
      <c r="L1802" s="193" t="s">
        <v>251</v>
      </c>
      <c r="M1802" s="193" t="s">
        <v>164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26"/>
      <c r="AB1802" s="576" t="str">
        <f>IF(VLOOKUP(F1802,NXT!$C$12:$C$786,1,0)=F1802,"","x")</f>
        <v/>
      </c>
    </row>
    <row r="1803" spans="1:28" ht="15.75" customHeight="1">
      <c r="A1803" s="827" t="str">
        <f>IF(B1803&lt;&gt;"",IF(AND(B1803&gt;=_TM1,B1803&lt;=_TM2,OR(TH!L1803="1111",TH!M1803="1111")),TH!D1803,""),"")</f>
        <v/>
      </c>
      <c r="B1803" s="36">
        <f t="shared" si="279"/>
        <v>4</v>
      </c>
      <c r="C1803" s="190">
        <f t="shared" si="280"/>
        <v>42489</v>
      </c>
      <c r="D1803" s="190" t="s">
        <v>1599</v>
      </c>
      <c r="E1803" s="190">
        <v>42489</v>
      </c>
      <c r="F1803" s="191" t="s">
        <v>537</v>
      </c>
      <c r="G1803" s="833" t="s">
        <v>669</v>
      </c>
      <c r="H1803" s="192" t="s">
        <v>678</v>
      </c>
      <c r="I1803" s="253">
        <v>86</v>
      </c>
      <c r="J1803" s="253">
        <v>31624</v>
      </c>
      <c r="K1803" s="584">
        <f t="shared" si="282"/>
        <v>2719664</v>
      </c>
      <c r="L1803" s="193" t="s">
        <v>251</v>
      </c>
      <c r="M1803" s="193" t="s">
        <v>164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26"/>
      <c r="AB1803" s="576" t="str">
        <f>IF(VLOOKUP(F1803,NXT!$C$12:$C$786,1,0)=F1803,"","x")</f>
        <v/>
      </c>
    </row>
    <row r="1804" spans="1:28" ht="15.75" customHeight="1">
      <c r="A1804" s="827" t="str">
        <f>IF(B1804&lt;&gt;"",IF(AND(B1804&gt;=_TM1,B1804&lt;=_TM2,OR(TH!L1804="1111",TH!M1804="1111")),TH!D1804,""),"")</f>
        <v/>
      </c>
      <c r="B1804" s="36">
        <f t="shared" si="279"/>
        <v>4</v>
      </c>
      <c r="C1804" s="190">
        <f t="shared" si="280"/>
        <v>42489</v>
      </c>
      <c r="D1804" s="190" t="s">
        <v>1599</v>
      </c>
      <c r="E1804" s="190">
        <v>42489</v>
      </c>
      <c r="F1804" s="191" t="s">
        <v>497</v>
      </c>
      <c r="G1804" s="833" t="s">
        <v>669</v>
      </c>
      <c r="H1804" s="192" t="s">
        <v>678</v>
      </c>
      <c r="I1804" s="253">
        <v>72</v>
      </c>
      <c r="J1804" s="253">
        <v>35161</v>
      </c>
      <c r="K1804" s="584">
        <f t="shared" si="282"/>
        <v>2531592</v>
      </c>
      <c r="L1804" s="193" t="s">
        <v>251</v>
      </c>
      <c r="M1804" s="193" t="s">
        <v>164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26"/>
      <c r="AB1804" s="576" t="str">
        <f>IF(VLOOKUP(F1804,NXT!$C$12:$C$786,1,0)=F1804,"","x")</f>
        <v/>
      </c>
    </row>
    <row r="1805" spans="1:28" ht="15.75" customHeight="1">
      <c r="A1805" s="827" t="str">
        <f>IF(B1805&lt;&gt;"",IF(AND(B1805&gt;=_TM1,B1805&lt;=_TM2,OR(TH!L1805="1111",TH!M1805="1111")),TH!D1805,""),"")</f>
        <v/>
      </c>
      <c r="B1805" s="36">
        <f t="shared" si="279"/>
        <v>4</v>
      </c>
      <c r="C1805" s="190">
        <f t="shared" si="280"/>
        <v>42489</v>
      </c>
      <c r="D1805" s="190" t="s">
        <v>1599</v>
      </c>
      <c r="E1805" s="190">
        <v>42489</v>
      </c>
      <c r="F1805" s="191" t="s">
        <v>487</v>
      </c>
      <c r="G1805" s="833" t="s">
        <v>669</v>
      </c>
      <c r="H1805" s="192" t="s">
        <v>678</v>
      </c>
      <c r="I1805" s="253">
        <v>42</v>
      </c>
      <c r="J1805" s="253">
        <v>43548</v>
      </c>
      <c r="K1805" s="584">
        <f t="shared" si="282"/>
        <v>1829016</v>
      </c>
      <c r="L1805" s="193" t="s">
        <v>251</v>
      </c>
      <c r="M1805" s="193" t="s">
        <v>164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26"/>
      <c r="AB1805" s="576" t="str">
        <f>IF(VLOOKUP(F1805,NXT!$C$12:$C$786,1,0)=F1805,"","x")</f>
        <v/>
      </c>
    </row>
    <row r="1806" spans="1:28" ht="15.75" customHeight="1">
      <c r="A1806" s="827" t="str">
        <f>IF(B1806&lt;&gt;"",IF(AND(B1806&gt;=_TM1,B1806&lt;=_TM2,OR(TH!L1806="1111",TH!M1806="1111")),TH!D1806,""),"")</f>
        <v/>
      </c>
      <c r="B1806" s="36">
        <f t="shared" si="279"/>
        <v>4</v>
      </c>
      <c r="C1806" s="190">
        <f t="shared" si="280"/>
        <v>42489</v>
      </c>
      <c r="D1806" s="190" t="s">
        <v>1599</v>
      </c>
      <c r="E1806" s="190">
        <v>42489</v>
      </c>
      <c r="F1806" s="191" t="s">
        <v>488</v>
      </c>
      <c r="G1806" s="833" t="s">
        <v>669</v>
      </c>
      <c r="H1806" s="192" t="s">
        <v>678</v>
      </c>
      <c r="I1806" s="253">
        <v>42</v>
      </c>
      <c r="J1806" s="253">
        <v>55357</v>
      </c>
      <c r="K1806" s="584">
        <f t="shared" si="282"/>
        <v>2324994</v>
      </c>
      <c r="L1806" s="193" t="s">
        <v>251</v>
      </c>
      <c r="M1806" s="193" t="s">
        <v>164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26"/>
      <c r="AB1806" s="576" t="str">
        <f>IF(VLOOKUP(F1806,NXT!$C$12:$C$786,1,0)=F1806,"","x")</f>
        <v/>
      </c>
    </row>
    <row r="1807" spans="1:28" ht="15.75" customHeight="1">
      <c r="A1807" s="827" t="str">
        <f>IF(B1807&lt;&gt;"",IF(AND(B1807&gt;=_TM1,B1807&lt;=_TM2,OR(TH!L1807="1111",TH!M1807="1111")),TH!D1807,""),"")</f>
        <v/>
      </c>
      <c r="B1807" s="36">
        <f t="shared" si="279"/>
        <v>4</v>
      </c>
      <c r="C1807" s="190">
        <f t="shared" si="280"/>
        <v>42489</v>
      </c>
      <c r="D1807" s="190" t="s">
        <v>1599</v>
      </c>
      <c r="E1807" s="190">
        <v>42489</v>
      </c>
      <c r="F1807" s="191" t="s">
        <v>571</v>
      </c>
      <c r="G1807" s="833" t="s">
        <v>669</v>
      </c>
      <c r="H1807" s="192" t="s">
        <v>678</v>
      </c>
      <c r="I1807" s="253">
        <v>5</v>
      </c>
      <c r="J1807" s="253">
        <v>28509</v>
      </c>
      <c r="K1807" s="584">
        <f t="shared" si="282"/>
        <v>142545</v>
      </c>
      <c r="L1807" s="193" t="s">
        <v>251</v>
      </c>
      <c r="M1807" s="193" t="s">
        <v>164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26"/>
      <c r="AB1807" s="576" t="str">
        <f>IF(VLOOKUP(F1807,NXT!$C$12:$C$786,1,0)=F1807,"","x")</f>
        <v/>
      </c>
    </row>
    <row r="1808" spans="1:28" ht="15.75" customHeight="1">
      <c r="A1808" s="827" t="str">
        <f>IF(B1808&lt;&gt;"",IF(AND(B1808&gt;=_TM1,B1808&lt;=_TM2,OR(TH!L1808="1111",TH!M1808="1111")),TH!D1808,""),"")</f>
        <v/>
      </c>
      <c r="B1808" s="36">
        <f t="shared" si="279"/>
        <v>4</v>
      </c>
      <c r="C1808" s="190">
        <f t="shared" si="280"/>
        <v>42489</v>
      </c>
      <c r="D1808" s="190" t="s">
        <v>1599</v>
      </c>
      <c r="E1808" s="190">
        <v>42489</v>
      </c>
      <c r="F1808" s="191" t="s">
        <v>499</v>
      </c>
      <c r="G1808" s="833" t="s">
        <v>669</v>
      </c>
      <c r="H1808" s="192" t="s">
        <v>678</v>
      </c>
      <c r="I1808" s="253">
        <v>27</v>
      </c>
      <c r="J1808" s="253">
        <v>34732</v>
      </c>
      <c r="K1808" s="584">
        <f t="shared" si="282"/>
        <v>937764</v>
      </c>
      <c r="L1808" s="193" t="s">
        <v>251</v>
      </c>
      <c r="M1808" s="193" t="s">
        <v>164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26"/>
      <c r="AB1808" s="576" t="str">
        <f>IF(VLOOKUP(F1808,NXT!$C$12:$C$786,1,0)=F1808,"","x")</f>
        <v/>
      </c>
    </row>
    <row r="1809" spans="1:28" ht="15.75" customHeight="1">
      <c r="A1809" s="827" t="str">
        <f>IF(B1809&lt;&gt;"",IF(AND(B1809&gt;=_TM1,B1809&lt;=_TM2,OR(TH!L1809="1111",TH!M1809="1111")),TH!D1809,""),"")</f>
        <v/>
      </c>
      <c r="B1809" s="36">
        <f t="shared" ref="B1809:B1872" si="283">IF(C1809&lt;&gt;"",MONTH(C1809),"")</f>
        <v>4</v>
      </c>
      <c r="C1809" s="190">
        <f t="shared" ref="C1809:C1872" si="284">E1809</f>
        <v>42489</v>
      </c>
      <c r="D1809" s="190" t="s">
        <v>1599</v>
      </c>
      <c r="E1809" s="190">
        <v>42489</v>
      </c>
      <c r="F1809" s="191" t="s">
        <v>546</v>
      </c>
      <c r="G1809" s="833" t="s">
        <v>669</v>
      </c>
      <c r="H1809" s="192" t="s">
        <v>678</v>
      </c>
      <c r="I1809" s="253">
        <v>20</v>
      </c>
      <c r="J1809" s="253">
        <v>39350</v>
      </c>
      <c r="K1809" s="584">
        <f t="shared" ref="K1809:K1815" si="285">ROUND(I1809*J1809,0)</f>
        <v>787000</v>
      </c>
      <c r="L1809" s="193" t="s">
        <v>251</v>
      </c>
      <c r="M1809" s="193" t="s">
        <v>164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26"/>
      <c r="AB1809" s="576" t="str">
        <f>IF(VLOOKUP(F1809,NXT!$C$12:$C$786,1,0)=F1809,"","x")</f>
        <v/>
      </c>
    </row>
    <row r="1810" spans="1:28" ht="15.75" customHeight="1">
      <c r="A1810" s="827" t="str">
        <f>IF(B1810&lt;&gt;"",IF(AND(B1810&gt;=_TM1,B1810&lt;=_TM2,OR(TH!L1810="1111",TH!M1810="1111")),TH!D1810,""),"")</f>
        <v/>
      </c>
      <c r="B1810" s="36">
        <f t="shared" si="283"/>
        <v>4</v>
      </c>
      <c r="C1810" s="190">
        <f t="shared" si="284"/>
        <v>42489</v>
      </c>
      <c r="D1810" s="190" t="s">
        <v>1599</v>
      </c>
      <c r="E1810" s="190">
        <v>42489</v>
      </c>
      <c r="F1810" s="191" t="s">
        <v>462</v>
      </c>
      <c r="G1810" s="833" t="s">
        <v>669</v>
      </c>
      <c r="H1810" s="192" t="s">
        <v>678</v>
      </c>
      <c r="I1810" s="253">
        <v>144</v>
      </c>
      <c r="J1810" s="253">
        <v>48287</v>
      </c>
      <c r="K1810" s="584">
        <f t="shared" si="285"/>
        <v>6953328</v>
      </c>
      <c r="L1810" s="193" t="s">
        <v>251</v>
      </c>
      <c r="M1810" s="193" t="s">
        <v>164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26"/>
      <c r="AB1810" s="576" t="str">
        <f>IF(VLOOKUP(F1810,NXT!$C$12:$C$786,1,0)=F1810,"","x")</f>
        <v/>
      </c>
    </row>
    <row r="1811" spans="1:28" ht="15.75" customHeight="1">
      <c r="A1811" s="827" t="str">
        <f>IF(B1811&lt;&gt;"",IF(AND(B1811&gt;=_TM1,B1811&lt;=_TM2,OR(TH!L1811="1111",TH!M1811="1111")),TH!D1811,""),"")</f>
        <v/>
      </c>
      <c r="B1811" s="36">
        <f t="shared" si="283"/>
        <v>4</v>
      </c>
      <c r="C1811" s="190">
        <f t="shared" si="284"/>
        <v>42489</v>
      </c>
      <c r="D1811" s="190" t="s">
        <v>1599</v>
      </c>
      <c r="E1811" s="190">
        <v>42489</v>
      </c>
      <c r="F1811" s="191" t="s">
        <v>484</v>
      </c>
      <c r="G1811" s="833" t="s">
        <v>669</v>
      </c>
      <c r="H1811" s="192" t="s">
        <v>678</v>
      </c>
      <c r="I1811" s="253">
        <v>9</v>
      </c>
      <c r="J1811" s="253">
        <v>23751</v>
      </c>
      <c r="K1811" s="584">
        <f t="shared" si="285"/>
        <v>213759</v>
      </c>
      <c r="L1811" s="193" t="s">
        <v>251</v>
      </c>
      <c r="M1811" s="193" t="s">
        <v>164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26"/>
      <c r="AB1811" s="576" t="str">
        <f>IF(VLOOKUP(F1811,NXT!$C$12:$C$786,1,0)=F1811,"","x")</f>
        <v/>
      </c>
    </row>
    <row r="1812" spans="1:28" ht="15.75" customHeight="1">
      <c r="A1812" s="827" t="str">
        <f>IF(B1812&lt;&gt;"",IF(AND(B1812&gt;=_TM1,B1812&lt;=_TM2,OR(TH!L1812="1111",TH!M1812="1111")),TH!D1812,""),"")</f>
        <v/>
      </c>
      <c r="B1812" s="36">
        <f t="shared" si="283"/>
        <v>4</v>
      </c>
      <c r="C1812" s="190">
        <f t="shared" si="284"/>
        <v>42489</v>
      </c>
      <c r="D1812" s="190" t="s">
        <v>1599</v>
      </c>
      <c r="E1812" s="190">
        <v>42489</v>
      </c>
      <c r="F1812" s="191" t="s">
        <v>489</v>
      </c>
      <c r="G1812" s="833" t="s">
        <v>669</v>
      </c>
      <c r="H1812" s="192" t="s">
        <v>678</v>
      </c>
      <c r="I1812" s="253">
        <v>42</v>
      </c>
      <c r="J1812" s="253">
        <v>37424</v>
      </c>
      <c r="K1812" s="584">
        <f t="shared" si="285"/>
        <v>1571808</v>
      </c>
      <c r="L1812" s="193" t="s">
        <v>251</v>
      </c>
      <c r="M1812" s="193" t="s">
        <v>164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26"/>
      <c r="AB1812" s="576" t="str">
        <f>IF(VLOOKUP(F1812,NXT!$C$12:$C$786,1,0)=F1812,"","x")</f>
        <v/>
      </c>
    </row>
    <row r="1813" spans="1:28" ht="15.75" customHeight="1">
      <c r="A1813" s="827" t="str">
        <f>IF(B1813&lt;&gt;"",IF(AND(B1813&gt;=_TM1,B1813&lt;=_TM2,OR(TH!L1813="1111",TH!M1813="1111")),TH!D1813,""),"")</f>
        <v/>
      </c>
      <c r="B1813" s="36">
        <f t="shared" si="283"/>
        <v>4</v>
      </c>
      <c r="C1813" s="190">
        <f t="shared" si="284"/>
        <v>42489</v>
      </c>
      <c r="D1813" s="190" t="s">
        <v>1599</v>
      </c>
      <c r="E1813" s="190">
        <v>42489</v>
      </c>
      <c r="F1813" s="191" t="s">
        <v>477</v>
      </c>
      <c r="G1813" s="833" t="s">
        <v>669</v>
      </c>
      <c r="H1813" s="192" t="s">
        <v>678</v>
      </c>
      <c r="I1813" s="253">
        <v>350</v>
      </c>
      <c r="J1813" s="253">
        <v>64988</v>
      </c>
      <c r="K1813" s="584">
        <f t="shared" si="285"/>
        <v>22745800</v>
      </c>
      <c r="L1813" s="193" t="s">
        <v>251</v>
      </c>
      <c r="M1813" s="193" t="s">
        <v>164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26"/>
      <c r="AB1813" s="576" t="str">
        <f>IF(VLOOKUP(F1813,NXT!$C$12:$C$786,1,0)=F1813,"","x")</f>
        <v/>
      </c>
    </row>
    <row r="1814" spans="1:28" ht="15.75" customHeight="1">
      <c r="A1814" s="827" t="str">
        <f>IF(B1814&lt;&gt;"",IF(AND(B1814&gt;=_TM1,B1814&lt;=_TM2,OR(TH!L1814="1111",TH!M1814="1111")),TH!D1814,""),"")</f>
        <v/>
      </c>
      <c r="B1814" s="36">
        <f t="shared" si="283"/>
        <v>4</v>
      </c>
      <c r="C1814" s="190">
        <f t="shared" si="284"/>
        <v>42489</v>
      </c>
      <c r="D1814" s="190" t="s">
        <v>1599</v>
      </c>
      <c r="E1814" s="190">
        <v>42489</v>
      </c>
      <c r="F1814" s="191" t="s">
        <v>538</v>
      </c>
      <c r="G1814" s="833" t="s">
        <v>669</v>
      </c>
      <c r="H1814" s="192" t="s">
        <v>678</v>
      </c>
      <c r="I1814" s="253">
        <v>76</v>
      </c>
      <c r="J1814" s="253">
        <v>71296</v>
      </c>
      <c r="K1814" s="584">
        <f t="shared" si="285"/>
        <v>5418496</v>
      </c>
      <c r="L1814" s="193" t="s">
        <v>251</v>
      </c>
      <c r="M1814" s="193" t="s">
        <v>164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26"/>
      <c r="AB1814" s="576" t="str">
        <f>IF(VLOOKUP(F1814,NXT!$C$12:$C$786,1,0)=F1814,"","x")</f>
        <v/>
      </c>
    </row>
    <row r="1815" spans="1:28" ht="15.75" customHeight="1">
      <c r="A1815" s="827" t="str">
        <f>IF(B1815&lt;&gt;"",IF(AND(B1815&gt;=_TM1,B1815&lt;=_TM2,OR(TH!L1815="1111",TH!M1815="1111")),TH!D1815,""),"")</f>
        <v/>
      </c>
      <c r="B1815" s="36">
        <f t="shared" si="283"/>
        <v>4</v>
      </c>
      <c r="C1815" s="190">
        <f t="shared" si="284"/>
        <v>42489</v>
      </c>
      <c r="D1815" s="190" t="s">
        <v>1599</v>
      </c>
      <c r="E1815" s="190">
        <v>42489</v>
      </c>
      <c r="F1815" s="191" t="s">
        <v>671</v>
      </c>
      <c r="G1815" s="833" t="s">
        <v>669</v>
      </c>
      <c r="H1815" s="192" t="s">
        <v>678</v>
      </c>
      <c r="I1815" s="253">
        <v>20</v>
      </c>
      <c r="J1815" s="253">
        <v>123283</v>
      </c>
      <c r="K1815" s="584">
        <f t="shared" si="285"/>
        <v>2465660</v>
      </c>
      <c r="L1815" s="193" t="s">
        <v>251</v>
      </c>
      <c r="M1815" s="193" t="s">
        <v>164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26"/>
      <c r="AB1815" s="576" t="str">
        <f>IF(VLOOKUP(F1815,NXT!$C$12:$C$786,1,0)=F1815,"","x")</f>
        <v/>
      </c>
    </row>
    <row r="1816" spans="1:28" ht="15.75" customHeight="1">
      <c r="A1816" s="827" t="str">
        <f>IF(B1816&lt;&gt;"",IF(AND(B1816&gt;=_TM1,B1816&lt;=_TM2,OR(TH!L1816="1111",TH!M1816="1111")),TH!D1816,""),"")</f>
        <v/>
      </c>
      <c r="B1816" s="36">
        <f t="shared" si="283"/>
        <v>4</v>
      </c>
      <c r="C1816" s="190">
        <f t="shared" si="284"/>
        <v>42489</v>
      </c>
      <c r="D1816" s="190" t="s">
        <v>1599</v>
      </c>
      <c r="E1816" s="190">
        <v>42489</v>
      </c>
      <c r="F1816" s="191" t="s">
        <v>461</v>
      </c>
      <c r="G1816" s="833" t="s">
        <v>669</v>
      </c>
      <c r="H1816" s="192" t="s">
        <v>678</v>
      </c>
      <c r="I1816" s="253"/>
      <c r="J1816" s="253"/>
      <c r="K1816" s="584">
        <v>12901720.4</v>
      </c>
      <c r="L1816" s="193" t="s">
        <v>251</v>
      </c>
      <c r="M1816" s="193" t="s">
        <v>354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26"/>
      <c r="AB1816" s="576"/>
    </row>
    <row r="1817" spans="1:28" ht="15.75" customHeight="1">
      <c r="A1817" s="827" t="str">
        <f>IF(B1817&lt;&gt;"",IF(AND(B1817&gt;=_TM1,B1817&lt;=_TM2,OR(TH!L1817="1111",TH!M1817="1111")),TH!D1817,""),"")</f>
        <v/>
      </c>
      <c r="B1817" s="36">
        <f t="shared" si="283"/>
        <v>5</v>
      </c>
      <c r="C1817" s="190">
        <f t="shared" si="284"/>
        <v>42499</v>
      </c>
      <c r="D1817" s="190" t="s">
        <v>1600</v>
      </c>
      <c r="E1817" s="190">
        <v>42499</v>
      </c>
      <c r="F1817" s="191" t="s">
        <v>656</v>
      </c>
      <c r="G1817" s="833" t="s">
        <v>676</v>
      </c>
      <c r="H1817" s="192" t="s">
        <v>630</v>
      </c>
      <c r="I1817" s="253">
        <v>1107</v>
      </c>
      <c r="J1817" s="253">
        <v>4460</v>
      </c>
      <c r="K1817" s="584">
        <f>ROUND(I1817*J1817,0)</f>
        <v>4937220</v>
      </c>
      <c r="L1817" s="193" t="s">
        <v>251</v>
      </c>
      <c r="M1817" s="193" t="s">
        <v>164</v>
      </c>
      <c r="N1817" s="52" t="str">
        <f>IF(AND('331-CT'!$E$7=TH!H1817,OR(L1817="331",M1817="331")),"331",IF(AND(OR(L1817="131",M1817="131"),H1817='131-CT'!$E$7),"131",""))</f>
        <v>131</v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26"/>
      <c r="AB1817" s="576" t="str">
        <f>IF(VLOOKUP(F1817,NXT!$C$12:$C$786,1,0)=F1817,"","x")</f>
        <v/>
      </c>
    </row>
    <row r="1818" spans="1:28" ht="15.75" customHeight="1">
      <c r="A1818" s="827" t="str">
        <f>IF(B1818&lt;&gt;"",IF(AND(B1818&gt;=_TM1,B1818&lt;=_TM2,OR(TH!L1818="1111",TH!M1818="1111")),TH!D1818,""),"")</f>
        <v/>
      </c>
      <c r="B1818" s="36">
        <f t="shared" si="283"/>
        <v>5</v>
      </c>
      <c r="C1818" s="190">
        <f t="shared" si="284"/>
        <v>42499</v>
      </c>
      <c r="D1818" s="190" t="s">
        <v>1600</v>
      </c>
      <c r="E1818" s="190">
        <v>42499</v>
      </c>
      <c r="F1818" s="191" t="s">
        <v>461</v>
      </c>
      <c r="G1818" s="833" t="s">
        <v>676</v>
      </c>
      <c r="H1818" s="192" t="s">
        <v>630</v>
      </c>
      <c r="I1818" s="253"/>
      <c r="J1818" s="253"/>
      <c r="K1818" s="584">
        <v>493722</v>
      </c>
      <c r="L1818" s="193" t="s">
        <v>251</v>
      </c>
      <c r="M1818" s="193" t="s">
        <v>354</v>
      </c>
      <c r="N1818" s="52" t="str">
        <f>IF(AND('331-CT'!$E$7=TH!H1818,OR(L1818="331",M1818="331")),"331",IF(AND(OR(L1818="131",M1818="131"),H1818='131-CT'!$E$7),"131",""))</f>
        <v>131</v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26"/>
      <c r="AB1818" s="576"/>
    </row>
    <row r="1819" spans="1:28" ht="15.75" customHeight="1">
      <c r="A1819" s="827" t="str">
        <f>IF(B1819&lt;&gt;"",IF(AND(B1819&gt;=_TM1,B1819&lt;=_TM2,OR(TH!L1819="1111",TH!M1819="1111")),TH!D1819,""),"")</f>
        <v/>
      </c>
      <c r="B1819" s="36">
        <f t="shared" si="283"/>
        <v>5</v>
      </c>
      <c r="C1819" s="190">
        <f t="shared" si="284"/>
        <v>42502</v>
      </c>
      <c r="D1819" s="190"/>
      <c r="E1819" s="190">
        <v>42502</v>
      </c>
      <c r="F1819" s="191" t="s">
        <v>621</v>
      </c>
      <c r="G1819" s="833" t="s">
        <v>684</v>
      </c>
      <c r="H1819" s="825" t="s">
        <v>626</v>
      </c>
      <c r="I1819" s="253"/>
      <c r="J1819" s="253"/>
      <c r="K1819" s="584">
        <v>1000000</v>
      </c>
      <c r="L1819" s="193" t="s">
        <v>47</v>
      </c>
      <c r="M1819" s="193" t="s">
        <v>623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26"/>
      <c r="AB1819" s="576"/>
    </row>
    <row r="1820" spans="1:28" ht="15.75" customHeight="1">
      <c r="A1820" s="827" t="str">
        <f>IF(B1820&lt;&gt;"",IF(AND(B1820&gt;=_TM1,B1820&lt;=_TM2,OR(TH!L1820="1111",TH!M1820="1111")),TH!D1820,""),"")</f>
        <v/>
      </c>
      <c r="B1820" s="36">
        <f t="shared" si="283"/>
        <v>5</v>
      </c>
      <c r="C1820" s="190">
        <f t="shared" si="284"/>
        <v>42502</v>
      </c>
      <c r="D1820" s="190"/>
      <c r="E1820" s="190">
        <v>42502</v>
      </c>
      <c r="F1820" s="191" t="s">
        <v>622</v>
      </c>
      <c r="G1820" s="833" t="s">
        <v>684</v>
      </c>
      <c r="H1820" s="825" t="s">
        <v>626</v>
      </c>
      <c r="I1820" s="253"/>
      <c r="J1820" s="253"/>
      <c r="K1820" s="584">
        <v>100000</v>
      </c>
      <c r="L1820" s="193" t="s">
        <v>47</v>
      </c>
      <c r="M1820" s="193" t="s">
        <v>354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26"/>
      <c r="AB1820" s="576"/>
    </row>
    <row r="1821" spans="1:28" ht="15.75" customHeight="1">
      <c r="A1821" s="827" t="str">
        <f>IF(B1821&lt;&gt;"",IF(AND(B1821&gt;=_TM1,B1821&lt;=_TM2,OR(TH!L1821="1111",TH!M1821="1111")),TH!D1821,""),"")</f>
        <v/>
      </c>
      <c r="B1821" s="36">
        <f t="shared" si="283"/>
        <v>5</v>
      </c>
      <c r="C1821" s="190">
        <f t="shared" si="284"/>
        <v>42502</v>
      </c>
      <c r="D1821" s="190" t="s">
        <v>1601</v>
      </c>
      <c r="E1821" s="190">
        <v>42502</v>
      </c>
      <c r="F1821" s="191" t="s">
        <v>479</v>
      </c>
      <c r="G1821" s="833" t="s">
        <v>685</v>
      </c>
      <c r="H1821" s="764" t="s">
        <v>639</v>
      </c>
      <c r="I1821" s="253">
        <v>380</v>
      </c>
      <c r="J1821" s="253">
        <v>8030</v>
      </c>
      <c r="K1821" s="584">
        <f>ROUND(I1821*J1821,0)</f>
        <v>3051400</v>
      </c>
      <c r="L1821" s="193" t="s">
        <v>251</v>
      </c>
      <c r="M1821" s="193" t="s">
        <v>164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26"/>
      <c r="AB1821" s="576" t="str">
        <f>IF(VLOOKUP(F1821,NXT!$C$12:$C$786,1,0)=F1821,"","x")</f>
        <v/>
      </c>
    </row>
    <row r="1822" spans="1:28" ht="15.75" customHeight="1">
      <c r="A1822" s="827" t="str">
        <f>IF(B1822&lt;&gt;"",IF(AND(B1822&gt;=_TM1,B1822&lt;=_TM2,OR(TH!L1822="1111",TH!M1822="1111")),TH!D1822,""),"")</f>
        <v/>
      </c>
      <c r="B1822" s="36">
        <f t="shared" si="283"/>
        <v>5</v>
      </c>
      <c r="C1822" s="190">
        <f t="shared" si="284"/>
        <v>42502</v>
      </c>
      <c r="D1822" s="190" t="s">
        <v>1601</v>
      </c>
      <c r="E1822" s="190">
        <v>42502</v>
      </c>
      <c r="F1822" s="191" t="s">
        <v>461</v>
      </c>
      <c r="G1822" s="833" t="s">
        <v>685</v>
      </c>
      <c r="H1822" s="764" t="s">
        <v>639</v>
      </c>
      <c r="I1822" s="253"/>
      <c r="J1822" s="253"/>
      <c r="K1822" s="584">
        <v>305140</v>
      </c>
      <c r="L1822" s="193" t="s">
        <v>251</v>
      </c>
      <c r="M1822" s="193" t="s">
        <v>354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26"/>
      <c r="AB1822" s="576"/>
    </row>
    <row r="1823" spans="1:28" ht="15.75" customHeight="1">
      <c r="A1823" s="827" t="str">
        <f>IF(B1823&lt;&gt;"",IF(AND(B1823&gt;=_TM1,B1823&lt;=_TM2,OR(TH!L1823="1111",TH!M1823="1111")),TH!D1823,""),"")</f>
        <v/>
      </c>
      <c r="B1823" s="36">
        <f t="shared" si="283"/>
        <v>5</v>
      </c>
      <c r="C1823" s="190">
        <f t="shared" si="284"/>
        <v>42502</v>
      </c>
      <c r="D1823" s="190" t="s">
        <v>1602</v>
      </c>
      <c r="E1823" s="190">
        <v>42502</v>
      </c>
      <c r="F1823" s="191" t="s">
        <v>627</v>
      </c>
      <c r="G1823" s="833" t="s">
        <v>686</v>
      </c>
      <c r="H1823" s="192" t="s">
        <v>630</v>
      </c>
      <c r="I1823" s="253">
        <v>1097</v>
      </c>
      <c r="J1823" s="253">
        <v>6519</v>
      </c>
      <c r="K1823" s="584">
        <f>ROUND(I1823*J1823,0)</f>
        <v>7151343</v>
      </c>
      <c r="L1823" s="193" t="s">
        <v>251</v>
      </c>
      <c r="M1823" s="193" t="s">
        <v>164</v>
      </c>
      <c r="N1823" s="52" t="str">
        <f>IF(AND('331-CT'!$E$7=TH!H1823,OR(L1823="331",M1823="331")),"331",IF(AND(OR(L1823="131",M1823="131"),H1823='131-CT'!$E$7),"131",""))</f>
        <v>131</v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26"/>
      <c r="AB1823" s="576" t="str">
        <f>IF(VLOOKUP(F1823,NXT!$C$12:$C$786,1,0)=F1823,"","x")</f>
        <v/>
      </c>
    </row>
    <row r="1824" spans="1:28" ht="15.75" customHeight="1">
      <c r="A1824" s="827" t="str">
        <f>IF(B1824&lt;&gt;"",IF(AND(B1824&gt;=_TM1,B1824&lt;=_TM2,OR(TH!L1824="1111",TH!M1824="1111")),TH!D1824,""),"")</f>
        <v/>
      </c>
      <c r="B1824" s="36">
        <f t="shared" si="283"/>
        <v>5</v>
      </c>
      <c r="C1824" s="190">
        <f t="shared" si="284"/>
        <v>42502</v>
      </c>
      <c r="D1824" s="190" t="s">
        <v>1602</v>
      </c>
      <c r="E1824" s="190">
        <v>42502</v>
      </c>
      <c r="F1824" s="191" t="s">
        <v>461</v>
      </c>
      <c r="G1824" s="833" t="s">
        <v>686</v>
      </c>
      <c r="H1824" s="192" t="s">
        <v>630</v>
      </c>
      <c r="I1824" s="253"/>
      <c r="J1824" s="253"/>
      <c r="K1824" s="584">
        <v>715134</v>
      </c>
      <c r="L1824" s="193" t="s">
        <v>251</v>
      </c>
      <c r="M1824" s="193" t="s">
        <v>354</v>
      </c>
      <c r="N1824" s="52" t="str">
        <f>IF(AND('331-CT'!$E$7=TH!H1824,OR(L1824="331",M1824="331")),"331",IF(AND(OR(L1824="131",M1824="131"),H1824='131-CT'!$E$7),"131",""))</f>
        <v>131</v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26"/>
      <c r="AB1824" s="576"/>
    </row>
    <row r="1825" spans="1:28" ht="15.75" customHeight="1">
      <c r="A1825" s="827" t="str">
        <f>IF(B1825&lt;&gt;"",IF(AND(B1825&gt;=_TM1,B1825&lt;=_TM2,OR(TH!L1825="1111",TH!M1825="1111")),TH!D1825,""),"")</f>
        <v/>
      </c>
      <c r="B1825" s="36">
        <f t="shared" si="283"/>
        <v>5</v>
      </c>
      <c r="C1825" s="190">
        <f t="shared" si="284"/>
        <v>42513</v>
      </c>
      <c r="D1825" s="190" t="s">
        <v>1603</v>
      </c>
      <c r="E1825" s="190">
        <v>42513</v>
      </c>
      <c r="F1825" s="191" t="s">
        <v>656</v>
      </c>
      <c r="G1825" s="833" t="s">
        <v>687</v>
      </c>
      <c r="H1825" s="192" t="s">
        <v>636</v>
      </c>
      <c r="I1825" s="253">
        <v>393</v>
      </c>
      <c r="J1825" s="253">
        <v>4458</v>
      </c>
      <c r="K1825" s="584">
        <f>ROUND(I1825*J1825,0)</f>
        <v>1751994</v>
      </c>
      <c r="L1825" s="193" t="s">
        <v>251</v>
      </c>
      <c r="M1825" s="193" t="s">
        <v>164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26"/>
      <c r="AB1825" s="576" t="str">
        <f>IF(VLOOKUP(F1825,NXT!$C$12:$C$786,1,0)=F1825,"","x")</f>
        <v/>
      </c>
    </row>
    <row r="1826" spans="1:28" ht="15.75" customHeight="1">
      <c r="A1826" s="827" t="str">
        <f>IF(B1826&lt;&gt;"",IF(AND(B1826&gt;=_TM1,B1826&lt;=_TM2,OR(TH!L1826="1111",TH!M1826="1111")),TH!D1826,""),"")</f>
        <v/>
      </c>
      <c r="B1826" s="36">
        <f t="shared" si="283"/>
        <v>5</v>
      </c>
      <c r="C1826" s="190">
        <f t="shared" si="284"/>
        <v>42513</v>
      </c>
      <c r="D1826" s="190" t="s">
        <v>1603</v>
      </c>
      <c r="E1826" s="190">
        <v>42513</v>
      </c>
      <c r="F1826" s="191" t="s">
        <v>461</v>
      </c>
      <c r="G1826" s="833" t="s">
        <v>687</v>
      </c>
      <c r="H1826" s="192" t="s">
        <v>636</v>
      </c>
      <c r="I1826" s="253"/>
      <c r="J1826" s="253"/>
      <c r="K1826" s="584">
        <v>175199</v>
      </c>
      <c r="L1826" s="193" t="s">
        <v>251</v>
      </c>
      <c r="M1826" s="193" t="s">
        <v>354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26"/>
      <c r="AB1826" s="576"/>
    </row>
    <row r="1827" spans="1:28" ht="15.75" customHeight="1">
      <c r="A1827" s="827" t="str">
        <f>IF(B1827&lt;&gt;"",IF(AND(B1827&gt;=_TM1,B1827&lt;=_TM2,OR(TH!L1827="1111",TH!M1827="1111")),TH!D1827,""),"")</f>
        <v/>
      </c>
      <c r="B1827" s="36">
        <f t="shared" si="283"/>
        <v>5</v>
      </c>
      <c r="C1827" s="190">
        <f t="shared" si="284"/>
        <v>42515</v>
      </c>
      <c r="D1827" s="190" t="s">
        <v>1604</v>
      </c>
      <c r="E1827" s="190">
        <v>42515</v>
      </c>
      <c r="F1827" s="191" t="s">
        <v>690</v>
      </c>
      <c r="G1827" s="833" t="s">
        <v>688</v>
      </c>
      <c r="H1827" s="192" t="s">
        <v>689</v>
      </c>
      <c r="I1827" s="253">
        <v>200</v>
      </c>
      <c r="J1827" s="253">
        <v>6000</v>
      </c>
      <c r="K1827" s="584">
        <f>ROUND(I1827*J1827,0)</f>
        <v>1200000</v>
      </c>
      <c r="L1827" s="193" t="s">
        <v>251</v>
      </c>
      <c r="M1827" s="193" t="s">
        <v>164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26"/>
      <c r="AB1827" s="576" t="str">
        <f>IF(VLOOKUP(F1827,NXT!$C$12:$C$786,1,0)=F1827,"","x")</f>
        <v/>
      </c>
    </row>
    <row r="1828" spans="1:28" ht="15.75" customHeight="1">
      <c r="A1828" s="827" t="str">
        <f>IF(B1828&lt;&gt;"",IF(AND(B1828&gt;=_TM1,B1828&lt;=_TM2,OR(TH!L1828="1111",TH!M1828="1111")),TH!D1828,""),"")</f>
        <v/>
      </c>
      <c r="B1828" s="36">
        <f t="shared" si="283"/>
        <v>5</v>
      </c>
      <c r="C1828" s="190">
        <f t="shared" si="284"/>
        <v>42515</v>
      </c>
      <c r="D1828" s="190" t="s">
        <v>1604</v>
      </c>
      <c r="E1828" s="190">
        <v>42515</v>
      </c>
      <c r="F1828" s="191" t="s">
        <v>461</v>
      </c>
      <c r="G1828" s="833" t="s">
        <v>688</v>
      </c>
      <c r="H1828" s="192" t="s">
        <v>689</v>
      </c>
      <c r="I1828" s="253"/>
      <c r="J1828" s="253"/>
      <c r="K1828" s="584">
        <v>120000</v>
      </c>
      <c r="L1828" s="193" t="s">
        <v>251</v>
      </c>
      <c r="M1828" s="193" t="s">
        <v>354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26"/>
      <c r="AB1828" s="576"/>
    </row>
    <row r="1829" spans="1:28" ht="15.75" customHeight="1">
      <c r="A1829" s="827" t="str">
        <f>IF(B1829&lt;&gt;"",IF(AND(B1829&gt;=_TM1,B1829&lt;=_TM2,OR(TH!L1829="1111",TH!M1829="1111")),TH!D1829,""),"")</f>
        <v/>
      </c>
      <c r="B1829" s="36">
        <f t="shared" si="283"/>
        <v>5</v>
      </c>
      <c r="C1829" s="190">
        <f t="shared" si="284"/>
        <v>42516</v>
      </c>
      <c r="D1829" s="190" t="s">
        <v>1605</v>
      </c>
      <c r="E1829" s="190">
        <v>42516</v>
      </c>
      <c r="F1829" s="191" t="s">
        <v>627</v>
      </c>
      <c r="G1829" s="833" t="s">
        <v>691</v>
      </c>
      <c r="H1829" s="192" t="s">
        <v>630</v>
      </c>
      <c r="I1829" s="253">
        <v>1392</v>
      </c>
      <c r="J1829" s="253">
        <v>6519</v>
      </c>
      <c r="K1829" s="584">
        <f>ROUND(I1829*J1829,0)</f>
        <v>9074448</v>
      </c>
      <c r="L1829" s="193" t="s">
        <v>251</v>
      </c>
      <c r="M1829" s="193" t="s">
        <v>164</v>
      </c>
      <c r="N1829" s="52" t="str">
        <f>IF(AND('331-CT'!$E$7=TH!H1829,OR(L1829="331",M1829="331")),"331",IF(AND(OR(L1829="131",M1829="131"),H1829='131-CT'!$E$7),"131",""))</f>
        <v>131</v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26"/>
      <c r="AB1829" s="576" t="str">
        <f>IF(VLOOKUP(F1829,NXT!$C$12:$C$786,1,0)=F1829,"","x")</f>
        <v/>
      </c>
    </row>
    <row r="1830" spans="1:28" ht="15.75" customHeight="1">
      <c r="A1830" s="827" t="str">
        <f>IF(B1830&lt;&gt;"",IF(AND(B1830&gt;=_TM1,B1830&lt;=_TM2,OR(TH!L1830="1111",TH!M1830="1111")),TH!D1830,""),"")</f>
        <v/>
      </c>
      <c r="B1830" s="36">
        <f t="shared" si="283"/>
        <v>5</v>
      </c>
      <c r="C1830" s="190">
        <f t="shared" si="284"/>
        <v>42516</v>
      </c>
      <c r="D1830" s="190" t="s">
        <v>1605</v>
      </c>
      <c r="E1830" s="190">
        <v>42516</v>
      </c>
      <c r="F1830" s="191" t="s">
        <v>461</v>
      </c>
      <c r="G1830" s="833" t="s">
        <v>691</v>
      </c>
      <c r="H1830" s="192" t="s">
        <v>630</v>
      </c>
      <c r="I1830" s="253"/>
      <c r="J1830" s="253"/>
      <c r="K1830" s="584">
        <v>907445</v>
      </c>
      <c r="L1830" s="193" t="s">
        <v>251</v>
      </c>
      <c r="M1830" s="193" t="s">
        <v>354</v>
      </c>
      <c r="N1830" s="52" t="str">
        <f>IF(AND('331-CT'!$E$7=TH!H1830,OR(L1830="331",M1830="331")),"331",IF(AND(OR(L1830="131",M1830="131"),H1830='131-CT'!$E$7),"131",""))</f>
        <v>131</v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26"/>
      <c r="AB1830" s="576"/>
    </row>
    <row r="1831" spans="1:28" ht="15.75" customHeight="1">
      <c r="A1831" s="827" t="str">
        <f>IF(B1831&lt;&gt;"",IF(AND(B1831&gt;=_TM1,B1831&lt;=_TM2,OR(TH!L1831="1111",TH!M1831="1111")),TH!D1831,""),"")</f>
        <v/>
      </c>
      <c r="B1831" s="36">
        <f t="shared" si="283"/>
        <v>5</v>
      </c>
      <c r="C1831" s="190">
        <f t="shared" si="284"/>
        <v>42516</v>
      </c>
      <c r="D1831" s="190" t="s">
        <v>1606</v>
      </c>
      <c r="E1831" s="190">
        <v>42516</v>
      </c>
      <c r="F1831" s="191" t="s">
        <v>696</v>
      </c>
      <c r="G1831" s="833" t="s">
        <v>692</v>
      </c>
      <c r="H1831" s="192" t="s">
        <v>695</v>
      </c>
      <c r="I1831" s="253">
        <v>1000</v>
      </c>
      <c r="J1831" s="253">
        <v>11700</v>
      </c>
      <c r="K1831" s="584">
        <f>ROUND(I1831*J1831,0)</f>
        <v>11700000</v>
      </c>
      <c r="L1831" s="193" t="s">
        <v>251</v>
      </c>
      <c r="M1831" s="193" t="s">
        <v>164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26"/>
      <c r="AB1831" s="576" t="str">
        <f>IF(VLOOKUP(F1831,NXT!$C$12:$C$786,1,0)=F1831,"","x")</f>
        <v/>
      </c>
    </row>
    <row r="1832" spans="1:28" ht="15.75" customHeight="1">
      <c r="A1832" s="827" t="str">
        <f>IF(B1832&lt;&gt;"",IF(AND(B1832&gt;=_TM1,B1832&lt;=_TM2,OR(TH!L1832="1111",TH!M1832="1111")),TH!D1832,""),"")</f>
        <v/>
      </c>
      <c r="B1832" s="36">
        <f t="shared" si="283"/>
        <v>5</v>
      </c>
      <c r="C1832" s="190">
        <f t="shared" si="284"/>
        <v>42516</v>
      </c>
      <c r="D1832" s="190" t="s">
        <v>1606</v>
      </c>
      <c r="E1832" s="190">
        <v>42516</v>
      </c>
      <c r="F1832" s="191" t="s">
        <v>1301</v>
      </c>
      <c r="G1832" s="833" t="s">
        <v>692</v>
      </c>
      <c r="H1832" s="192" t="s">
        <v>695</v>
      </c>
      <c r="I1832" s="253">
        <v>1000</v>
      </c>
      <c r="J1832" s="253">
        <v>534</v>
      </c>
      <c r="K1832" s="584">
        <f>ROUND(I1832*J1832,0)</f>
        <v>534000</v>
      </c>
      <c r="L1832" s="193" t="s">
        <v>251</v>
      </c>
      <c r="M1832" s="193" t="s">
        <v>164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26"/>
      <c r="AB1832" s="576" t="str">
        <f>IF(VLOOKUP(F1832,NXT!$C$12:$C$786,1,0)=F1832,"","x")</f>
        <v/>
      </c>
    </row>
    <row r="1833" spans="1:28" ht="15.75" customHeight="1">
      <c r="A1833" s="827" t="str">
        <f>IF(B1833&lt;&gt;"",IF(AND(B1833&gt;=_TM1,B1833&lt;=_TM2,OR(TH!L1833="1111",TH!M1833="1111")),TH!D1833,""),"")</f>
        <v/>
      </c>
      <c r="B1833" s="36">
        <f t="shared" si="283"/>
        <v>5</v>
      </c>
      <c r="C1833" s="190">
        <f t="shared" si="284"/>
        <v>42516</v>
      </c>
      <c r="D1833" s="190" t="s">
        <v>1606</v>
      </c>
      <c r="E1833" s="190">
        <v>42516</v>
      </c>
      <c r="F1833" s="191" t="s">
        <v>461</v>
      </c>
      <c r="G1833" s="833" t="s">
        <v>692</v>
      </c>
      <c r="H1833" s="192" t="s">
        <v>695</v>
      </c>
      <c r="I1833" s="253"/>
      <c r="J1833" s="253"/>
      <c r="K1833" s="584">
        <v>1223400</v>
      </c>
      <c r="L1833" s="193" t="s">
        <v>251</v>
      </c>
      <c r="M1833" s="193" t="s">
        <v>354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26"/>
      <c r="AB1833" s="576"/>
    </row>
    <row r="1834" spans="1:28" ht="15.75" customHeight="1">
      <c r="A1834" s="827" t="str">
        <f>IF(B1834&lt;&gt;"",IF(AND(B1834&gt;=_TM1,B1834&lt;=_TM2,OR(TH!L1834="1111",TH!M1834="1111")),TH!D1834,""),"")</f>
        <v/>
      </c>
      <c r="B1834" s="36">
        <f t="shared" si="283"/>
        <v>5</v>
      </c>
      <c r="C1834" s="190">
        <f t="shared" si="284"/>
        <v>42516</v>
      </c>
      <c r="D1834" s="190" t="s">
        <v>1607</v>
      </c>
      <c r="E1834" s="190">
        <v>42516</v>
      </c>
      <c r="F1834" s="191" t="s">
        <v>1178</v>
      </c>
      <c r="G1834" s="833" t="s">
        <v>693</v>
      </c>
      <c r="H1834" s="192" t="s">
        <v>662</v>
      </c>
      <c r="I1834" s="253">
        <v>1250</v>
      </c>
      <c r="J1834" s="253">
        <v>32500</v>
      </c>
      <c r="K1834" s="584">
        <f>ROUND(I1834*J1834,0)</f>
        <v>40625000</v>
      </c>
      <c r="L1834" s="193" t="s">
        <v>251</v>
      </c>
      <c r="M1834" s="193" t="s">
        <v>164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26"/>
      <c r="AB1834" s="576" t="str">
        <f>IF(VLOOKUP(F1834,NXT!$C$12:$C$786,1,0)=F1834,"","x")</f>
        <v/>
      </c>
    </row>
    <row r="1835" spans="1:28" ht="15.75" customHeight="1">
      <c r="A1835" s="827" t="str">
        <f>IF(B1835&lt;&gt;"",IF(AND(B1835&gt;=_TM1,B1835&lt;=_TM2,OR(TH!L1835="1111",TH!M1835="1111")),TH!D1835,""),"")</f>
        <v/>
      </c>
      <c r="B1835" s="36">
        <f t="shared" si="283"/>
        <v>5</v>
      </c>
      <c r="C1835" s="190">
        <f t="shared" si="284"/>
        <v>42516</v>
      </c>
      <c r="D1835" s="190" t="s">
        <v>1607</v>
      </c>
      <c r="E1835" s="190">
        <v>42516</v>
      </c>
      <c r="F1835" s="191" t="s">
        <v>1179</v>
      </c>
      <c r="G1835" s="833" t="s">
        <v>693</v>
      </c>
      <c r="H1835" s="192" t="s">
        <v>662</v>
      </c>
      <c r="I1835" s="253">
        <v>1300</v>
      </c>
      <c r="J1835" s="253">
        <v>31700</v>
      </c>
      <c r="K1835" s="584">
        <f>ROUND(I1835*J1835,0)</f>
        <v>41210000</v>
      </c>
      <c r="L1835" s="193" t="s">
        <v>251</v>
      </c>
      <c r="M1835" s="193" t="s">
        <v>164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26"/>
      <c r="AB1835" s="576" t="str">
        <f>IF(VLOOKUP(F1835,NXT!$C$12:$C$786,1,0)=F1835,"","x")</f>
        <v/>
      </c>
    </row>
    <row r="1836" spans="1:28" ht="15.75" customHeight="1">
      <c r="A1836" s="827" t="str">
        <f>IF(B1836&lt;&gt;"",IF(AND(B1836&gt;=_TM1,B1836&lt;=_TM2,OR(TH!L1836="1111",TH!M1836="1111")),TH!D1836,""),"")</f>
        <v/>
      </c>
      <c r="B1836" s="36">
        <f t="shared" si="283"/>
        <v>5</v>
      </c>
      <c r="C1836" s="190">
        <f t="shared" si="284"/>
        <v>42516</v>
      </c>
      <c r="D1836" s="190" t="s">
        <v>1607</v>
      </c>
      <c r="E1836" s="190">
        <v>42516</v>
      </c>
      <c r="F1836" s="188" t="s">
        <v>451</v>
      </c>
      <c r="G1836" s="833" t="s">
        <v>693</v>
      </c>
      <c r="H1836" s="192" t="s">
        <v>662</v>
      </c>
      <c r="I1836" s="253">
        <v>3900</v>
      </c>
      <c r="J1836" s="253">
        <v>15000</v>
      </c>
      <c r="K1836" s="584">
        <f>ROUND(I1836*J1836,0)</f>
        <v>58500000</v>
      </c>
      <c r="L1836" s="193" t="s">
        <v>251</v>
      </c>
      <c r="M1836" s="193" t="s">
        <v>164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26"/>
      <c r="AB1836" s="576" t="str">
        <f>IF(VLOOKUP(F1836,NXT!$C$12:$C$786,1,0)=F1836,"","x")</f>
        <v/>
      </c>
    </row>
    <row r="1837" spans="1:28" ht="15.75" customHeight="1">
      <c r="A1837" s="827" t="str">
        <f>IF(B1837&lt;&gt;"",IF(AND(B1837&gt;=_TM1,B1837&lt;=_TM2,OR(TH!L1837="1111",TH!M1837="1111")),TH!D1837,""),"")</f>
        <v/>
      </c>
      <c r="B1837" s="36">
        <f t="shared" si="283"/>
        <v>5</v>
      </c>
      <c r="C1837" s="190">
        <f t="shared" si="284"/>
        <v>42516</v>
      </c>
      <c r="D1837" s="190" t="s">
        <v>1607</v>
      </c>
      <c r="E1837" s="190">
        <v>42516</v>
      </c>
      <c r="F1837" s="188" t="s">
        <v>450</v>
      </c>
      <c r="G1837" s="833" t="s">
        <v>693</v>
      </c>
      <c r="H1837" s="192" t="s">
        <v>662</v>
      </c>
      <c r="I1837" s="253">
        <v>3500</v>
      </c>
      <c r="J1837" s="253">
        <v>16500</v>
      </c>
      <c r="K1837" s="584">
        <f>ROUND(I1837*J1837,0)</f>
        <v>57750000</v>
      </c>
      <c r="L1837" s="193" t="s">
        <v>251</v>
      </c>
      <c r="M1837" s="193" t="s">
        <v>164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26"/>
      <c r="AB1837" s="576" t="str">
        <f>IF(VLOOKUP(F1837,NXT!$C$12:$C$786,1,0)=F1837,"","x")</f>
        <v/>
      </c>
    </row>
    <row r="1838" spans="1:28" ht="15.75" customHeight="1">
      <c r="A1838" s="827" t="str">
        <f>IF(B1838&lt;&gt;"",IF(AND(B1838&gt;=_TM1,B1838&lt;=_TM2,OR(TH!L1838="1111",TH!M1838="1111")),TH!D1838,""),"")</f>
        <v/>
      </c>
      <c r="B1838" s="36">
        <f t="shared" si="283"/>
        <v>5</v>
      </c>
      <c r="C1838" s="190">
        <f t="shared" si="284"/>
        <v>42516</v>
      </c>
      <c r="D1838" s="190" t="s">
        <v>1607</v>
      </c>
      <c r="E1838" s="190">
        <v>42516</v>
      </c>
      <c r="F1838" s="191" t="s">
        <v>461</v>
      </c>
      <c r="G1838" s="833" t="s">
        <v>693</v>
      </c>
      <c r="H1838" s="192" t="s">
        <v>662</v>
      </c>
      <c r="I1838" s="253"/>
      <c r="J1838" s="253"/>
      <c r="K1838" s="584">
        <v>19808500</v>
      </c>
      <c r="L1838" s="193" t="s">
        <v>251</v>
      </c>
      <c r="M1838" s="193" t="s">
        <v>354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26"/>
      <c r="AB1838" s="576"/>
    </row>
    <row r="1839" spans="1:28" ht="15.75" customHeight="1">
      <c r="A1839" s="827" t="str">
        <f>IF(B1839&lt;&gt;"",IF(AND(B1839&gt;=_TM1,B1839&lt;=_TM2,OR(TH!L1839="1111",TH!M1839="1111")),TH!D1839,""),"")</f>
        <v/>
      </c>
      <c r="B1839" s="36">
        <f t="shared" si="283"/>
        <v>5</v>
      </c>
      <c r="C1839" s="190">
        <f t="shared" si="284"/>
        <v>42517</v>
      </c>
      <c r="D1839" s="190" t="s">
        <v>1608</v>
      </c>
      <c r="E1839" s="190">
        <v>42517</v>
      </c>
      <c r="F1839" s="191" t="s">
        <v>627</v>
      </c>
      <c r="G1839" s="833" t="s">
        <v>694</v>
      </c>
      <c r="H1839" s="192" t="s">
        <v>636</v>
      </c>
      <c r="I1839" s="253">
        <v>1516</v>
      </c>
      <c r="J1839" s="253">
        <v>6540</v>
      </c>
      <c r="K1839" s="584">
        <f>ROUND(I1839*J1839,0)</f>
        <v>9914640</v>
      </c>
      <c r="L1839" s="193" t="s">
        <v>251</v>
      </c>
      <c r="M1839" s="193" t="s">
        <v>164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26"/>
      <c r="AB1839" s="576" t="str">
        <f>IF(VLOOKUP(F1839,NXT!$C$12:$C$786,1,0)=F1839,"","x")</f>
        <v/>
      </c>
    </row>
    <row r="1840" spans="1:28" ht="15.75" customHeight="1">
      <c r="A1840" s="827" t="str">
        <f>IF(B1840&lt;&gt;"",IF(AND(B1840&gt;=_TM1,B1840&lt;=_TM2,OR(TH!L1840="1111",TH!M1840="1111")),TH!D1840,""),"")</f>
        <v/>
      </c>
      <c r="B1840" s="36">
        <f t="shared" si="283"/>
        <v>5</v>
      </c>
      <c r="C1840" s="190">
        <f t="shared" si="284"/>
        <v>42517</v>
      </c>
      <c r="D1840" s="190" t="s">
        <v>1608</v>
      </c>
      <c r="E1840" s="190">
        <v>42517</v>
      </c>
      <c r="F1840" s="191" t="s">
        <v>461</v>
      </c>
      <c r="G1840" s="833" t="s">
        <v>694</v>
      </c>
      <c r="H1840" s="192" t="s">
        <v>636</v>
      </c>
      <c r="I1840" s="253"/>
      <c r="J1840" s="253"/>
      <c r="K1840" s="584">
        <v>991464</v>
      </c>
      <c r="L1840" s="193" t="s">
        <v>251</v>
      </c>
      <c r="M1840" s="193" t="s">
        <v>354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26"/>
      <c r="AB1840" s="576"/>
    </row>
    <row r="1841" spans="1:30" ht="15.75" customHeight="1">
      <c r="A1841" s="827" t="str">
        <f>IF(B1841&lt;&gt;"",IF(AND(B1841&gt;=_TM1,B1841&lt;=_TM2,OR(TH!L1841="1111",TH!M1841="1111")),TH!D1841,""),"")</f>
        <v/>
      </c>
      <c r="B1841" s="36">
        <f t="shared" si="283"/>
        <v>5</v>
      </c>
      <c r="C1841" s="190">
        <f t="shared" si="284"/>
        <v>42521</v>
      </c>
      <c r="D1841" s="190" t="s">
        <v>1609</v>
      </c>
      <c r="E1841" s="190">
        <v>42521</v>
      </c>
      <c r="F1841" s="191" t="s">
        <v>507</v>
      </c>
      <c r="G1841" s="833" t="s">
        <v>697</v>
      </c>
      <c r="H1841" s="192" t="s">
        <v>678</v>
      </c>
      <c r="I1841" s="253">
        <v>8</v>
      </c>
      <c r="J1841" s="253">
        <v>94660</v>
      </c>
      <c r="K1841" s="584">
        <f t="shared" ref="K1841:K1872" si="286">ROUND(I1841*J1841,0)</f>
        <v>757280</v>
      </c>
      <c r="L1841" s="193" t="s">
        <v>251</v>
      </c>
      <c r="M1841" s="193" t="s">
        <v>164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26"/>
      <c r="AB1841" s="576" t="str">
        <f>IF(VLOOKUP(F1841,NXT!$C$12:$C$786,1,0)=F1841,"","x")</f>
        <v/>
      </c>
    </row>
    <row r="1842" spans="1:30" ht="15.75" customHeight="1">
      <c r="A1842" s="827" t="str">
        <f>IF(B1842&lt;&gt;"",IF(AND(B1842&gt;=_TM1,B1842&lt;=_TM2,OR(TH!L1842="1111",TH!M1842="1111")),TH!D1842,""),"")</f>
        <v/>
      </c>
      <c r="B1842" s="36">
        <f t="shared" si="283"/>
        <v>5</v>
      </c>
      <c r="C1842" s="190">
        <f t="shared" si="284"/>
        <v>42521</v>
      </c>
      <c r="D1842" s="190" t="s">
        <v>1609</v>
      </c>
      <c r="E1842" s="190">
        <v>42521</v>
      </c>
      <c r="F1842" s="191" t="s">
        <v>539</v>
      </c>
      <c r="G1842" s="833" t="s">
        <v>697</v>
      </c>
      <c r="H1842" s="192" t="s">
        <v>678</v>
      </c>
      <c r="I1842" s="253">
        <v>40</v>
      </c>
      <c r="J1842" s="253">
        <v>128269</v>
      </c>
      <c r="K1842" s="584">
        <f t="shared" si="286"/>
        <v>5130760</v>
      </c>
      <c r="L1842" s="193" t="s">
        <v>251</v>
      </c>
      <c r="M1842" s="193" t="s">
        <v>164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26"/>
      <c r="AB1842" s="576" t="str">
        <f>IF(VLOOKUP(F1842,NXT!$C$12:$C$786,1,0)=F1842,"","x")</f>
        <v/>
      </c>
    </row>
    <row r="1843" spans="1:30" ht="15.75" customHeight="1">
      <c r="A1843" s="827" t="str">
        <f>IF(B1843&lt;&gt;"",IF(AND(B1843&gt;=_TM1,B1843&lt;=_TM2,OR(TH!L1843="1111",TH!M1843="1111")),TH!D1843,""),"")</f>
        <v/>
      </c>
      <c r="B1843" s="36">
        <f t="shared" si="283"/>
        <v>5</v>
      </c>
      <c r="C1843" s="190">
        <f t="shared" si="284"/>
        <v>42521</v>
      </c>
      <c r="D1843" s="190" t="s">
        <v>1609</v>
      </c>
      <c r="E1843" s="190">
        <v>42521</v>
      </c>
      <c r="F1843" s="188" t="s">
        <v>536</v>
      </c>
      <c r="G1843" s="833" t="s">
        <v>697</v>
      </c>
      <c r="H1843" s="192" t="s">
        <v>678</v>
      </c>
      <c r="I1843" s="253">
        <v>36</v>
      </c>
      <c r="J1843" s="253">
        <v>60078</v>
      </c>
      <c r="K1843" s="584">
        <f t="shared" si="286"/>
        <v>2162808</v>
      </c>
      <c r="L1843" s="193" t="s">
        <v>251</v>
      </c>
      <c r="M1843" s="193" t="s">
        <v>164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26"/>
      <c r="AB1843" s="576" t="str">
        <f>IF(VLOOKUP(F1843,NXT!$C$12:$C$786,1,0)=F1843,"","x")</f>
        <v/>
      </c>
    </row>
    <row r="1844" spans="1:30" ht="15.75" customHeight="1">
      <c r="A1844" s="827" t="str">
        <f>IF(B1844&lt;&gt;"",IF(AND(B1844&gt;=_TM1,B1844&lt;=_TM2,OR(TH!L1844="1111",TH!M1844="1111")),TH!D1844,""),"")</f>
        <v/>
      </c>
      <c r="B1844" s="36">
        <f t="shared" si="283"/>
        <v>5</v>
      </c>
      <c r="C1844" s="190">
        <f t="shared" si="284"/>
        <v>42521</v>
      </c>
      <c r="D1844" s="190" t="s">
        <v>1609</v>
      </c>
      <c r="E1844" s="190">
        <v>42521</v>
      </c>
      <c r="F1844" s="191" t="s">
        <v>490</v>
      </c>
      <c r="G1844" s="833" t="s">
        <v>697</v>
      </c>
      <c r="H1844" s="192" t="s">
        <v>678</v>
      </c>
      <c r="I1844" s="253">
        <v>4</v>
      </c>
      <c r="J1844" s="253">
        <v>161582</v>
      </c>
      <c r="K1844" s="584">
        <f t="shared" si="286"/>
        <v>646328</v>
      </c>
      <c r="L1844" s="193" t="s">
        <v>251</v>
      </c>
      <c r="M1844" s="193" t="s">
        <v>164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26"/>
      <c r="AB1844" s="576" t="str">
        <f>IF(VLOOKUP(F1844,NXT!$C$12:$C$786,1,0)=F1844,"","x")</f>
        <v/>
      </c>
    </row>
    <row r="1845" spans="1:30" ht="15.75" customHeight="1">
      <c r="A1845" s="827" t="str">
        <f>IF(B1845&lt;&gt;"",IF(AND(B1845&gt;=_TM1,B1845&lt;=_TM2,OR(TH!L1845="1111",TH!M1845="1111")),TH!D1845,""),"")</f>
        <v/>
      </c>
      <c r="B1845" s="36">
        <f t="shared" si="283"/>
        <v>5</v>
      </c>
      <c r="C1845" s="190">
        <f t="shared" si="284"/>
        <v>42521</v>
      </c>
      <c r="D1845" s="190" t="s">
        <v>1609</v>
      </c>
      <c r="E1845" s="190">
        <v>42521</v>
      </c>
      <c r="F1845" s="191" t="s">
        <v>491</v>
      </c>
      <c r="G1845" s="833" t="s">
        <v>697</v>
      </c>
      <c r="H1845" s="192" t="s">
        <v>678</v>
      </c>
      <c r="I1845" s="253">
        <v>6</v>
      </c>
      <c r="J1845" s="253">
        <v>103837</v>
      </c>
      <c r="K1845" s="584">
        <f t="shared" si="286"/>
        <v>623022</v>
      </c>
      <c r="L1845" s="193" t="s">
        <v>251</v>
      </c>
      <c r="M1845" s="193" t="s">
        <v>164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26"/>
      <c r="AB1845" s="576" t="str">
        <f>IF(VLOOKUP(F1845,NXT!$C$12:$C$786,1,0)=F1845,"","x")</f>
        <v/>
      </c>
    </row>
    <row r="1846" spans="1:30" ht="15.75" customHeight="1">
      <c r="A1846" s="827" t="str">
        <f>IF(B1846&lt;&gt;"",IF(AND(B1846&gt;=_TM1,B1846&lt;=_TM2,OR(TH!L1846="1111",TH!M1846="1111")),TH!D1846,""),"")</f>
        <v/>
      </c>
      <c r="B1846" s="36">
        <f t="shared" si="283"/>
        <v>5</v>
      </c>
      <c r="C1846" s="190">
        <f t="shared" si="284"/>
        <v>42521</v>
      </c>
      <c r="D1846" s="190" t="s">
        <v>1609</v>
      </c>
      <c r="E1846" s="190">
        <v>42521</v>
      </c>
      <c r="F1846" s="191" t="s">
        <v>464</v>
      </c>
      <c r="G1846" s="833" t="s">
        <v>697</v>
      </c>
      <c r="H1846" s="192" t="s">
        <v>678</v>
      </c>
      <c r="I1846" s="253">
        <v>12</v>
      </c>
      <c r="J1846" s="253">
        <v>145089</v>
      </c>
      <c r="K1846" s="584">
        <f t="shared" si="286"/>
        <v>1741068</v>
      </c>
      <c r="L1846" s="193" t="s">
        <v>251</v>
      </c>
      <c r="M1846" s="193" t="s">
        <v>164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26"/>
      <c r="AB1846" s="576" t="str">
        <f>IF(VLOOKUP(F1846,NXT!$C$12:$C$786,1,0)=F1846,"","x")</f>
        <v/>
      </c>
    </row>
    <row r="1847" spans="1:30" ht="15.75" customHeight="1">
      <c r="A1847" s="827" t="str">
        <f>IF(B1847&lt;&gt;"",IF(AND(B1847&gt;=_TM1,B1847&lt;=_TM2,OR(TH!L1847="1111",TH!M1847="1111")),TH!D1847,""),"")</f>
        <v/>
      </c>
      <c r="B1847" s="36">
        <f t="shared" si="283"/>
        <v>5</v>
      </c>
      <c r="C1847" s="190">
        <f t="shared" si="284"/>
        <v>42521</v>
      </c>
      <c r="D1847" s="190" t="s">
        <v>1609</v>
      </c>
      <c r="E1847" s="190">
        <v>42521</v>
      </c>
      <c r="F1847" s="191" t="s">
        <v>710</v>
      </c>
      <c r="G1847" s="833" t="s">
        <v>697</v>
      </c>
      <c r="H1847" s="192" t="s">
        <v>678</v>
      </c>
      <c r="I1847" s="253">
        <v>12</v>
      </c>
      <c r="J1847" s="253">
        <v>66500</v>
      </c>
      <c r="K1847" s="584">
        <f t="shared" si="286"/>
        <v>798000</v>
      </c>
      <c r="L1847" s="193" t="s">
        <v>251</v>
      </c>
      <c r="M1847" s="193" t="s">
        <v>164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26"/>
      <c r="AB1847" s="576" t="str">
        <f>IF(VLOOKUP(F1847,NXT!$C$12:$C$786,1,0)=F1847,"","x")</f>
        <v/>
      </c>
    </row>
    <row r="1848" spans="1:30" ht="15.75" customHeight="1">
      <c r="A1848" s="827" t="str">
        <f>IF(B1848&lt;&gt;"",IF(AND(B1848&gt;=_TM1,B1848&lt;=_TM2,OR(TH!L1848="1111",TH!M1848="1111")),TH!D1848,""),"")</f>
        <v/>
      </c>
      <c r="B1848" s="36">
        <f t="shared" si="283"/>
        <v>5</v>
      </c>
      <c r="C1848" s="190">
        <f t="shared" si="284"/>
        <v>42521</v>
      </c>
      <c r="D1848" s="190" t="s">
        <v>1609</v>
      </c>
      <c r="E1848" s="190">
        <v>42521</v>
      </c>
      <c r="F1848" s="40" t="s">
        <v>710</v>
      </c>
      <c r="G1848" s="833" t="s">
        <v>697</v>
      </c>
      <c r="H1848" s="192" t="s">
        <v>678</v>
      </c>
      <c r="I1848" s="253">
        <v>16</v>
      </c>
      <c r="J1848" s="253">
        <v>73500</v>
      </c>
      <c r="K1848" s="584">
        <f t="shared" si="286"/>
        <v>1176000</v>
      </c>
      <c r="L1848" s="193" t="s">
        <v>251</v>
      </c>
      <c r="M1848" s="193" t="s">
        <v>164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26"/>
      <c r="AB1848" s="576" t="str">
        <f>IF(VLOOKUP(F1848,NXT!$C$12:$C$786,1,0)=F1848,"","x")</f>
        <v/>
      </c>
    </row>
    <row r="1849" spans="1:30" ht="15.75" customHeight="1">
      <c r="A1849" s="827" t="str">
        <f>IF(B1849&lt;&gt;"",IF(AND(B1849&gt;=_TM1,B1849&lt;=_TM2,OR(TH!L1849="1111",TH!M1849="1111")),TH!D1849,""),"")</f>
        <v/>
      </c>
      <c r="B1849" s="36">
        <f t="shared" si="283"/>
        <v>5</v>
      </c>
      <c r="C1849" s="190">
        <f t="shared" si="284"/>
        <v>42521</v>
      </c>
      <c r="D1849" s="190" t="s">
        <v>1609</v>
      </c>
      <c r="E1849" s="190">
        <v>42521</v>
      </c>
      <c r="F1849" s="191" t="s">
        <v>471</v>
      </c>
      <c r="G1849" s="833" t="s">
        <v>697</v>
      </c>
      <c r="H1849" s="192" t="s">
        <v>678</v>
      </c>
      <c r="I1849" s="253">
        <v>12</v>
      </c>
      <c r="J1849" s="253">
        <v>55118</v>
      </c>
      <c r="K1849" s="584">
        <f t="shared" si="286"/>
        <v>661416</v>
      </c>
      <c r="L1849" s="193" t="s">
        <v>251</v>
      </c>
      <c r="M1849" s="193" t="s">
        <v>164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26"/>
      <c r="AB1849" s="576" t="str">
        <f>IF(VLOOKUP(F1849,NXT!$C$12:$C$786,1,0)=F1849,"","x")</f>
        <v/>
      </c>
    </row>
    <row r="1850" spans="1:30" ht="15.75" customHeight="1">
      <c r="A1850" s="827" t="str">
        <f>IF(B1850&lt;&gt;"",IF(AND(B1850&gt;=_TM1,B1850&lt;=_TM2,OR(TH!L1850="1111",TH!M1850="1111")),TH!D1850,""),"")</f>
        <v/>
      </c>
      <c r="B1850" s="36">
        <f t="shared" si="283"/>
        <v>5</v>
      </c>
      <c r="C1850" s="190">
        <f t="shared" si="284"/>
        <v>42521</v>
      </c>
      <c r="D1850" s="190" t="s">
        <v>1609</v>
      </c>
      <c r="E1850" s="190">
        <v>42521</v>
      </c>
      <c r="F1850" s="188" t="s">
        <v>534</v>
      </c>
      <c r="G1850" s="833" t="s">
        <v>697</v>
      </c>
      <c r="H1850" s="192" t="s">
        <v>678</v>
      </c>
      <c r="I1850" s="256">
        <v>36</v>
      </c>
      <c r="J1850" s="256">
        <v>84455</v>
      </c>
      <c r="K1850" s="584">
        <f t="shared" si="286"/>
        <v>3040380</v>
      </c>
      <c r="L1850" s="193" t="s">
        <v>251</v>
      </c>
      <c r="M1850" s="193" t="s">
        <v>164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26"/>
      <c r="AB1850" s="576" t="str">
        <f>IF(VLOOKUP(F1850,NXT!$C$12:$C$786,1,0)=F1850,"","x")</f>
        <v/>
      </c>
    </row>
    <row r="1851" spans="1:30" ht="15.75" customHeight="1">
      <c r="A1851" s="827" t="str">
        <f>IF(B1851&lt;&gt;"",IF(AND(B1851&gt;=_TM1,B1851&lt;=_TM2,OR(TH!L1851="1111",TH!M1851="1111")),TH!D1851,""),"")</f>
        <v/>
      </c>
      <c r="B1851" s="36">
        <f t="shared" si="283"/>
        <v>5</v>
      </c>
      <c r="C1851" s="190">
        <f t="shared" si="284"/>
        <v>42521</v>
      </c>
      <c r="D1851" s="190" t="s">
        <v>1609</v>
      </c>
      <c r="E1851" s="190">
        <v>42521</v>
      </c>
      <c r="F1851" s="191" t="s">
        <v>707</v>
      </c>
      <c r="G1851" s="833" t="s">
        <v>697</v>
      </c>
      <c r="H1851" s="192" t="s">
        <v>678</v>
      </c>
      <c r="I1851" s="253">
        <v>12</v>
      </c>
      <c r="J1851" s="253">
        <v>110352</v>
      </c>
      <c r="K1851" s="584">
        <f t="shared" si="286"/>
        <v>1324224</v>
      </c>
      <c r="L1851" s="193" t="s">
        <v>251</v>
      </c>
      <c r="M1851" s="193" t="s">
        <v>164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26"/>
      <c r="AB1851" s="576" t="str">
        <f>IF(VLOOKUP(F1851,NXT!$C$12:$C$786,1,0)=F1851,"","x")</f>
        <v/>
      </c>
    </row>
    <row r="1852" spans="1:30" ht="15.75" customHeight="1">
      <c r="A1852" s="827" t="str">
        <f>IF(B1852&lt;&gt;"",IF(AND(B1852&gt;=_TM1,B1852&lt;=_TM2,OR(TH!L1852="1111",TH!M1852="1111")),TH!D1852,""),"")</f>
        <v/>
      </c>
      <c r="B1852" s="36">
        <f t="shared" si="283"/>
        <v>5</v>
      </c>
      <c r="C1852" s="190">
        <f t="shared" si="284"/>
        <v>42521</v>
      </c>
      <c r="D1852" s="190" t="s">
        <v>1609</v>
      </c>
      <c r="E1852" s="190">
        <v>42521</v>
      </c>
      <c r="F1852" s="191" t="s">
        <v>468</v>
      </c>
      <c r="G1852" s="833" t="s">
        <v>697</v>
      </c>
      <c r="H1852" s="192" t="s">
        <v>678</v>
      </c>
      <c r="I1852" s="253">
        <v>17</v>
      </c>
      <c r="J1852" s="253">
        <v>75348</v>
      </c>
      <c r="K1852" s="584">
        <f t="shared" si="286"/>
        <v>1280916</v>
      </c>
      <c r="L1852" s="193" t="s">
        <v>251</v>
      </c>
      <c r="M1852" s="193" t="s">
        <v>164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26"/>
      <c r="AB1852" s="576" t="str">
        <f>IF(VLOOKUP(F1852,NXT!$C$12:$C$786,1,0)=F1852,"","x")</f>
        <v/>
      </c>
    </row>
    <row r="1853" spans="1:30" ht="15.75" customHeight="1">
      <c r="A1853" s="827" t="str">
        <f>IF(B1853&lt;&gt;"",IF(AND(B1853&gt;=_TM1,B1853&lt;=_TM2,OR(TH!L1853="1111",TH!M1853="1111")),TH!D1853,""),"")</f>
        <v/>
      </c>
      <c r="B1853" s="36">
        <f t="shared" si="283"/>
        <v>5</v>
      </c>
      <c r="C1853" s="190">
        <f t="shared" si="284"/>
        <v>42521</v>
      </c>
      <c r="D1853" s="190" t="s">
        <v>1609</v>
      </c>
      <c r="E1853" s="190">
        <v>42521</v>
      </c>
      <c r="F1853" s="188" t="s">
        <v>468</v>
      </c>
      <c r="G1853" s="833" t="s">
        <v>697</v>
      </c>
      <c r="H1853" s="192" t="s">
        <v>678</v>
      </c>
      <c r="I1853" s="253">
        <v>10</v>
      </c>
      <c r="J1853" s="253">
        <v>68172</v>
      </c>
      <c r="K1853" s="584">
        <f t="shared" si="286"/>
        <v>681720</v>
      </c>
      <c r="L1853" s="193" t="s">
        <v>251</v>
      </c>
      <c r="M1853" s="193" t="s">
        <v>164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26"/>
      <c r="AB1853" s="576" t="str">
        <f>IF(VLOOKUP(F1853,NXT!$C$12:$C$786,1,0)=F1853,"","x")</f>
        <v/>
      </c>
      <c r="AC1853" s="576"/>
      <c r="AD1853" s="576"/>
    </row>
    <row r="1854" spans="1:30" ht="15.75" customHeight="1">
      <c r="A1854" s="827" t="str">
        <f>IF(B1854&lt;&gt;"",IF(AND(B1854&gt;=_TM1,B1854&lt;=_TM2,OR(TH!L1854="1111",TH!M1854="1111")),TH!D1854,""),"")</f>
        <v/>
      </c>
      <c r="B1854" s="36">
        <f t="shared" si="283"/>
        <v>5</v>
      </c>
      <c r="C1854" s="190">
        <f t="shared" si="284"/>
        <v>42521</v>
      </c>
      <c r="D1854" s="190" t="s">
        <v>1609</v>
      </c>
      <c r="E1854" s="190">
        <v>42521</v>
      </c>
      <c r="F1854" s="191" t="s">
        <v>469</v>
      </c>
      <c r="G1854" s="833" t="s">
        <v>697</v>
      </c>
      <c r="H1854" s="192" t="s">
        <v>678</v>
      </c>
      <c r="I1854" s="253">
        <v>8</v>
      </c>
      <c r="J1854" s="253">
        <v>61417</v>
      </c>
      <c r="K1854" s="584">
        <f t="shared" si="286"/>
        <v>491336</v>
      </c>
      <c r="L1854" s="193" t="s">
        <v>251</v>
      </c>
      <c r="M1854" s="193" t="s">
        <v>164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26"/>
      <c r="AB1854" s="576" t="str">
        <f>IF(VLOOKUP(F1854,NXT!$C$12:$C$786,1,0)=F1854,"","x")</f>
        <v/>
      </c>
    </row>
    <row r="1855" spans="1:30" ht="15.75" customHeight="1">
      <c r="A1855" s="827" t="str">
        <f>IF(B1855&lt;&gt;"",IF(AND(B1855&gt;=_TM1,B1855&lt;=_TM2,OR(TH!L1855="1111",TH!M1855="1111")),TH!D1855,""),"")</f>
        <v/>
      </c>
      <c r="B1855" s="36">
        <f t="shared" si="283"/>
        <v>5</v>
      </c>
      <c r="C1855" s="190">
        <f t="shared" si="284"/>
        <v>42521</v>
      </c>
      <c r="D1855" s="190" t="s">
        <v>1609</v>
      </c>
      <c r="E1855" s="190">
        <v>42521</v>
      </c>
      <c r="F1855" s="191" t="s">
        <v>469</v>
      </c>
      <c r="G1855" s="833" t="s">
        <v>697</v>
      </c>
      <c r="H1855" s="192" t="s">
        <v>678</v>
      </c>
      <c r="I1855" s="253">
        <v>4</v>
      </c>
      <c r="J1855" s="253">
        <v>62868</v>
      </c>
      <c r="K1855" s="584">
        <f t="shared" si="286"/>
        <v>251472</v>
      </c>
      <c r="L1855" s="193" t="s">
        <v>251</v>
      </c>
      <c r="M1855" s="193" t="s">
        <v>164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26"/>
      <c r="AB1855" s="576" t="str">
        <f>IF(VLOOKUP(F1855,NXT!$C$12:$C$786,1,0)=F1855,"","x")</f>
        <v/>
      </c>
      <c r="AD1855" s="576"/>
    </row>
    <row r="1856" spans="1:30" ht="15.75" customHeight="1">
      <c r="A1856" s="827" t="str">
        <f>IF(B1856&lt;&gt;"",IF(AND(B1856&gt;=_TM1,B1856&lt;=_TM2,OR(TH!L1856="1111",TH!M1856="1111")),TH!D1856,""),"")</f>
        <v/>
      </c>
      <c r="B1856" s="36">
        <f t="shared" si="283"/>
        <v>5</v>
      </c>
      <c r="C1856" s="190">
        <f t="shared" si="284"/>
        <v>42521</v>
      </c>
      <c r="D1856" s="190" t="s">
        <v>1609</v>
      </c>
      <c r="E1856" s="190">
        <v>42521</v>
      </c>
      <c r="F1856" s="191" t="s">
        <v>575</v>
      </c>
      <c r="G1856" s="833" t="s">
        <v>697</v>
      </c>
      <c r="H1856" s="192" t="s">
        <v>678</v>
      </c>
      <c r="I1856" s="253">
        <v>40</v>
      </c>
      <c r="J1856" s="253">
        <v>53466</v>
      </c>
      <c r="K1856" s="584">
        <f t="shared" si="286"/>
        <v>2138640</v>
      </c>
      <c r="L1856" s="193" t="s">
        <v>251</v>
      </c>
      <c r="M1856" s="193" t="s">
        <v>164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26"/>
      <c r="AB1856" s="576" t="str">
        <f>IF(VLOOKUP(F1856,NXT!$C$12:$C$786,1,0)=F1856,"","x")</f>
        <v/>
      </c>
    </row>
    <row r="1857" spans="1:30" ht="15.75" customHeight="1">
      <c r="A1857" s="827" t="str">
        <f>IF(B1857&lt;&gt;"",IF(AND(B1857&gt;=_TM1,B1857&lt;=_TM2,OR(TH!L1857="1111",TH!M1857="1111")),TH!D1857,""),"")</f>
        <v/>
      </c>
      <c r="B1857" s="36">
        <f t="shared" si="283"/>
        <v>5</v>
      </c>
      <c r="C1857" s="190">
        <f t="shared" si="284"/>
        <v>42521</v>
      </c>
      <c r="D1857" s="190" t="s">
        <v>1609</v>
      </c>
      <c r="E1857" s="190">
        <v>42521</v>
      </c>
      <c r="F1857" s="191" t="s">
        <v>527</v>
      </c>
      <c r="G1857" s="833" t="s">
        <v>697</v>
      </c>
      <c r="H1857" s="192" t="s">
        <v>678</v>
      </c>
      <c r="I1857" s="253">
        <v>16</v>
      </c>
      <c r="J1857" s="253">
        <v>76877</v>
      </c>
      <c r="K1857" s="584">
        <f t="shared" si="286"/>
        <v>1230032</v>
      </c>
      <c r="L1857" s="193" t="s">
        <v>251</v>
      </c>
      <c r="M1857" s="193" t="s">
        <v>164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26"/>
      <c r="AB1857" s="576" t="str">
        <f>IF(VLOOKUP(F1857,NXT!$C$12:$C$786,1,0)=F1857,"","x")</f>
        <v/>
      </c>
    </row>
    <row r="1858" spans="1:30" ht="15.75" customHeight="1">
      <c r="A1858" s="827" t="str">
        <f>IF(B1858&lt;&gt;"",IF(AND(B1858&gt;=_TM1,B1858&lt;=_TM2,OR(TH!L1858="1111",TH!M1858="1111")),TH!D1858,""),"")</f>
        <v/>
      </c>
      <c r="B1858" s="36">
        <f t="shared" si="283"/>
        <v>5</v>
      </c>
      <c r="C1858" s="190">
        <f t="shared" si="284"/>
        <v>42521</v>
      </c>
      <c r="D1858" s="190" t="s">
        <v>1609</v>
      </c>
      <c r="E1858" s="190">
        <v>42521</v>
      </c>
      <c r="F1858" s="191" t="s">
        <v>506</v>
      </c>
      <c r="G1858" s="833" t="s">
        <v>697</v>
      </c>
      <c r="H1858" s="192" t="s">
        <v>678</v>
      </c>
      <c r="I1858" s="253">
        <v>7</v>
      </c>
      <c r="J1858" s="253">
        <v>171083</v>
      </c>
      <c r="K1858" s="584">
        <f t="shared" si="286"/>
        <v>1197581</v>
      </c>
      <c r="L1858" s="193" t="s">
        <v>251</v>
      </c>
      <c r="M1858" s="193" t="s">
        <v>164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26"/>
      <c r="AB1858" s="576" t="str">
        <f>IF(VLOOKUP(F1858,NXT!$C$12:$C$786,1,0)=F1858,"","x")</f>
        <v/>
      </c>
    </row>
    <row r="1859" spans="1:30" ht="15.75" customHeight="1">
      <c r="A1859" s="827" t="str">
        <f>IF(B1859&lt;&gt;"",IF(AND(B1859&gt;=_TM1,B1859&lt;=_TM2,OR(TH!L1859="1111",TH!M1859="1111")),TH!D1859,""),"")</f>
        <v/>
      </c>
      <c r="B1859" s="36">
        <f t="shared" si="283"/>
        <v>5</v>
      </c>
      <c r="C1859" s="190">
        <f t="shared" si="284"/>
        <v>42521</v>
      </c>
      <c r="D1859" s="190" t="s">
        <v>1609</v>
      </c>
      <c r="E1859" s="190">
        <v>42521</v>
      </c>
      <c r="F1859" s="191" t="s">
        <v>526</v>
      </c>
      <c r="G1859" s="833" t="s">
        <v>697</v>
      </c>
      <c r="H1859" s="192" t="s">
        <v>678</v>
      </c>
      <c r="I1859" s="253">
        <v>12</v>
      </c>
      <c r="J1859" s="253">
        <v>45598</v>
      </c>
      <c r="K1859" s="584">
        <f t="shared" si="286"/>
        <v>547176</v>
      </c>
      <c r="L1859" s="193" t="s">
        <v>251</v>
      </c>
      <c r="M1859" s="193" t="s">
        <v>164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26"/>
      <c r="AB1859" s="576" t="str">
        <f>IF(VLOOKUP(F1859,NXT!$C$12:$C$786,1,0)=F1859,"","x")</f>
        <v/>
      </c>
    </row>
    <row r="1860" spans="1:30" ht="15.75" customHeight="1">
      <c r="A1860" s="827" t="str">
        <f>IF(B1860&lt;&gt;"",IF(AND(B1860&gt;=_TM1,B1860&lt;=_TM2,OR(TH!L1860="1111",TH!M1860="1111")),TH!D1860,""),"")</f>
        <v/>
      </c>
      <c r="B1860" s="36">
        <f t="shared" si="283"/>
        <v>5</v>
      </c>
      <c r="C1860" s="190">
        <f t="shared" si="284"/>
        <v>42521</v>
      </c>
      <c r="D1860" s="190" t="s">
        <v>1609</v>
      </c>
      <c r="E1860" s="190">
        <v>42521</v>
      </c>
      <c r="F1860" s="191" t="s">
        <v>508</v>
      </c>
      <c r="G1860" s="833" t="s">
        <v>697</v>
      </c>
      <c r="H1860" s="192" t="s">
        <v>678</v>
      </c>
      <c r="I1860" s="253">
        <v>8</v>
      </c>
      <c r="J1860" s="253">
        <v>89813</v>
      </c>
      <c r="K1860" s="584">
        <f t="shared" si="286"/>
        <v>718504</v>
      </c>
      <c r="L1860" s="193" t="s">
        <v>251</v>
      </c>
      <c r="M1860" s="193" t="s">
        <v>164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26"/>
      <c r="AB1860" s="576" t="str">
        <f>IF(VLOOKUP(F1860,NXT!$C$12:$C$786,1,0)=F1860,"","x")</f>
        <v/>
      </c>
    </row>
    <row r="1861" spans="1:30" ht="15.75" customHeight="1">
      <c r="A1861" s="827" t="str">
        <f>IF(B1861&lt;&gt;"",IF(AND(B1861&gt;=_TM1,B1861&lt;=_TM2,OR(TH!L1861="1111",TH!M1861="1111")),TH!D1861,""),"")</f>
        <v/>
      </c>
      <c r="B1861" s="36">
        <f t="shared" si="283"/>
        <v>5</v>
      </c>
      <c r="C1861" s="190">
        <f t="shared" si="284"/>
        <v>42521</v>
      </c>
      <c r="D1861" s="190" t="s">
        <v>1609</v>
      </c>
      <c r="E1861" s="190">
        <v>42521</v>
      </c>
      <c r="F1861" s="188" t="s">
        <v>720</v>
      </c>
      <c r="G1861" s="833" t="s">
        <v>697</v>
      </c>
      <c r="H1861" s="192" t="s">
        <v>678</v>
      </c>
      <c r="I1861" s="253">
        <v>20</v>
      </c>
      <c r="J1861" s="253">
        <v>78940</v>
      </c>
      <c r="K1861" s="584">
        <f t="shared" si="286"/>
        <v>1578800</v>
      </c>
      <c r="L1861" s="193" t="s">
        <v>251</v>
      </c>
      <c r="M1861" s="193" t="s">
        <v>164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26"/>
      <c r="AB1861" s="576" t="str">
        <f>IF(VLOOKUP(F1861,NXT!$C$12:$C$786,1,0)=F1861,"","x")</f>
        <v/>
      </c>
    </row>
    <row r="1862" spans="1:30" ht="15.75" customHeight="1">
      <c r="A1862" s="827" t="str">
        <f>IF(B1862&lt;&gt;"",IF(AND(B1862&gt;=_TM1,B1862&lt;=_TM2,OR(TH!L1862="1111",TH!M1862="1111")),TH!D1862,""),"")</f>
        <v/>
      </c>
      <c r="B1862" s="36">
        <f t="shared" si="283"/>
        <v>5</v>
      </c>
      <c r="C1862" s="190">
        <f t="shared" si="284"/>
        <v>42521</v>
      </c>
      <c r="D1862" s="190" t="s">
        <v>1609</v>
      </c>
      <c r="E1862" s="190">
        <v>42521</v>
      </c>
      <c r="F1862" s="191" t="s">
        <v>720</v>
      </c>
      <c r="G1862" s="833" t="s">
        <v>697</v>
      </c>
      <c r="H1862" s="192" t="s">
        <v>678</v>
      </c>
      <c r="I1862" s="254">
        <v>7</v>
      </c>
      <c r="J1862" s="254">
        <v>82908</v>
      </c>
      <c r="K1862" s="584">
        <f t="shared" si="286"/>
        <v>580356</v>
      </c>
      <c r="L1862" s="193" t="s">
        <v>251</v>
      </c>
      <c r="M1862" s="193" t="s">
        <v>164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26"/>
      <c r="AB1862" s="576" t="str">
        <f>IF(VLOOKUP(F1862,NXT!$C$12:$C$786,1,0)=F1862,"","x")</f>
        <v/>
      </c>
      <c r="AC1862" s="576"/>
      <c r="AD1862" s="576"/>
    </row>
    <row r="1863" spans="1:30" ht="15.75" customHeight="1">
      <c r="A1863" s="827" t="str">
        <f>IF(B1863&lt;&gt;"",IF(AND(B1863&gt;=_TM1,B1863&lt;=_TM2,OR(TH!L1863="1111",TH!M1863="1111")),TH!D1863,""),"")</f>
        <v/>
      </c>
      <c r="B1863" s="36">
        <f t="shared" si="283"/>
        <v>5</v>
      </c>
      <c r="C1863" s="190">
        <f t="shared" si="284"/>
        <v>42521</v>
      </c>
      <c r="D1863" s="190" t="s">
        <v>1609</v>
      </c>
      <c r="E1863" s="190">
        <v>42521</v>
      </c>
      <c r="F1863" s="188" t="s">
        <v>723</v>
      </c>
      <c r="G1863" s="833" t="s">
        <v>697</v>
      </c>
      <c r="H1863" s="192" t="s">
        <v>678</v>
      </c>
      <c r="I1863" s="254">
        <v>40</v>
      </c>
      <c r="J1863" s="254">
        <v>77007</v>
      </c>
      <c r="K1863" s="584">
        <f t="shared" si="286"/>
        <v>3080280</v>
      </c>
      <c r="L1863" s="193" t="s">
        <v>251</v>
      </c>
      <c r="M1863" s="193" t="s">
        <v>164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26"/>
      <c r="AB1863" s="576" t="str">
        <f>IF(VLOOKUP(F1863,NXT!$C$12:$C$786,1,0)=F1863,"","x")</f>
        <v/>
      </c>
      <c r="AC1863" s="576"/>
      <c r="AD1863" s="576"/>
    </row>
    <row r="1864" spans="1:30" ht="15.75" customHeight="1">
      <c r="A1864" s="827" t="str">
        <f>IF(B1864&lt;&gt;"",IF(AND(B1864&gt;=_TM1,B1864&lt;=_TM2,OR(TH!L1864="1111",TH!M1864="1111")),TH!D1864,""),"")</f>
        <v/>
      </c>
      <c r="B1864" s="36">
        <f t="shared" si="283"/>
        <v>5</v>
      </c>
      <c r="C1864" s="190">
        <f t="shared" si="284"/>
        <v>42521</v>
      </c>
      <c r="D1864" s="190" t="s">
        <v>1609</v>
      </c>
      <c r="E1864" s="190">
        <v>42521</v>
      </c>
      <c r="F1864" s="191" t="s">
        <v>466</v>
      </c>
      <c r="G1864" s="833" t="s">
        <v>697</v>
      </c>
      <c r="H1864" s="192" t="s">
        <v>678</v>
      </c>
      <c r="I1864" s="253">
        <v>18</v>
      </c>
      <c r="J1864" s="253">
        <v>84189</v>
      </c>
      <c r="K1864" s="584">
        <f t="shared" si="286"/>
        <v>1515402</v>
      </c>
      <c r="L1864" s="193" t="s">
        <v>251</v>
      </c>
      <c r="M1864" s="193" t="s">
        <v>164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26"/>
      <c r="AB1864" s="576" t="str">
        <f>IF(VLOOKUP(F1864,NXT!$C$12:$C$786,1,0)=F1864,"","x")</f>
        <v/>
      </c>
    </row>
    <row r="1865" spans="1:30" ht="15.75" customHeight="1">
      <c r="A1865" s="827" t="str">
        <f>IF(B1865&lt;&gt;"",IF(AND(B1865&gt;=_TM1,B1865&lt;=_TM2,OR(TH!L1865="1111",TH!M1865="1111")),TH!D1865,""),"")</f>
        <v/>
      </c>
      <c r="B1865" s="36">
        <f t="shared" si="283"/>
        <v>5</v>
      </c>
      <c r="C1865" s="190">
        <f t="shared" si="284"/>
        <v>42521</v>
      </c>
      <c r="D1865" s="190" t="s">
        <v>1609</v>
      </c>
      <c r="E1865" s="190">
        <v>42521</v>
      </c>
      <c r="F1865" s="191" t="s">
        <v>532</v>
      </c>
      <c r="G1865" s="833" t="s">
        <v>697</v>
      </c>
      <c r="H1865" s="192" t="s">
        <v>678</v>
      </c>
      <c r="I1865" s="253">
        <v>8</v>
      </c>
      <c r="J1865" s="253">
        <v>52853</v>
      </c>
      <c r="K1865" s="584">
        <f t="shared" si="286"/>
        <v>422824</v>
      </c>
      <c r="L1865" s="193" t="s">
        <v>251</v>
      </c>
      <c r="M1865" s="193" t="s">
        <v>164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26"/>
      <c r="AB1865" s="576" t="str">
        <f>IF(VLOOKUP(F1865,NXT!$C$12:$C$786,1,0)=F1865,"","x")</f>
        <v/>
      </c>
    </row>
    <row r="1866" spans="1:30" ht="15.75" customHeight="1">
      <c r="A1866" s="827" t="str">
        <f>IF(B1866&lt;&gt;"",IF(AND(B1866&gt;=_TM1,B1866&lt;=_TM2,OR(TH!L1866="1111",TH!M1866="1111")),TH!D1866,""),"")</f>
        <v/>
      </c>
      <c r="B1866" s="36">
        <f t="shared" si="283"/>
        <v>5</v>
      </c>
      <c r="C1866" s="190">
        <f t="shared" si="284"/>
        <v>42521</v>
      </c>
      <c r="D1866" s="190" t="s">
        <v>1609</v>
      </c>
      <c r="E1866" s="190">
        <v>42521</v>
      </c>
      <c r="F1866" s="191" t="s">
        <v>516</v>
      </c>
      <c r="G1866" s="833" t="s">
        <v>697</v>
      </c>
      <c r="H1866" s="192" t="s">
        <v>678</v>
      </c>
      <c r="I1866" s="253">
        <v>12</v>
      </c>
      <c r="J1866" s="253">
        <v>54685</v>
      </c>
      <c r="K1866" s="584">
        <f t="shared" si="286"/>
        <v>656220</v>
      </c>
      <c r="L1866" s="193" t="s">
        <v>251</v>
      </c>
      <c r="M1866" s="193" t="s">
        <v>164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26"/>
      <c r="AB1866" s="576" t="str">
        <f>IF(VLOOKUP(F1866,NXT!$C$12:$C$786,1,0)=F1866,"","x")</f>
        <v/>
      </c>
    </row>
    <row r="1867" spans="1:30" ht="15.75" customHeight="1">
      <c r="A1867" s="827" t="str">
        <f>IF(B1867&lt;&gt;"",IF(AND(B1867&gt;=_TM1,B1867&lt;=_TM2,OR(TH!L1867="1111",TH!M1867="1111")),TH!D1867,""),"")</f>
        <v/>
      </c>
      <c r="B1867" s="36">
        <f t="shared" si="283"/>
        <v>5</v>
      </c>
      <c r="C1867" s="190">
        <f t="shared" si="284"/>
        <v>42521</v>
      </c>
      <c r="D1867" s="190" t="s">
        <v>1609</v>
      </c>
      <c r="E1867" s="190">
        <v>42521</v>
      </c>
      <c r="F1867" s="191" t="s">
        <v>509</v>
      </c>
      <c r="G1867" s="833" t="s">
        <v>697</v>
      </c>
      <c r="H1867" s="192" t="s">
        <v>678</v>
      </c>
      <c r="I1867" s="253">
        <v>8</v>
      </c>
      <c r="J1867" s="253">
        <v>101455</v>
      </c>
      <c r="K1867" s="584">
        <f t="shared" si="286"/>
        <v>811640</v>
      </c>
      <c r="L1867" s="193" t="s">
        <v>251</v>
      </c>
      <c r="M1867" s="193" t="s">
        <v>164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26"/>
      <c r="AB1867" s="576" t="str">
        <f>IF(VLOOKUP(F1867,NXT!$C$12:$C$786,1,0)=F1867,"","x")</f>
        <v/>
      </c>
    </row>
    <row r="1868" spans="1:30" ht="15.75" customHeight="1">
      <c r="A1868" s="827" t="str">
        <f>IF(B1868&lt;&gt;"",IF(AND(B1868&gt;=_TM1,B1868&lt;=_TM2,OR(TH!L1868="1111",TH!M1868="1111")),TH!D1868,""),"")</f>
        <v/>
      </c>
      <c r="B1868" s="36">
        <f t="shared" si="283"/>
        <v>5</v>
      </c>
      <c r="C1868" s="190">
        <f t="shared" si="284"/>
        <v>42521</v>
      </c>
      <c r="D1868" s="190" t="s">
        <v>1609</v>
      </c>
      <c r="E1868" s="190">
        <v>42521</v>
      </c>
      <c r="F1868" s="191" t="s">
        <v>573</v>
      </c>
      <c r="G1868" s="833" t="s">
        <v>697</v>
      </c>
      <c r="H1868" s="192" t="s">
        <v>678</v>
      </c>
      <c r="I1868" s="253">
        <v>40</v>
      </c>
      <c r="J1868" s="253">
        <v>149625</v>
      </c>
      <c r="K1868" s="584">
        <f t="shared" si="286"/>
        <v>5985000</v>
      </c>
      <c r="L1868" s="193" t="s">
        <v>251</v>
      </c>
      <c r="M1868" s="193" t="s">
        <v>164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26"/>
      <c r="AB1868" s="576" t="str">
        <f>IF(VLOOKUP(F1868,NXT!$C$12:$C$786,1,0)=F1868,"","x")</f>
        <v/>
      </c>
    </row>
    <row r="1869" spans="1:30" ht="15.75" customHeight="1">
      <c r="A1869" s="827" t="str">
        <f>IF(B1869&lt;&gt;"",IF(AND(B1869&gt;=_TM1,B1869&lt;=_TM2,OR(TH!L1869="1111",TH!M1869="1111")),TH!D1869,""),"")</f>
        <v/>
      </c>
      <c r="B1869" s="36">
        <f t="shared" si="283"/>
        <v>5</v>
      </c>
      <c r="C1869" s="190">
        <f t="shared" si="284"/>
        <v>42521</v>
      </c>
      <c r="D1869" s="190" t="s">
        <v>1609</v>
      </c>
      <c r="E1869" s="190">
        <v>42521</v>
      </c>
      <c r="F1869" s="191" t="s">
        <v>470</v>
      </c>
      <c r="G1869" s="833" t="s">
        <v>697</v>
      </c>
      <c r="H1869" s="192" t="s">
        <v>678</v>
      </c>
      <c r="I1869" s="253">
        <v>12</v>
      </c>
      <c r="J1869" s="253">
        <v>97427</v>
      </c>
      <c r="K1869" s="584">
        <f t="shared" si="286"/>
        <v>1169124</v>
      </c>
      <c r="L1869" s="193" t="s">
        <v>251</v>
      </c>
      <c r="M1869" s="193" t="s">
        <v>164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26"/>
      <c r="AB1869" s="576" t="str">
        <f>IF(VLOOKUP(F1869,NXT!$C$12:$C$786,1,0)=F1869,"","x")</f>
        <v/>
      </c>
    </row>
    <row r="1870" spans="1:30" ht="15.75" customHeight="1">
      <c r="A1870" s="827" t="str">
        <f>IF(B1870&lt;&gt;"",IF(AND(B1870&gt;=_TM1,B1870&lt;=_TM2,OR(TH!L1870="1111",TH!M1870="1111")),TH!D1870,""),"")</f>
        <v/>
      </c>
      <c r="B1870" s="36">
        <f t="shared" si="283"/>
        <v>5</v>
      </c>
      <c r="C1870" s="190">
        <f t="shared" si="284"/>
        <v>42521</v>
      </c>
      <c r="D1870" s="190" t="s">
        <v>1609</v>
      </c>
      <c r="E1870" s="190">
        <v>42521</v>
      </c>
      <c r="F1870" s="191" t="s">
        <v>574</v>
      </c>
      <c r="G1870" s="833" t="s">
        <v>697</v>
      </c>
      <c r="H1870" s="192" t="s">
        <v>678</v>
      </c>
      <c r="I1870" s="253">
        <v>6</v>
      </c>
      <c r="J1870" s="253">
        <v>186375</v>
      </c>
      <c r="K1870" s="584">
        <f t="shared" si="286"/>
        <v>1118250</v>
      </c>
      <c r="L1870" s="193" t="s">
        <v>251</v>
      </c>
      <c r="M1870" s="193" t="s">
        <v>164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26"/>
      <c r="AB1870" s="576" t="str">
        <f>IF(VLOOKUP(F1870,NXT!$C$12:$C$786,1,0)=F1870,"","x")</f>
        <v/>
      </c>
    </row>
    <row r="1871" spans="1:30" ht="15.75" customHeight="1">
      <c r="A1871" s="827" t="str">
        <f>IF(B1871&lt;&gt;"",IF(AND(B1871&gt;=_TM1,B1871&lt;=_TM2,OR(TH!L1871="1111",TH!M1871="1111")),TH!D1871,""),"")</f>
        <v/>
      </c>
      <c r="B1871" s="36">
        <f t="shared" si="283"/>
        <v>5</v>
      </c>
      <c r="C1871" s="190">
        <f t="shared" si="284"/>
        <v>42521</v>
      </c>
      <c r="D1871" s="190" t="s">
        <v>1609</v>
      </c>
      <c r="E1871" s="190">
        <v>42521</v>
      </c>
      <c r="F1871" s="191" t="s">
        <v>531</v>
      </c>
      <c r="G1871" s="833" t="s">
        <v>697</v>
      </c>
      <c r="H1871" s="192" t="s">
        <v>678</v>
      </c>
      <c r="I1871" s="253">
        <v>10</v>
      </c>
      <c r="J1871" s="253">
        <v>7337</v>
      </c>
      <c r="K1871" s="584">
        <f t="shared" si="286"/>
        <v>73370</v>
      </c>
      <c r="L1871" s="193" t="s">
        <v>251</v>
      </c>
      <c r="M1871" s="193" t="s">
        <v>164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26"/>
      <c r="AB1871" s="576" t="str">
        <f>IF(VLOOKUP(F1871,NXT!$C$12:$C$786,1,0)=F1871,"","x")</f>
        <v/>
      </c>
    </row>
    <row r="1872" spans="1:30" ht="15.75" customHeight="1">
      <c r="A1872" s="827" t="str">
        <f>IF(B1872&lt;&gt;"",IF(AND(B1872&gt;=_TM1,B1872&lt;=_TM2,OR(TH!L1872="1111",TH!M1872="1111")),TH!D1872,""),"")</f>
        <v/>
      </c>
      <c r="B1872" s="36">
        <f t="shared" si="283"/>
        <v>5</v>
      </c>
      <c r="C1872" s="190">
        <f t="shared" si="284"/>
        <v>42521</v>
      </c>
      <c r="D1872" s="190" t="s">
        <v>1609</v>
      </c>
      <c r="E1872" s="190">
        <v>42521</v>
      </c>
      <c r="F1872" s="191" t="s">
        <v>520</v>
      </c>
      <c r="G1872" s="833" t="s">
        <v>697</v>
      </c>
      <c r="H1872" s="192" t="s">
        <v>678</v>
      </c>
      <c r="I1872" s="253">
        <v>12</v>
      </c>
      <c r="J1872" s="253">
        <v>16505</v>
      </c>
      <c r="K1872" s="584">
        <f t="shared" si="286"/>
        <v>198060</v>
      </c>
      <c r="L1872" s="193" t="s">
        <v>251</v>
      </c>
      <c r="M1872" s="193" t="s">
        <v>164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26"/>
      <c r="AB1872" s="576" t="str">
        <f>IF(VLOOKUP(F1872,NXT!$C$12:$C$786,1,0)=F1872,"","x")</f>
        <v/>
      </c>
    </row>
    <row r="1873" spans="1:30" ht="15.75" customHeight="1">
      <c r="A1873" s="827" t="str">
        <f>IF(B1873&lt;&gt;"",IF(AND(B1873&gt;=_TM1,B1873&lt;=_TM2,OR(TH!L1873="1111",TH!M1873="1111")),TH!D1873,""),"")</f>
        <v/>
      </c>
      <c r="B1873" s="36">
        <f t="shared" ref="B1873:B1936" si="287">IF(C1873&lt;&gt;"",MONTH(C1873),"")</f>
        <v>5</v>
      </c>
      <c r="C1873" s="190">
        <f t="shared" ref="C1873:C1936" si="288">E1873</f>
        <v>42521</v>
      </c>
      <c r="D1873" s="190" t="s">
        <v>1609</v>
      </c>
      <c r="E1873" s="190">
        <v>42521</v>
      </c>
      <c r="F1873" s="191" t="s">
        <v>568</v>
      </c>
      <c r="G1873" s="833" t="s">
        <v>697</v>
      </c>
      <c r="H1873" s="192" t="s">
        <v>678</v>
      </c>
      <c r="I1873" s="253">
        <v>36</v>
      </c>
      <c r="J1873" s="253">
        <v>15137</v>
      </c>
      <c r="K1873" s="584">
        <f t="shared" ref="K1873:K1904" si="289">ROUND(I1873*J1873,0)</f>
        <v>544932</v>
      </c>
      <c r="L1873" s="193" t="s">
        <v>251</v>
      </c>
      <c r="M1873" s="193" t="s">
        <v>164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26"/>
      <c r="AB1873" s="576" t="str">
        <f>IF(VLOOKUP(F1873,NXT!$C$12:$C$786,1,0)=F1873,"","x")</f>
        <v/>
      </c>
    </row>
    <row r="1874" spans="1:30" ht="15.75" customHeight="1">
      <c r="A1874" s="827" t="str">
        <f>IF(B1874&lt;&gt;"",IF(AND(B1874&gt;=_TM1,B1874&lt;=_TM2,OR(TH!L1874="1111",TH!M1874="1111")),TH!D1874,""),"")</f>
        <v/>
      </c>
      <c r="B1874" s="36">
        <f t="shared" si="287"/>
        <v>5</v>
      </c>
      <c r="C1874" s="190">
        <f t="shared" si="288"/>
        <v>42521</v>
      </c>
      <c r="D1874" s="190" t="s">
        <v>1609</v>
      </c>
      <c r="E1874" s="190">
        <v>42521</v>
      </c>
      <c r="F1874" s="191" t="s">
        <v>561</v>
      </c>
      <c r="G1874" s="833" t="s">
        <v>697</v>
      </c>
      <c r="H1874" s="192" t="s">
        <v>678</v>
      </c>
      <c r="I1874" s="253">
        <v>48</v>
      </c>
      <c r="J1874" s="253">
        <v>9716</v>
      </c>
      <c r="K1874" s="584">
        <f t="shared" si="289"/>
        <v>466368</v>
      </c>
      <c r="L1874" s="193" t="s">
        <v>251</v>
      </c>
      <c r="M1874" s="193" t="s">
        <v>164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26"/>
      <c r="AB1874" s="576" t="str">
        <f>IF(VLOOKUP(F1874,NXT!$C$12:$C$786,1,0)=F1874,"","x")</f>
        <v/>
      </c>
    </row>
    <row r="1875" spans="1:30" ht="15.75" customHeight="1">
      <c r="A1875" s="827" t="str">
        <f>IF(B1875&lt;&gt;"",IF(AND(B1875&gt;=_TM1,B1875&lt;=_TM2,OR(TH!L1875="1111",TH!M1875="1111")),TH!D1875,""),"")</f>
        <v/>
      </c>
      <c r="B1875" s="36">
        <f t="shared" si="287"/>
        <v>5</v>
      </c>
      <c r="C1875" s="190">
        <f t="shared" si="288"/>
        <v>42521</v>
      </c>
      <c r="D1875" s="190" t="s">
        <v>1609</v>
      </c>
      <c r="E1875" s="190">
        <v>42521</v>
      </c>
      <c r="F1875" s="191" t="s">
        <v>550</v>
      </c>
      <c r="G1875" s="833" t="s">
        <v>697</v>
      </c>
      <c r="H1875" s="192" t="s">
        <v>678</v>
      </c>
      <c r="I1875" s="253">
        <v>10</v>
      </c>
      <c r="J1875" s="253">
        <v>25200</v>
      </c>
      <c r="K1875" s="584">
        <f t="shared" si="289"/>
        <v>252000</v>
      </c>
      <c r="L1875" s="193" t="s">
        <v>251</v>
      </c>
      <c r="M1875" s="193" t="s">
        <v>164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26"/>
      <c r="AB1875" s="576" t="str">
        <f>IF(VLOOKUP(F1875,NXT!$C$12:$C$786,1,0)=F1875,"","x")</f>
        <v/>
      </c>
    </row>
    <row r="1876" spans="1:30" ht="15.75" customHeight="1">
      <c r="A1876" s="827" t="str">
        <f>IF(B1876&lt;&gt;"",IF(AND(B1876&gt;=_TM1,B1876&lt;=_TM2,OR(TH!L1876="1111",TH!M1876="1111")),TH!D1876,""),"")</f>
        <v/>
      </c>
      <c r="B1876" s="36">
        <f t="shared" si="287"/>
        <v>5</v>
      </c>
      <c r="C1876" s="190">
        <f t="shared" si="288"/>
        <v>42521</v>
      </c>
      <c r="D1876" s="190" t="s">
        <v>1609</v>
      </c>
      <c r="E1876" s="190">
        <v>42521</v>
      </c>
      <c r="F1876" s="191" t="s">
        <v>551</v>
      </c>
      <c r="G1876" s="833" t="s">
        <v>697</v>
      </c>
      <c r="H1876" s="192" t="s">
        <v>678</v>
      </c>
      <c r="I1876" s="253">
        <v>16</v>
      </c>
      <c r="J1876" s="253">
        <v>30870</v>
      </c>
      <c r="K1876" s="584">
        <f t="shared" si="289"/>
        <v>493920</v>
      </c>
      <c r="L1876" s="193" t="s">
        <v>251</v>
      </c>
      <c r="M1876" s="193" t="s">
        <v>164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26"/>
      <c r="AB1876" s="576" t="str">
        <f>IF(VLOOKUP(F1876,NXT!$C$12:$C$786,1,0)=F1876,"","x")</f>
        <v/>
      </c>
    </row>
    <row r="1877" spans="1:30" ht="15.75" customHeight="1">
      <c r="A1877" s="827" t="str">
        <f>IF(B1877&lt;&gt;"",IF(AND(B1877&gt;=_TM1,B1877&lt;=_TM2,OR(TH!L1877="1111",TH!M1877="1111")),TH!D1877,""),"")</f>
        <v/>
      </c>
      <c r="B1877" s="36">
        <f t="shared" si="287"/>
        <v>5</v>
      </c>
      <c r="C1877" s="190">
        <f t="shared" si="288"/>
        <v>42521</v>
      </c>
      <c r="D1877" s="190" t="s">
        <v>1609</v>
      </c>
      <c r="E1877" s="190">
        <v>42521</v>
      </c>
      <c r="F1877" s="191" t="s">
        <v>547</v>
      </c>
      <c r="G1877" s="833" t="s">
        <v>697</v>
      </c>
      <c r="H1877" s="192" t="s">
        <v>678</v>
      </c>
      <c r="I1877" s="254">
        <v>36</v>
      </c>
      <c r="J1877" s="254">
        <v>17457</v>
      </c>
      <c r="K1877" s="584">
        <f t="shared" si="289"/>
        <v>628452</v>
      </c>
      <c r="L1877" s="193" t="s">
        <v>251</v>
      </c>
      <c r="M1877" s="193" t="s">
        <v>164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26"/>
      <c r="AB1877" s="576" t="str">
        <f>IF(VLOOKUP(F1877,NXT!$C$12:$C$786,1,0)=F1877,"","x")</f>
        <v/>
      </c>
    </row>
    <row r="1878" spans="1:30" ht="15.75" customHeight="1">
      <c r="A1878" s="827" t="str">
        <f>IF(B1878&lt;&gt;"",IF(AND(B1878&gt;=_TM1,B1878&lt;=_TM2,OR(TH!L1878="1111",TH!M1878="1111")),TH!D1878,""),"")</f>
        <v/>
      </c>
      <c r="B1878" s="36">
        <f t="shared" si="287"/>
        <v>5</v>
      </c>
      <c r="C1878" s="190">
        <f t="shared" si="288"/>
        <v>42521</v>
      </c>
      <c r="D1878" s="190" t="s">
        <v>1609</v>
      </c>
      <c r="E1878" s="190">
        <v>42521</v>
      </c>
      <c r="F1878" s="191" t="s">
        <v>525</v>
      </c>
      <c r="G1878" s="833" t="s">
        <v>697</v>
      </c>
      <c r="H1878" s="192" t="s">
        <v>678</v>
      </c>
      <c r="I1878" s="253">
        <v>534</v>
      </c>
      <c r="J1878" s="253">
        <v>17658</v>
      </c>
      <c r="K1878" s="584">
        <f t="shared" si="289"/>
        <v>9429372</v>
      </c>
      <c r="L1878" s="193" t="s">
        <v>251</v>
      </c>
      <c r="M1878" s="193" t="s">
        <v>164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26"/>
      <c r="AB1878" s="576" t="str">
        <f>IF(VLOOKUP(F1878,NXT!$C$12:$C$786,1,0)=F1878,"","x")</f>
        <v/>
      </c>
    </row>
    <row r="1879" spans="1:30" ht="15.75" customHeight="1">
      <c r="A1879" s="827" t="str">
        <f>IF(B1879&lt;&gt;"",IF(AND(B1879&gt;=_TM1,B1879&lt;=_TM2,OR(TH!L1879="1111",TH!M1879="1111")),TH!D1879,""),"")</f>
        <v/>
      </c>
      <c r="B1879" s="36">
        <f t="shared" si="287"/>
        <v>5</v>
      </c>
      <c r="C1879" s="190">
        <f t="shared" si="288"/>
        <v>42521</v>
      </c>
      <c r="D1879" s="190" t="s">
        <v>1609</v>
      </c>
      <c r="E1879" s="190">
        <v>42521</v>
      </c>
      <c r="F1879" s="191" t="s">
        <v>517</v>
      </c>
      <c r="G1879" s="833" t="s">
        <v>697</v>
      </c>
      <c r="H1879" s="192" t="s">
        <v>678</v>
      </c>
      <c r="I1879" s="253">
        <v>36</v>
      </c>
      <c r="J1879" s="253">
        <v>17758</v>
      </c>
      <c r="K1879" s="584">
        <f t="shared" si="289"/>
        <v>639288</v>
      </c>
      <c r="L1879" s="193" t="s">
        <v>251</v>
      </c>
      <c r="M1879" s="193" t="s">
        <v>164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26"/>
      <c r="AB1879" s="576" t="str">
        <f>IF(VLOOKUP(F1879,NXT!$C$12:$C$786,1,0)=F1879,"","x")</f>
        <v/>
      </c>
    </row>
    <row r="1880" spans="1:30" ht="15.75" customHeight="1">
      <c r="A1880" s="827" t="str">
        <f>IF(B1880&lt;&gt;"",IF(AND(B1880&gt;=_TM1,B1880&lt;=_TM2,OR(TH!L1880="1111",TH!M1880="1111")),TH!D1880,""),"")</f>
        <v/>
      </c>
      <c r="B1880" s="36">
        <f t="shared" si="287"/>
        <v>5</v>
      </c>
      <c r="C1880" s="190">
        <f t="shared" si="288"/>
        <v>42521</v>
      </c>
      <c r="D1880" s="190" t="s">
        <v>1609</v>
      </c>
      <c r="E1880" s="190">
        <v>42521</v>
      </c>
      <c r="F1880" s="191" t="s">
        <v>716</v>
      </c>
      <c r="G1880" s="833" t="s">
        <v>697</v>
      </c>
      <c r="H1880" s="192" t="s">
        <v>678</v>
      </c>
      <c r="I1880" s="253">
        <v>12</v>
      </c>
      <c r="J1880" s="253">
        <v>23826</v>
      </c>
      <c r="K1880" s="584">
        <f t="shared" si="289"/>
        <v>285912</v>
      </c>
      <c r="L1880" s="193" t="s">
        <v>251</v>
      </c>
      <c r="M1880" s="193" t="s">
        <v>164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26"/>
      <c r="AB1880" s="576" t="str">
        <f>IF(VLOOKUP(F1880,NXT!$C$12:$C$786,1,0)=F1880,"","x")</f>
        <v/>
      </c>
    </row>
    <row r="1881" spans="1:30" ht="15.75" customHeight="1">
      <c r="A1881" s="827" t="str">
        <f>IF(B1881&lt;&gt;"",IF(AND(B1881&gt;=_TM1,B1881&lt;=_TM2,OR(TH!L1881="1111",TH!M1881="1111")),TH!D1881,""),"")</f>
        <v/>
      </c>
      <c r="B1881" s="36">
        <f t="shared" si="287"/>
        <v>5</v>
      </c>
      <c r="C1881" s="190">
        <f t="shared" si="288"/>
        <v>42521</v>
      </c>
      <c r="D1881" s="190" t="s">
        <v>1609</v>
      </c>
      <c r="E1881" s="190">
        <v>42521</v>
      </c>
      <c r="F1881" s="191" t="s">
        <v>711</v>
      </c>
      <c r="G1881" s="833" t="s">
        <v>697</v>
      </c>
      <c r="H1881" s="192" t="s">
        <v>678</v>
      </c>
      <c r="I1881" s="253">
        <v>24</v>
      </c>
      <c r="J1881" s="253">
        <v>18311</v>
      </c>
      <c r="K1881" s="584">
        <f t="shared" si="289"/>
        <v>439464</v>
      </c>
      <c r="L1881" s="193" t="s">
        <v>251</v>
      </c>
      <c r="M1881" s="193" t="s">
        <v>164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26"/>
      <c r="AB1881" s="576" t="str">
        <f>IF(VLOOKUP(F1881,NXT!$C$12:$C$786,1,0)=F1881,"","x")</f>
        <v/>
      </c>
    </row>
    <row r="1882" spans="1:30" ht="15.75" customHeight="1">
      <c r="A1882" s="827" t="str">
        <f>IF(B1882&lt;&gt;"",IF(AND(B1882&gt;=_TM1,B1882&lt;=_TM2,OR(TH!L1882="1111",TH!M1882="1111")),TH!D1882,""),"")</f>
        <v/>
      </c>
      <c r="B1882" s="36">
        <f t="shared" si="287"/>
        <v>5</v>
      </c>
      <c r="C1882" s="190">
        <f t="shared" si="288"/>
        <v>42521</v>
      </c>
      <c r="D1882" s="190" t="s">
        <v>1609</v>
      </c>
      <c r="E1882" s="190">
        <v>42521</v>
      </c>
      <c r="F1882" s="191" t="s">
        <v>512</v>
      </c>
      <c r="G1882" s="833" t="s">
        <v>697</v>
      </c>
      <c r="H1882" s="192" t="s">
        <v>678</v>
      </c>
      <c r="I1882" s="253">
        <v>56</v>
      </c>
      <c r="J1882" s="253">
        <v>19096</v>
      </c>
      <c r="K1882" s="584">
        <f t="shared" si="289"/>
        <v>1069376</v>
      </c>
      <c r="L1882" s="193" t="s">
        <v>251</v>
      </c>
      <c r="M1882" s="193" t="s">
        <v>164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26"/>
      <c r="AB1882" s="576" t="str">
        <f>IF(VLOOKUP(F1882,NXT!$C$12:$C$786,1,0)=F1882,"","x")</f>
        <v/>
      </c>
    </row>
    <row r="1883" spans="1:30" ht="15.75" customHeight="1">
      <c r="A1883" s="827" t="str">
        <f>IF(B1883&lt;&gt;"",IF(AND(B1883&gt;=_TM1,B1883&lt;=_TM2,OR(TH!L1883="1111",TH!M1883="1111")),TH!D1883,""),"")</f>
        <v/>
      </c>
      <c r="B1883" s="36">
        <f t="shared" si="287"/>
        <v>5</v>
      </c>
      <c r="C1883" s="190">
        <f t="shared" si="288"/>
        <v>42521</v>
      </c>
      <c r="D1883" s="190" t="s">
        <v>1609</v>
      </c>
      <c r="E1883" s="190">
        <v>42521</v>
      </c>
      <c r="F1883" s="188" t="s">
        <v>512</v>
      </c>
      <c r="G1883" s="833" t="s">
        <v>697</v>
      </c>
      <c r="H1883" s="192" t="s">
        <v>678</v>
      </c>
      <c r="I1883" s="254">
        <v>12</v>
      </c>
      <c r="J1883" s="254">
        <v>19547</v>
      </c>
      <c r="K1883" s="584">
        <f t="shared" si="289"/>
        <v>234564</v>
      </c>
      <c r="L1883" s="193" t="s">
        <v>251</v>
      </c>
      <c r="M1883" s="193" t="s">
        <v>164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26"/>
      <c r="AB1883" s="576" t="str">
        <f>IF(VLOOKUP(F1883,NXT!$C$12:$C$786,1,0)=F1883,"","x")</f>
        <v/>
      </c>
      <c r="AC1883" s="576"/>
      <c r="AD1883" s="576"/>
    </row>
    <row r="1884" spans="1:30" ht="15.75" customHeight="1">
      <c r="A1884" s="827" t="str">
        <f>IF(B1884&lt;&gt;"",IF(AND(B1884&gt;=_TM1,B1884&lt;=_TM2,OR(TH!L1884="1111",TH!M1884="1111")),TH!D1884,""),"")</f>
        <v/>
      </c>
      <c r="B1884" s="36">
        <f t="shared" si="287"/>
        <v>5</v>
      </c>
      <c r="C1884" s="190">
        <f t="shared" si="288"/>
        <v>42521</v>
      </c>
      <c r="D1884" s="190" t="s">
        <v>1609</v>
      </c>
      <c r="E1884" s="190">
        <v>42521</v>
      </c>
      <c r="F1884" s="191" t="s">
        <v>513</v>
      </c>
      <c r="G1884" s="833" t="s">
        <v>697</v>
      </c>
      <c r="H1884" s="192" t="s">
        <v>678</v>
      </c>
      <c r="I1884" s="253">
        <v>48</v>
      </c>
      <c r="J1884" s="253">
        <v>19769</v>
      </c>
      <c r="K1884" s="584">
        <f t="shared" si="289"/>
        <v>948912</v>
      </c>
      <c r="L1884" s="193" t="s">
        <v>251</v>
      </c>
      <c r="M1884" s="193" t="s">
        <v>164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26"/>
      <c r="AB1884" s="576" t="str">
        <f>IF(VLOOKUP(F1884,NXT!$C$12:$C$786,1,0)=F1884,"","x")</f>
        <v/>
      </c>
    </row>
    <row r="1885" spans="1:30" ht="15.75" customHeight="1">
      <c r="A1885" s="827" t="str">
        <f>IF(B1885&lt;&gt;"",IF(AND(B1885&gt;=_TM1,B1885&lt;=_TM2,OR(TH!L1885="1111",TH!M1885="1111")),TH!D1885,""),"")</f>
        <v/>
      </c>
      <c r="B1885" s="36">
        <f t="shared" si="287"/>
        <v>5</v>
      </c>
      <c r="C1885" s="190">
        <f t="shared" si="288"/>
        <v>42521</v>
      </c>
      <c r="D1885" s="190" t="s">
        <v>1609</v>
      </c>
      <c r="E1885" s="190">
        <v>42521</v>
      </c>
      <c r="F1885" s="191" t="s">
        <v>558</v>
      </c>
      <c r="G1885" s="833" t="s">
        <v>697</v>
      </c>
      <c r="H1885" s="192" t="s">
        <v>678</v>
      </c>
      <c r="I1885" s="253">
        <v>12</v>
      </c>
      <c r="J1885" s="253">
        <v>34495</v>
      </c>
      <c r="K1885" s="584">
        <f t="shared" si="289"/>
        <v>413940</v>
      </c>
      <c r="L1885" s="193" t="s">
        <v>251</v>
      </c>
      <c r="M1885" s="193" t="s">
        <v>164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26"/>
      <c r="AB1885" s="576" t="str">
        <f>IF(VLOOKUP(F1885,NXT!$C$12:$C$786,1,0)=F1885,"","x")</f>
        <v/>
      </c>
    </row>
    <row r="1886" spans="1:30" ht="15.75" customHeight="1">
      <c r="A1886" s="827" t="str">
        <f>IF(B1886&lt;&gt;"",IF(AND(B1886&gt;=_TM1,B1886&lt;=_TM2,OR(TH!L1886="1111",TH!M1886="1111")),TH!D1886,""),"")</f>
        <v/>
      </c>
      <c r="B1886" s="36">
        <f t="shared" si="287"/>
        <v>5</v>
      </c>
      <c r="C1886" s="190">
        <f t="shared" si="288"/>
        <v>42521</v>
      </c>
      <c r="D1886" s="190" t="s">
        <v>1609</v>
      </c>
      <c r="E1886" s="190">
        <v>42521</v>
      </c>
      <c r="F1886" s="188" t="s">
        <v>725</v>
      </c>
      <c r="G1886" s="833" t="s">
        <v>697</v>
      </c>
      <c r="H1886" s="192" t="s">
        <v>678</v>
      </c>
      <c r="I1886" s="254">
        <v>320</v>
      </c>
      <c r="J1886" s="254">
        <v>19174</v>
      </c>
      <c r="K1886" s="584">
        <f t="shared" si="289"/>
        <v>6135680</v>
      </c>
      <c r="L1886" s="193" t="s">
        <v>251</v>
      </c>
      <c r="M1886" s="193" t="s">
        <v>164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26"/>
      <c r="AB1886" s="576" t="str">
        <f>IF(VLOOKUP(F1886,NXT!$C$12:$C$786,1,0)=F1886,"","x")</f>
        <v/>
      </c>
      <c r="AC1886" s="576"/>
      <c r="AD1886" s="576"/>
    </row>
    <row r="1887" spans="1:30" ht="15.75" customHeight="1">
      <c r="A1887" s="827" t="str">
        <f>IF(B1887&lt;&gt;"",IF(AND(B1887&gt;=_TM1,B1887&lt;=_TM2,OR(TH!L1887="1111",TH!M1887="1111")),TH!D1887,""),"")</f>
        <v/>
      </c>
      <c r="B1887" s="36">
        <f t="shared" si="287"/>
        <v>5</v>
      </c>
      <c r="C1887" s="190">
        <f t="shared" si="288"/>
        <v>42521</v>
      </c>
      <c r="D1887" s="190" t="s">
        <v>1609</v>
      </c>
      <c r="E1887" s="190">
        <v>42521</v>
      </c>
      <c r="F1887" s="191" t="s">
        <v>511</v>
      </c>
      <c r="G1887" s="833" t="s">
        <v>697</v>
      </c>
      <c r="H1887" s="192" t="s">
        <v>678</v>
      </c>
      <c r="I1887" s="253">
        <v>118</v>
      </c>
      <c r="J1887" s="253">
        <v>30362</v>
      </c>
      <c r="K1887" s="584">
        <f t="shared" si="289"/>
        <v>3582716</v>
      </c>
      <c r="L1887" s="193" t="s">
        <v>251</v>
      </c>
      <c r="M1887" s="193" t="s">
        <v>164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26"/>
      <c r="AB1887" s="576" t="str">
        <f>IF(VLOOKUP(F1887,NXT!$C$12:$C$786,1,0)=F1887,"","x")</f>
        <v/>
      </c>
    </row>
    <row r="1888" spans="1:30" ht="15.75" customHeight="1">
      <c r="A1888" s="827" t="str">
        <f>IF(B1888&lt;&gt;"",IF(AND(B1888&gt;=_TM1,B1888&lt;=_TM2,OR(TH!L1888="1111",TH!M1888="1111")),TH!D1888,""),"")</f>
        <v/>
      </c>
      <c r="B1888" s="36">
        <f t="shared" si="287"/>
        <v>5</v>
      </c>
      <c r="C1888" s="190">
        <f t="shared" si="288"/>
        <v>42521</v>
      </c>
      <c r="D1888" s="190" t="s">
        <v>1609</v>
      </c>
      <c r="E1888" s="190">
        <v>42521</v>
      </c>
      <c r="F1888" s="191" t="s">
        <v>511</v>
      </c>
      <c r="G1888" s="833" t="s">
        <v>697</v>
      </c>
      <c r="H1888" s="192" t="s">
        <v>678</v>
      </c>
      <c r="I1888" s="253">
        <v>12</v>
      </c>
      <c r="J1888" s="253">
        <v>33558</v>
      </c>
      <c r="K1888" s="584">
        <f t="shared" si="289"/>
        <v>402696</v>
      </c>
      <c r="L1888" s="193" t="s">
        <v>251</v>
      </c>
      <c r="M1888" s="193" t="s">
        <v>164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26"/>
      <c r="AB1888" s="576" t="str">
        <f>IF(VLOOKUP(F1888,NXT!$C$12:$C$786,1,0)=F1888,"","x")</f>
        <v/>
      </c>
    </row>
    <row r="1889" spans="1:30" ht="15.75" customHeight="1">
      <c r="A1889" s="827" t="str">
        <f>IF(B1889&lt;&gt;"",IF(AND(B1889&gt;=_TM1,B1889&lt;=_TM2,OR(TH!L1889="1111",TH!M1889="1111")),TH!D1889,""),"")</f>
        <v/>
      </c>
      <c r="B1889" s="36">
        <f t="shared" si="287"/>
        <v>5</v>
      </c>
      <c r="C1889" s="190">
        <f t="shared" si="288"/>
        <v>42521</v>
      </c>
      <c r="D1889" s="190" t="s">
        <v>1609</v>
      </c>
      <c r="E1889" s="190">
        <v>42521</v>
      </c>
      <c r="F1889" s="191" t="s">
        <v>717</v>
      </c>
      <c r="G1889" s="833" t="s">
        <v>697</v>
      </c>
      <c r="H1889" s="192" t="s">
        <v>678</v>
      </c>
      <c r="I1889" s="253">
        <v>12</v>
      </c>
      <c r="J1889" s="253">
        <v>42483</v>
      </c>
      <c r="K1889" s="584">
        <f t="shared" si="289"/>
        <v>509796</v>
      </c>
      <c r="L1889" s="193" t="s">
        <v>251</v>
      </c>
      <c r="M1889" s="193" t="s">
        <v>164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26"/>
      <c r="AB1889" s="576" t="str">
        <f>IF(VLOOKUP(F1889,NXT!$C$12:$C$786,1,0)=F1889,"","x")</f>
        <v/>
      </c>
      <c r="AC1889" s="576"/>
      <c r="AD1889" s="576"/>
    </row>
    <row r="1890" spans="1:30" ht="15.75" customHeight="1">
      <c r="A1890" s="827" t="str">
        <f>IF(B1890&lt;&gt;"",IF(AND(B1890&gt;=_TM1,B1890&lt;=_TM2,OR(TH!L1890="1111",TH!M1890="1111")),TH!D1890,""),"")</f>
        <v/>
      </c>
      <c r="B1890" s="36">
        <f t="shared" si="287"/>
        <v>5</v>
      </c>
      <c r="C1890" s="190">
        <f t="shared" si="288"/>
        <v>42521</v>
      </c>
      <c r="D1890" s="190" t="s">
        <v>1609</v>
      </c>
      <c r="E1890" s="190">
        <v>42521</v>
      </c>
      <c r="F1890" s="191" t="s">
        <v>701</v>
      </c>
      <c r="G1890" s="833" t="s">
        <v>697</v>
      </c>
      <c r="H1890" s="192" t="s">
        <v>678</v>
      </c>
      <c r="I1890" s="253">
        <v>4</v>
      </c>
      <c r="J1890" s="253">
        <v>31424</v>
      </c>
      <c r="K1890" s="584">
        <f t="shared" si="289"/>
        <v>125696</v>
      </c>
      <c r="L1890" s="193" t="s">
        <v>251</v>
      </c>
      <c r="M1890" s="193" t="s">
        <v>164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26"/>
      <c r="AB1890" s="576" t="str">
        <f>IF(VLOOKUP(F1890,NXT!$C$12:$C$786,1,0)=F1890,"","x")</f>
        <v/>
      </c>
    </row>
    <row r="1891" spans="1:30" ht="15.75" customHeight="1">
      <c r="A1891" s="827" t="str">
        <f>IF(B1891&lt;&gt;"",IF(AND(B1891&gt;=_TM1,B1891&lt;=_TM2,OR(TH!L1891="1111",TH!M1891="1111")),TH!D1891,""),"")</f>
        <v/>
      </c>
      <c r="B1891" s="36">
        <f t="shared" si="287"/>
        <v>5</v>
      </c>
      <c r="C1891" s="190">
        <f t="shared" si="288"/>
        <v>42521</v>
      </c>
      <c r="D1891" s="190" t="s">
        <v>1609</v>
      </c>
      <c r="E1891" s="190">
        <v>42521</v>
      </c>
      <c r="F1891" s="191" t="s">
        <v>700</v>
      </c>
      <c r="G1891" s="833" t="s">
        <v>697</v>
      </c>
      <c r="H1891" s="192" t="s">
        <v>678</v>
      </c>
      <c r="I1891" s="253">
        <v>24</v>
      </c>
      <c r="J1891" s="253">
        <v>20798</v>
      </c>
      <c r="K1891" s="584">
        <f t="shared" si="289"/>
        <v>499152</v>
      </c>
      <c r="L1891" s="193" t="s">
        <v>251</v>
      </c>
      <c r="M1891" s="193" t="s">
        <v>164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26"/>
      <c r="AB1891" s="576" t="str">
        <f>IF(VLOOKUP(F1891,NXT!$C$12:$C$786,1,0)=F1891,"","x")</f>
        <v/>
      </c>
    </row>
    <row r="1892" spans="1:30" ht="15.75" customHeight="1">
      <c r="A1892" s="827" t="str">
        <f>IF(B1892&lt;&gt;"",IF(AND(B1892&gt;=_TM1,B1892&lt;=_TM2,OR(TH!L1892="1111",TH!M1892="1111")),TH!D1892,""),"")</f>
        <v/>
      </c>
      <c r="B1892" s="36">
        <f t="shared" si="287"/>
        <v>5</v>
      </c>
      <c r="C1892" s="190">
        <f t="shared" si="288"/>
        <v>42521</v>
      </c>
      <c r="D1892" s="190" t="s">
        <v>1609</v>
      </c>
      <c r="E1892" s="190">
        <v>42521</v>
      </c>
      <c r="F1892" s="40" t="s">
        <v>888</v>
      </c>
      <c r="G1892" s="833" t="s">
        <v>697</v>
      </c>
      <c r="H1892" s="192" t="s">
        <v>678</v>
      </c>
      <c r="I1892" s="253">
        <v>24</v>
      </c>
      <c r="J1892" s="253">
        <v>21025</v>
      </c>
      <c r="K1892" s="584">
        <f t="shared" si="289"/>
        <v>504600</v>
      </c>
      <c r="L1892" s="193" t="s">
        <v>251</v>
      </c>
      <c r="M1892" s="193" t="s">
        <v>164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26"/>
      <c r="AB1892" s="576" t="str">
        <f>IF(VLOOKUP(F1892,NXT!$C$12:$C$786,1,0)=F1892,"","x")</f>
        <v/>
      </c>
    </row>
    <row r="1893" spans="1:30" ht="15.75" customHeight="1">
      <c r="A1893" s="827" t="str">
        <f>IF(B1893&lt;&gt;"",IF(AND(B1893&gt;=_TM1,B1893&lt;=_TM2,OR(TH!L1893="1111",TH!M1893="1111")),TH!D1893,""),"")</f>
        <v/>
      </c>
      <c r="B1893" s="36">
        <f t="shared" si="287"/>
        <v>5</v>
      </c>
      <c r="C1893" s="190">
        <f t="shared" si="288"/>
        <v>42521</v>
      </c>
      <c r="D1893" s="190" t="s">
        <v>1609</v>
      </c>
      <c r="E1893" s="190">
        <v>42521</v>
      </c>
      <c r="F1893" s="191" t="s">
        <v>522</v>
      </c>
      <c r="G1893" s="833" t="s">
        <v>697</v>
      </c>
      <c r="H1893" s="192" t="s">
        <v>678</v>
      </c>
      <c r="I1893" s="253">
        <v>7</v>
      </c>
      <c r="J1893" s="253">
        <v>23603</v>
      </c>
      <c r="K1893" s="584">
        <f t="shared" si="289"/>
        <v>165221</v>
      </c>
      <c r="L1893" s="193" t="s">
        <v>251</v>
      </c>
      <c r="M1893" s="193" t="s">
        <v>164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26"/>
      <c r="AB1893" s="576" t="str">
        <f>IF(VLOOKUP(F1893,NXT!$C$12:$C$786,1,0)=F1893,"","x")</f>
        <v/>
      </c>
    </row>
    <row r="1894" spans="1:30" ht="15.75" customHeight="1">
      <c r="A1894" s="827" t="str">
        <f>IF(B1894&lt;&gt;"",IF(AND(B1894&gt;=_TM1,B1894&lt;=_TM2,OR(TH!L1894="1111",TH!M1894="1111")),TH!D1894,""),"")</f>
        <v/>
      </c>
      <c r="B1894" s="36">
        <f t="shared" si="287"/>
        <v>5</v>
      </c>
      <c r="C1894" s="190">
        <f t="shared" si="288"/>
        <v>42521</v>
      </c>
      <c r="D1894" s="190" t="s">
        <v>1609</v>
      </c>
      <c r="E1894" s="190">
        <v>42521</v>
      </c>
      <c r="F1894" s="40" t="s">
        <v>721</v>
      </c>
      <c r="G1894" s="833" t="s">
        <v>697</v>
      </c>
      <c r="H1894" s="192" t="s">
        <v>678</v>
      </c>
      <c r="I1894" s="253">
        <v>12</v>
      </c>
      <c r="J1894" s="253">
        <v>27999</v>
      </c>
      <c r="K1894" s="584">
        <f t="shared" si="289"/>
        <v>335988</v>
      </c>
      <c r="L1894" s="193" t="s">
        <v>251</v>
      </c>
      <c r="M1894" s="193" t="s">
        <v>164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26"/>
      <c r="AB1894" s="576" t="str">
        <f>IF(VLOOKUP(F1894,NXT!$C$12:$C$786,1,0)=F1894,"","x")</f>
        <v/>
      </c>
    </row>
    <row r="1895" spans="1:30" ht="15.75" customHeight="1">
      <c r="A1895" s="827" t="str">
        <f>IF(B1895&lt;&gt;"",IF(AND(B1895&gt;=_TM1,B1895&lt;=_TM2,OR(TH!L1895="1111",TH!M1895="1111")),TH!D1895,""),"")</f>
        <v/>
      </c>
      <c r="B1895" s="36">
        <f t="shared" si="287"/>
        <v>5</v>
      </c>
      <c r="C1895" s="190">
        <f t="shared" si="288"/>
        <v>42521</v>
      </c>
      <c r="D1895" s="190" t="s">
        <v>1609</v>
      </c>
      <c r="E1895" s="190">
        <v>42521</v>
      </c>
      <c r="F1895" s="191" t="s">
        <v>530</v>
      </c>
      <c r="G1895" s="833" t="s">
        <v>697</v>
      </c>
      <c r="H1895" s="192" t="s">
        <v>678</v>
      </c>
      <c r="I1895" s="253">
        <v>10</v>
      </c>
      <c r="J1895" s="253">
        <v>12033</v>
      </c>
      <c r="K1895" s="584">
        <f t="shared" si="289"/>
        <v>120330</v>
      </c>
      <c r="L1895" s="193" t="s">
        <v>251</v>
      </c>
      <c r="M1895" s="193" t="s">
        <v>164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26"/>
      <c r="AB1895" s="576" t="str">
        <f>IF(VLOOKUP(F1895,NXT!$C$12:$C$786,1,0)=F1895,"","x")</f>
        <v/>
      </c>
    </row>
    <row r="1896" spans="1:30" ht="15.75" customHeight="1">
      <c r="A1896" s="827" t="str">
        <f>IF(B1896&lt;&gt;"",IF(AND(B1896&gt;=_TM1,B1896&lt;=_TM2,OR(TH!L1896="1111",TH!M1896="1111")),TH!D1896,""),"")</f>
        <v/>
      </c>
      <c r="B1896" s="36">
        <f t="shared" si="287"/>
        <v>5</v>
      </c>
      <c r="C1896" s="190">
        <f t="shared" si="288"/>
        <v>42521</v>
      </c>
      <c r="D1896" s="190" t="s">
        <v>1609</v>
      </c>
      <c r="E1896" s="190">
        <v>42521</v>
      </c>
      <c r="F1896" s="191" t="s">
        <v>706</v>
      </c>
      <c r="G1896" s="833" t="s">
        <v>697</v>
      </c>
      <c r="H1896" s="192" t="s">
        <v>678</v>
      </c>
      <c r="I1896" s="253">
        <v>12</v>
      </c>
      <c r="J1896" s="253">
        <v>14906</v>
      </c>
      <c r="K1896" s="584">
        <f t="shared" si="289"/>
        <v>178872</v>
      </c>
      <c r="L1896" s="193" t="s">
        <v>251</v>
      </c>
      <c r="M1896" s="193" t="s">
        <v>164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26"/>
      <c r="AB1896" s="576" t="str">
        <f>IF(VLOOKUP(F1896,NXT!$C$12:$C$786,1,0)=F1896,"","x")</f>
        <v/>
      </c>
    </row>
    <row r="1897" spans="1:30" ht="15.75" customHeight="1">
      <c r="A1897" s="827" t="str">
        <f>IF(B1897&lt;&gt;"",IF(AND(B1897&gt;=_TM1,B1897&lt;=_TM2,OR(TH!L1897="1111",TH!M1897="1111")),TH!D1897,""),"")</f>
        <v/>
      </c>
      <c r="B1897" s="36">
        <f t="shared" si="287"/>
        <v>5</v>
      </c>
      <c r="C1897" s="190">
        <f t="shared" si="288"/>
        <v>42521</v>
      </c>
      <c r="D1897" s="190" t="s">
        <v>1609</v>
      </c>
      <c r="E1897" s="190">
        <v>42521</v>
      </c>
      <c r="F1897" s="191" t="s">
        <v>712</v>
      </c>
      <c r="G1897" s="833" t="s">
        <v>697</v>
      </c>
      <c r="H1897" s="192" t="s">
        <v>678</v>
      </c>
      <c r="I1897" s="253">
        <v>12</v>
      </c>
      <c r="J1897" s="253">
        <v>22240</v>
      </c>
      <c r="K1897" s="584">
        <f t="shared" si="289"/>
        <v>266880</v>
      </c>
      <c r="L1897" s="193" t="s">
        <v>251</v>
      </c>
      <c r="M1897" s="193" t="s">
        <v>164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26"/>
      <c r="AB1897" s="576" t="str">
        <f>IF(VLOOKUP(F1897,NXT!$C$12:$C$786,1,0)=F1897,"","x")</f>
        <v/>
      </c>
    </row>
    <row r="1898" spans="1:30" ht="15.75" customHeight="1">
      <c r="A1898" s="827" t="str">
        <f>IF(B1898&lt;&gt;"",IF(AND(B1898&gt;=_TM1,B1898&lt;=_TM2,OR(TH!L1898="1111",TH!M1898="1111")),TH!D1898,""),"")</f>
        <v/>
      </c>
      <c r="B1898" s="36">
        <f t="shared" si="287"/>
        <v>5</v>
      </c>
      <c r="C1898" s="190">
        <f t="shared" si="288"/>
        <v>42521</v>
      </c>
      <c r="D1898" s="190" t="s">
        <v>1609</v>
      </c>
      <c r="E1898" s="190">
        <v>42521</v>
      </c>
      <c r="F1898" s="191" t="s">
        <v>556</v>
      </c>
      <c r="G1898" s="833" t="s">
        <v>697</v>
      </c>
      <c r="H1898" s="192" t="s">
        <v>678</v>
      </c>
      <c r="I1898" s="253">
        <v>12</v>
      </c>
      <c r="J1898" s="253">
        <v>21681</v>
      </c>
      <c r="K1898" s="584">
        <f t="shared" si="289"/>
        <v>260172</v>
      </c>
      <c r="L1898" s="193" t="s">
        <v>251</v>
      </c>
      <c r="M1898" s="193" t="s">
        <v>164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26"/>
      <c r="AB1898" s="576" t="str">
        <f>IF(VLOOKUP(F1898,NXT!$C$12:$C$786,1,0)=F1898,"","x")</f>
        <v/>
      </c>
    </row>
    <row r="1899" spans="1:30" ht="15.75" customHeight="1">
      <c r="A1899" s="827" t="str">
        <f>IF(B1899&lt;&gt;"",IF(AND(B1899&gt;=_TM1,B1899&lt;=_TM2,OR(TH!L1899="1111",TH!M1899="1111")),TH!D1899,""),"")</f>
        <v/>
      </c>
      <c r="B1899" s="36">
        <f t="shared" si="287"/>
        <v>5</v>
      </c>
      <c r="C1899" s="190">
        <f t="shared" si="288"/>
        <v>42521</v>
      </c>
      <c r="D1899" s="190" t="s">
        <v>1609</v>
      </c>
      <c r="E1899" s="190">
        <v>42521</v>
      </c>
      <c r="F1899" s="191" t="s">
        <v>556</v>
      </c>
      <c r="G1899" s="833" t="s">
        <v>697</v>
      </c>
      <c r="H1899" s="192" t="s">
        <v>678</v>
      </c>
      <c r="I1899" s="253">
        <v>12</v>
      </c>
      <c r="J1899" s="253">
        <v>22194</v>
      </c>
      <c r="K1899" s="584">
        <f t="shared" si="289"/>
        <v>266328</v>
      </c>
      <c r="L1899" s="193" t="s">
        <v>251</v>
      </c>
      <c r="M1899" s="193" t="s">
        <v>164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26"/>
      <c r="AB1899" s="576" t="str">
        <f>IF(VLOOKUP(F1899,NXT!$C$12:$C$786,1,0)=F1899,"","x")</f>
        <v/>
      </c>
    </row>
    <row r="1900" spans="1:30" ht="15.75" customHeight="1">
      <c r="A1900" s="827" t="str">
        <f>IF(B1900&lt;&gt;"",IF(AND(B1900&gt;=_TM1,B1900&lt;=_TM2,OR(TH!L1900="1111",TH!M1900="1111")),TH!D1900,""),"")</f>
        <v/>
      </c>
      <c r="B1900" s="36">
        <f t="shared" si="287"/>
        <v>5</v>
      </c>
      <c r="C1900" s="190">
        <f t="shared" si="288"/>
        <v>42521</v>
      </c>
      <c r="D1900" s="190" t="s">
        <v>1609</v>
      </c>
      <c r="E1900" s="190">
        <v>42521</v>
      </c>
      <c r="F1900" s="191" t="s">
        <v>552</v>
      </c>
      <c r="G1900" s="833" t="s">
        <v>697</v>
      </c>
      <c r="H1900" s="192" t="s">
        <v>678</v>
      </c>
      <c r="I1900" s="253">
        <v>12</v>
      </c>
      <c r="J1900" s="253">
        <v>38279</v>
      </c>
      <c r="K1900" s="584">
        <f t="shared" si="289"/>
        <v>459348</v>
      </c>
      <c r="L1900" s="193" t="s">
        <v>251</v>
      </c>
      <c r="M1900" s="193" t="s">
        <v>164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26"/>
      <c r="AB1900" s="576" t="str">
        <f>IF(VLOOKUP(F1900,NXT!$C$12:$C$786,1,0)=F1900,"","x")</f>
        <v/>
      </c>
    </row>
    <row r="1901" spans="1:30" ht="15.75" customHeight="1">
      <c r="A1901" s="827" t="str">
        <f>IF(B1901&lt;&gt;"",IF(AND(B1901&gt;=_TM1,B1901&lt;=_TM2,OR(TH!L1901="1111",TH!M1901="1111")),TH!D1901,""),"")</f>
        <v/>
      </c>
      <c r="B1901" s="36">
        <f t="shared" si="287"/>
        <v>5</v>
      </c>
      <c r="C1901" s="190">
        <f t="shared" si="288"/>
        <v>42521</v>
      </c>
      <c r="D1901" s="190" t="s">
        <v>1609</v>
      </c>
      <c r="E1901" s="190">
        <v>42521</v>
      </c>
      <c r="F1901" s="191" t="s">
        <v>552</v>
      </c>
      <c r="G1901" s="833" t="s">
        <v>697</v>
      </c>
      <c r="H1901" s="192" t="s">
        <v>678</v>
      </c>
      <c r="I1901" s="253">
        <v>36</v>
      </c>
      <c r="J1901" s="253">
        <v>34633</v>
      </c>
      <c r="K1901" s="584">
        <f t="shared" si="289"/>
        <v>1246788</v>
      </c>
      <c r="L1901" s="193" t="s">
        <v>251</v>
      </c>
      <c r="M1901" s="193" t="s">
        <v>164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26"/>
      <c r="AB1901" s="576" t="str">
        <f>IF(VLOOKUP(F1901,NXT!$C$12:$C$786,1,0)=F1901,"","x")</f>
        <v/>
      </c>
    </row>
    <row r="1902" spans="1:30" ht="15.75" customHeight="1">
      <c r="A1902" s="827" t="str">
        <f>IF(B1902&lt;&gt;"",IF(AND(B1902&gt;=_TM1,B1902&lt;=_TM2,OR(TH!L1902="1111",TH!M1902="1111")),TH!D1902,""),"")</f>
        <v/>
      </c>
      <c r="B1902" s="36">
        <f t="shared" si="287"/>
        <v>5</v>
      </c>
      <c r="C1902" s="190">
        <f t="shared" si="288"/>
        <v>42521</v>
      </c>
      <c r="D1902" s="190" t="s">
        <v>1609</v>
      </c>
      <c r="E1902" s="190">
        <v>42521</v>
      </c>
      <c r="F1902" s="191" t="s">
        <v>552</v>
      </c>
      <c r="G1902" s="833" t="s">
        <v>697</v>
      </c>
      <c r="H1902" s="192" t="s">
        <v>678</v>
      </c>
      <c r="I1902" s="253">
        <v>12</v>
      </c>
      <c r="J1902" s="253">
        <v>38279</v>
      </c>
      <c r="K1902" s="584">
        <f t="shared" si="289"/>
        <v>459348</v>
      </c>
      <c r="L1902" s="193" t="s">
        <v>251</v>
      </c>
      <c r="M1902" s="193" t="s">
        <v>164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26"/>
      <c r="AB1902" s="576" t="str">
        <f>IF(VLOOKUP(F1902,NXT!$C$12:$C$786,1,0)=F1902,"","x")</f>
        <v/>
      </c>
    </row>
    <row r="1903" spans="1:30" ht="15.75" customHeight="1">
      <c r="A1903" s="827" t="str">
        <f>IF(B1903&lt;&gt;"",IF(AND(B1903&gt;=_TM1,B1903&lt;=_TM2,OR(TH!L1903="1111",TH!M1903="1111")),TH!D1903,""),"")</f>
        <v/>
      </c>
      <c r="B1903" s="36">
        <f t="shared" si="287"/>
        <v>5</v>
      </c>
      <c r="C1903" s="190">
        <f t="shared" si="288"/>
        <v>42521</v>
      </c>
      <c r="D1903" s="190" t="s">
        <v>1609</v>
      </c>
      <c r="E1903" s="190">
        <v>42521</v>
      </c>
      <c r="F1903" s="191" t="s">
        <v>560</v>
      </c>
      <c r="G1903" s="833" t="s">
        <v>697</v>
      </c>
      <c r="H1903" s="192" t="s">
        <v>678</v>
      </c>
      <c r="I1903" s="253">
        <v>36</v>
      </c>
      <c r="J1903" s="253">
        <v>37231</v>
      </c>
      <c r="K1903" s="584">
        <f t="shared" si="289"/>
        <v>1340316</v>
      </c>
      <c r="L1903" s="193" t="s">
        <v>251</v>
      </c>
      <c r="M1903" s="193" t="s">
        <v>164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26"/>
      <c r="AB1903" s="576" t="str">
        <f>IF(VLOOKUP(F1903,NXT!$C$12:$C$786,1,0)=F1903,"","x")</f>
        <v/>
      </c>
    </row>
    <row r="1904" spans="1:30" ht="15.75" customHeight="1">
      <c r="A1904" s="827" t="str">
        <f>IF(B1904&lt;&gt;"",IF(AND(B1904&gt;=_TM1,B1904&lt;=_TM2,OR(TH!L1904="1111",TH!M1904="1111")),TH!D1904,""),"")</f>
        <v/>
      </c>
      <c r="B1904" s="36">
        <f t="shared" si="287"/>
        <v>5</v>
      </c>
      <c r="C1904" s="190">
        <f t="shared" si="288"/>
        <v>42521</v>
      </c>
      <c r="D1904" s="190" t="s">
        <v>1609</v>
      </c>
      <c r="E1904" s="190">
        <v>42521</v>
      </c>
      <c r="F1904" s="188" t="s">
        <v>704</v>
      </c>
      <c r="G1904" s="833" t="s">
        <v>697</v>
      </c>
      <c r="H1904" s="192" t="s">
        <v>678</v>
      </c>
      <c r="I1904" s="253">
        <v>18</v>
      </c>
      <c r="J1904" s="253">
        <v>36100</v>
      </c>
      <c r="K1904" s="584">
        <f t="shared" si="289"/>
        <v>649800</v>
      </c>
      <c r="L1904" s="193" t="s">
        <v>251</v>
      </c>
      <c r="M1904" s="193" t="s">
        <v>164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26"/>
      <c r="AB1904" s="576" t="str">
        <f>IF(VLOOKUP(F1904,NXT!$C$12:$C$786,1,0)=F1904,"","x")</f>
        <v/>
      </c>
      <c r="AC1904" s="576"/>
      <c r="AD1904" s="576"/>
    </row>
    <row r="1905" spans="1:30" ht="15.75" customHeight="1">
      <c r="A1905" s="827" t="str">
        <f>IF(B1905&lt;&gt;"",IF(AND(B1905&gt;=_TM1,B1905&lt;=_TM2,OR(TH!L1905="1111",TH!M1905="1111")),TH!D1905,""),"")</f>
        <v/>
      </c>
      <c r="B1905" s="36">
        <f t="shared" si="287"/>
        <v>5</v>
      </c>
      <c r="C1905" s="190">
        <f t="shared" si="288"/>
        <v>42521</v>
      </c>
      <c r="D1905" s="190" t="s">
        <v>1609</v>
      </c>
      <c r="E1905" s="190">
        <v>42521</v>
      </c>
      <c r="F1905" s="40" t="s">
        <v>719</v>
      </c>
      <c r="G1905" s="833" t="s">
        <v>697</v>
      </c>
      <c r="H1905" s="192" t="s">
        <v>678</v>
      </c>
      <c r="I1905" s="253">
        <v>12</v>
      </c>
      <c r="J1905" s="253">
        <v>41895</v>
      </c>
      <c r="K1905" s="584">
        <f t="shared" ref="K1905:K1936" si="290">ROUND(I1905*J1905,0)</f>
        <v>502740</v>
      </c>
      <c r="L1905" s="193" t="s">
        <v>251</v>
      </c>
      <c r="M1905" s="193" t="s">
        <v>164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26"/>
      <c r="AB1905" s="576" t="str">
        <f>IF(VLOOKUP(F1905,NXT!$C$12:$C$786,1,0)=F1905,"","x")</f>
        <v/>
      </c>
    </row>
    <row r="1906" spans="1:30" ht="15.75" customHeight="1">
      <c r="A1906" s="827" t="str">
        <f>IF(B1906&lt;&gt;"",IF(AND(B1906&gt;=_TM1,B1906&lt;=_TM2,OR(TH!L1906="1111",TH!M1906="1111")),TH!D1906,""),"")</f>
        <v/>
      </c>
      <c r="B1906" s="36">
        <f t="shared" si="287"/>
        <v>5</v>
      </c>
      <c r="C1906" s="190">
        <f t="shared" si="288"/>
        <v>42521</v>
      </c>
      <c r="D1906" s="190" t="s">
        <v>1609</v>
      </c>
      <c r="E1906" s="190">
        <v>42521</v>
      </c>
      <c r="F1906" s="188" t="s">
        <v>718</v>
      </c>
      <c r="G1906" s="833" t="s">
        <v>697</v>
      </c>
      <c r="H1906" s="192" t="s">
        <v>678</v>
      </c>
      <c r="I1906" s="253">
        <v>10</v>
      </c>
      <c r="J1906" s="253">
        <v>45885</v>
      </c>
      <c r="K1906" s="584">
        <f t="shared" si="290"/>
        <v>458850</v>
      </c>
      <c r="L1906" s="193" t="s">
        <v>251</v>
      </c>
      <c r="M1906" s="193" t="s">
        <v>164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26"/>
      <c r="AB1906" s="576" t="str">
        <f>IF(VLOOKUP(F1906,NXT!$C$12:$C$786,1,0)=F1906,"","x")</f>
        <v/>
      </c>
      <c r="AC1906" s="576"/>
      <c r="AD1906" s="576"/>
    </row>
    <row r="1907" spans="1:30" ht="15.75" customHeight="1">
      <c r="A1907" s="827" t="str">
        <f>IF(B1907&lt;&gt;"",IF(AND(B1907&gt;=_TM1,B1907&lt;=_TM2,OR(TH!L1907="1111",TH!M1907="1111")),TH!D1907,""),"")</f>
        <v/>
      </c>
      <c r="B1907" s="36">
        <f t="shared" si="287"/>
        <v>5</v>
      </c>
      <c r="C1907" s="190">
        <f t="shared" si="288"/>
        <v>42521</v>
      </c>
      <c r="D1907" s="190" t="s">
        <v>1609</v>
      </c>
      <c r="E1907" s="190">
        <v>42521</v>
      </c>
      <c r="F1907" s="40" t="s">
        <v>703</v>
      </c>
      <c r="G1907" s="833" t="s">
        <v>697</v>
      </c>
      <c r="H1907" s="192" t="s">
        <v>678</v>
      </c>
      <c r="I1907" s="253">
        <v>24</v>
      </c>
      <c r="J1907" s="253">
        <v>45847</v>
      </c>
      <c r="K1907" s="584">
        <f t="shared" si="290"/>
        <v>1100328</v>
      </c>
      <c r="L1907" s="193" t="s">
        <v>251</v>
      </c>
      <c r="M1907" s="193" t="s">
        <v>164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26"/>
      <c r="AB1907" s="576" t="str">
        <f>IF(VLOOKUP(F1907,NXT!$C$12:$C$786,1,0)=F1907,"","x")</f>
        <v/>
      </c>
    </row>
    <row r="1908" spans="1:30" ht="15.75" customHeight="1">
      <c r="A1908" s="827" t="str">
        <f>IF(B1908&lt;&gt;"",IF(AND(B1908&gt;=_TM1,B1908&lt;=_TM2,OR(TH!L1908="1111",TH!M1908="1111")),TH!D1908,""),"")</f>
        <v/>
      </c>
      <c r="B1908" s="36">
        <f t="shared" si="287"/>
        <v>5</v>
      </c>
      <c r="C1908" s="190">
        <f t="shared" si="288"/>
        <v>42521</v>
      </c>
      <c r="D1908" s="190" t="s">
        <v>1609</v>
      </c>
      <c r="E1908" s="190">
        <v>42521</v>
      </c>
      <c r="F1908" s="191" t="s">
        <v>492</v>
      </c>
      <c r="G1908" s="833" t="s">
        <v>697</v>
      </c>
      <c r="H1908" s="192" t="s">
        <v>678</v>
      </c>
      <c r="I1908" s="253">
        <v>12</v>
      </c>
      <c r="J1908" s="253">
        <v>40131</v>
      </c>
      <c r="K1908" s="584">
        <f t="shared" si="290"/>
        <v>481572</v>
      </c>
      <c r="L1908" s="193" t="s">
        <v>251</v>
      </c>
      <c r="M1908" s="193" t="s">
        <v>164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26"/>
      <c r="AB1908" s="576" t="str">
        <f>IF(VLOOKUP(F1908,NXT!$C$12:$C$786,1,0)=F1908,"","x")</f>
        <v/>
      </c>
    </row>
    <row r="1909" spans="1:30" ht="15.75" customHeight="1">
      <c r="A1909" s="827" t="str">
        <f>IF(B1909&lt;&gt;"",IF(AND(B1909&gt;=_TM1,B1909&lt;=_TM2,OR(TH!L1909="1111",TH!M1909="1111")),TH!D1909,""),"")</f>
        <v/>
      </c>
      <c r="B1909" s="36">
        <f t="shared" si="287"/>
        <v>5</v>
      </c>
      <c r="C1909" s="190">
        <f t="shared" si="288"/>
        <v>42521</v>
      </c>
      <c r="D1909" s="190" t="s">
        <v>1609</v>
      </c>
      <c r="E1909" s="190">
        <v>42521</v>
      </c>
      <c r="F1909" s="191" t="s">
        <v>505</v>
      </c>
      <c r="G1909" s="833" t="s">
        <v>697</v>
      </c>
      <c r="H1909" s="192" t="s">
        <v>678</v>
      </c>
      <c r="I1909" s="253">
        <v>10</v>
      </c>
      <c r="J1909" s="253">
        <v>41370</v>
      </c>
      <c r="K1909" s="584">
        <f t="shared" si="290"/>
        <v>413700</v>
      </c>
      <c r="L1909" s="193" t="s">
        <v>251</v>
      </c>
      <c r="M1909" s="193" t="s">
        <v>164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26"/>
      <c r="AB1909" s="576" t="str">
        <f>IF(VLOOKUP(F1909,NXT!$C$12:$C$786,1,0)=F1909,"","x")</f>
        <v/>
      </c>
    </row>
    <row r="1910" spans="1:30" ht="15.75" customHeight="1">
      <c r="A1910" s="827" t="str">
        <f>IF(B1910&lt;&gt;"",IF(AND(B1910&gt;=_TM1,B1910&lt;=_TM2,OR(TH!L1910="1111",TH!M1910="1111")),TH!D1910,""),"")</f>
        <v/>
      </c>
      <c r="B1910" s="36">
        <f t="shared" si="287"/>
        <v>5</v>
      </c>
      <c r="C1910" s="190">
        <f t="shared" si="288"/>
        <v>42521</v>
      </c>
      <c r="D1910" s="190" t="s">
        <v>1609</v>
      </c>
      <c r="E1910" s="190">
        <v>42521</v>
      </c>
      <c r="F1910" s="191" t="s">
        <v>514</v>
      </c>
      <c r="G1910" s="833" t="s">
        <v>697</v>
      </c>
      <c r="H1910" s="192" t="s">
        <v>678</v>
      </c>
      <c r="I1910" s="253">
        <v>15</v>
      </c>
      <c r="J1910" s="253">
        <v>29924</v>
      </c>
      <c r="K1910" s="584">
        <f t="shared" si="290"/>
        <v>448860</v>
      </c>
      <c r="L1910" s="193" t="s">
        <v>251</v>
      </c>
      <c r="M1910" s="193" t="s">
        <v>164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26"/>
      <c r="AB1910" s="576" t="str">
        <f>IF(VLOOKUP(F1910,NXT!$C$12:$C$786,1,0)=F1910,"","x")</f>
        <v/>
      </c>
    </row>
    <row r="1911" spans="1:30" ht="15.75" customHeight="1">
      <c r="A1911" s="827" t="str">
        <f>IF(B1911&lt;&gt;"",IF(AND(B1911&gt;=_TM1,B1911&lt;=_TM2,OR(TH!L1911="1111",TH!M1911="1111")),TH!D1911,""),"")</f>
        <v/>
      </c>
      <c r="B1911" s="36">
        <f t="shared" si="287"/>
        <v>5</v>
      </c>
      <c r="C1911" s="190">
        <f t="shared" si="288"/>
        <v>42521</v>
      </c>
      <c r="D1911" s="190" t="s">
        <v>1609</v>
      </c>
      <c r="E1911" s="190">
        <v>42521</v>
      </c>
      <c r="F1911" s="188" t="s">
        <v>514</v>
      </c>
      <c r="G1911" s="833" t="s">
        <v>697</v>
      </c>
      <c r="H1911" s="192" t="s">
        <v>678</v>
      </c>
      <c r="I1911" s="254">
        <v>12</v>
      </c>
      <c r="J1911" s="254">
        <v>30631</v>
      </c>
      <c r="K1911" s="584">
        <f t="shared" si="290"/>
        <v>367572</v>
      </c>
      <c r="L1911" s="193" t="s">
        <v>251</v>
      </c>
      <c r="M1911" s="193" t="s">
        <v>164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26"/>
      <c r="AB1911" s="576" t="str">
        <f>IF(VLOOKUP(F1911,NXT!$C$12:$C$786,1,0)=F1911,"","x")</f>
        <v/>
      </c>
      <c r="AC1911" s="576"/>
      <c r="AD1911" s="576"/>
    </row>
    <row r="1912" spans="1:30" ht="15.75" customHeight="1">
      <c r="A1912" s="827" t="str">
        <f>IF(B1912&lt;&gt;"",IF(AND(B1912&gt;=_TM1,B1912&lt;=_TM2,OR(TH!L1912="1111",TH!M1912="1111")),TH!D1912,""),"")</f>
        <v/>
      </c>
      <c r="B1912" s="36">
        <f t="shared" si="287"/>
        <v>5</v>
      </c>
      <c r="C1912" s="190">
        <f t="shared" si="288"/>
        <v>42521</v>
      </c>
      <c r="D1912" s="190" t="s">
        <v>1609</v>
      </c>
      <c r="E1912" s="190">
        <v>42521</v>
      </c>
      <c r="F1912" s="191" t="s">
        <v>553</v>
      </c>
      <c r="G1912" s="833" t="s">
        <v>697</v>
      </c>
      <c r="H1912" s="192" t="s">
        <v>678</v>
      </c>
      <c r="I1912" s="253">
        <v>84</v>
      </c>
      <c r="J1912" s="253">
        <v>39148</v>
      </c>
      <c r="K1912" s="584">
        <f t="shared" si="290"/>
        <v>3288432</v>
      </c>
      <c r="L1912" s="193" t="s">
        <v>251</v>
      </c>
      <c r="M1912" s="193" t="s">
        <v>164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26"/>
      <c r="AB1912" s="576" t="str">
        <f>IF(VLOOKUP(F1912,NXT!$C$12:$C$786,1,0)=F1912,"","x")</f>
        <v/>
      </c>
    </row>
    <row r="1913" spans="1:30" ht="15.75" customHeight="1">
      <c r="A1913" s="827" t="str">
        <f>IF(B1913&lt;&gt;"",IF(AND(B1913&gt;=_TM1,B1913&lt;=_TM2,OR(TH!L1913="1111",TH!M1913="1111")),TH!D1913,""),"")</f>
        <v/>
      </c>
      <c r="B1913" s="36">
        <f t="shared" si="287"/>
        <v>5</v>
      </c>
      <c r="C1913" s="190">
        <f t="shared" si="288"/>
        <v>42521</v>
      </c>
      <c r="D1913" s="190" t="s">
        <v>1609</v>
      </c>
      <c r="E1913" s="190">
        <v>42521</v>
      </c>
      <c r="F1913" s="191" t="s">
        <v>576</v>
      </c>
      <c r="G1913" s="833" t="s">
        <v>697</v>
      </c>
      <c r="H1913" s="192" t="s">
        <v>678</v>
      </c>
      <c r="I1913" s="253">
        <v>94</v>
      </c>
      <c r="J1913" s="253">
        <v>52774</v>
      </c>
      <c r="K1913" s="584">
        <f t="shared" si="290"/>
        <v>4960756</v>
      </c>
      <c r="L1913" s="193" t="s">
        <v>251</v>
      </c>
      <c r="M1913" s="193" t="s">
        <v>164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26"/>
      <c r="AB1913" s="576" t="str">
        <f>IF(VLOOKUP(F1913,NXT!$C$12:$C$786,1,0)=F1913,"","x")</f>
        <v/>
      </c>
    </row>
    <row r="1914" spans="1:30" ht="15.75" customHeight="1">
      <c r="A1914" s="827" t="str">
        <f>IF(B1914&lt;&gt;"",IF(AND(B1914&gt;=_TM1,B1914&lt;=_TM2,OR(TH!L1914="1111",TH!M1914="1111")),TH!D1914,""),"")</f>
        <v/>
      </c>
      <c r="B1914" s="36">
        <f t="shared" si="287"/>
        <v>5</v>
      </c>
      <c r="C1914" s="190">
        <f t="shared" si="288"/>
        <v>42521</v>
      </c>
      <c r="D1914" s="190" t="s">
        <v>1609</v>
      </c>
      <c r="E1914" s="190">
        <v>42521</v>
      </c>
      <c r="F1914" s="191" t="s">
        <v>523</v>
      </c>
      <c r="G1914" s="833" t="s">
        <v>697</v>
      </c>
      <c r="H1914" s="192" t="s">
        <v>678</v>
      </c>
      <c r="I1914" s="253">
        <v>32</v>
      </c>
      <c r="J1914" s="253">
        <v>29486</v>
      </c>
      <c r="K1914" s="584">
        <f t="shared" si="290"/>
        <v>943552</v>
      </c>
      <c r="L1914" s="193" t="s">
        <v>251</v>
      </c>
      <c r="M1914" s="193" t="s">
        <v>164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26"/>
      <c r="AB1914" s="576" t="str">
        <f>IF(VLOOKUP(F1914,NXT!$C$12:$C$786,1,0)=F1914,"","x")</f>
        <v/>
      </c>
    </row>
    <row r="1915" spans="1:30" ht="15.75" customHeight="1">
      <c r="A1915" s="827" t="str">
        <f>IF(B1915&lt;&gt;"",IF(AND(B1915&gt;=_TM1,B1915&lt;=_TM2,OR(TH!L1915="1111",TH!M1915="1111")),TH!D1915,""),"")</f>
        <v/>
      </c>
      <c r="B1915" s="36">
        <f t="shared" si="287"/>
        <v>5</v>
      </c>
      <c r="C1915" s="190">
        <f t="shared" si="288"/>
        <v>42521</v>
      </c>
      <c r="D1915" s="190" t="s">
        <v>1609</v>
      </c>
      <c r="E1915" s="190">
        <v>42521</v>
      </c>
      <c r="F1915" s="191" t="s">
        <v>529</v>
      </c>
      <c r="G1915" s="833" t="s">
        <v>697</v>
      </c>
      <c r="H1915" s="192" t="s">
        <v>678</v>
      </c>
      <c r="I1915" s="253">
        <v>10</v>
      </c>
      <c r="J1915" s="253">
        <v>17571</v>
      </c>
      <c r="K1915" s="584">
        <f t="shared" si="290"/>
        <v>175710</v>
      </c>
      <c r="L1915" s="193" t="s">
        <v>251</v>
      </c>
      <c r="M1915" s="193" t="s">
        <v>164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26"/>
      <c r="AB1915" s="576" t="str">
        <f>IF(VLOOKUP(F1915,NXT!$C$12:$C$786,1,0)=F1915,"","x")</f>
        <v/>
      </c>
    </row>
    <row r="1916" spans="1:30" ht="15.75" customHeight="1">
      <c r="A1916" s="827" t="str">
        <f>IF(B1916&lt;&gt;"",IF(AND(B1916&gt;=_TM1,B1916&lt;=_TM2,OR(TH!L1916="1111",TH!M1916="1111")),TH!D1916,""),"")</f>
        <v/>
      </c>
      <c r="B1916" s="36">
        <f t="shared" si="287"/>
        <v>5</v>
      </c>
      <c r="C1916" s="190">
        <f t="shared" si="288"/>
        <v>42521</v>
      </c>
      <c r="D1916" s="190" t="s">
        <v>1609</v>
      </c>
      <c r="E1916" s="190">
        <v>42521</v>
      </c>
      <c r="F1916" s="191" t="s">
        <v>713</v>
      </c>
      <c r="G1916" s="833" t="s">
        <v>697</v>
      </c>
      <c r="H1916" s="192" t="s">
        <v>678</v>
      </c>
      <c r="I1916" s="253">
        <v>24</v>
      </c>
      <c r="J1916" s="253">
        <v>9393</v>
      </c>
      <c r="K1916" s="584">
        <f t="shared" si="290"/>
        <v>225432</v>
      </c>
      <c r="L1916" s="193" t="s">
        <v>251</v>
      </c>
      <c r="M1916" s="193" t="s">
        <v>164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26"/>
      <c r="AB1916" s="576" t="str">
        <f>IF(VLOOKUP(F1916,NXT!$C$12:$C$786,1,0)=F1916,"","x")</f>
        <v/>
      </c>
    </row>
    <row r="1917" spans="1:30" ht="15.75" customHeight="1">
      <c r="A1917" s="827" t="str">
        <f>IF(B1917&lt;&gt;"",IF(AND(B1917&gt;=_TM1,B1917&lt;=_TM2,OR(TH!L1917="1111",TH!M1917="1111")),TH!D1917,""),"")</f>
        <v/>
      </c>
      <c r="B1917" s="36">
        <f t="shared" si="287"/>
        <v>5</v>
      </c>
      <c r="C1917" s="190">
        <f t="shared" si="288"/>
        <v>42521</v>
      </c>
      <c r="D1917" s="190" t="s">
        <v>1609</v>
      </c>
      <c r="E1917" s="190">
        <v>42521</v>
      </c>
      <c r="F1917" s="188" t="s">
        <v>724</v>
      </c>
      <c r="G1917" s="833" t="s">
        <v>697</v>
      </c>
      <c r="H1917" s="192" t="s">
        <v>678</v>
      </c>
      <c r="I1917" s="254">
        <v>50</v>
      </c>
      <c r="J1917" s="254">
        <v>25034</v>
      </c>
      <c r="K1917" s="584">
        <f t="shared" si="290"/>
        <v>1251700</v>
      </c>
      <c r="L1917" s="193" t="s">
        <v>251</v>
      </c>
      <c r="M1917" s="193" t="s">
        <v>164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26"/>
      <c r="AB1917" s="576" t="str">
        <f>IF(VLOOKUP(F1917,NXT!$C$12:$C$786,1,0)=F1917,"","x")</f>
        <v/>
      </c>
      <c r="AC1917" s="576"/>
      <c r="AD1917" s="576"/>
    </row>
    <row r="1918" spans="1:30" ht="15.75" customHeight="1">
      <c r="A1918" s="827" t="str">
        <f>IF(B1918&lt;&gt;"",IF(AND(B1918&gt;=_TM1,B1918&lt;=_TM2,OR(TH!L1918="1111",TH!M1918="1111")),TH!D1918,""),"")</f>
        <v/>
      </c>
      <c r="B1918" s="36">
        <f t="shared" si="287"/>
        <v>5</v>
      </c>
      <c r="C1918" s="190">
        <f t="shared" si="288"/>
        <v>42521</v>
      </c>
      <c r="D1918" s="190" t="s">
        <v>1609</v>
      </c>
      <c r="E1918" s="190">
        <v>42521</v>
      </c>
      <c r="F1918" s="191" t="s">
        <v>485</v>
      </c>
      <c r="G1918" s="833" t="s">
        <v>697</v>
      </c>
      <c r="H1918" s="192" t="s">
        <v>678</v>
      </c>
      <c r="I1918" s="253">
        <v>12</v>
      </c>
      <c r="J1918" s="253">
        <v>45885</v>
      </c>
      <c r="K1918" s="584">
        <f t="shared" si="290"/>
        <v>550620</v>
      </c>
      <c r="L1918" s="193" t="s">
        <v>251</v>
      </c>
      <c r="M1918" s="193" t="s">
        <v>164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26"/>
      <c r="AB1918" s="576" t="str">
        <f>IF(VLOOKUP(F1918,NXT!$C$12:$C$786,1,0)=F1918,"","x")</f>
        <v/>
      </c>
    </row>
    <row r="1919" spans="1:30" ht="15.75" customHeight="1">
      <c r="A1919" s="827" t="str">
        <f>IF(B1919&lt;&gt;"",IF(AND(B1919&gt;=_TM1,B1919&lt;=_TM2,OR(TH!L1919="1111",TH!M1919="1111")),TH!D1919,""),"")</f>
        <v/>
      </c>
      <c r="B1919" s="36">
        <f t="shared" si="287"/>
        <v>5</v>
      </c>
      <c r="C1919" s="190">
        <f t="shared" si="288"/>
        <v>42521</v>
      </c>
      <c r="D1919" s="190" t="s">
        <v>1609</v>
      </c>
      <c r="E1919" s="190">
        <v>42521</v>
      </c>
      <c r="F1919" s="191" t="s">
        <v>559</v>
      </c>
      <c r="G1919" s="833" t="s">
        <v>697</v>
      </c>
      <c r="H1919" s="192" t="s">
        <v>678</v>
      </c>
      <c r="I1919" s="253">
        <v>48</v>
      </c>
      <c r="J1919" s="253">
        <v>48288</v>
      </c>
      <c r="K1919" s="584">
        <f t="shared" si="290"/>
        <v>2317824</v>
      </c>
      <c r="L1919" s="193" t="s">
        <v>251</v>
      </c>
      <c r="M1919" s="193" t="s">
        <v>164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26"/>
      <c r="AB1919" s="576" t="str">
        <f>IF(VLOOKUP(F1919,NXT!$C$12:$C$786,1,0)=F1919,"","x")</f>
        <v/>
      </c>
    </row>
    <row r="1920" spans="1:30" ht="15.75" customHeight="1">
      <c r="A1920" s="827" t="str">
        <f>IF(B1920&lt;&gt;"",IF(AND(B1920&gt;=_TM1,B1920&lt;=_TM2,OR(TH!L1920="1111",TH!M1920="1111")),TH!D1920,""),"")</f>
        <v/>
      </c>
      <c r="B1920" s="36">
        <f t="shared" si="287"/>
        <v>5</v>
      </c>
      <c r="C1920" s="190">
        <f t="shared" si="288"/>
        <v>42521</v>
      </c>
      <c r="D1920" s="190" t="s">
        <v>1609</v>
      </c>
      <c r="E1920" s="190">
        <v>42521</v>
      </c>
      <c r="F1920" s="188" t="s">
        <v>535</v>
      </c>
      <c r="G1920" s="833" t="s">
        <v>697</v>
      </c>
      <c r="H1920" s="192" t="s">
        <v>678</v>
      </c>
      <c r="I1920" s="256">
        <v>24</v>
      </c>
      <c r="J1920" s="256">
        <v>46759</v>
      </c>
      <c r="K1920" s="584">
        <f t="shared" si="290"/>
        <v>1122216</v>
      </c>
      <c r="L1920" s="193" t="s">
        <v>251</v>
      </c>
      <c r="M1920" s="193" t="s">
        <v>164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26"/>
      <c r="AB1920" s="576" t="str">
        <f>IF(VLOOKUP(F1920,NXT!$C$12:$C$786,1,0)=F1920,"","x")</f>
        <v/>
      </c>
    </row>
    <row r="1921" spans="1:30" ht="15.75" customHeight="1">
      <c r="A1921" s="827" t="str">
        <f>IF(B1921&lt;&gt;"",IF(AND(B1921&gt;=_TM1,B1921&lt;=_TM2,OR(TH!L1921="1111",TH!M1921="1111")),TH!D1921,""),"")</f>
        <v/>
      </c>
      <c r="B1921" s="36">
        <f t="shared" si="287"/>
        <v>5</v>
      </c>
      <c r="C1921" s="190">
        <f t="shared" si="288"/>
        <v>42521</v>
      </c>
      <c r="D1921" s="190" t="s">
        <v>1609</v>
      </c>
      <c r="E1921" s="190">
        <v>42521</v>
      </c>
      <c r="F1921" s="40" t="s">
        <v>501</v>
      </c>
      <c r="G1921" s="833" t="s">
        <v>697</v>
      </c>
      <c r="H1921" s="192" t="s">
        <v>678</v>
      </c>
      <c r="I1921" s="253">
        <v>93</v>
      </c>
      <c r="J1921" s="253">
        <v>49381</v>
      </c>
      <c r="K1921" s="584">
        <f t="shared" si="290"/>
        <v>4592433</v>
      </c>
      <c r="L1921" s="193" t="s">
        <v>251</v>
      </c>
      <c r="M1921" s="193" t="s">
        <v>164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26"/>
      <c r="AB1921" s="576" t="str">
        <f>IF(VLOOKUP(F1921,NXT!$C$12:$C$786,1,0)=F1921,"","x")</f>
        <v/>
      </c>
    </row>
    <row r="1922" spans="1:30" ht="15.75" customHeight="1">
      <c r="A1922" s="827" t="str">
        <f>IF(B1922&lt;&gt;"",IF(AND(B1922&gt;=_TM1,B1922&lt;=_TM2,OR(TH!L1922="1111",TH!M1922="1111")),TH!D1922,""),"")</f>
        <v/>
      </c>
      <c r="B1922" s="36">
        <f t="shared" si="287"/>
        <v>5</v>
      </c>
      <c r="C1922" s="190">
        <f t="shared" si="288"/>
        <v>42521</v>
      </c>
      <c r="D1922" s="190" t="s">
        <v>1609</v>
      </c>
      <c r="E1922" s="190">
        <v>42521</v>
      </c>
      <c r="F1922" s="191" t="s">
        <v>708</v>
      </c>
      <c r="G1922" s="833" t="s">
        <v>697</v>
      </c>
      <c r="H1922" s="192" t="s">
        <v>678</v>
      </c>
      <c r="I1922" s="253">
        <v>24</v>
      </c>
      <c r="J1922" s="253">
        <v>51129</v>
      </c>
      <c r="K1922" s="584">
        <f t="shared" si="290"/>
        <v>1227096</v>
      </c>
      <c r="L1922" s="193" t="s">
        <v>251</v>
      </c>
      <c r="M1922" s="193" t="s">
        <v>164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26"/>
      <c r="AB1922" s="576" t="str">
        <f>IF(VLOOKUP(F1922,NXT!$C$12:$C$786,1,0)=F1922,"","x")</f>
        <v/>
      </c>
    </row>
    <row r="1923" spans="1:30" ht="15.75" customHeight="1">
      <c r="A1923" s="827" t="str">
        <f>IF(B1923&lt;&gt;"",IF(AND(B1923&gt;=_TM1,B1923&lt;=_TM2,OR(TH!L1923="1111",TH!M1923="1111")),TH!D1923,""),"")</f>
        <v/>
      </c>
      <c r="B1923" s="36">
        <f t="shared" si="287"/>
        <v>5</v>
      </c>
      <c r="C1923" s="190">
        <f t="shared" si="288"/>
        <v>42521</v>
      </c>
      <c r="D1923" s="190" t="s">
        <v>1609</v>
      </c>
      <c r="E1923" s="190">
        <v>42521</v>
      </c>
      <c r="F1923" s="191" t="s">
        <v>705</v>
      </c>
      <c r="G1923" s="833" t="s">
        <v>697</v>
      </c>
      <c r="H1923" s="192" t="s">
        <v>678</v>
      </c>
      <c r="I1923" s="253">
        <v>24</v>
      </c>
      <c r="J1923" s="253">
        <v>58995</v>
      </c>
      <c r="K1923" s="584">
        <f t="shared" si="290"/>
        <v>1415880</v>
      </c>
      <c r="L1923" s="193" t="s">
        <v>251</v>
      </c>
      <c r="M1923" s="193" t="s">
        <v>164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26"/>
      <c r="AB1923" s="576" t="str">
        <f>IF(VLOOKUP(F1923,NXT!$C$12:$C$786,1,0)=F1923,"","x")</f>
        <v/>
      </c>
    </row>
    <row r="1924" spans="1:30" ht="15.75" customHeight="1">
      <c r="A1924" s="827" t="str">
        <f>IF(B1924&lt;&gt;"",IF(AND(B1924&gt;=_TM1,B1924&lt;=_TM2,OR(TH!L1924="1111",TH!M1924="1111")),TH!D1924,""),"")</f>
        <v/>
      </c>
      <c r="B1924" s="36">
        <f t="shared" si="287"/>
        <v>5</v>
      </c>
      <c r="C1924" s="190">
        <f t="shared" si="288"/>
        <v>42521</v>
      </c>
      <c r="D1924" s="190" t="s">
        <v>1609</v>
      </c>
      <c r="E1924" s="190">
        <v>42521</v>
      </c>
      <c r="F1924" s="191" t="s">
        <v>562</v>
      </c>
      <c r="G1924" s="833" t="s">
        <v>697</v>
      </c>
      <c r="H1924" s="192" t="s">
        <v>678</v>
      </c>
      <c r="I1924" s="253">
        <v>72</v>
      </c>
      <c r="J1924" s="253">
        <v>13320</v>
      </c>
      <c r="K1924" s="584">
        <f t="shared" si="290"/>
        <v>959040</v>
      </c>
      <c r="L1924" s="193" t="s">
        <v>251</v>
      </c>
      <c r="M1924" s="193" t="s">
        <v>164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26"/>
      <c r="AB1924" s="576" t="str">
        <f>IF(VLOOKUP(F1924,NXT!$C$12:$C$786,1,0)=F1924,"","x")</f>
        <v/>
      </c>
    </row>
    <row r="1925" spans="1:30" ht="15.75" customHeight="1">
      <c r="A1925" s="827" t="str">
        <f>IF(B1925&lt;&gt;"",IF(AND(B1925&gt;=_TM1,B1925&lt;=_TM2,OR(TH!L1925="1111",TH!M1925="1111")),TH!D1925,""),"")</f>
        <v/>
      </c>
      <c r="B1925" s="36">
        <f t="shared" si="287"/>
        <v>5</v>
      </c>
      <c r="C1925" s="190">
        <f t="shared" si="288"/>
        <v>42521</v>
      </c>
      <c r="D1925" s="190" t="s">
        <v>1609</v>
      </c>
      <c r="E1925" s="190">
        <v>42521</v>
      </c>
      <c r="F1925" s="191" t="s">
        <v>557</v>
      </c>
      <c r="G1925" s="833" t="s">
        <v>697</v>
      </c>
      <c r="H1925" s="192" t="s">
        <v>678</v>
      </c>
      <c r="I1925" s="253">
        <v>48</v>
      </c>
      <c r="J1925" s="253">
        <v>45516</v>
      </c>
      <c r="K1925" s="584">
        <f t="shared" si="290"/>
        <v>2184768</v>
      </c>
      <c r="L1925" s="193" t="s">
        <v>251</v>
      </c>
      <c r="M1925" s="193" t="s">
        <v>164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26"/>
      <c r="AB1925" s="576" t="str">
        <f>IF(VLOOKUP(F1925,NXT!$C$12:$C$786,1,0)=F1925,"","x")</f>
        <v/>
      </c>
    </row>
    <row r="1926" spans="1:30" ht="15.75" customHeight="1">
      <c r="A1926" s="827" t="str">
        <f>IF(B1926&lt;&gt;"",IF(AND(B1926&gt;=_TM1,B1926&lt;=_TM2,OR(TH!L1926="1111",TH!M1926="1111")),TH!D1926,""),"")</f>
        <v/>
      </c>
      <c r="B1926" s="36">
        <f t="shared" si="287"/>
        <v>5</v>
      </c>
      <c r="C1926" s="190">
        <f t="shared" si="288"/>
        <v>42521</v>
      </c>
      <c r="D1926" s="190" t="s">
        <v>1609</v>
      </c>
      <c r="E1926" s="190">
        <v>42521</v>
      </c>
      <c r="F1926" s="191" t="s">
        <v>557</v>
      </c>
      <c r="G1926" s="833" t="s">
        <v>697</v>
      </c>
      <c r="H1926" s="192" t="s">
        <v>678</v>
      </c>
      <c r="I1926" s="253">
        <v>24</v>
      </c>
      <c r="J1926" s="253">
        <v>47900</v>
      </c>
      <c r="K1926" s="584">
        <f t="shared" si="290"/>
        <v>1149600</v>
      </c>
      <c r="L1926" s="193" t="s">
        <v>251</v>
      </c>
      <c r="M1926" s="193" t="s">
        <v>164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26"/>
      <c r="AB1926" s="576" t="str">
        <f>IF(VLOOKUP(F1926,NXT!$C$12:$C$786,1,0)=F1926,"","x")</f>
        <v/>
      </c>
    </row>
    <row r="1927" spans="1:30" ht="15.75" customHeight="1">
      <c r="A1927" s="827" t="str">
        <f>IF(B1927&lt;&gt;"",IF(AND(B1927&gt;=_TM1,B1927&lt;=_TM2,OR(TH!L1927="1111",TH!M1927="1111")),TH!D1927,""),"")</f>
        <v/>
      </c>
      <c r="B1927" s="36">
        <f t="shared" si="287"/>
        <v>5</v>
      </c>
      <c r="C1927" s="190">
        <f t="shared" si="288"/>
        <v>42521</v>
      </c>
      <c r="D1927" s="190" t="s">
        <v>1609</v>
      </c>
      <c r="E1927" s="190">
        <v>42521</v>
      </c>
      <c r="F1927" s="191" t="s">
        <v>528</v>
      </c>
      <c r="G1927" s="833" t="s">
        <v>697</v>
      </c>
      <c r="H1927" s="192" t="s">
        <v>678</v>
      </c>
      <c r="I1927" s="253">
        <v>10</v>
      </c>
      <c r="J1927" s="253">
        <v>20077</v>
      </c>
      <c r="K1927" s="584">
        <f t="shared" si="290"/>
        <v>200770</v>
      </c>
      <c r="L1927" s="193" t="s">
        <v>251</v>
      </c>
      <c r="M1927" s="193" t="s">
        <v>164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26"/>
      <c r="AB1927" s="576" t="str">
        <f>IF(VLOOKUP(F1927,NXT!$C$12:$C$786,1,0)=F1927,"","x")</f>
        <v/>
      </c>
    </row>
    <row r="1928" spans="1:30" ht="15.75" customHeight="1">
      <c r="A1928" s="827" t="str">
        <f>IF(B1928&lt;&gt;"",IF(AND(B1928&gt;=_TM1,B1928&lt;=_TM2,OR(TH!L1928="1111",TH!M1928="1111")),TH!D1928,""),"")</f>
        <v/>
      </c>
      <c r="B1928" s="36">
        <f t="shared" si="287"/>
        <v>5</v>
      </c>
      <c r="C1928" s="190">
        <f t="shared" si="288"/>
        <v>42521</v>
      </c>
      <c r="D1928" s="190" t="s">
        <v>1609</v>
      </c>
      <c r="E1928" s="190">
        <v>42521</v>
      </c>
      <c r="F1928" s="191" t="s">
        <v>577</v>
      </c>
      <c r="G1928" s="833" t="s">
        <v>697</v>
      </c>
      <c r="H1928" s="192" t="s">
        <v>678</v>
      </c>
      <c r="I1928" s="253">
        <v>30</v>
      </c>
      <c r="J1928" s="253">
        <v>65178</v>
      </c>
      <c r="K1928" s="584">
        <f t="shared" si="290"/>
        <v>1955340</v>
      </c>
      <c r="L1928" s="193" t="s">
        <v>251</v>
      </c>
      <c r="M1928" s="193" t="s">
        <v>164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26"/>
      <c r="AB1928" s="576" t="str">
        <f>IF(VLOOKUP(F1928,NXT!$C$12:$C$786,1,0)=F1928,"","x")</f>
        <v/>
      </c>
    </row>
    <row r="1929" spans="1:30" ht="15.75" customHeight="1">
      <c r="A1929" s="827" t="str">
        <f>IF(B1929&lt;&gt;"",IF(AND(B1929&gt;=_TM1,B1929&lt;=_TM2,OR(TH!L1929="1111",TH!M1929="1111")),TH!D1929,""),"")</f>
        <v/>
      </c>
      <c r="B1929" s="36">
        <f t="shared" si="287"/>
        <v>5</v>
      </c>
      <c r="C1929" s="190">
        <f t="shared" si="288"/>
        <v>42521</v>
      </c>
      <c r="D1929" s="190" t="s">
        <v>1609</v>
      </c>
      <c r="E1929" s="190">
        <v>42521</v>
      </c>
      <c r="F1929" s="191" t="s">
        <v>493</v>
      </c>
      <c r="G1929" s="833" t="s">
        <v>697</v>
      </c>
      <c r="H1929" s="192" t="s">
        <v>678</v>
      </c>
      <c r="I1929" s="253">
        <v>60</v>
      </c>
      <c r="J1929" s="253">
        <v>55037</v>
      </c>
      <c r="K1929" s="584">
        <f t="shared" si="290"/>
        <v>3302220</v>
      </c>
      <c r="L1929" s="193" t="s">
        <v>251</v>
      </c>
      <c r="M1929" s="193" t="s">
        <v>164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26"/>
      <c r="AB1929" s="576" t="str">
        <f>IF(VLOOKUP(F1929,NXT!$C$12:$C$786,1,0)=F1929,"","x")</f>
        <v/>
      </c>
    </row>
    <row r="1930" spans="1:30" ht="15.75" customHeight="1">
      <c r="A1930" s="827" t="str">
        <f>IF(B1930&lt;&gt;"",IF(AND(B1930&gt;=_TM1,B1930&lt;=_TM2,OR(TH!L1930="1111",TH!M1930="1111")),TH!D1930,""),"")</f>
        <v/>
      </c>
      <c r="B1930" s="36">
        <f t="shared" si="287"/>
        <v>5</v>
      </c>
      <c r="C1930" s="190">
        <f t="shared" si="288"/>
        <v>42521</v>
      </c>
      <c r="D1930" s="190" t="s">
        <v>1609</v>
      </c>
      <c r="E1930" s="190">
        <v>42521</v>
      </c>
      <c r="F1930" s="191" t="s">
        <v>519</v>
      </c>
      <c r="G1930" s="833" t="s">
        <v>697</v>
      </c>
      <c r="H1930" s="192" t="s">
        <v>678</v>
      </c>
      <c r="I1930" s="253">
        <v>12</v>
      </c>
      <c r="J1930" s="253">
        <v>25490</v>
      </c>
      <c r="K1930" s="584">
        <f t="shared" si="290"/>
        <v>305880</v>
      </c>
      <c r="L1930" s="193" t="s">
        <v>251</v>
      </c>
      <c r="M1930" s="193" t="s">
        <v>164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26"/>
      <c r="AB1930" s="576" t="str">
        <f>IF(VLOOKUP(F1930,NXT!$C$12:$C$786,1,0)=F1930,"","x")</f>
        <v/>
      </c>
    </row>
    <row r="1931" spans="1:30" ht="15.75" customHeight="1">
      <c r="A1931" s="827" t="str">
        <f>IF(B1931&lt;&gt;"",IF(AND(B1931&gt;=_TM1,B1931&lt;=_TM2,OR(TH!L1931="1111",TH!M1931="1111")),TH!D1931,""),"")</f>
        <v/>
      </c>
      <c r="B1931" s="36">
        <f t="shared" si="287"/>
        <v>5</v>
      </c>
      <c r="C1931" s="190">
        <f t="shared" si="288"/>
        <v>42521</v>
      </c>
      <c r="D1931" s="190" t="s">
        <v>1609</v>
      </c>
      <c r="E1931" s="190">
        <v>42521</v>
      </c>
      <c r="F1931" s="292" t="s">
        <v>515</v>
      </c>
      <c r="G1931" s="833" t="s">
        <v>697</v>
      </c>
      <c r="H1931" s="192" t="s">
        <v>678</v>
      </c>
      <c r="I1931" s="253">
        <v>16</v>
      </c>
      <c r="J1931" s="253">
        <v>81812</v>
      </c>
      <c r="K1931" s="584">
        <f t="shared" si="290"/>
        <v>1308992</v>
      </c>
      <c r="L1931" s="193" t="s">
        <v>251</v>
      </c>
      <c r="M1931" s="193" t="s">
        <v>164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26"/>
      <c r="AB1931" s="576" t="str">
        <f>IF(VLOOKUP(F1931,NXT!$C$12:$C$786,1,0)=F1931,"","x")</f>
        <v/>
      </c>
    </row>
    <row r="1932" spans="1:30" ht="15.75" customHeight="1">
      <c r="A1932" s="827" t="str">
        <f>IF(B1932&lt;&gt;"",IF(AND(B1932&gt;=_TM1,B1932&lt;=_TM2,OR(TH!L1932="1111",TH!M1932="1111")),TH!D1932,""),"")</f>
        <v/>
      </c>
      <c r="B1932" s="36">
        <f t="shared" si="287"/>
        <v>5</v>
      </c>
      <c r="C1932" s="190">
        <f t="shared" si="288"/>
        <v>42521</v>
      </c>
      <c r="D1932" s="190" t="s">
        <v>1609</v>
      </c>
      <c r="E1932" s="190">
        <v>42521</v>
      </c>
      <c r="F1932" s="188" t="s">
        <v>515</v>
      </c>
      <c r="G1932" s="833" t="s">
        <v>697</v>
      </c>
      <c r="H1932" s="192" t="s">
        <v>678</v>
      </c>
      <c r="I1932" s="253">
        <v>6</v>
      </c>
      <c r="J1932" s="253">
        <v>81813</v>
      </c>
      <c r="K1932" s="584">
        <f t="shared" si="290"/>
        <v>490878</v>
      </c>
      <c r="L1932" s="193" t="s">
        <v>251</v>
      </c>
      <c r="M1932" s="193" t="s">
        <v>164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26"/>
      <c r="AB1932" s="576" t="str">
        <f>IF(VLOOKUP(F1932,NXT!$C$12:$C$786,1,0)=F1932,"","x")</f>
        <v/>
      </c>
      <c r="AC1932" s="576"/>
      <c r="AD1932" s="576"/>
    </row>
    <row r="1933" spans="1:30" ht="15.75" customHeight="1">
      <c r="A1933" s="827" t="str">
        <f>IF(B1933&lt;&gt;"",IF(AND(B1933&gt;=_TM1,B1933&lt;=_TM2,OR(TH!L1933="1111",TH!M1933="1111")),TH!D1933,""),"")</f>
        <v/>
      </c>
      <c r="B1933" s="36">
        <f t="shared" si="287"/>
        <v>5</v>
      </c>
      <c r="C1933" s="190">
        <f t="shared" si="288"/>
        <v>42521</v>
      </c>
      <c r="D1933" s="190" t="s">
        <v>1609</v>
      </c>
      <c r="E1933" s="190">
        <v>42521</v>
      </c>
      <c r="F1933" s="188" t="s">
        <v>484</v>
      </c>
      <c r="G1933" s="833" t="s">
        <v>697</v>
      </c>
      <c r="H1933" s="192" t="s">
        <v>678</v>
      </c>
      <c r="I1933" s="253">
        <v>42</v>
      </c>
      <c r="J1933" s="253">
        <v>34713</v>
      </c>
      <c r="K1933" s="584">
        <f t="shared" si="290"/>
        <v>1457946</v>
      </c>
      <c r="L1933" s="193" t="s">
        <v>251</v>
      </c>
      <c r="M1933" s="193" t="s">
        <v>164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26"/>
      <c r="AB1933" s="576" t="str">
        <f>IF(VLOOKUP(F1933,NXT!$C$12:$C$786,1,0)=F1933,"","x")</f>
        <v/>
      </c>
    </row>
    <row r="1934" spans="1:30" ht="15.75" customHeight="1">
      <c r="A1934" s="827" t="str">
        <f>IF(B1934&lt;&gt;"",IF(AND(B1934&gt;=_TM1,B1934&lt;=_TM2,OR(TH!L1934="1111",TH!M1934="1111")),TH!D1934,""),"")</f>
        <v/>
      </c>
      <c r="B1934" s="36">
        <f t="shared" si="287"/>
        <v>5</v>
      </c>
      <c r="C1934" s="190">
        <f t="shared" si="288"/>
        <v>42521</v>
      </c>
      <c r="D1934" s="190" t="s">
        <v>1609</v>
      </c>
      <c r="E1934" s="190">
        <v>42521</v>
      </c>
      <c r="F1934" s="191" t="s">
        <v>549</v>
      </c>
      <c r="G1934" s="833" t="s">
        <v>697</v>
      </c>
      <c r="H1934" s="192" t="s">
        <v>678</v>
      </c>
      <c r="I1934" s="253">
        <v>22</v>
      </c>
      <c r="J1934" s="253">
        <v>44269</v>
      </c>
      <c r="K1934" s="584">
        <f t="shared" si="290"/>
        <v>973918</v>
      </c>
      <c r="L1934" s="193" t="s">
        <v>251</v>
      </c>
      <c r="M1934" s="193" t="s">
        <v>164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26"/>
      <c r="AB1934" s="576" t="str">
        <f>IF(VLOOKUP(F1934,NXT!$C$12:$C$786,1,0)=F1934,"","x")</f>
        <v/>
      </c>
    </row>
    <row r="1935" spans="1:30" ht="15.75" customHeight="1">
      <c r="A1935" s="827" t="str">
        <f>IF(B1935&lt;&gt;"",IF(AND(B1935&gt;=_TM1,B1935&lt;=_TM2,OR(TH!L1935="1111",TH!M1935="1111")),TH!D1935,""),"")</f>
        <v/>
      </c>
      <c r="B1935" s="36">
        <f t="shared" si="287"/>
        <v>5</v>
      </c>
      <c r="C1935" s="190">
        <f t="shared" si="288"/>
        <v>42521</v>
      </c>
      <c r="D1935" s="190" t="s">
        <v>1609</v>
      </c>
      <c r="E1935" s="190">
        <v>42521</v>
      </c>
      <c r="F1935" s="191" t="s">
        <v>549</v>
      </c>
      <c r="G1935" s="833" t="s">
        <v>697</v>
      </c>
      <c r="H1935" s="192" t="s">
        <v>678</v>
      </c>
      <c r="I1935" s="253">
        <v>16</v>
      </c>
      <c r="J1935" s="253">
        <v>46494</v>
      </c>
      <c r="K1935" s="584">
        <f t="shared" si="290"/>
        <v>743904</v>
      </c>
      <c r="L1935" s="193" t="s">
        <v>251</v>
      </c>
      <c r="M1935" s="193" t="s">
        <v>164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26"/>
      <c r="AB1935" s="576" t="str">
        <f>IF(VLOOKUP(F1935,NXT!$C$12:$C$786,1,0)=F1935,"","x")</f>
        <v/>
      </c>
    </row>
    <row r="1936" spans="1:30" ht="15.75" customHeight="1">
      <c r="A1936" s="827" t="str">
        <f>IF(B1936&lt;&gt;"",IF(AND(B1936&gt;=_TM1,B1936&lt;=_TM2,OR(TH!L1936="1111",TH!M1936="1111")),TH!D1936,""),"")</f>
        <v/>
      </c>
      <c r="B1936" s="36">
        <f t="shared" si="287"/>
        <v>5</v>
      </c>
      <c r="C1936" s="190">
        <f t="shared" si="288"/>
        <v>42521</v>
      </c>
      <c r="D1936" s="190" t="s">
        <v>1609</v>
      </c>
      <c r="E1936" s="190">
        <v>42521</v>
      </c>
      <c r="F1936" s="188" t="s">
        <v>722</v>
      </c>
      <c r="G1936" s="833" t="s">
        <v>697</v>
      </c>
      <c r="H1936" s="192" t="s">
        <v>678</v>
      </c>
      <c r="I1936" s="253">
        <v>8</v>
      </c>
      <c r="J1936" s="253">
        <v>50544</v>
      </c>
      <c r="K1936" s="584">
        <f t="shared" si="290"/>
        <v>404352</v>
      </c>
      <c r="L1936" s="193" t="s">
        <v>251</v>
      </c>
      <c r="M1936" s="193" t="s">
        <v>164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26"/>
      <c r="AB1936" s="576" t="str">
        <f>IF(VLOOKUP(F1936,NXT!$C$12:$C$786,1,0)=F1936,"","x")</f>
        <v/>
      </c>
    </row>
    <row r="1937" spans="1:30" ht="15.75" customHeight="1">
      <c r="A1937" s="827" t="str">
        <f>IF(B1937&lt;&gt;"",IF(AND(B1937&gt;=_TM1,B1937&lt;=_TM2,OR(TH!L1937="1111",TH!M1937="1111")),TH!D1937,""),"")</f>
        <v/>
      </c>
      <c r="B1937" s="36">
        <f t="shared" ref="B1937:B2000" si="291">IF(C1937&lt;&gt;"",MONTH(C1937),"")</f>
        <v>5</v>
      </c>
      <c r="C1937" s="190">
        <f t="shared" ref="C1937:C2000" si="292">E1937</f>
        <v>42521</v>
      </c>
      <c r="D1937" s="190" t="s">
        <v>1609</v>
      </c>
      <c r="E1937" s="190">
        <v>42521</v>
      </c>
      <c r="F1937" s="191" t="s">
        <v>504</v>
      </c>
      <c r="G1937" s="833" t="s">
        <v>697</v>
      </c>
      <c r="H1937" s="192" t="s">
        <v>678</v>
      </c>
      <c r="I1937" s="253">
        <v>5</v>
      </c>
      <c r="J1937" s="253">
        <v>106252</v>
      </c>
      <c r="K1937" s="584">
        <f t="shared" ref="K1937:K1949" si="293">ROUND(I1937*J1937,0)</f>
        <v>531260</v>
      </c>
      <c r="L1937" s="193" t="s">
        <v>251</v>
      </c>
      <c r="M1937" s="193" t="s">
        <v>164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26"/>
      <c r="AB1937" s="576" t="str">
        <f>IF(VLOOKUP(F1937,NXT!$C$12:$C$786,1,0)=F1937,"","x")</f>
        <v/>
      </c>
    </row>
    <row r="1938" spans="1:30" ht="15.75" customHeight="1">
      <c r="A1938" s="827" t="str">
        <f>IF(B1938&lt;&gt;"",IF(AND(B1938&gt;=_TM1,B1938&lt;=_TM2,OR(TH!L1938="1111",TH!M1938="1111")),TH!D1938,""),"")</f>
        <v/>
      </c>
      <c r="B1938" s="36">
        <f t="shared" si="291"/>
        <v>5</v>
      </c>
      <c r="C1938" s="190">
        <f t="shared" si="292"/>
        <v>42521</v>
      </c>
      <c r="D1938" s="190" t="s">
        <v>1609</v>
      </c>
      <c r="E1938" s="190">
        <v>42521</v>
      </c>
      <c r="F1938" s="191" t="s">
        <v>698</v>
      </c>
      <c r="G1938" s="833" t="s">
        <v>697</v>
      </c>
      <c r="H1938" s="192" t="s">
        <v>678</v>
      </c>
      <c r="I1938" s="253">
        <v>15</v>
      </c>
      <c r="J1938" s="253">
        <v>78094</v>
      </c>
      <c r="K1938" s="584">
        <f t="shared" si="293"/>
        <v>1171410</v>
      </c>
      <c r="L1938" s="193" t="s">
        <v>251</v>
      </c>
      <c r="M1938" s="193" t="s">
        <v>164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26"/>
      <c r="AB1938" s="576" t="str">
        <f>IF(VLOOKUP(F1938,NXT!$C$12:$C$786,1,0)=F1938,"","x")</f>
        <v/>
      </c>
    </row>
    <row r="1939" spans="1:30" ht="15.75" customHeight="1">
      <c r="A1939" s="827" t="str">
        <f>IF(B1939&lt;&gt;"",IF(AND(B1939&gt;=_TM1,B1939&lt;=_TM2,OR(TH!L1939="1111",TH!M1939="1111")),TH!D1939,""),"")</f>
        <v/>
      </c>
      <c r="B1939" s="36">
        <f t="shared" si="291"/>
        <v>5</v>
      </c>
      <c r="C1939" s="190">
        <f t="shared" si="292"/>
        <v>42521</v>
      </c>
      <c r="D1939" s="190" t="s">
        <v>1609</v>
      </c>
      <c r="E1939" s="190">
        <v>42521</v>
      </c>
      <c r="F1939" s="191" t="s">
        <v>518</v>
      </c>
      <c r="G1939" s="833" t="s">
        <v>697</v>
      </c>
      <c r="H1939" s="192" t="s">
        <v>678</v>
      </c>
      <c r="I1939" s="253">
        <v>10</v>
      </c>
      <c r="J1939" s="253">
        <v>50480</v>
      </c>
      <c r="K1939" s="584">
        <f t="shared" si="293"/>
        <v>504800</v>
      </c>
      <c r="L1939" s="193" t="s">
        <v>251</v>
      </c>
      <c r="M1939" s="193" t="s">
        <v>164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26"/>
      <c r="AB1939" s="576" t="str">
        <f>IF(VLOOKUP(F1939,NXT!$C$12:$C$786,1,0)=F1939,"","x")</f>
        <v/>
      </c>
    </row>
    <row r="1940" spans="1:30" ht="15.75" customHeight="1">
      <c r="A1940" s="827" t="str">
        <f>IF(B1940&lt;&gt;"",IF(AND(B1940&gt;=_TM1,B1940&lt;=_TM2,OR(TH!L1940="1111",TH!M1940="1111")),TH!D1940,""),"")</f>
        <v/>
      </c>
      <c r="B1940" s="36">
        <f t="shared" si="291"/>
        <v>5</v>
      </c>
      <c r="C1940" s="190">
        <f t="shared" si="292"/>
        <v>42521</v>
      </c>
      <c r="D1940" s="190" t="s">
        <v>1609</v>
      </c>
      <c r="E1940" s="190">
        <v>42521</v>
      </c>
      <c r="F1940" s="783" t="s">
        <v>494</v>
      </c>
      <c r="G1940" s="833" t="s">
        <v>697</v>
      </c>
      <c r="H1940" s="192" t="s">
        <v>678</v>
      </c>
      <c r="I1940" s="253">
        <v>16</v>
      </c>
      <c r="J1940" s="253">
        <v>70829</v>
      </c>
      <c r="K1940" s="584">
        <f t="shared" si="293"/>
        <v>1133264</v>
      </c>
      <c r="L1940" s="193" t="s">
        <v>251</v>
      </c>
      <c r="M1940" s="193" t="s">
        <v>164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26"/>
      <c r="AB1940" s="576" t="str">
        <f>IF(VLOOKUP(F1940,NXT!$C$12:$C$786,1,0)=F1940,"","x")</f>
        <v/>
      </c>
    </row>
    <row r="1941" spans="1:30" ht="15.75" customHeight="1">
      <c r="A1941" s="827" t="str">
        <f>IF(B1941&lt;&gt;"",IF(AND(B1941&gt;=_TM1,B1941&lt;=_TM2,OR(TH!L1941="1111",TH!M1941="1111")),TH!D1941,""),"")</f>
        <v/>
      </c>
      <c r="B1941" s="36">
        <f t="shared" si="291"/>
        <v>5</v>
      </c>
      <c r="C1941" s="190">
        <f t="shared" si="292"/>
        <v>42521</v>
      </c>
      <c r="D1941" s="190" t="s">
        <v>1609</v>
      </c>
      <c r="E1941" s="190">
        <v>42521</v>
      </c>
      <c r="F1941" s="191" t="s">
        <v>714</v>
      </c>
      <c r="G1941" s="833" t="s">
        <v>697</v>
      </c>
      <c r="H1941" s="192" t="s">
        <v>678</v>
      </c>
      <c r="I1941" s="253">
        <v>20</v>
      </c>
      <c r="J1941" s="253">
        <v>45461</v>
      </c>
      <c r="K1941" s="584">
        <f t="shared" si="293"/>
        <v>909220</v>
      </c>
      <c r="L1941" s="193" t="s">
        <v>251</v>
      </c>
      <c r="M1941" s="193" t="s">
        <v>164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26"/>
      <c r="AB1941" s="576" t="str">
        <f>IF(VLOOKUP(F1941,NXT!$C$12:$C$786,1,0)=F1941,"","x")</f>
        <v/>
      </c>
    </row>
    <row r="1942" spans="1:30" ht="15.75" customHeight="1">
      <c r="A1942" s="827" t="str">
        <f>IF(B1942&lt;&gt;"",IF(AND(B1942&gt;=_TM1,B1942&lt;=_TM2,OR(TH!L1942="1111",TH!M1942="1111")),TH!D1942,""),"")</f>
        <v/>
      </c>
      <c r="B1942" s="36">
        <f t="shared" si="291"/>
        <v>5</v>
      </c>
      <c r="C1942" s="190">
        <f t="shared" si="292"/>
        <v>42521</v>
      </c>
      <c r="D1942" s="190" t="s">
        <v>1609</v>
      </c>
      <c r="E1942" s="190">
        <v>42521</v>
      </c>
      <c r="F1942" s="191" t="s">
        <v>477</v>
      </c>
      <c r="G1942" s="833" t="s">
        <v>697</v>
      </c>
      <c r="H1942" s="192" t="s">
        <v>678</v>
      </c>
      <c r="I1942" s="253">
        <v>170</v>
      </c>
      <c r="J1942" s="253">
        <v>66108</v>
      </c>
      <c r="K1942" s="584">
        <f t="shared" si="293"/>
        <v>11238360</v>
      </c>
      <c r="L1942" s="193" t="s">
        <v>251</v>
      </c>
      <c r="M1942" s="193" t="s">
        <v>164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26"/>
      <c r="AB1942" s="576" t="str">
        <f>IF(VLOOKUP(F1942,NXT!$C$12:$C$786,1,0)=F1942,"","x")</f>
        <v/>
      </c>
    </row>
    <row r="1943" spans="1:30" ht="15.75" customHeight="1">
      <c r="A1943" s="827" t="str">
        <f>IF(B1943&lt;&gt;"",IF(AND(B1943&gt;=_TM1,B1943&lt;=_TM2,OR(TH!L1943="1111",TH!M1943="1111")),TH!D1943,""),"")</f>
        <v/>
      </c>
      <c r="B1943" s="36">
        <f t="shared" si="291"/>
        <v>5</v>
      </c>
      <c r="C1943" s="190">
        <f t="shared" si="292"/>
        <v>42521</v>
      </c>
      <c r="D1943" s="190" t="s">
        <v>1609</v>
      </c>
      <c r="E1943" s="190">
        <v>42521</v>
      </c>
      <c r="F1943" s="191" t="s">
        <v>510</v>
      </c>
      <c r="G1943" s="833" t="s">
        <v>697</v>
      </c>
      <c r="H1943" s="192" t="s">
        <v>678</v>
      </c>
      <c r="I1943" s="253">
        <v>5</v>
      </c>
      <c r="J1943" s="253">
        <v>60630</v>
      </c>
      <c r="K1943" s="584">
        <f t="shared" si="293"/>
        <v>303150</v>
      </c>
      <c r="L1943" s="193" t="s">
        <v>251</v>
      </c>
      <c r="M1943" s="193" t="s">
        <v>164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26"/>
      <c r="AB1943" s="576" t="str">
        <f>IF(VLOOKUP(F1943,NXT!$C$12:$C$786,1,0)=F1943,"","x")</f>
        <v/>
      </c>
    </row>
    <row r="1944" spans="1:30" ht="15.75" customHeight="1">
      <c r="A1944" s="827" t="str">
        <f>IF(B1944&lt;&gt;"",IF(AND(B1944&gt;=_TM1,B1944&lt;=_TM2,OR(TH!L1944="1111",TH!M1944="1111")),TH!D1944,""),"")</f>
        <v/>
      </c>
      <c r="B1944" s="36">
        <f t="shared" si="291"/>
        <v>5</v>
      </c>
      <c r="C1944" s="190">
        <f t="shared" si="292"/>
        <v>42521</v>
      </c>
      <c r="D1944" s="190" t="s">
        <v>1609</v>
      </c>
      <c r="E1944" s="190">
        <v>42521</v>
      </c>
      <c r="F1944" s="191" t="s">
        <v>521</v>
      </c>
      <c r="G1944" s="833" t="s">
        <v>697</v>
      </c>
      <c r="H1944" s="192" t="s">
        <v>678</v>
      </c>
      <c r="I1944" s="253">
        <v>19</v>
      </c>
      <c r="J1944" s="253">
        <v>42182</v>
      </c>
      <c r="K1944" s="584">
        <f t="shared" si="293"/>
        <v>801458</v>
      </c>
      <c r="L1944" s="193" t="s">
        <v>251</v>
      </c>
      <c r="M1944" s="193" t="s">
        <v>164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26"/>
      <c r="AB1944" s="576" t="str">
        <f>IF(VLOOKUP(F1944,NXT!$C$12:$C$786,1,0)=F1944,"","x")</f>
        <v/>
      </c>
    </row>
    <row r="1945" spans="1:30" ht="15.75" customHeight="1">
      <c r="A1945" s="827" t="str">
        <f>IF(B1945&lt;&gt;"",IF(AND(B1945&gt;=_TM1,B1945&lt;=_TM2,OR(TH!L1945="1111",TH!M1945="1111")),TH!D1945,""),"")</f>
        <v/>
      </c>
      <c r="B1945" s="36">
        <f t="shared" si="291"/>
        <v>5</v>
      </c>
      <c r="C1945" s="190">
        <f t="shared" si="292"/>
        <v>42521</v>
      </c>
      <c r="D1945" s="190" t="s">
        <v>1609</v>
      </c>
      <c r="E1945" s="190">
        <v>42521</v>
      </c>
      <c r="F1945" s="191" t="s">
        <v>524</v>
      </c>
      <c r="G1945" s="833" t="s">
        <v>697</v>
      </c>
      <c r="H1945" s="192" t="s">
        <v>678</v>
      </c>
      <c r="I1945" s="253">
        <v>10</v>
      </c>
      <c r="J1945" s="253">
        <v>46576</v>
      </c>
      <c r="K1945" s="584">
        <f t="shared" si="293"/>
        <v>465760</v>
      </c>
      <c r="L1945" s="193" t="s">
        <v>251</v>
      </c>
      <c r="M1945" s="193" t="s">
        <v>164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26"/>
      <c r="AB1945" s="576" t="str">
        <f>IF(VLOOKUP(F1945,NXT!$C$12:$C$786,1,0)=F1945,"","x")</f>
        <v/>
      </c>
    </row>
    <row r="1946" spans="1:30" ht="15.75" customHeight="1">
      <c r="A1946" s="827" t="str">
        <f>IF(B1946&lt;&gt;"",IF(AND(B1946&gt;=_TM1,B1946&lt;=_TM2,OR(TH!L1946="1111",TH!M1946="1111")),TH!D1946,""),"")</f>
        <v/>
      </c>
      <c r="B1946" s="36">
        <f t="shared" si="291"/>
        <v>5</v>
      </c>
      <c r="C1946" s="190">
        <f t="shared" si="292"/>
        <v>42521</v>
      </c>
      <c r="D1946" s="190" t="s">
        <v>1609</v>
      </c>
      <c r="E1946" s="190">
        <v>42521</v>
      </c>
      <c r="F1946" s="191" t="s">
        <v>715</v>
      </c>
      <c r="G1946" s="833" t="s">
        <v>697</v>
      </c>
      <c r="H1946" s="192" t="s">
        <v>678</v>
      </c>
      <c r="I1946" s="253">
        <v>8</v>
      </c>
      <c r="J1946" s="253">
        <v>51106</v>
      </c>
      <c r="K1946" s="584">
        <f t="shared" si="293"/>
        <v>408848</v>
      </c>
      <c r="L1946" s="193" t="s">
        <v>251</v>
      </c>
      <c r="M1946" s="193" t="s">
        <v>164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26"/>
      <c r="AB1946" s="576" t="str">
        <f>IF(VLOOKUP(F1946,NXT!$C$12:$C$786,1,0)=F1946,"","x")</f>
        <v/>
      </c>
    </row>
    <row r="1947" spans="1:30" ht="15.75" customHeight="1">
      <c r="A1947" s="827" t="str">
        <f>IF(B1947&lt;&gt;"",IF(AND(B1947&gt;=_TM1,B1947&lt;=_TM2,OR(TH!L1947="1111",TH!M1947="1111")),TH!D1947,""),"")</f>
        <v/>
      </c>
      <c r="B1947" s="36">
        <f t="shared" si="291"/>
        <v>5</v>
      </c>
      <c r="C1947" s="190">
        <f t="shared" si="292"/>
        <v>42521</v>
      </c>
      <c r="D1947" s="190" t="s">
        <v>1609</v>
      </c>
      <c r="E1947" s="190">
        <v>42521</v>
      </c>
      <c r="F1947" s="191" t="s">
        <v>533</v>
      </c>
      <c r="G1947" s="833" t="s">
        <v>697</v>
      </c>
      <c r="H1947" s="192" t="s">
        <v>678</v>
      </c>
      <c r="I1947" s="253">
        <v>24</v>
      </c>
      <c r="J1947" s="253">
        <v>62624</v>
      </c>
      <c r="K1947" s="584">
        <f t="shared" si="293"/>
        <v>1502976</v>
      </c>
      <c r="L1947" s="193" t="s">
        <v>251</v>
      </c>
      <c r="M1947" s="193" t="s">
        <v>164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26"/>
      <c r="AB1947" s="576" t="str">
        <f>IF(VLOOKUP(F1947,NXT!$C$12:$C$786,1,0)=F1947,"","x")</f>
        <v/>
      </c>
    </row>
    <row r="1948" spans="1:30" ht="15.75" customHeight="1">
      <c r="A1948" s="827" t="str">
        <f>IF(B1948&lt;&gt;"",IF(AND(B1948&gt;=_TM1,B1948&lt;=_TM2,OR(TH!L1948="1111",TH!M1948="1111")),TH!D1948,""),"")</f>
        <v/>
      </c>
      <c r="B1948" s="36">
        <f t="shared" si="291"/>
        <v>5</v>
      </c>
      <c r="C1948" s="190">
        <f t="shared" si="292"/>
        <v>42521</v>
      </c>
      <c r="D1948" s="190" t="s">
        <v>1609</v>
      </c>
      <c r="E1948" s="190">
        <v>42521</v>
      </c>
      <c r="F1948" s="292" t="s">
        <v>702</v>
      </c>
      <c r="G1948" s="833" t="s">
        <v>697</v>
      </c>
      <c r="H1948" s="192" t="s">
        <v>678</v>
      </c>
      <c r="I1948" s="767">
        <v>24</v>
      </c>
      <c r="J1948" s="253">
        <v>60021</v>
      </c>
      <c r="K1948" s="584">
        <f t="shared" si="293"/>
        <v>1440504</v>
      </c>
      <c r="L1948" s="193" t="s">
        <v>251</v>
      </c>
      <c r="M1948" s="193" t="s">
        <v>164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26"/>
      <c r="AB1948" s="576" t="str">
        <f>IF(VLOOKUP(F1948,NXT!$C$12:$C$786,1,0)=F1948,"","x")</f>
        <v/>
      </c>
    </row>
    <row r="1949" spans="1:30" ht="15.75" customHeight="1">
      <c r="A1949" s="827" t="str">
        <f>IF(B1949&lt;&gt;"",IF(AND(B1949&gt;=_TM1,B1949&lt;=_TM2,OR(TH!L1949="1111",TH!M1949="1111")),TH!D1949,""),"")</f>
        <v/>
      </c>
      <c r="B1949" s="36">
        <f t="shared" si="291"/>
        <v>5</v>
      </c>
      <c r="C1949" s="190">
        <f t="shared" si="292"/>
        <v>42521</v>
      </c>
      <c r="D1949" s="190" t="s">
        <v>1609</v>
      </c>
      <c r="E1949" s="190">
        <v>42521</v>
      </c>
      <c r="F1949" s="191" t="s">
        <v>709</v>
      </c>
      <c r="G1949" s="833" t="s">
        <v>697</v>
      </c>
      <c r="H1949" s="192" t="s">
        <v>678</v>
      </c>
      <c r="I1949" s="253">
        <v>24</v>
      </c>
      <c r="J1949" s="253">
        <v>108927</v>
      </c>
      <c r="K1949" s="584">
        <f t="shared" si="293"/>
        <v>2614248</v>
      </c>
      <c r="L1949" s="193" t="s">
        <v>251</v>
      </c>
      <c r="M1949" s="193" t="s">
        <v>164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26"/>
      <c r="AB1949" s="576" t="str">
        <f>IF(VLOOKUP(F1949,NXT!$C$12:$C$786,1,0)=F1949,"","x")</f>
        <v/>
      </c>
    </row>
    <row r="1950" spans="1:30" ht="15.75" customHeight="1">
      <c r="A1950" s="827" t="str">
        <f>IF(B1950&lt;&gt;"",IF(AND(B1950&gt;=_TM1,B1950&lt;=_TM2,OR(TH!L1950="1111",TH!M1950="1111")),TH!D1950,""),"")</f>
        <v/>
      </c>
      <c r="B1950" s="36">
        <f t="shared" si="291"/>
        <v>5</v>
      </c>
      <c r="C1950" s="190">
        <f t="shared" si="292"/>
        <v>42521</v>
      </c>
      <c r="D1950" s="190" t="s">
        <v>1609</v>
      </c>
      <c r="E1950" s="190">
        <v>42521</v>
      </c>
      <c r="F1950" s="188" t="s">
        <v>461</v>
      </c>
      <c r="G1950" s="833" t="s">
        <v>697</v>
      </c>
      <c r="H1950" s="192" t="s">
        <v>678</v>
      </c>
      <c r="I1950" s="253"/>
      <c r="J1950" s="253"/>
      <c r="K1950" s="38">
        <v>14145235.5</v>
      </c>
      <c r="L1950" s="193" t="s">
        <v>251</v>
      </c>
      <c r="M1950" s="193" t="s">
        <v>354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26"/>
      <c r="AB1950" s="576"/>
      <c r="AC1950" s="576"/>
      <c r="AD1950" s="576"/>
    </row>
    <row r="1951" spans="1:30" ht="15.75" customHeight="1">
      <c r="A1951" s="827" t="str">
        <f>IF(B1951&lt;&gt;"",IF(AND(B1951&gt;=_TM1,B1951&lt;=_TM2,OR(TH!L1951="1111",TH!M1951="1111")),TH!D1951,""),"")</f>
        <v/>
      </c>
      <c r="B1951" s="36">
        <f t="shared" si="291"/>
        <v>6</v>
      </c>
      <c r="C1951" s="190">
        <f t="shared" si="292"/>
        <v>42523</v>
      </c>
      <c r="D1951" s="190" t="s">
        <v>1610</v>
      </c>
      <c r="E1951" s="190">
        <v>42523</v>
      </c>
      <c r="F1951" s="188" t="s">
        <v>696</v>
      </c>
      <c r="G1951" s="833" t="s">
        <v>726</v>
      </c>
      <c r="H1951" s="7" t="s">
        <v>727</v>
      </c>
      <c r="I1951" s="253">
        <v>1000</v>
      </c>
      <c r="J1951" s="253">
        <v>13572</v>
      </c>
      <c r="K1951" s="584">
        <f>ROUND(I1951*J1951,0)</f>
        <v>13572000</v>
      </c>
      <c r="L1951" s="193" t="s">
        <v>251</v>
      </c>
      <c r="M1951" s="193" t="s">
        <v>164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26"/>
      <c r="AB1951" s="576" t="str">
        <f>IF(VLOOKUP(F1951,NXT!$C$12:$C$786,1,0)=F1951,"","x")</f>
        <v/>
      </c>
      <c r="AC1951" s="576"/>
      <c r="AD1951" s="576"/>
    </row>
    <row r="1952" spans="1:30" ht="15.75" customHeight="1">
      <c r="A1952" s="827" t="str">
        <f>IF(B1952&lt;&gt;"",IF(AND(B1952&gt;=_TM1,B1952&lt;=_TM2,OR(TH!L1952="1111",TH!M1952="1111")),TH!D1952,""),"")</f>
        <v/>
      </c>
      <c r="B1952" s="36">
        <f t="shared" si="291"/>
        <v>6</v>
      </c>
      <c r="C1952" s="190">
        <f t="shared" si="292"/>
        <v>42523</v>
      </c>
      <c r="D1952" s="190" t="s">
        <v>1610</v>
      </c>
      <c r="E1952" s="190">
        <v>42523</v>
      </c>
      <c r="F1952" s="188" t="s">
        <v>461</v>
      </c>
      <c r="G1952" s="833" t="s">
        <v>726</v>
      </c>
      <c r="H1952" s="7" t="s">
        <v>727</v>
      </c>
      <c r="I1952" s="253"/>
      <c r="J1952" s="253"/>
      <c r="K1952" s="584">
        <v>1357200</v>
      </c>
      <c r="L1952" s="193" t="s">
        <v>251</v>
      </c>
      <c r="M1952" s="193" t="s">
        <v>354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26"/>
      <c r="AB1952" s="576"/>
      <c r="AC1952" s="576"/>
      <c r="AD1952" s="576"/>
    </row>
    <row r="1953" spans="1:30" ht="15.75" customHeight="1">
      <c r="A1953" s="827" t="str">
        <f>IF(B1953&lt;&gt;"",IF(AND(B1953&gt;=_TM1,B1953&lt;=_TM2,OR(TH!L1953="1111",TH!M1953="1111")),TH!D1953,""),"")</f>
        <v/>
      </c>
      <c r="B1953" s="36">
        <f t="shared" si="291"/>
        <v>6</v>
      </c>
      <c r="C1953" s="190">
        <f t="shared" si="292"/>
        <v>42527</v>
      </c>
      <c r="D1953" s="190" t="s">
        <v>1611</v>
      </c>
      <c r="E1953" s="190">
        <v>42527</v>
      </c>
      <c r="F1953" s="191" t="s">
        <v>921</v>
      </c>
      <c r="G1953" s="833" t="s">
        <v>733</v>
      </c>
      <c r="H1953" s="7" t="s">
        <v>734</v>
      </c>
      <c r="I1953" s="253">
        <v>2000</v>
      </c>
      <c r="J1953" s="253">
        <v>6749</v>
      </c>
      <c r="K1953" s="584">
        <f t="shared" ref="K1953:K1960" si="294">ROUND(I1953*J1953,0)</f>
        <v>13498000</v>
      </c>
      <c r="L1953" s="193" t="s">
        <v>251</v>
      </c>
      <c r="M1953" s="193" t="s">
        <v>164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26"/>
      <c r="AB1953" s="576" t="str">
        <f>IF(VLOOKUP(F1953,NXT!$C$12:$C$786,1,0)=F1953,"","x")</f>
        <v/>
      </c>
      <c r="AC1953" s="576"/>
      <c r="AD1953" s="576"/>
    </row>
    <row r="1954" spans="1:30" ht="15.75" customHeight="1">
      <c r="A1954" s="827" t="str">
        <f>IF(B1954&lt;&gt;"",IF(AND(B1954&gt;=_TM1,B1954&lt;=_TM2,OR(TH!L1954="1111",TH!M1954="1111")),TH!D1954,""),"")</f>
        <v/>
      </c>
      <c r="B1954" s="36">
        <f t="shared" si="291"/>
        <v>6</v>
      </c>
      <c r="C1954" s="190">
        <f t="shared" si="292"/>
        <v>42527</v>
      </c>
      <c r="D1954" s="190" t="s">
        <v>1611</v>
      </c>
      <c r="E1954" s="190">
        <v>42527</v>
      </c>
      <c r="F1954" s="188" t="s">
        <v>637</v>
      </c>
      <c r="G1954" s="833" t="s">
        <v>733</v>
      </c>
      <c r="H1954" s="7" t="s">
        <v>734</v>
      </c>
      <c r="I1954" s="253">
        <v>2050</v>
      </c>
      <c r="J1954" s="253">
        <v>5921</v>
      </c>
      <c r="K1954" s="584">
        <f t="shared" si="294"/>
        <v>12138050</v>
      </c>
      <c r="L1954" s="193" t="s">
        <v>251</v>
      </c>
      <c r="M1954" s="193" t="s">
        <v>164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26"/>
      <c r="AB1954" s="576" t="str">
        <f>IF(VLOOKUP(F1954,NXT!$C$12:$C$786,1,0)=F1954,"","x")</f>
        <v/>
      </c>
      <c r="AD1954" s="576"/>
    </row>
    <row r="1955" spans="1:30" ht="15.75" customHeight="1">
      <c r="A1955" s="827" t="str">
        <f>IF(B1955&lt;&gt;"",IF(AND(B1955&gt;=_TM1,B1955&lt;=_TM2,OR(TH!L1955="1111",TH!M1955="1111")),TH!D1955,""),"")</f>
        <v/>
      </c>
      <c r="B1955" s="36">
        <f t="shared" si="291"/>
        <v>6</v>
      </c>
      <c r="C1955" s="190">
        <f t="shared" si="292"/>
        <v>42527</v>
      </c>
      <c r="D1955" s="190" t="s">
        <v>1611</v>
      </c>
      <c r="E1955" s="190">
        <v>42527</v>
      </c>
      <c r="F1955" s="188" t="s">
        <v>728</v>
      </c>
      <c r="G1955" s="833" t="s">
        <v>733</v>
      </c>
      <c r="H1955" s="7" t="s">
        <v>734</v>
      </c>
      <c r="I1955" s="253">
        <v>500</v>
      </c>
      <c r="J1955" s="253">
        <v>6918</v>
      </c>
      <c r="K1955" s="584">
        <f t="shared" si="294"/>
        <v>3459000</v>
      </c>
      <c r="L1955" s="193" t="s">
        <v>251</v>
      </c>
      <c r="M1955" s="193" t="s">
        <v>164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26"/>
      <c r="AB1955" s="576" t="str">
        <f>IF(VLOOKUP(F1955,NXT!$C$12:$C$786,1,0)=F1955,"","x")</f>
        <v/>
      </c>
      <c r="AC1955" s="576"/>
      <c r="AD1955" s="576"/>
    </row>
    <row r="1956" spans="1:30" ht="15.75" customHeight="1">
      <c r="A1956" s="827" t="str">
        <f>IF(B1956&lt;&gt;"",IF(AND(B1956&gt;=_TM1,B1956&lt;=_TM2,OR(TH!L1956="1111",TH!M1956="1111")),TH!D1956,""),"")</f>
        <v/>
      </c>
      <c r="B1956" s="36">
        <f t="shared" si="291"/>
        <v>6</v>
      </c>
      <c r="C1956" s="190">
        <f t="shared" si="292"/>
        <v>42527</v>
      </c>
      <c r="D1956" s="190" t="s">
        <v>1611</v>
      </c>
      <c r="E1956" s="190">
        <v>42527</v>
      </c>
      <c r="F1956" s="188" t="s">
        <v>962</v>
      </c>
      <c r="G1956" s="833" t="s">
        <v>733</v>
      </c>
      <c r="H1956" s="7" t="s">
        <v>734</v>
      </c>
      <c r="I1956" s="253">
        <v>500</v>
      </c>
      <c r="J1956" s="253">
        <v>6330</v>
      </c>
      <c r="K1956" s="584">
        <f t="shared" si="294"/>
        <v>3165000</v>
      </c>
      <c r="L1956" s="193" t="s">
        <v>251</v>
      </c>
      <c r="M1956" s="193" t="s">
        <v>164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26"/>
      <c r="AB1956" s="576" t="str">
        <f>IF(VLOOKUP(F1956,NXT!$C$12:$C$786,1,0)=F1956,"","x")</f>
        <v/>
      </c>
      <c r="AD1956" s="576"/>
    </row>
    <row r="1957" spans="1:30" ht="15.75" customHeight="1">
      <c r="A1957" s="827" t="str">
        <f>IF(B1957&lt;&gt;"",IF(AND(B1957&gt;=_TM1,B1957&lt;=_TM2,OR(TH!L1957="1111",TH!M1957="1111")),TH!D1957,""),"")</f>
        <v/>
      </c>
      <c r="B1957" s="36">
        <f t="shared" si="291"/>
        <v>6</v>
      </c>
      <c r="C1957" s="190">
        <f t="shared" si="292"/>
        <v>42527</v>
      </c>
      <c r="D1957" s="190" t="s">
        <v>1611</v>
      </c>
      <c r="E1957" s="190">
        <v>42527</v>
      </c>
      <c r="F1957" s="188" t="s">
        <v>729</v>
      </c>
      <c r="G1957" s="833" t="s">
        <v>733</v>
      </c>
      <c r="H1957" s="7" t="s">
        <v>734</v>
      </c>
      <c r="I1957" s="253">
        <v>500</v>
      </c>
      <c r="J1957" s="253">
        <v>6708</v>
      </c>
      <c r="K1957" s="584">
        <f t="shared" si="294"/>
        <v>3354000</v>
      </c>
      <c r="L1957" s="193" t="s">
        <v>251</v>
      </c>
      <c r="M1957" s="193" t="s">
        <v>164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26"/>
      <c r="AB1957" s="576" t="str">
        <f>IF(VLOOKUP(F1957,NXT!$C$12:$C$786,1,0)=F1957,"","x")</f>
        <v/>
      </c>
      <c r="AC1957" s="576"/>
      <c r="AD1957" s="576"/>
    </row>
    <row r="1958" spans="1:30" ht="15.75" customHeight="1">
      <c r="A1958" s="827" t="str">
        <f>IF(B1958&lt;&gt;"",IF(AND(B1958&gt;=_TM1,B1958&lt;=_TM2,OR(TH!L1958="1111",TH!M1958="1111")),TH!D1958,""),"")</f>
        <v/>
      </c>
      <c r="B1958" s="36">
        <f t="shared" si="291"/>
        <v>6</v>
      </c>
      <c r="C1958" s="190">
        <f t="shared" si="292"/>
        <v>42527</v>
      </c>
      <c r="D1958" s="190" t="s">
        <v>1611</v>
      </c>
      <c r="E1958" s="190">
        <v>42527</v>
      </c>
      <c r="F1958" s="188" t="s">
        <v>730</v>
      </c>
      <c r="G1958" s="833" t="s">
        <v>733</v>
      </c>
      <c r="H1958" s="7" t="s">
        <v>734</v>
      </c>
      <c r="I1958" s="253">
        <v>1050</v>
      </c>
      <c r="J1958" s="253">
        <v>4464</v>
      </c>
      <c r="K1958" s="584">
        <f t="shared" si="294"/>
        <v>4687200</v>
      </c>
      <c r="L1958" s="193" t="s">
        <v>251</v>
      </c>
      <c r="M1958" s="193" t="s">
        <v>164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26"/>
      <c r="AB1958" s="576" t="str">
        <f>IF(VLOOKUP(F1958,NXT!$C$12:$C$786,1,0)=F1958,"","x")</f>
        <v/>
      </c>
      <c r="AC1958" s="576"/>
      <c r="AD1958" s="576"/>
    </row>
    <row r="1959" spans="1:30" ht="15.75" customHeight="1">
      <c r="A1959" s="827" t="str">
        <f>IF(B1959&lt;&gt;"",IF(AND(B1959&gt;=_TM1,B1959&lt;=_TM2,OR(TH!L1959="1111",TH!M1959="1111")),TH!D1959,""),"")</f>
        <v/>
      </c>
      <c r="B1959" s="36">
        <f t="shared" si="291"/>
        <v>6</v>
      </c>
      <c r="C1959" s="190">
        <f t="shared" si="292"/>
        <v>42527</v>
      </c>
      <c r="D1959" s="190" t="s">
        <v>1611</v>
      </c>
      <c r="E1959" s="190">
        <v>42527</v>
      </c>
      <c r="F1959" s="188" t="s">
        <v>731</v>
      </c>
      <c r="G1959" s="833" t="s">
        <v>733</v>
      </c>
      <c r="H1959" s="7" t="s">
        <v>734</v>
      </c>
      <c r="I1959" s="253">
        <v>500</v>
      </c>
      <c r="J1959" s="253">
        <v>5069</v>
      </c>
      <c r="K1959" s="584">
        <f t="shared" si="294"/>
        <v>2534500</v>
      </c>
      <c r="L1959" s="193" t="s">
        <v>251</v>
      </c>
      <c r="M1959" s="193" t="s">
        <v>164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26"/>
      <c r="AB1959" s="576" t="str">
        <f>IF(VLOOKUP(F1959,NXT!$C$12:$C$786,1,0)=F1959,"","x")</f>
        <v/>
      </c>
      <c r="AC1959" s="576"/>
      <c r="AD1959" s="576"/>
    </row>
    <row r="1960" spans="1:30" ht="15.75" customHeight="1">
      <c r="A1960" s="827" t="str">
        <f>IF(B1960&lt;&gt;"",IF(AND(B1960&gt;=_TM1,B1960&lt;=_TM2,OR(TH!L1960="1111",TH!M1960="1111")),TH!D1960,""),"")</f>
        <v/>
      </c>
      <c r="B1960" s="36">
        <f t="shared" si="291"/>
        <v>6</v>
      </c>
      <c r="C1960" s="190">
        <f t="shared" si="292"/>
        <v>42527</v>
      </c>
      <c r="D1960" s="190" t="s">
        <v>1611</v>
      </c>
      <c r="E1960" s="190">
        <v>42527</v>
      </c>
      <c r="F1960" s="188" t="s">
        <v>732</v>
      </c>
      <c r="G1960" s="833" t="s">
        <v>733</v>
      </c>
      <c r="H1960" s="7" t="s">
        <v>734</v>
      </c>
      <c r="I1960" s="253">
        <v>141</v>
      </c>
      <c r="J1960" s="253">
        <v>6800</v>
      </c>
      <c r="K1960" s="584">
        <f t="shared" si="294"/>
        <v>958800</v>
      </c>
      <c r="L1960" s="193" t="s">
        <v>251</v>
      </c>
      <c r="M1960" s="193" t="s">
        <v>164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26"/>
      <c r="AB1960" s="576" t="str">
        <f>IF(VLOOKUP(F1960,NXT!$C$12:$C$786,1,0)=F1960,"","x")</f>
        <v/>
      </c>
      <c r="AC1960" s="576"/>
      <c r="AD1960" s="576"/>
    </row>
    <row r="1961" spans="1:30" ht="15.75" customHeight="1">
      <c r="A1961" s="827" t="str">
        <f>IF(B1961&lt;&gt;"",IF(AND(B1961&gt;=_TM1,B1961&lt;=_TM2,OR(TH!L1961="1111",TH!M1961="1111")),TH!D1961,""),"")</f>
        <v/>
      </c>
      <c r="B1961" s="36">
        <f t="shared" si="291"/>
        <v>6</v>
      </c>
      <c r="C1961" s="190">
        <f t="shared" si="292"/>
        <v>42527</v>
      </c>
      <c r="D1961" s="190" t="s">
        <v>1611</v>
      </c>
      <c r="E1961" s="190">
        <v>42527</v>
      </c>
      <c r="F1961" s="188" t="s">
        <v>461</v>
      </c>
      <c r="G1961" s="833" t="s">
        <v>733</v>
      </c>
      <c r="H1961" s="7" t="s">
        <v>734</v>
      </c>
      <c r="I1961" s="253"/>
      <c r="J1961" s="253"/>
      <c r="K1961" s="584">
        <v>4379455</v>
      </c>
      <c r="L1961" s="193" t="s">
        <v>251</v>
      </c>
      <c r="M1961" s="193" t="s">
        <v>354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26"/>
      <c r="AB1961" s="576"/>
      <c r="AC1961" s="576"/>
      <c r="AD1961" s="576"/>
    </row>
    <row r="1962" spans="1:30" ht="15.75" customHeight="1">
      <c r="A1962" s="827" t="str">
        <f>IF(B1962&lt;&gt;"",IF(AND(B1962&gt;=_TM1,B1962&lt;=_TM2,OR(TH!L1962="1111",TH!M1962="1111")),TH!D1962,""),"")</f>
        <v/>
      </c>
      <c r="B1962" s="36">
        <f t="shared" si="291"/>
        <v>6</v>
      </c>
      <c r="C1962" s="190">
        <f t="shared" si="292"/>
        <v>42527</v>
      </c>
      <c r="D1962" s="190" t="s">
        <v>1612</v>
      </c>
      <c r="E1962" s="190">
        <v>42527</v>
      </c>
      <c r="F1962" s="188" t="s">
        <v>736</v>
      </c>
      <c r="G1962" s="833" t="s">
        <v>735</v>
      </c>
      <c r="H1962" s="192" t="s">
        <v>636</v>
      </c>
      <c r="I1962" s="253">
        <v>35</v>
      </c>
      <c r="J1962" s="253">
        <v>42858</v>
      </c>
      <c r="K1962" s="584">
        <f>ROUND(I1962*J1962,0)</f>
        <v>1500030</v>
      </c>
      <c r="L1962" s="193" t="s">
        <v>251</v>
      </c>
      <c r="M1962" s="193" t="s">
        <v>164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26"/>
      <c r="AB1962" s="576" t="str">
        <f>IF(VLOOKUP(F1962,NXT!$C$12:$C$786,1,0)=F1962,"","x")</f>
        <v/>
      </c>
      <c r="AC1962" s="576"/>
      <c r="AD1962" s="576"/>
    </row>
    <row r="1963" spans="1:30" ht="15.75" customHeight="1">
      <c r="A1963" s="827" t="str">
        <f>IF(B1963&lt;&gt;"",IF(AND(B1963&gt;=_TM1,B1963&lt;=_TM2,OR(TH!L1963="1111",TH!M1963="1111")),TH!D1963,""),"")</f>
        <v/>
      </c>
      <c r="B1963" s="36">
        <f t="shared" si="291"/>
        <v>6</v>
      </c>
      <c r="C1963" s="190">
        <f t="shared" si="292"/>
        <v>42527</v>
      </c>
      <c r="D1963" s="190" t="s">
        <v>1612</v>
      </c>
      <c r="E1963" s="190">
        <v>42527</v>
      </c>
      <c r="F1963" s="188" t="s">
        <v>461</v>
      </c>
      <c r="G1963" s="833" t="s">
        <v>735</v>
      </c>
      <c r="H1963" s="192" t="s">
        <v>636</v>
      </c>
      <c r="I1963" s="253"/>
      <c r="J1963" s="253"/>
      <c r="K1963" s="584">
        <v>150003</v>
      </c>
      <c r="L1963" s="193" t="s">
        <v>251</v>
      </c>
      <c r="M1963" s="193" t="s">
        <v>354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26"/>
      <c r="AB1963" s="576"/>
    </row>
    <row r="1964" spans="1:30" ht="15.75" customHeight="1">
      <c r="A1964" s="827" t="str">
        <f>IF(B1964&lt;&gt;"",IF(AND(B1964&gt;=_TM1,B1964&lt;=_TM2,OR(TH!L1964="1111",TH!M1964="1111")),TH!D1964,""),"")</f>
        <v/>
      </c>
      <c r="B1964" s="36">
        <f t="shared" si="291"/>
        <v>6</v>
      </c>
      <c r="C1964" s="190">
        <f t="shared" si="292"/>
        <v>42528</v>
      </c>
      <c r="D1964" s="190" t="s">
        <v>1613</v>
      </c>
      <c r="E1964" s="190">
        <v>42528</v>
      </c>
      <c r="F1964" s="191" t="s">
        <v>1222</v>
      </c>
      <c r="G1964" s="833" t="s">
        <v>737</v>
      </c>
      <c r="H1964" s="192" t="s">
        <v>630</v>
      </c>
      <c r="I1964" s="253">
        <v>1373</v>
      </c>
      <c r="J1964" s="253">
        <v>6650</v>
      </c>
      <c r="K1964" s="584">
        <f>ROUND(I1964*J1964,0)</f>
        <v>9130450</v>
      </c>
      <c r="L1964" s="193" t="s">
        <v>251</v>
      </c>
      <c r="M1964" s="193" t="s">
        <v>164</v>
      </c>
      <c r="N1964" s="52" t="str">
        <f>IF(AND('331-CT'!$E$7=TH!H1964,OR(L1964="331",M1964="331")),"331",IF(AND(OR(L1964="131",M1964="131"),H1964='131-CT'!$E$7),"131",""))</f>
        <v>131</v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26"/>
      <c r="AB1964" s="576" t="str">
        <f>IF(VLOOKUP(F1964,NXT!$C$12:$C$786,1,0)=F1964,"","x")</f>
        <v/>
      </c>
    </row>
    <row r="1965" spans="1:30" ht="15.75" customHeight="1">
      <c r="A1965" s="827" t="str">
        <f>IF(B1965&lt;&gt;"",IF(AND(B1965&gt;=_TM1,B1965&lt;=_TM2,OR(TH!L1965="1111",TH!M1965="1111")),TH!D1965,""),"")</f>
        <v/>
      </c>
      <c r="B1965" s="36">
        <f t="shared" si="291"/>
        <v>6</v>
      </c>
      <c r="C1965" s="190">
        <f t="shared" si="292"/>
        <v>42528</v>
      </c>
      <c r="D1965" s="190" t="s">
        <v>1613</v>
      </c>
      <c r="E1965" s="190">
        <v>42528</v>
      </c>
      <c r="F1965" s="188" t="s">
        <v>738</v>
      </c>
      <c r="G1965" s="833" t="s">
        <v>737</v>
      </c>
      <c r="H1965" s="192" t="s">
        <v>630</v>
      </c>
      <c r="I1965" s="253"/>
      <c r="J1965" s="253"/>
      <c r="K1965" s="584">
        <v>913045</v>
      </c>
      <c r="L1965" s="193" t="s">
        <v>251</v>
      </c>
      <c r="M1965" s="193" t="s">
        <v>354</v>
      </c>
      <c r="N1965" s="52" t="str">
        <f>IF(AND('331-CT'!$E$7=TH!H1965,OR(L1965="331",M1965="331")),"331",IF(AND(OR(L1965="131",M1965="131"),H1965='131-CT'!$E$7),"131",""))</f>
        <v>131</v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26"/>
      <c r="AB1965" s="576"/>
    </row>
    <row r="1966" spans="1:30" ht="15.75" customHeight="1">
      <c r="A1966" s="827" t="str">
        <f>IF(B1966&lt;&gt;"",IF(AND(B1966&gt;=_TM1,B1966&lt;=_TM2,OR(TH!L1966="1111",TH!M1966="1111")),TH!D1966,""),"")</f>
        <v/>
      </c>
      <c r="B1966" s="36">
        <f t="shared" si="291"/>
        <v>6</v>
      </c>
      <c r="C1966" s="190">
        <f t="shared" si="292"/>
        <v>42530</v>
      </c>
      <c r="D1966" s="190" t="s">
        <v>1614</v>
      </c>
      <c r="E1966" s="190">
        <v>42530</v>
      </c>
      <c r="F1966" s="188" t="s">
        <v>741</v>
      </c>
      <c r="G1966" s="833" t="s">
        <v>740</v>
      </c>
      <c r="H1966" s="7" t="s">
        <v>739</v>
      </c>
      <c r="I1966" s="253">
        <v>200</v>
      </c>
      <c r="J1966" s="253">
        <v>8200</v>
      </c>
      <c r="K1966" s="584">
        <f>ROUND(I1966*J1966,0)</f>
        <v>1640000</v>
      </c>
      <c r="L1966" s="193" t="s">
        <v>251</v>
      </c>
      <c r="M1966" s="193" t="s">
        <v>164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26"/>
      <c r="AB1966" s="576" t="str">
        <f>IF(VLOOKUP(F1966,NXT!$C$12:$C$786,1,0)=F1966,"","x")</f>
        <v/>
      </c>
    </row>
    <row r="1967" spans="1:30" ht="15.75" customHeight="1">
      <c r="A1967" s="827" t="str">
        <f>IF(B1967&lt;&gt;"",IF(AND(B1967&gt;=_TM1,B1967&lt;=_TM2,OR(TH!L1967="1111",TH!M1967="1111")),TH!D1967,""),"")</f>
        <v/>
      </c>
      <c r="B1967" s="36">
        <f t="shared" si="291"/>
        <v>6</v>
      </c>
      <c r="C1967" s="190">
        <f t="shared" si="292"/>
        <v>42530</v>
      </c>
      <c r="D1967" s="190" t="s">
        <v>1614</v>
      </c>
      <c r="E1967" s="190">
        <v>42530</v>
      </c>
      <c r="F1967" s="188" t="s">
        <v>738</v>
      </c>
      <c r="G1967" s="833" t="s">
        <v>740</v>
      </c>
      <c r="H1967" s="7" t="s">
        <v>739</v>
      </c>
      <c r="I1967" s="253"/>
      <c r="J1967" s="253"/>
      <c r="K1967" s="584">
        <v>164000</v>
      </c>
      <c r="L1967" s="193" t="s">
        <v>251</v>
      </c>
      <c r="M1967" s="193" t="s">
        <v>354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26"/>
      <c r="AB1967" s="576"/>
    </row>
    <row r="1968" spans="1:30" ht="15.75" customHeight="1">
      <c r="A1968" s="827" t="str">
        <f>IF(B1968&lt;&gt;"",IF(AND(B1968&gt;=_TM1,B1968&lt;=_TM2,OR(TH!L1968="1111",TH!M1968="1111")),TH!D1968,""),"")</f>
        <v/>
      </c>
      <c r="B1968" s="36">
        <f t="shared" si="291"/>
        <v>6</v>
      </c>
      <c r="C1968" s="190">
        <f t="shared" si="292"/>
        <v>42532</v>
      </c>
      <c r="D1968" s="190" t="s">
        <v>1615</v>
      </c>
      <c r="E1968" s="190">
        <v>42532</v>
      </c>
      <c r="F1968" s="188" t="s">
        <v>744</v>
      </c>
      <c r="G1968" s="833" t="s">
        <v>742</v>
      </c>
      <c r="H1968" s="7" t="s">
        <v>743</v>
      </c>
      <c r="I1968" s="253">
        <v>54</v>
      </c>
      <c r="J1968" s="253">
        <v>17752</v>
      </c>
      <c r="K1968" s="584">
        <f t="shared" ref="K1968:K1975" si="295">ROUND(I1968*J1968,0)</f>
        <v>958608</v>
      </c>
      <c r="L1968" s="193" t="s">
        <v>251</v>
      </c>
      <c r="M1968" s="193" t="s">
        <v>164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26"/>
      <c r="AB1968" s="576" t="str">
        <f>IF(VLOOKUP(F1968,NXT!$C$12:$C$786,1,0)=F1968,"","x")</f>
        <v/>
      </c>
    </row>
    <row r="1969" spans="1:30" ht="15.75" customHeight="1">
      <c r="A1969" s="827" t="str">
        <f>IF(B1969&lt;&gt;"",IF(AND(B1969&gt;=_TM1,B1969&lt;=_TM2,OR(TH!L1969="1111",TH!M1969="1111")),TH!D1969,""),"")</f>
        <v/>
      </c>
      <c r="B1969" s="36">
        <f t="shared" si="291"/>
        <v>6</v>
      </c>
      <c r="C1969" s="190">
        <f t="shared" si="292"/>
        <v>42532</v>
      </c>
      <c r="D1969" s="190" t="s">
        <v>1615</v>
      </c>
      <c r="E1969" s="190">
        <v>42532</v>
      </c>
      <c r="F1969" s="188" t="s">
        <v>745</v>
      </c>
      <c r="G1969" s="833" t="s">
        <v>742</v>
      </c>
      <c r="H1969" s="7" t="s">
        <v>743</v>
      </c>
      <c r="I1969" s="253">
        <v>80</v>
      </c>
      <c r="J1969" s="253">
        <v>26970</v>
      </c>
      <c r="K1969" s="584">
        <f t="shared" si="295"/>
        <v>2157600</v>
      </c>
      <c r="L1969" s="193" t="s">
        <v>251</v>
      </c>
      <c r="M1969" s="193" t="s">
        <v>164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26"/>
      <c r="AB1969" s="576" t="str">
        <f>IF(VLOOKUP(F1969,NXT!$C$12:$C$786,1,0)=F1969,"","x")</f>
        <v/>
      </c>
    </row>
    <row r="1970" spans="1:30" ht="15.75" customHeight="1">
      <c r="A1970" s="827" t="str">
        <f>IF(B1970&lt;&gt;"",IF(AND(B1970&gt;=_TM1,B1970&lt;=_TM2,OR(TH!L1970="1111",TH!M1970="1111")),TH!D1970,""),"")</f>
        <v/>
      </c>
      <c r="B1970" s="36">
        <f t="shared" si="291"/>
        <v>6</v>
      </c>
      <c r="C1970" s="190">
        <f t="shared" si="292"/>
        <v>42532</v>
      </c>
      <c r="D1970" s="190" t="s">
        <v>1615</v>
      </c>
      <c r="E1970" s="190">
        <v>42532</v>
      </c>
      <c r="F1970" s="188" t="s">
        <v>859</v>
      </c>
      <c r="G1970" s="833" t="s">
        <v>742</v>
      </c>
      <c r="H1970" s="7" t="s">
        <v>743</v>
      </c>
      <c r="I1970" s="253">
        <v>104</v>
      </c>
      <c r="J1970" s="253">
        <v>34280</v>
      </c>
      <c r="K1970" s="584">
        <f t="shared" si="295"/>
        <v>3565120</v>
      </c>
      <c r="L1970" s="193" t="s">
        <v>251</v>
      </c>
      <c r="M1970" s="193" t="s">
        <v>164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26"/>
      <c r="AB1970" s="576" t="str">
        <f>IF(VLOOKUP(F1970,NXT!$C$12:$C$786,1,0)=F1970,"","x")</f>
        <v/>
      </c>
    </row>
    <row r="1971" spans="1:30" ht="15.75" customHeight="1">
      <c r="A1971" s="827" t="str">
        <f>IF(B1971&lt;&gt;"",IF(AND(B1971&gt;=_TM1,B1971&lt;=_TM2,OR(TH!L1971="1111",TH!M1971="1111")),TH!D1971,""),"")</f>
        <v/>
      </c>
      <c r="B1971" s="36">
        <f t="shared" si="291"/>
        <v>6</v>
      </c>
      <c r="C1971" s="190">
        <f t="shared" si="292"/>
        <v>42532</v>
      </c>
      <c r="D1971" s="190" t="s">
        <v>1615</v>
      </c>
      <c r="E1971" s="190">
        <v>42532</v>
      </c>
      <c r="F1971" s="188" t="s">
        <v>746</v>
      </c>
      <c r="G1971" s="833" t="s">
        <v>742</v>
      </c>
      <c r="H1971" s="7" t="s">
        <v>743</v>
      </c>
      <c r="I1971" s="253">
        <v>25</v>
      </c>
      <c r="J1971" s="253">
        <v>21250</v>
      </c>
      <c r="K1971" s="584">
        <f t="shared" si="295"/>
        <v>531250</v>
      </c>
      <c r="L1971" s="193" t="s">
        <v>251</v>
      </c>
      <c r="M1971" s="193" t="s">
        <v>164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26"/>
      <c r="AB1971" s="576" t="str">
        <f>IF(VLOOKUP(F1971,NXT!$C$12:$C$786,1,0)=F1971,"","x")</f>
        <v/>
      </c>
    </row>
    <row r="1972" spans="1:30" ht="15.75" customHeight="1">
      <c r="A1972" s="827" t="str">
        <f>IF(B1972&lt;&gt;"",IF(AND(B1972&gt;=_TM1,B1972&lt;=_TM2,OR(TH!L1972="1111",TH!M1972="1111")),TH!D1972,""),"")</f>
        <v/>
      </c>
      <c r="B1972" s="36">
        <f t="shared" si="291"/>
        <v>6</v>
      </c>
      <c r="C1972" s="190">
        <f t="shared" si="292"/>
        <v>42532</v>
      </c>
      <c r="D1972" s="190" t="s">
        <v>1615</v>
      </c>
      <c r="E1972" s="190">
        <v>42532</v>
      </c>
      <c r="F1972" s="188" t="s">
        <v>748</v>
      </c>
      <c r="G1972" s="833" t="s">
        <v>742</v>
      </c>
      <c r="H1972" s="7" t="s">
        <v>743</v>
      </c>
      <c r="I1972" s="253">
        <v>22</v>
      </c>
      <c r="J1972" s="253">
        <v>17300</v>
      </c>
      <c r="K1972" s="584">
        <f t="shared" si="295"/>
        <v>380600</v>
      </c>
      <c r="L1972" s="193" t="s">
        <v>251</v>
      </c>
      <c r="M1972" s="193" t="s">
        <v>164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26"/>
      <c r="AB1972" s="576" t="str">
        <f>IF(VLOOKUP(F1972,NXT!$C$12:$C$786,1,0)=F1972,"","x")</f>
        <v/>
      </c>
      <c r="AD1972" s="576"/>
    </row>
    <row r="1973" spans="1:30" ht="15.75" customHeight="1">
      <c r="A1973" s="827" t="str">
        <f>IF(B1973&lt;&gt;"",IF(AND(B1973&gt;=_TM1,B1973&lt;=_TM2,OR(TH!L1973="1111",TH!M1973="1111")),TH!D1973,""),"")</f>
        <v/>
      </c>
      <c r="B1973" s="36">
        <f t="shared" si="291"/>
        <v>6</v>
      </c>
      <c r="C1973" s="190">
        <f t="shared" si="292"/>
        <v>42532</v>
      </c>
      <c r="D1973" s="190" t="s">
        <v>1615</v>
      </c>
      <c r="E1973" s="190">
        <v>42532</v>
      </c>
      <c r="F1973" s="188" t="s">
        <v>747</v>
      </c>
      <c r="G1973" s="833" t="s">
        <v>742</v>
      </c>
      <c r="H1973" s="7" t="s">
        <v>743</v>
      </c>
      <c r="I1973" s="253">
        <v>14</v>
      </c>
      <c r="J1973" s="253">
        <v>39431</v>
      </c>
      <c r="K1973" s="584">
        <f t="shared" si="295"/>
        <v>552034</v>
      </c>
      <c r="L1973" s="193" t="s">
        <v>251</v>
      </c>
      <c r="M1973" s="193" t="s">
        <v>164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26"/>
      <c r="AB1973" s="576" t="str">
        <f>IF(VLOOKUP(F1973,NXT!$C$12:$C$786,1,0)=F1973,"","x")</f>
        <v/>
      </c>
      <c r="AC1973" s="576"/>
      <c r="AD1973" s="576"/>
    </row>
    <row r="1974" spans="1:30" ht="15.75" customHeight="1">
      <c r="A1974" s="827" t="str">
        <f>IF(B1974&lt;&gt;"",IF(AND(B1974&gt;=_TM1,B1974&lt;=_TM2,OR(TH!L1974="1111",TH!M1974="1111")),TH!D1974,""),"")</f>
        <v/>
      </c>
      <c r="B1974" s="36">
        <f t="shared" si="291"/>
        <v>6</v>
      </c>
      <c r="C1974" s="190">
        <f t="shared" si="292"/>
        <v>42532</v>
      </c>
      <c r="D1974" s="190" t="s">
        <v>1615</v>
      </c>
      <c r="E1974" s="190">
        <v>42532</v>
      </c>
      <c r="F1974" s="188" t="s">
        <v>749</v>
      </c>
      <c r="G1974" s="833" t="s">
        <v>742</v>
      </c>
      <c r="H1974" s="7" t="s">
        <v>743</v>
      </c>
      <c r="I1974" s="254">
        <v>12</v>
      </c>
      <c r="J1974" s="254">
        <v>3286</v>
      </c>
      <c r="K1974" s="584">
        <f t="shared" si="295"/>
        <v>39432</v>
      </c>
      <c r="L1974" s="193" t="s">
        <v>251</v>
      </c>
      <c r="M1974" s="193" t="s">
        <v>164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26"/>
      <c r="AB1974" s="576" t="str">
        <f>IF(VLOOKUP(F1974,NXT!$C$12:$C$786,1,0)=F1974,"","x")</f>
        <v/>
      </c>
      <c r="AC1974" s="576"/>
      <c r="AD1974" s="576"/>
    </row>
    <row r="1975" spans="1:30" ht="15.75" customHeight="1">
      <c r="A1975" s="827" t="str">
        <f>IF(B1975&lt;&gt;"",IF(AND(B1975&gt;=_TM1,B1975&lt;=_TM2,OR(TH!L1975="1111",TH!M1975="1111")),TH!D1975,""),"")</f>
        <v/>
      </c>
      <c r="B1975" s="36">
        <f t="shared" si="291"/>
        <v>6</v>
      </c>
      <c r="C1975" s="190">
        <f t="shared" si="292"/>
        <v>42532</v>
      </c>
      <c r="D1975" s="190" t="s">
        <v>1615</v>
      </c>
      <c r="E1975" s="190">
        <v>42532</v>
      </c>
      <c r="F1975" s="188" t="s">
        <v>750</v>
      </c>
      <c r="G1975" s="833" t="s">
        <v>742</v>
      </c>
      <c r="H1975" s="7" t="s">
        <v>743</v>
      </c>
      <c r="I1975" s="253">
        <v>86</v>
      </c>
      <c r="J1975" s="253">
        <v>4296</v>
      </c>
      <c r="K1975" s="584">
        <f t="shared" si="295"/>
        <v>369456</v>
      </c>
      <c r="L1975" s="193" t="s">
        <v>251</v>
      </c>
      <c r="M1975" s="193" t="s">
        <v>164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26"/>
      <c r="AB1975" s="576" t="str">
        <f>IF(VLOOKUP(F1975,NXT!$C$12:$C$786,1,0)=F1975,"","x")</f>
        <v/>
      </c>
      <c r="AC1975" s="576"/>
      <c r="AD1975" s="576"/>
    </row>
    <row r="1976" spans="1:30" ht="15.75" customHeight="1">
      <c r="A1976" s="827" t="str">
        <f>IF(B1976&lt;&gt;"",IF(AND(B1976&gt;=_TM1,B1976&lt;=_TM2,OR(TH!L1976="1111",TH!M1976="1111")),TH!D1976,""),"")</f>
        <v/>
      </c>
      <c r="B1976" s="36">
        <f t="shared" si="291"/>
        <v>6</v>
      </c>
      <c r="C1976" s="190">
        <f t="shared" si="292"/>
        <v>42532</v>
      </c>
      <c r="D1976" s="190" t="s">
        <v>1615</v>
      </c>
      <c r="E1976" s="190">
        <v>42532</v>
      </c>
      <c r="F1976" s="188" t="s">
        <v>461</v>
      </c>
      <c r="G1976" s="833" t="s">
        <v>742</v>
      </c>
      <c r="H1976" s="7" t="s">
        <v>743</v>
      </c>
      <c r="I1976" s="253"/>
      <c r="J1976" s="253"/>
      <c r="K1976" s="584">
        <v>855410</v>
      </c>
      <c r="L1976" s="193" t="s">
        <v>251</v>
      </c>
      <c r="M1976" s="193" t="s">
        <v>354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26"/>
      <c r="AB1976" s="576"/>
      <c r="AD1976" s="576"/>
    </row>
    <row r="1977" spans="1:30" ht="15.75" customHeight="1">
      <c r="A1977" s="827" t="str">
        <f>IF(B1977&lt;&gt;"",IF(AND(B1977&gt;=_TM1,B1977&lt;=_TM2,OR(TH!L1977="1111",TH!M1977="1111")),TH!D1977,""),"")</f>
        <v/>
      </c>
      <c r="B1977" s="36">
        <f t="shared" si="291"/>
        <v>6</v>
      </c>
      <c r="C1977" s="190">
        <f t="shared" si="292"/>
        <v>42532</v>
      </c>
      <c r="D1977" s="190" t="s">
        <v>1616</v>
      </c>
      <c r="E1977" s="190">
        <v>42532</v>
      </c>
      <c r="F1977" s="191" t="s">
        <v>656</v>
      </c>
      <c r="G1977" s="833" t="s">
        <v>751</v>
      </c>
      <c r="H1977" s="7" t="s">
        <v>753</v>
      </c>
      <c r="I1977" s="253">
        <v>27</v>
      </c>
      <c r="J1977" s="253">
        <v>4464</v>
      </c>
      <c r="K1977" s="584">
        <f t="shared" ref="K1977:K2013" si="296">ROUND(I1977*J1977,0)</f>
        <v>120528</v>
      </c>
      <c r="L1977" s="193" t="s">
        <v>251</v>
      </c>
      <c r="M1977" s="193" t="s">
        <v>164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26"/>
      <c r="AB1977" s="576" t="str">
        <f>IF(VLOOKUP(F1977,NXT!$C$12:$C$786,1,0)=F1977,"","x")</f>
        <v/>
      </c>
      <c r="AC1977" s="576"/>
      <c r="AD1977" s="576"/>
    </row>
    <row r="1978" spans="1:30" ht="15.75" customHeight="1">
      <c r="A1978" s="827" t="str">
        <f>IF(B1978&lt;&gt;"",IF(AND(B1978&gt;=_TM1,B1978&lt;=_TM2,OR(TH!L1978="1111",TH!M1978="1111")),TH!D1978,""),"")</f>
        <v/>
      </c>
      <c r="B1978" s="36">
        <f t="shared" si="291"/>
        <v>6</v>
      </c>
      <c r="C1978" s="190">
        <f t="shared" si="292"/>
        <v>42532</v>
      </c>
      <c r="D1978" s="190" t="s">
        <v>1616</v>
      </c>
      <c r="E1978" s="190">
        <v>42532</v>
      </c>
      <c r="F1978" s="188" t="s">
        <v>690</v>
      </c>
      <c r="G1978" s="833" t="s">
        <v>751</v>
      </c>
      <c r="H1978" s="7" t="s">
        <v>753</v>
      </c>
      <c r="I1978" s="253">
        <v>100</v>
      </c>
      <c r="J1978" s="253">
        <v>4785</v>
      </c>
      <c r="K1978" s="584">
        <f t="shared" si="296"/>
        <v>478500</v>
      </c>
      <c r="L1978" s="193" t="s">
        <v>251</v>
      </c>
      <c r="M1978" s="193" t="s">
        <v>164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26"/>
      <c r="AB1978" s="576" t="str">
        <f>IF(VLOOKUP(F1978,NXT!$C$12:$C$786,1,0)=F1978,"","x")</f>
        <v/>
      </c>
      <c r="AD1978" s="576"/>
    </row>
    <row r="1979" spans="1:30" ht="15.75" customHeight="1">
      <c r="A1979" s="827" t="str">
        <f>IF(B1979&lt;&gt;"",IF(AND(B1979&gt;=_TM1,B1979&lt;=_TM2,OR(TH!L1979="1111",TH!M1979="1111")),TH!D1979,""),"")</f>
        <v/>
      </c>
      <c r="B1979" s="36">
        <f t="shared" si="291"/>
        <v>6</v>
      </c>
      <c r="C1979" s="190">
        <f t="shared" si="292"/>
        <v>42532</v>
      </c>
      <c r="D1979" s="190" t="s">
        <v>1616</v>
      </c>
      <c r="E1979" s="190">
        <v>42532</v>
      </c>
      <c r="F1979" s="191" t="s">
        <v>656</v>
      </c>
      <c r="G1979" s="833" t="s">
        <v>751</v>
      </c>
      <c r="H1979" s="7" t="s">
        <v>753</v>
      </c>
      <c r="I1979" s="253">
        <v>5000</v>
      </c>
      <c r="J1979" s="253">
        <v>4428</v>
      </c>
      <c r="K1979" s="584">
        <f t="shared" si="296"/>
        <v>22140000</v>
      </c>
      <c r="L1979" s="193" t="s">
        <v>251</v>
      </c>
      <c r="M1979" s="193" t="s">
        <v>164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26"/>
      <c r="AB1979" s="576" t="str">
        <f>IF(VLOOKUP(F1979,NXT!$C$12:$C$786,1,0)=F1979,"","x")</f>
        <v/>
      </c>
      <c r="AC1979" s="576"/>
      <c r="AD1979" s="576"/>
    </row>
    <row r="1980" spans="1:30" ht="15.75" customHeight="1">
      <c r="A1980" s="827" t="str">
        <f>IF(B1980&lt;&gt;"",IF(AND(B1980&gt;=_TM1,B1980&lt;=_TM2,OR(TH!L1980="1111",TH!M1980="1111")),TH!D1980,""),"")</f>
        <v/>
      </c>
      <c r="B1980" s="36">
        <f t="shared" si="291"/>
        <v>6</v>
      </c>
      <c r="C1980" s="190">
        <f t="shared" si="292"/>
        <v>42532</v>
      </c>
      <c r="D1980" s="190" t="s">
        <v>1616</v>
      </c>
      <c r="E1980" s="190">
        <v>42532</v>
      </c>
      <c r="F1980" s="188" t="s">
        <v>754</v>
      </c>
      <c r="G1980" s="833" t="s">
        <v>751</v>
      </c>
      <c r="H1980" s="7" t="s">
        <v>753</v>
      </c>
      <c r="I1980" s="253">
        <v>1000</v>
      </c>
      <c r="J1980" s="253">
        <v>801</v>
      </c>
      <c r="K1980" s="584">
        <f t="shared" si="296"/>
        <v>801000</v>
      </c>
      <c r="L1980" s="193" t="s">
        <v>251</v>
      </c>
      <c r="M1980" s="193" t="s">
        <v>164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26"/>
      <c r="AB1980" s="576" t="str">
        <f>IF(VLOOKUP(F1980,NXT!$C$12:$C$786,1,0)=F1980,"","x")</f>
        <v/>
      </c>
      <c r="AC1980" s="576"/>
      <c r="AD1980" s="576"/>
    </row>
    <row r="1981" spans="1:30" ht="15.75" customHeight="1">
      <c r="A1981" s="827" t="str">
        <f>IF(B1981&lt;&gt;"",IF(AND(B1981&gt;=_TM1,B1981&lt;=_TM2,OR(TH!L1981="1111",TH!M1981="1111")),TH!D1981,""),"")</f>
        <v/>
      </c>
      <c r="B1981" s="36">
        <f t="shared" si="291"/>
        <v>6</v>
      </c>
      <c r="C1981" s="190">
        <f t="shared" si="292"/>
        <v>42532</v>
      </c>
      <c r="D1981" s="190" t="s">
        <v>1616</v>
      </c>
      <c r="E1981" s="190">
        <v>42532</v>
      </c>
      <c r="F1981" s="188" t="s">
        <v>664</v>
      </c>
      <c r="G1981" s="833" t="s">
        <v>751</v>
      </c>
      <c r="H1981" s="7" t="s">
        <v>753</v>
      </c>
      <c r="I1981" s="253">
        <v>210</v>
      </c>
      <c r="J1981" s="253">
        <v>86597</v>
      </c>
      <c r="K1981" s="584">
        <f t="shared" si="296"/>
        <v>18185370</v>
      </c>
      <c r="L1981" s="193" t="s">
        <v>251</v>
      </c>
      <c r="M1981" s="193" t="s">
        <v>164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26"/>
      <c r="AB1981" s="576" t="str">
        <f>IF(VLOOKUP(F1981,NXT!$C$12:$C$786,1,0)=F1981,"","x")</f>
        <v/>
      </c>
      <c r="AC1981" s="576"/>
      <c r="AD1981" s="576"/>
    </row>
    <row r="1982" spans="1:30" ht="15.75" customHeight="1">
      <c r="A1982" s="827" t="str">
        <f>IF(B1982&lt;&gt;"",IF(AND(B1982&gt;=_TM1,B1982&lt;=_TM2,OR(TH!L1982="1111",TH!M1982="1111")),TH!D1982,""),"")</f>
        <v/>
      </c>
      <c r="B1982" s="36">
        <f t="shared" si="291"/>
        <v>6</v>
      </c>
      <c r="C1982" s="190">
        <f t="shared" si="292"/>
        <v>42532</v>
      </c>
      <c r="D1982" s="190" t="s">
        <v>1616</v>
      </c>
      <c r="E1982" s="190">
        <v>42532</v>
      </c>
      <c r="F1982" s="188" t="s">
        <v>683</v>
      </c>
      <c r="G1982" s="833" t="s">
        <v>751</v>
      </c>
      <c r="H1982" s="7" t="s">
        <v>753</v>
      </c>
      <c r="I1982" s="253">
        <v>10</v>
      </c>
      <c r="J1982" s="253">
        <v>57731</v>
      </c>
      <c r="K1982" s="584">
        <f t="shared" si="296"/>
        <v>577310</v>
      </c>
      <c r="L1982" s="193" t="s">
        <v>251</v>
      </c>
      <c r="M1982" s="193" t="s">
        <v>164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26"/>
      <c r="AB1982" s="576" t="str">
        <f>IF(VLOOKUP(F1982,NXT!$C$12:$C$786,1,0)=F1982,"","x")</f>
        <v/>
      </c>
      <c r="AC1982" s="576"/>
    </row>
    <row r="1983" spans="1:30" ht="15.75" customHeight="1">
      <c r="A1983" s="827" t="str">
        <f>IF(B1983&lt;&gt;"",IF(AND(B1983&gt;=_TM1,B1983&lt;=_TM2,OR(TH!L1983="1111",TH!M1983="1111")),TH!D1983,""),"")</f>
        <v/>
      </c>
      <c r="B1983" s="36">
        <f t="shared" si="291"/>
        <v>6</v>
      </c>
      <c r="C1983" s="190">
        <f t="shared" si="292"/>
        <v>42532</v>
      </c>
      <c r="D1983" s="190" t="s">
        <v>1616</v>
      </c>
      <c r="E1983" s="190">
        <v>42532</v>
      </c>
      <c r="F1983" s="188" t="s">
        <v>755</v>
      </c>
      <c r="G1983" s="833" t="s">
        <v>751</v>
      </c>
      <c r="H1983" s="7" t="s">
        <v>753</v>
      </c>
      <c r="I1983" s="253">
        <v>26</v>
      </c>
      <c r="J1983" s="253">
        <v>34826</v>
      </c>
      <c r="K1983" s="584">
        <f t="shared" si="296"/>
        <v>905476</v>
      </c>
      <c r="L1983" s="193" t="s">
        <v>251</v>
      </c>
      <c r="M1983" s="193" t="s">
        <v>164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26"/>
      <c r="AB1983" s="576" t="str">
        <f>IF(VLOOKUP(F1983,NXT!$C$12:$C$786,1,0)=F1983,"","x")</f>
        <v/>
      </c>
      <c r="AC1983" s="576"/>
      <c r="AD1983" s="576"/>
    </row>
    <row r="1984" spans="1:30" ht="15.75" customHeight="1">
      <c r="A1984" s="827" t="str">
        <f>IF(B1984&lt;&gt;"",IF(AND(B1984&gt;=_TM1,B1984&lt;=_TM2,OR(TH!L1984="1111",TH!M1984="1111")),TH!D1984,""),"")</f>
        <v/>
      </c>
      <c r="B1984" s="36">
        <f t="shared" si="291"/>
        <v>6</v>
      </c>
      <c r="C1984" s="190">
        <f t="shared" si="292"/>
        <v>42532</v>
      </c>
      <c r="D1984" s="190" t="s">
        <v>1616</v>
      </c>
      <c r="E1984" s="190">
        <v>42532</v>
      </c>
      <c r="F1984" s="188" t="s">
        <v>756</v>
      </c>
      <c r="G1984" s="833" t="s">
        <v>751</v>
      </c>
      <c r="H1984" s="7" t="s">
        <v>753</v>
      </c>
      <c r="I1984" s="253">
        <v>14</v>
      </c>
      <c r="J1984" s="253">
        <v>53989</v>
      </c>
      <c r="K1984" s="584">
        <f t="shared" si="296"/>
        <v>755846</v>
      </c>
      <c r="L1984" s="193" t="s">
        <v>251</v>
      </c>
      <c r="M1984" s="193" t="s">
        <v>164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26"/>
      <c r="AB1984" s="576" t="str">
        <f>IF(VLOOKUP(F1984,NXT!$C$12:$C$786,1,0)=F1984,"","x")</f>
        <v/>
      </c>
      <c r="AD1984" s="576"/>
    </row>
    <row r="1985" spans="1:30" ht="15.75" customHeight="1">
      <c r="A1985" s="827" t="str">
        <f>IF(B1985&lt;&gt;"",IF(AND(B1985&gt;=_TM1,B1985&lt;=_TM2,OR(TH!L1985="1111",TH!M1985="1111")),TH!D1985,""),"")</f>
        <v/>
      </c>
      <c r="B1985" s="36">
        <f t="shared" si="291"/>
        <v>6</v>
      </c>
      <c r="C1985" s="190">
        <f t="shared" si="292"/>
        <v>42532</v>
      </c>
      <c r="D1985" s="190" t="s">
        <v>1616</v>
      </c>
      <c r="E1985" s="190">
        <v>42532</v>
      </c>
      <c r="F1985" s="188" t="s">
        <v>757</v>
      </c>
      <c r="G1985" s="833" t="s">
        <v>751</v>
      </c>
      <c r="H1985" s="7" t="s">
        <v>753</v>
      </c>
      <c r="I1985" s="253">
        <v>10</v>
      </c>
      <c r="J1985" s="253">
        <v>60654</v>
      </c>
      <c r="K1985" s="584">
        <f t="shared" si="296"/>
        <v>606540</v>
      </c>
      <c r="L1985" s="193" t="s">
        <v>251</v>
      </c>
      <c r="M1985" s="193" t="s">
        <v>164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26"/>
      <c r="AB1985" s="576" t="str">
        <f>IF(VLOOKUP(F1985,NXT!$C$12:$C$786,1,0)=F1985,"","x")</f>
        <v/>
      </c>
      <c r="AC1985" s="576"/>
      <c r="AD1985" s="576"/>
    </row>
    <row r="1986" spans="1:30" ht="15.75" customHeight="1">
      <c r="A1986" s="827" t="str">
        <f>IF(B1986&lt;&gt;"",IF(AND(B1986&gt;=_TM1,B1986&lt;=_TM2,OR(TH!L1986="1111",TH!M1986="1111")),TH!D1986,""),"")</f>
        <v/>
      </c>
      <c r="B1986" s="36">
        <f t="shared" si="291"/>
        <v>6</v>
      </c>
      <c r="C1986" s="190">
        <f t="shared" si="292"/>
        <v>42532</v>
      </c>
      <c r="D1986" s="190" t="s">
        <v>1616</v>
      </c>
      <c r="E1986" s="190">
        <v>42532</v>
      </c>
      <c r="F1986" s="188" t="s">
        <v>758</v>
      </c>
      <c r="G1986" s="833" t="s">
        <v>751</v>
      </c>
      <c r="H1986" s="7" t="s">
        <v>753</v>
      </c>
      <c r="I1986" s="253">
        <v>32</v>
      </c>
      <c r="J1986" s="253">
        <v>42506</v>
      </c>
      <c r="K1986" s="584">
        <f t="shared" si="296"/>
        <v>1360192</v>
      </c>
      <c r="L1986" s="193" t="s">
        <v>251</v>
      </c>
      <c r="M1986" s="193" t="s">
        <v>164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26"/>
      <c r="AB1986" s="576" t="str">
        <f>IF(VLOOKUP(F1986,NXT!$C$12:$C$786,1,0)=F1986,"","x")</f>
        <v/>
      </c>
      <c r="AD1986" s="576"/>
    </row>
    <row r="1987" spans="1:30" ht="15.75" customHeight="1">
      <c r="A1987" s="827" t="str">
        <f>IF(B1987&lt;&gt;"",IF(AND(B1987&gt;=_TM1,B1987&lt;=_TM2,OR(TH!L1987="1111",TH!M1987="1111")),TH!D1987,""),"")</f>
        <v/>
      </c>
      <c r="B1987" s="36">
        <f t="shared" si="291"/>
        <v>6</v>
      </c>
      <c r="C1987" s="190">
        <f t="shared" si="292"/>
        <v>42532</v>
      </c>
      <c r="D1987" s="190" t="s">
        <v>1616</v>
      </c>
      <c r="E1987" s="190">
        <v>42532</v>
      </c>
      <c r="F1987" s="188" t="s">
        <v>759</v>
      </c>
      <c r="G1987" s="833" t="s">
        <v>751</v>
      </c>
      <c r="H1987" s="7" t="s">
        <v>753</v>
      </c>
      <c r="I1987" s="253">
        <v>2</v>
      </c>
      <c r="J1987" s="253">
        <v>44366</v>
      </c>
      <c r="K1987" s="584">
        <f t="shared" si="296"/>
        <v>88732</v>
      </c>
      <c r="L1987" s="193" t="s">
        <v>251</v>
      </c>
      <c r="M1987" s="193" t="s">
        <v>164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26"/>
      <c r="AB1987" s="576" t="str">
        <f>IF(VLOOKUP(F1987,NXT!$C$12:$C$786,1,0)=F1987,"","x")</f>
        <v/>
      </c>
      <c r="AC1987" s="576"/>
    </row>
    <row r="1988" spans="1:30" ht="15.75" customHeight="1">
      <c r="A1988" s="827" t="str">
        <f>IF(B1988&lt;&gt;"",IF(AND(B1988&gt;=_TM1,B1988&lt;=_TM2,OR(TH!L1988="1111",TH!M1988="1111")),TH!D1988,""),"")</f>
        <v/>
      </c>
      <c r="B1988" s="36">
        <f t="shared" si="291"/>
        <v>6</v>
      </c>
      <c r="C1988" s="190">
        <f t="shared" si="292"/>
        <v>42532</v>
      </c>
      <c r="D1988" s="190" t="s">
        <v>1616</v>
      </c>
      <c r="E1988" s="190">
        <v>42532</v>
      </c>
      <c r="F1988" s="188" t="s">
        <v>760</v>
      </c>
      <c r="G1988" s="833" t="s">
        <v>751</v>
      </c>
      <c r="H1988" s="7" t="s">
        <v>753</v>
      </c>
      <c r="I1988" s="253">
        <v>32</v>
      </c>
      <c r="J1988" s="253">
        <v>41719</v>
      </c>
      <c r="K1988" s="584">
        <f t="shared" si="296"/>
        <v>1335008</v>
      </c>
      <c r="L1988" s="193" t="s">
        <v>251</v>
      </c>
      <c r="M1988" s="193" t="s">
        <v>164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26"/>
      <c r="AB1988" s="576" t="str">
        <f>IF(VLOOKUP(F1988,NXT!$C$12:$C$786,1,0)=F1988,"","x")</f>
        <v/>
      </c>
      <c r="AC1988" s="576"/>
    </row>
    <row r="1989" spans="1:30" ht="15.75" customHeight="1">
      <c r="A1989" s="827" t="str">
        <f>IF(B1989&lt;&gt;"",IF(AND(B1989&gt;=_TM1,B1989&lt;=_TM2,OR(TH!L1989="1111",TH!M1989="1111")),TH!D1989,""),"")</f>
        <v/>
      </c>
      <c r="B1989" s="36">
        <f t="shared" si="291"/>
        <v>6</v>
      </c>
      <c r="C1989" s="190">
        <f t="shared" si="292"/>
        <v>42532</v>
      </c>
      <c r="D1989" s="190" t="s">
        <v>1616</v>
      </c>
      <c r="E1989" s="190">
        <v>42532</v>
      </c>
      <c r="F1989" s="188" t="s">
        <v>761</v>
      </c>
      <c r="G1989" s="833" t="s">
        <v>751</v>
      </c>
      <c r="H1989" s="7" t="s">
        <v>753</v>
      </c>
      <c r="I1989" s="253">
        <v>18</v>
      </c>
      <c r="J1989" s="253">
        <v>74439</v>
      </c>
      <c r="K1989" s="584">
        <f t="shared" si="296"/>
        <v>1339902</v>
      </c>
      <c r="L1989" s="193" t="s">
        <v>251</v>
      </c>
      <c r="M1989" s="193" t="s">
        <v>164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26"/>
      <c r="AB1989" s="576" t="str">
        <f>IF(VLOOKUP(F1989,NXT!$C$12:$C$786,1,0)=F1989,"","x")</f>
        <v/>
      </c>
      <c r="AC1989" s="576"/>
    </row>
    <row r="1990" spans="1:30" ht="15.75" customHeight="1">
      <c r="A1990" s="827" t="str">
        <f>IF(B1990&lt;&gt;"",IF(AND(B1990&gt;=_TM1,B1990&lt;=_TM2,OR(TH!L1990="1111",TH!M1990="1111")),TH!D1990,""),"")</f>
        <v/>
      </c>
      <c r="B1990" s="36">
        <f t="shared" si="291"/>
        <v>6</v>
      </c>
      <c r="C1990" s="190">
        <f t="shared" si="292"/>
        <v>42532</v>
      </c>
      <c r="D1990" s="190" t="s">
        <v>1616</v>
      </c>
      <c r="E1990" s="190">
        <v>42532</v>
      </c>
      <c r="F1990" s="188" t="s">
        <v>762</v>
      </c>
      <c r="G1990" s="833" t="s">
        <v>751</v>
      </c>
      <c r="H1990" s="7" t="s">
        <v>753</v>
      </c>
      <c r="I1990" s="253">
        <v>19</v>
      </c>
      <c r="J1990" s="253">
        <v>53595</v>
      </c>
      <c r="K1990" s="584">
        <f t="shared" si="296"/>
        <v>1018305</v>
      </c>
      <c r="L1990" s="193" t="s">
        <v>251</v>
      </c>
      <c r="M1990" s="193" t="s">
        <v>164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26"/>
      <c r="AB1990" s="576" t="str">
        <f>IF(VLOOKUP(F1990,NXT!$C$12:$C$786,1,0)=F1990,"","x")</f>
        <v/>
      </c>
      <c r="AC1990" s="576"/>
      <c r="AD1990" s="576"/>
    </row>
    <row r="1991" spans="1:30" ht="15.75" customHeight="1">
      <c r="A1991" s="827" t="str">
        <f>IF(B1991&lt;&gt;"",IF(AND(B1991&gt;=_TM1,B1991&lt;=_TM2,OR(TH!L1991="1111",TH!M1991="1111")),TH!D1991,""),"")</f>
        <v/>
      </c>
      <c r="B1991" s="36">
        <f t="shared" si="291"/>
        <v>6</v>
      </c>
      <c r="C1991" s="190">
        <f t="shared" si="292"/>
        <v>42532</v>
      </c>
      <c r="D1991" s="190" t="s">
        <v>1616</v>
      </c>
      <c r="E1991" s="190">
        <v>42532</v>
      </c>
      <c r="F1991" s="188" t="s">
        <v>763</v>
      </c>
      <c r="G1991" s="833" t="s">
        <v>751</v>
      </c>
      <c r="H1991" s="7" t="s">
        <v>753</v>
      </c>
      <c r="I1991" s="253">
        <v>38</v>
      </c>
      <c r="J1991" s="253">
        <v>69934</v>
      </c>
      <c r="K1991" s="584">
        <f t="shared" si="296"/>
        <v>2657492</v>
      </c>
      <c r="L1991" s="193" t="s">
        <v>251</v>
      </c>
      <c r="M1991" s="193" t="s">
        <v>164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26"/>
      <c r="AB1991" s="576" t="str">
        <f>IF(VLOOKUP(F1991,NXT!$C$12:$C$786,1,0)=F1991,"","x")</f>
        <v/>
      </c>
      <c r="AC1991" s="576"/>
      <c r="AD1991" s="576"/>
    </row>
    <row r="1992" spans="1:30" ht="15.75" customHeight="1">
      <c r="A1992" s="827" t="str">
        <f>IF(B1992&lt;&gt;"",IF(AND(B1992&gt;=_TM1,B1992&lt;=_TM2,OR(TH!L1992="1111",TH!M1992="1111")),TH!D1992,""),"")</f>
        <v/>
      </c>
      <c r="B1992" s="36">
        <f t="shared" si="291"/>
        <v>6</v>
      </c>
      <c r="C1992" s="190">
        <f t="shared" si="292"/>
        <v>42532</v>
      </c>
      <c r="D1992" s="190" t="s">
        <v>1616</v>
      </c>
      <c r="E1992" s="190">
        <v>42532</v>
      </c>
      <c r="F1992" s="188" t="s">
        <v>764</v>
      </c>
      <c r="G1992" s="833" t="s">
        <v>751</v>
      </c>
      <c r="H1992" s="7" t="s">
        <v>753</v>
      </c>
      <c r="I1992" s="253">
        <v>38</v>
      </c>
      <c r="J1992" s="253">
        <v>87861</v>
      </c>
      <c r="K1992" s="584">
        <f t="shared" si="296"/>
        <v>3338718</v>
      </c>
      <c r="L1992" s="193" t="s">
        <v>251</v>
      </c>
      <c r="M1992" s="193" t="s">
        <v>164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26"/>
      <c r="AB1992" s="576" t="str">
        <f>IF(VLOOKUP(F1992,NXT!$C$12:$C$786,1,0)=F1992,"","x")</f>
        <v/>
      </c>
    </row>
    <row r="1993" spans="1:30" ht="15.75" customHeight="1">
      <c r="A1993" s="827" t="str">
        <f>IF(B1993&lt;&gt;"",IF(AND(B1993&gt;=_TM1,B1993&lt;=_TM2,OR(TH!L1993="1111",TH!M1993="1111")),TH!D1993,""),"")</f>
        <v/>
      </c>
      <c r="B1993" s="36">
        <f t="shared" si="291"/>
        <v>6</v>
      </c>
      <c r="C1993" s="190">
        <f t="shared" si="292"/>
        <v>42532</v>
      </c>
      <c r="D1993" s="190" t="s">
        <v>1616</v>
      </c>
      <c r="E1993" s="190">
        <v>42532</v>
      </c>
      <c r="F1993" s="188" t="s">
        <v>765</v>
      </c>
      <c r="G1993" s="833" t="s">
        <v>751</v>
      </c>
      <c r="H1993" s="7" t="s">
        <v>753</v>
      </c>
      <c r="I1993" s="253">
        <v>50</v>
      </c>
      <c r="J1993" s="253">
        <v>75999</v>
      </c>
      <c r="K1993" s="584">
        <f t="shared" si="296"/>
        <v>3799950</v>
      </c>
      <c r="L1993" s="193" t="s">
        <v>251</v>
      </c>
      <c r="M1993" s="193" t="s">
        <v>164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26"/>
      <c r="AB1993" s="576" t="str">
        <f>IF(VLOOKUP(F1993,NXT!$C$12:$C$786,1,0)=F1993,"","x")</f>
        <v/>
      </c>
      <c r="AC1993" s="576"/>
    </row>
    <row r="1994" spans="1:30" ht="15.75" customHeight="1">
      <c r="A1994" s="827" t="str">
        <f>IF(B1994&lt;&gt;"",IF(AND(B1994&gt;=_TM1,B1994&lt;=_TM2,OR(TH!L1994="1111",TH!M1994="1111")),TH!D1994,""),"")</f>
        <v/>
      </c>
      <c r="B1994" s="36">
        <f t="shared" si="291"/>
        <v>6</v>
      </c>
      <c r="C1994" s="190">
        <f t="shared" si="292"/>
        <v>42532</v>
      </c>
      <c r="D1994" s="190" t="s">
        <v>1616</v>
      </c>
      <c r="E1994" s="190">
        <v>42532</v>
      </c>
      <c r="F1994" s="188" t="s">
        <v>454</v>
      </c>
      <c r="G1994" s="833" t="s">
        <v>751</v>
      </c>
      <c r="H1994" s="7" t="s">
        <v>753</v>
      </c>
      <c r="I1994" s="253">
        <v>40</v>
      </c>
      <c r="J1994" s="253">
        <v>77696</v>
      </c>
      <c r="K1994" s="584">
        <f t="shared" si="296"/>
        <v>3107840</v>
      </c>
      <c r="L1994" s="193" t="s">
        <v>251</v>
      </c>
      <c r="M1994" s="193" t="s">
        <v>164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26"/>
      <c r="AB1994" s="576" t="str">
        <f>IF(VLOOKUP(F1994,NXT!$C$12:$C$786,1,0)=F1994,"","x")</f>
        <v/>
      </c>
    </row>
    <row r="1995" spans="1:30" ht="15.75" customHeight="1">
      <c r="A1995" s="827" t="str">
        <f>IF(B1995&lt;&gt;"",IF(AND(B1995&gt;=_TM1,B1995&lt;=_TM2,OR(TH!L1995="1111",TH!M1995="1111")),TH!D1995,""),"")</f>
        <v/>
      </c>
      <c r="B1995" s="36">
        <f t="shared" si="291"/>
        <v>6</v>
      </c>
      <c r="C1995" s="190">
        <f t="shared" si="292"/>
        <v>42532</v>
      </c>
      <c r="D1995" s="190" t="s">
        <v>1616</v>
      </c>
      <c r="E1995" s="190">
        <v>42532</v>
      </c>
      <c r="F1995" s="191" t="s">
        <v>1011</v>
      </c>
      <c r="G1995" s="833" t="s">
        <v>751</v>
      </c>
      <c r="H1995" s="7" t="s">
        <v>753</v>
      </c>
      <c r="I1995" s="253">
        <v>20</v>
      </c>
      <c r="J1995" s="253">
        <v>81883</v>
      </c>
      <c r="K1995" s="584">
        <f t="shared" si="296"/>
        <v>1637660</v>
      </c>
      <c r="L1995" s="193" t="s">
        <v>251</v>
      </c>
      <c r="M1995" s="193" t="s">
        <v>164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26"/>
      <c r="AB1995" s="576" t="str">
        <f>IF(VLOOKUP(F1995,NXT!$C$12:$C$786,1,0)=F1995,"","x")</f>
        <v/>
      </c>
      <c r="AC1995" s="576"/>
    </row>
    <row r="1996" spans="1:30" ht="15.75" customHeight="1">
      <c r="A1996" s="827" t="str">
        <f>IF(B1996&lt;&gt;"",IF(AND(B1996&gt;=_TM1,B1996&lt;=_TM2,OR(TH!L1996="1111",TH!M1996="1111")),TH!D1996,""),"")</f>
        <v/>
      </c>
      <c r="B1996" s="36">
        <f t="shared" si="291"/>
        <v>6</v>
      </c>
      <c r="C1996" s="190">
        <f t="shared" si="292"/>
        <v>42532</v>
      </c>
      <c r="D1996" s="190" t="s">
        <v>1616</v>
      </c>
      <c r="E1996" s="190">
        <v>42532</v>
      </c>
      <c r="F1996" s="188" t="s">
        <v>766</v>
      </c>
      <c r="G1996" s="833" t="s">
        <v>751</v>
      </c>
      <c r="H1996" s="7" t="s">
        <v>753</v>
      </c>
      <c r="I1996" s="253">
        <v>600</v>
      </c>
      <c r="J1996" s="253">
        <v>13565</v>
      </c>
      <c r="K1996" s="584">
        <f t="shared" si="296"/>
        <v>8139000</v>
      </c>
      <c r="L1996" s="193" t="s">
        <v>251</v>
      </c>
      <c r="M1996" s="193" t="s">
        <v>164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26"/>
      <c r="AB1996" s="576" t="str">
        <f>IF(VLOOKUP(F1996,NXT!$C$12:$C$786,1,0)=F1996,"","x")</f>
        <v/>
      </c>
    </row>
    <row r="1997" spans="1:30" ht="15.75" customHeight="1">
      <c r="A1997" s="827" t="str">
        <f>IF(B1997&lt;&gt;"",IF(AND(B1997&gt;=_TM1,B1997&lt;=_TM2,OR(TH!L1997="1111",TH!M1997="1111")),TH!D1997,""),"")</f>
        <v/>
      </c>
      <c r="B1997" s="36">
        <f t="shared" si="291"/>
        <v>6</v>
      </c>
      <c r="C1997" s="190">
        <f t="shared" si="292"/>
        <v>42532</v>
      </c>
      <c r="D1997" s="190" t="s">
        <v>1616</v>
      </c>
      <c r="E1997" s="190">
        <v>42532</v>
      </c>
      <c r="F1997" s="188" t="s">
        <v>459</v>
      </c>
      <c r="G1997" s="833" t="s">
        <v>751</v>
      </c>
      <c r="H1997" s="7" t="s">
        <v>753</v>
      </c>
      <c r="I1997" s="253">
        <v>155</v>
      </c>
      <c r="J1997" s="253">
        <v>16534</v>
      </c>
      <c r="K1997" s="584">
        <f t="shared" si="296"/>
        <v>2562770</v>
      </c>
      <c r="L1997" s="193" t="s">
        <v>251</v>
      </c>
      <c r="M1997" s="193" t="s">
        <v>164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26"/>
      <c r="AB1997" s="576" t="str">
        <f>IF(VLOOKUP(F1997,NXT!$C$12:$C$786,1,0)=F1997,"","x")</f>
        <v/>
      </c>
    </row>
    <row r="1998" spans="1:30" ht="15.75" customHeight="1">
      <c r="A1998" s="827" t="str">
        <f>IF(B1998&lt;&gt;"",IF(AND(B1998&gt;=_TM1,B1998&lt;=_TM2,OR(TH!L1998="1111",TH!M1998="1111")),TH!D1998,""),"")</f>
        <v/>
      </c>
      <c r="B1998" s="36">
        <f t="shared" si="291"/>
        <v>6</v>
      </c>
      <c r="C1998" s="190">
        <f t="shared" si="292"/>
        <v>42532</v>
      </c>
      <c r="D1998" s="190" t="s">
        <v>1616</v>
      </c>
      <c r="E1998" s="190">
        <v>42532</v>
      </c>
      <c r="F1998" s="786" t="s">
        <v>459</v>
      </c>
      <c r="G1998" s="833" t="s">
        <v>751</v>
      </c>
      <c r="H1998" s="7" t="s">
        <v>753</v>
      </c>
      <c r="I1998" s="253">
        <v>155</v>
      </c>
      <c r="J1998" s="253">
        <v>11300</v>
      </c>
      <c r="K1998" s="584">
        <f t="shared" si="296"/>
        <v>1751500</v>
      </c>
      <c r="L1998" s="193" t="s">
        <v>251</v>
      </c>
      <c r="M1998" s="193" t="s">
        <v>164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26"/>
      <c r="AB1998" s="576" t="str">
        <f>IF(VLOOKUP(F1998,NXT!$C$12:$C$786,1,0)=F1998,"","x")</f>
        <v/>
      </c>
    </row>
    <row r="1999" spans="1:30" ht="15.75" customHeight="1">
      <c r="A1999" s="827" t="str">
        <f>IF(B1999&lt;&gt;"",IF(AND(B1999&gt;=_TM1,B1999&lt;=_TM2,OR(TH!L1999="1111",TH!M1999="1111")),TH!D1999,""),"")</f>
        <v/>
      </c>
      <c r="B1999" s="36">
        <f t="shared" si="291"/>
        <v>6</v>
      </c>
      <c r="C1999" s="190">
        <f t="shared" si="292"/>
        <v>42532</v>
      </c>
      <c r="D1999" s="190" t="s">
        <v>1616</v>
      </c>
      <c r="E1999" s="190">
        <v>42532</v>
      </c>
      <c r="F1999" s="188" t="s">
        <v>767</v>
      </c>
      <c r="G1999" s="833" t="s">
        <v>751</v>
      </c>
      <c r="H1999" s="7" t="s">
        <v>753</v>
      </c>
      <c r="I1999" s="253">
        <v>100</v>
      </c>
      <c r="J1999" s="253">
        <v>6461</v>
      </c>
      <c r="K1999" s="584">
        <f t="shared" si="296"/>
        <v>646100</v>
      </c>
      <c r="L1999" s="193" t="s">
        <v>251</v>
      </c>
      <c r="M1999" s="193" t="s">
        <v>164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26"/>
      <c r="AB1999" s="576" t="str">
        <f>IF(VLOOKUP(F1999,NXT!$C$12:$C$786,1,0)=F1999,"","x")</f>
        <v/>
      </c>
    </row>
    <row r="2000" spans="1:30" ht="15.75" customHeight="1">
      <c r="A2000" s="827" t="str">
        <f>IF(B2000&lt;&gt;"",IF(AND(B2000&gt;=_TM1,B2000&lt;=_TM2,OR(TH!L2000="1111",TH!M2000="1111")),TH!D2000,""),"")</f>
        <v/>
      </c>
      <c r="B2000" s="36">
        <f t="shared" si="291"/>
        <v>6</v>
      </c>
      <c r="C2000" s="190">
        <f t="shared" si="292"/>
        <v>42532</v>
      </c>
      <c r="D2000" s="190" t="s">
        <v>1616</v>
      </c>
      <c r="E2000" s="190">
        <v>42532</v>
      </c>
      <c r="F2000" s="188" t="s">
        <v>768</v>
      </c>
      <c r="G2000" s="833" t="s">
        <v>751</v>
      </c>
      <c r="H2000" s="7" t="s">
        <v>753</v>
      </c>
      <c r="I2000" s="253">
        <v>100</v>
      </c>
      <c r="J2000" s="253">
        <v>6462</v>
      </c>
      <c r="K2000" s="584">
        <f t="shared" si="296"/>
        <v>646200</v>
      </c>
      <c r="L2000" s="193" t="s">
        <v>251</v>
      </c>
      <c r="M2000" s="193" t="s">
        <v>164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26"/>
      <c r="AB2000" s="576" t="str">
        <f>IF(VLOOKUP(F2000,NXT!$C$12:$C$786,1,0)=F2000,"","x")</f>
        <v/>
      </c>
    </row>
    <row r="2001" spans="1:30" ht="15.75" customHeight="1">
      <c r="A2001" s="827" t="str">
        <f>IF(B2001&lt;&gt;"",IF(AND(B2001&gt;=_TM1,B2001&lt;=_TM2,OR(TH!L2001="1111",TH!M2001="1111")),TH!D2001,""),"")</f>
        <v/>
      </c>
      <c r="B2001" s="36">
        <f t="shared" ref="B2001:B2064" si="297">IF(C2001&lt;&gt;"",MONTH(C2001),"")</f>
        <v>6</v>
      </c>
      <c r="C2001" s="190">
        <f t="shared" ref="C2001:C2064" si="298">E2001</f>
        <v>42532</v>
      </c>
      <c r="D2001" s="190" t="s">
        <v>1616</v>
      </c>
      <c r="E2001" s="190">
        <v>42532</v>
      </c>
      <c r="F2001" s="191" t="s">
        <v>627</v>
      </c>
      <c r="G2001" s="833" t="s">
        <v>751</v>
      </c>
      <c r="H2001" s="7" t="s">
        <v>753</v>
      </c>
      <c r="I2001" s="253">
        <v>1000</v>
      </c>
      <c r="J2001" s="253">
        <v>6519</v>
      </c>
      <c r="K2001" s="584">
        <f t="shared" si="296"/>
        <v>6519000</v>
      </c>
      <c r="L2001" s="193" t="s">
        <v>251</v>
      </c>
      <c r="M2001" s="193" t="s">
        <v>164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26"/>
      <c r="AB2001" s="576" t="str">
        <f>IF(VLOOKUP(F2001,NXT!$C$12:$C$786,1,0)=F2001,"","x")</f>
        <v/>
      </c>
    </row>
    <row r="2002" spans="1:30" ht="15.75" customHeight="1">
      <c r="A2002" s="827" t="str">
        <f>IF(B2002&lt;&gt;"",IF(AND(B2002&gt;=_TM1,B2002&lt;=_TM2,OR(TH!L2002="1111",TH!M2002="1111")),TH!D2002,""),"")</f>
        <v/>
      </c>
      <c r="B2002" s="36">
        <f t="shared" si="297"/>
        <v>6</v>
      </c>
      <c r="C2002" s="190">
        <f t="shared" si="298"/>
        <v>42532</v>
      </c>
      <c r="D2002" s="190" t="s">
        <v>1616</v>
      </c>
      <c r="E2002" s="190">
        <v>42532</v>
      </c>
      <c r="F2002" s="188" t="s">
        <v>671</v>
      </c>
      <c r="G2002" s="833" t="s">
        <v>751</v>
      </c>
      <c r="H2002" s="7" t="s">
        <v>753</v>
      </c>
      <c r="I2002" s="253">
        <v>25</v>
      </c>
      <c r="J2002" s="253">
        <v>116171</v>
      </c>
      <c r="K2002" s="584">
        <f t="shared" si="296"/>
        <v>2904275</v>
      </c>
      <c r="L2002" s="193" t="s">
        <v>251</v>
      </c>
      <c r="M2002" s="193" t="s">
        <v>164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26"/>
      <c r="AB2002" s="576" t="str">
        <f>IF(VLOOKUP(F2002,NXT!$C$12:$C$786,1,0)=F2002,"","x")</f>
        <v/>
      </c>
    </row>
    <row r="2003" spans="1:30" ht="15.75" customHeight="1">
      <c r="A2003" s="827" t="str">
        <f>IF(B2003&lt;&gt;"",IF(AND(B2003&gt;=_TM1,B2003&lt;=_TM2,OR(TH!L2003="1111",TH!M2003="1111")),TH!D2003,""),"")</f>
        <v/>
      </c>
      <c r="B2003" s="36">
        <f t="shared" si="297"/>
        <v>6</v>
      </c>
      <c r="C2003" s="190">
        <f t="shared" si="298"/>
        <v>42532</v>
      </c>
      <c r="D2003" s="190" t="s">
        <v>1616</v>
      </c>
      <c r="E2003" s="190">
        <v>42532</v>
      </c>
      <c r="F2003" s="188" t="s">
        <v>674</v>
      </c>
      <c r="G2003" s="833" t="s">
        <v>751</v>
      </c>
      <c r="H2003" s="7" t="s">
        <v>753</v>
      </c>
      <c r="I2003" s="253">
        <v>48</v>
      </c>
      <c r="J2003" s="253">
        <v>42537</v>
      </c>
      <c r="K2003" s="584">
        <f t="shared" si="296"/>
        <v>2041776</v>
      </c>
      <c r="L2003" s="193" t="s">
        <v>251</v>
      </c>
      <c r="M2003" s="193" t="s">
        <v>164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26"/>
      <c r="AB2003" s="576" t="str">
        <f>IF(VLOOKUP(F2003,NXT!$C$12:$C$786,1,0)=F2003,"","x")</f>
        <v/>
      </c>
    </row>
    <row r="2004" spans="1:30" ht="15.75" customHeight="1">
      <c r="A2004" s="827" t="str">
        <f>IF(B2004&lt;&gt;"",IF(AND(B2004&gt;=_TM1,B2004&lt;=_TM2,OR(TH!L2004="1111",TH!M2004="1111")),TH!D2004,""),"")</f>
        <v/>
      </c>
      <c r="B2004" s="36">
        <f t="shared" si="297"/>
        <v>6</v>
      </c>
      <c r="C2004" s="190">
        <f t="shared" si="298"/>
        <v>42532</v>
      </c>
      <c r="D2004" s="190" t="s">
        <v>1616</v>
      </c>
      <c r="E2004" s="190">
        <v>42532</v>
      </c>
      <c r="F2004" s="188" t="s">
        <v>670</v>
      </c>
      <c r="G2004" s="833" t="s">
        <v>751</v>
      </c>
      <c r="H2004" s="7" t="s">
        <v>753</v>
      </c>
      <c r="I2004" s="253">
        <v>27</v>
      </c>
      <c r="J2004" s="253">
        <v>109826</v>
      </c>
      <c r="K2004" s="584">
        <f t="shared" si="296"/>
        <v>2965302</v>
      </c>
      <c r="L2004" s="193" t="s">
        <v>251</v>
      </c>
      <c r="M2004" s="193" t="s">
        <v>164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26"/>
      <c r="AB2004" s="576" t="str">
        <f>IF(VLOOKUP(F2004,NXT!$C$12:$C$786,1,0)=F2004,"","x")</f>
        <v/>
      </c>
    </row>
    <row r="2005" spans="1:30" ht="15.75" customHeight="1">
      <c r="A2005" s="827" t="str">
        <f>IF(B2005&lt;&gt;"",IF(AND(B2005&gt;=_TM1,B2005&lt;=_TM2,OR(TH!L2005="1111",TH!M2005="1111")),TH!D2005,""),"")</f>
        <v/>
      </c>
      <c r="B2005" s="36">
        <f t="shared" si="297"/>
        <v>6</v>
      </c>
      <c r="C2005" s="190">
        <f t="shared" si="298"/>
        <v>42532</v>
      </c>
      <c r="D2005" s="190" t="s">
        <v>1616</v>
      </c>
      <c r="E2005" s="190">
        <v>42532</v>
      </c>
      <c r="F2005" s="188" t="s">
        <v>769</v>
      </c>
      <c r="G2005" s="833" t="s">
        <v>751</v>
      </c>
      <c r="H2005" s="7" t="s">
        <v>753</v>
      </c>
      <c r="I2005" s="253">
        <v>180</v>
      </c>
      <c r="J2005" s="253">
        <v>14848</v>
      </c>
      <c r="K2005" s="584">
        <f t="shared" si="296"/>
        <v>2672640</v>
      </c>
      <c r="L2005" s="193" t="s">
        <v>251</v>
      </c>
      <c r="M2005" s="193" t="s">
        <v>164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26"/>
      <c r="AB2005" s="576" t="str">
        <f>IF(VLOOKUP(F2005,NXT!$C$12:$C$786,1,0)=F2005,"","x")</f>
        <v/>
      </c>
    </row>
    <row r="2006" spans="1:30" ht="15.75" customHeight="1">
      <c r="A2006" s="827" t="str">
        <f>IF(B2006&lt;&gt;"",IF(AND(B2006&gt;=_TM1,B2006&lt;=_TM2,OR(TH!L2006="1111",TH!M2006="1111")),TH!D2006,""),"")</f>
        <v/>
      </c>
      <c r="B2006" s="36">
        <f t="shared" si="297"/>
        <v>6</v>
      </c>
      <c r="C2006" s="190">
        <f t="shared" si="298"/>
        <v>42532</v>
      </c>
      <c r="D2006" s="190" t="s">
        <v>1616</v>
      </c>
      <c r="E2006" s="190">
        <v>42532</v>
      </c>
      <c r="F2006" s="188" t="s">
        <v>770</v>
      </c>
      <c r="G2006" s="833" t="s">
        <v>751</v>
      </c>
      <c r="H2006" s="7" t="s">
        <v>753</v>
      </c>
      <c r="I2006" s="253">
        <v>60</v>
      </c>
      <c r="J2006" s="253">
        <v>26152</v>
      </c>
      <c r="K2006" s="584">
        <f t="shared" si="296"/>
        <v>1569120</v>
      </c>
      <c r="L2006" s="193" t="s">
        <v>251</v>
      </c>
      <c r="M2006" s="193" t="s">
        <v>164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26"/>
      <c r="AB2006" s="576" t="str">
        <f>IF(VLOOKUP(F2006,NXT!$C$12:$C$786,1,0)=F2006,"","x")</f>
        <v/>
      </c>
      <c r="AC2006" s="576"/>
      <c r="AD2006" s="576"/>
    </row>
    <row r="2007" spans="1:30" ht="15.75" customHeight="1">
      <c r="A2007" s="827" t="str">
        <f>IF(B2007&lt;&gt;"",IF(AND(B2007&gt;=_TM1,B2007&lt;=_TM2,OR(TH!L2007="1111",TH!M2007="1111")),TH!D2007,""),"")</f>
        <v/>
      </c>
      <c r="B2007" s="36">
        <f t="shared" si="297"/>
        <v>6</v>
      </c>
      <c r="C2007" s="190">
        <f t="shared" si="298"/>
        <v>42532</v>
      </c>
      <c r="D2007" s="190" t="s">
        <v>1616</v>
      </c>
      <c r="E2007" s="190">
        <v>42532</v>
      </c>
      <c r="F2007" s="188" t="s">
        <v>771</v>
      </c>
      <c r="G2007" s="833" t="s">
        <v>751</v>
      </c>
      <c r="H2007" s="7" t="s">
        <v>753</v>
      </c>
      <c r="I2007" s="253">
        <v>200</v>
      </c>
      <c r="J2007" s="253">
        <v>12094</v>
      </c>
      <c r="K2007" s="584">
        <f t="shared" si="296"/>
        <v>2418800</v>
      </c>
      <c r="L2007" s="193" t="s">
        <v>251</v>
      </c>
      <c r="M2007" s="193" t="s">
        <v>164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26"/>
      <c r="AB2007" s="576" t="str">
        <f>IF(VLOOKUP(F2007,NXT!$C$12:$C$786,1,0)=F2007,"","x")</f>
        <v/>
      </c>
      <c r="AC2007" s="576"/>
      <c r="AD2007" s="576"/>
    </row>
    <row r="2008" spans="1:30" ht="15.75" customHeight="1">
      <c r="A2008" s="827" t="str">
        <f>IF(B2008&lt;&gt;"",IF(AND(B2008&gt;=_TM1,B2008&lt;=_TM2,OR(TH!L2008="1111",TH!M2008="1111")),TH!D2008,""),"")</f>
        <v/>
      </c>
      <c r="B2008" s="36">
        <f t="shared" si="297"/>
        <v>6</v>
      </c>
      <c r="C2008" s="190">
        <f t="shared" si="298"/>
        <v>42532</v>
      </c>
      <c r="D2008" s="190" t="s">
        <v>1616</v>
      </c>
      <c r="E2008" s="190">
        <v>42532</v>
      </c>
      <c r="F2008" s="188" t="s">
        <v>732</v>
      </c>
      <c r="G2008" s="833" t="s">
        <v>751</v>
      </c>
      <c r="H2008" s="7" t="s">
        <v>753</v>
      </c>
      <c r="I2008" s="253">
        <v>39</v>
      </c>
      <c r="J2008" s="253">
        <v>6839</v>
      </c>
      <c r="K2008" s="584">
        <f t="shared" si="296"/>
        <v>266721</v>
      </c>
      <c r="L2008" s="193" t="s">
        <v>251</v>
      </c>
      <c r="M2008" s="193" t="s">
        <v>164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26"/>
      <c r="AB2008" s="576" t="str">
        <f>IF(VLOOKUP(F2008,NXT!$C$12:$C$786,1,0)=F2008,"","x")</f>
        <v/>
      </c>
      <c r="AC2008" s="576"/>
      <c r="AD2008" s="576"/>
    </row>
    <row r="2009" spans="1:30" ht="15.75" customHeight="1">
      <c r="A2009" s="827" t="str">
        <f>IF(B2009&lt;&gt;"",IF(AND(B2009&gt;=_TM1,B2009&lt;=_TM2,OR(TH!L2009="1111",TH!M2009="1111")),TH!D2009,""),"")</f>
        <v/>
      </c>
      <c r="B2009" s="36">
        <f t="shared" si="297"/>
        <v>6</v>
      </c>
      <c r="C2009" s="190">
        <f t="shared" si="298"/>
        <v>42532</v>
      </c>
      <c r="D2009" s="190" t="s">
        <v>1616</v>
      </c>
      <c r="E2009" s="190">
        <v>42532</v>
      </c>
      <c r="F2009" s="188" t="s">
        <v>772</v>
      </c>
      <c r="G2009" s="833" t="s">
        <v>751</v>
      </c>
      <c r="H2009" s="7" t="s">
        <v>753</v>
      </c>
      <c r="I2009" s="253">
        <v>150</v>
      </c>
      <c r="J2009" s="253">
        <v>13066</v>
      </c>
      <c r="K2009" s="584">
        <f t="shared" si="296"/>
        <v>1959900</v>
      </c>
      <c r="L2009" s="193" t="s">
        <v>251</v>
      </c>
      <c r="M2009" s="193" t="s">
        <v>164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26"/>
      <c r="AB2009" s="576" t="str">
        <f>IF(VLOOKUP(F2009,NXT!$C$12:$C$786,1,0)=F2009,"","x")</f>
        <v/>
      </c>
      <c r="AC2009" s="576"/>
      <c r="AD2009" s="576"/>
    </row>
    <row r="2010" spans="1:30" ht="15.75" customHeight="1">
      <c r="A2010" s="827" t="str">
        <f>IF(B2010&lt;&gt;"",IF(AND(B2010&gt;=_TM1,B2010&lt;=_TM2,OR(TH!L2010="1111",TH!M2010="1111")),TH!D2010,""),"")</f>
        <v/>
      </c>
      <c r="B2010" s="36">
        <f t="shared" si="297"/>
        <v>6</v>
      </c>
      <c r="C2010" s="190">
        <f t="shared" si="298"/>
        <v>42532</v>
      </c>
      <c r="D2010" s="190" t="s">
        <v>1616</v>
      </c>
      <c r="E2010" s="190">
        <v>42532</v>
      </c>
      <c r="F2010" s="188" t="s">
        <v>773</v>
      </c>
      <c r="G2010" s="833" t="s">
        <v>751</v>
      </c>
      <c r="H2010" s="7" t="s">
        <v>753</v>
      </c>
      <c r="I2010" s="253">
        <v>75</v>
      </c>
      <c r="J2010" s="253">
        <v>27895</v>
      </c>
      <c r="K2010" s="584">
        <f t="shared" si="296"/>
        <v>2092125</v>
      </c>
      <c r="L2010" s="193" t="s">
        <v>251</v>
      </c>
      <c r="M2010" s="193" t="s">
        <v>164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26"/>
      <c r="AB2010" s="576" t="str">
        <f>IF(VLOOKUP(F2010,NXT!$C$12:$C$786,1,0)=F2010,"","x")</f>
        <v/>
      </c>
      <c r="AC2010" s="576"/>
      <c r="AD2010" s="576"/>
    </row>
    <row r="2011" spans="1:30" ht="15.75" customHeight="1">
      <c r="A2011" s="827" t="str">
        <f>IF(B2011&lt;&gt;"",IF(AND(B2011&gt;=_TM1,B2011&lt;=_TM2,OR(TH!L2011="1111",TH!M2011="1111")),TH!D2011,""),"")</f>
        <v/>
      </c>
      <c r="B2011" s="36">
        <f t="shared" si="297"/>
        <v>6</v>
      </c>
      <c r="C2011" s="190">
        <f t="shared" si="298"/>
        <v>42532</v>
      </c>
      <c r="D2011" s="190" t="s">
        <v>1616</v>
      </c>
      <c r="E2011" s="190">
        <v>42532</v>
      </c>
      <c r="F2011" s="188" t="s">
        <v>774</v>
      </c>
      <c r="G2011" s="833" t="s">
        <v>751</v>
      </c>
      <c r="H2011" s="7" t="s">
        <v>753</v>
      </c>
      <c r="I2011" s="253">
        <v>40</v>
      </c>
      <c r="J2011" s="253">
        <v>25627</v>
      </c>
      <c r="K2011" s="584">
        <f t="shared" si="296"/>
        <v>1025080</v>
      </c>
      <c r="L2011" s="193" t="s">
        <v>251</v>
      </c>
      <c r="M2011" s="193" t="s">
        <v>164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26"/>
      <c r="AB2011" s="576" t="str">
        <f>IF(VLOOKUP(F2011,NXT!$C$12:$C$786,1,0)=F2011,"","x")</f>
        <v/>
      </c>
      <c r="AC2011" s="576"/>
      <c r="AD2011" s="576"/>
    </row>
    <row r="2012" spans="1:30" ht="15.75" customHeight="1">
      <c r="A2012" s="827" t="str">
        <f>IF(B2012&lt;&gt;"",IF(AND(B2012&gt;=_TM1,B2012&lt;=_TM2,OR(TH!L2012="1111",TH!M2012="1111")),TH!D2012,""),"")</f>
        <v/>
      </c>
      <c r="B2012" s="36">
        <f t="shared" si="297"/>
        <v>6</v>
      </c>
      <c r="C2012" s="190">
        <f t="shared" si="298"/>
        <v>42532</v>
      </c>
      <c r="D2012" s="190" t="s">
        <v>1616</v>
      </c>
      <c r="E2012" s="190">
        <v>42532</v>
      </c>
      <c r="F2012" s="188" t="s">
        <v>432</v>
      </c>
      <c r="G2012" s="833" t="s">
        <v>751</v>
      </c>
      <c r="H2012" s="7" t="s">
        <v>753</v>
      </c>
      <c r="I2012" s="253">
        <v>180</v>
      </c>
      <c r="J2012" s="253">
        <v>16990</v>
      </c>
      <c r="K2012" s="584">
        <f t="shared" si="296"/>
        <v>3058200</v>
      </c>
      <c r="L2012" s="193" t="s">
        <v>251</v>
      </c>
      <c r="M2012" s="193" t="s">
        <v>164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26"/>
      <c r="AB2012" s="576" t="str">
        <f>IF(VLOOKUP(F2012,NXT!$C$12:$C$786,1,0)=F2012,"","x")</f>
        <v/>
      </c>
      <c r="AC2012" s="576"/>
    </row>
    <row r="2013" spans="1:30" ht="15.75" customHeight="1">
      <c r="A2013" s="827" t="str">
        <f>IF(B2013&lt;&gt;"",IF(AND(B2013&gt;=_TM1,B2013&lt;=_TM2,OR(TH!L2013="1111",TH!M2013="1111")),TH!D2013,""),"")</f>
        <v/>
      </c>
      <c r="B2013" s="36">
        <f t="shared" si="297"/>
        <v>6</v>
      </c>
      <c r="C2013" s="190">
        <f t="shared" si="298"/>
        <v>42532</v>
      </c>
      <c r="D2013" s="190" t="s">
        <v>1616</v>
      </c>
      <c r="E2013" s="190">
        <v>42532</v>
      </c>
      <c r="F2013" s="191" t="s">
        <v>1014</v>
      </c>
      <c r="G2013" s="833" t="s">
        <v>751</v>
      </c>
      <c r="H2013" s="7" t="s">
        <v>753</v>
      </c>
      <c r="I2013" s="253">
        <v>44</v>
      </c>
      <c r="J2013" s="253">
        <v>60595</v>
      </c>
      <c r="K2013" s="584">
        <f t="shared" si="296"/>
        <v>2666180</v>
      </c>
      <c r="L2013" s="193" t="s">
        <v>251</v>
      </c>
      <c r="M2013" s="193" t="s">
        <v>164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26"/>
      <c r="AB2013" s="576" t="str">
        <f>IF(VLOOKUP(F2013,NXT!$C$12:$C$786,1,0)=F2013,"","x")</f>
        <v/>
      </c>
    </row>
    <row r="2014" spans="1:30" ht="15.75" customHeight="1">
      <c r="A2014" s="827" t="str">
        <f>IF(B2014&lt;&gt;"",IF(AND(B2014&gt;=_TM1,B2014&lt;=_TM2,OR(TH!L2014="1111",TH!M2014="1111")),TH!D2014,""),"")</f>
        <v/>
      </c>
      <c r="B2014" s="36">
        <f t="shared" si="297"/>
        <v>6</v>
      </c>
      <c r="C2014" s="190">
        <f t="shared" si="298"/>
        <v>42532</v>
      </c>
      <c r="D2014" s="190" t="s">
        <v>1616</v>
      </c>
      <c r="E2014" s="190">
        <v>42532</v>
      </c>
      <c r="F2014" s="188" t="s">
        <v>461</v>
      </c>
      <c r="G2014" s="833" t="s">
        <v>751</v>
      </c>
      <c r="H2014" s="7" t="s">
        <v>753</v>
      </c>
      <c r="I2014" s="253"/>
      <c r="J2014" s="253"/>
      <c r="K2014" s="584">
        <v>11015906</v>
      </c>
      <c r="L2014" s="193" t="s">
        <v>251</v>
      </c>
      <c r="M2014" s="193" t="s">
        <v>354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26"/>
      <c r="AB2014" s="576"/>
      <c r="AC2014" s="576"/>
    </row>
    <row r="2015" spans="1:30" ht="15.75" customHeight="1">
      <c r="A2015" s="827" t="str">
        <f>IF(B2015&lt;&gt;"",IF(AND(B2015&gt;=_TM1,B2015&lt;=_TM2,OR(TH!L2015="1111",TH!M2015="1111")),TH!D2015,""),"")</f>
        <v/>
      </c>
      <c r="B2015" s="36">
        <f t="shared" si="297"/>
        <v>6</v>
      </c>
      <c r="C2015" s="190">
        <f t="shared" si="298"/>
        <v>42534</v>
      </c>
      <c r="D2015" s="183"/>
      <c r="E2015" s="190">
        <v>42534</v>
      </c>
      <c r="F2015" s="191" t="s">
        <v>621</v>
      </c>
      <c r="G2015" s="833" t="s">
        <v>752</v>
      </c>
      <c r="H2015" s="825" t="s">
        <v>626</v>
      </c>
      <c r="I2015" s="253"/>
      <c r="J2015" s="253"/>
      <c r="K2015" s="584">
        <v>700000</v>
      </c>
      <c r="L2015" s="193" t="s">
        <v>47</v>
      </c>
      <c r="M2015" s="193" t="s">
        <v>623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26"/>
      <c r="AB2015" s="576"/>
    </row>
    <row r="2016" spans="1:30" ht="15.75" customHeight="1">
      <c r="A2016" s="827" t="str">
        <f>IF(B2016&lt;&gt;"",IF(AND(B2016&gt;=_TM1,B2016&lt;=_TM2,OR(TH!L2016="1111",TH!M2016="1111")),TH!D2016,""),"")</f>
        <v/>
      </c>
      <c r="B2016" s="36">
        <f t="shared" si="297"/>
        <v>6</v>
      </c>
      <c r="C2016" s="190">
        <f t="shared" si="298"/>
        <v>42534</v>
      </c>
      <c r="D2016" s="183"/>
      <c r="E2016" s="190">
        <v>42534</v>
      </c>
      <c r="F2016" s="783" t="s">
        <v>622</v>
      </c>
      <c r="G2016" s="833" t="s">
        <v>752</v>
      </c>
      <c r="H2016" s="825" t="s">
        <v>626</v>
      </c>
      <c r="I2016" s="253"/>
      <c r="J2016" s="253"/>
      <c r="K2016" s="584">
        <v>70000</v>
      </c>
      <c r="L2016" s="193" t="s">
        <v>47</v>
      </c>
      <c r="M2016" s="193" t="s">
        <v>354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26"/>
      <c r="AB2016" s="576"/>
      <c r="AC2016" s="576"/>
      <c r="AD2016" s="576"/>
    </row>
    <row r="2017" spans="1:30" ht="15.75" customHeight="1">
      <c r="A2017" s="827" t="str">
        <f>IF(B2017&lt;&gt;"",IF(AND(B2017&gt;=_TM1,B2017&lt;=_TM2,OR(TH!L2017="1111",TH!M2017="1111")),TH!D2017,""),"")</f>
        <v/>
      </c>
      <c r="B2017" s="36">
        <f t="shared" si="297"/>
        <v>6</v>
      </c>
      <c r="C2017" s="190">
        <f t="shared" si="298"/>
        <v>42535</v>
      </c>
      <c r="D2017" s="190" t="s">
        <v>1617</v>
      </c>
      <c r="E2017" s="190">
        <v>42535</v>
      </c>
      <c r="F2017" s="783" t="s">
        <v>1178</v>
      </c>
      <c r="G2017" s="833" t="s">
        <v>775</v>
      </c>
      <c r="H2017" s="192" t="s">
        <v>662</v>
      </c>
      <c r="I2017" s="253">
        <v>1250</v>
      </c>
      <c r="J2017" s="253">
        <v>35000</v>
      </c>
      <c r="K2017" s="584">
        <f>ROUND(I2017*J2017,0)</f>
        <v>43750000</v>
      </c>
      <c r="L2017" s="193" t="s">
        <v>251</v>
      </c>
      <c r="M2017" s="193" t="s">
        <v>164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26"/>
      <c r="AB2017" s="576" t="str">
        <f>IF(VLOOKUP(F2017,NXT!$C$12:$C$786,1,0)=F2017,"","x")</f>
        <v/>
      </c>
      <c r="AD2017" s="576"/>
    </row>
    <row r="2018" spans="1:30" ht="15.75" customHeight="1">
      <c r="A2018" s="827" t="str">
        <f>IF(B2018&lt;&gt;"",IF(AND(B2018&gt;=_TM1,B2018&lt;=_TM2,OR(TH!L2018="1111",TH!M2018="1111")),TH!D2018,""),"")</f>
        <v/>
      </c>
      <c r="B2018" s="36">
        <f t="shared" si="297"/>
        <v>6</v>
      </c>
      <c r="C2018" s="190">
        <f t="shared" si="298"/>
        <v>42535</v>
      </c>
      <c r="D2018" s="190" t="s">
        <v>1617</v>
      </c>
      <c r="E2018" s="190">
        <v>42535</v>
      </c>
      <c r="F2018" s="191" t="s">
        <v>1179</v>
      </c>
      <c r="G2018" s="833" t="s">
        <v>775</v>
      </c>
      <c r="H2018" s="192" t="s">
        <v>662</v>
      </c>
      <c r="I2018" s="253">
        <v>1300</v>
      </c>
      <c r="J2018" s="253">
        <v>32500</v>
      </c>
      <c r="K2018" s="584">
        <f>ROUND(I2018*J2018,0)</f>
        <v>42250000</v>
      </c>
      <c r="L2018" s="193" t="s">
        <v>251</v>
      </c>
      <c r="M2018" s="193" t="s">
        <v>164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26"/>
      <c r="AB2018" s="576" t="str">
        <f>IF(VLOOKUP(F2018,NXT!$C$12:$C$786,1,0)=F2018,"","x")</f>
        <v/>
      </c>
      <c r="AD2018" s="576"/>
    </row>
    <row r="2019" spans="1:30" ht="15.75" customHeight="1">
      <c r="A2019" s="827" t="str">
        <f>IF(B2019&lt;&gt;"",IF(AND(B2019&gt;=_TM1,B2019&lt;=_TM2,OR(TH!L2019="1111",TH!M2019="1111")),TH!D2019,""),"")</f>
        <v/>
      </c>
      <c r="B2019" s="36">
        <f t="shared" si="297"/>
        <v>6</v>
      </c>
      <c r="C2019" s="190">
        <f t="shared" si="298"/>
        <v>42535</v>
      </c>
      <c r="D2019" s="190" t="s">
        <v>1617</v>
      </c>
      <c r="E2019" s="190">
        <v>42535</v>
      </c>
      <c r="F2019" s="188" t="s">
        <v>451</v>
      </c>
      <c r="G2019" s="833" t="s">
        <v>775</v>
      </c>
      <c r="H2019" s="192" t="s">
        <v>662</v>
      </c>
      <c r="I2019" s="253">
        <v>3900</v>
      </c>
      <c r="J2019" s="253">
        <v>18500</v>
      </c>
      <c r="K2019" s="584">
        <f>ROUND(I2019*J2019,0)</f>
        <v>72150000</v>
      </c>
      <c r="L2019" s="193" t="s">
        <v>251</v>
      </c>
      <c r="M2019" s="193" t="s">
        <v>164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26"/>
      <c r="AB2019" s="576" t="str">
        <f>IF(VLOOKUP(F2019,NXT!$C$12:$C$786,1,0)=F2019,"","x")</f>
        <v/>
      </c>
      <c r="AD2019" s="576"/>
    </row>
    <row r="2020" spans="1:30" ht="15.75" customHeight="1">
      <c r="A2020" s="827" t="str">
        <f>IF(B2020&lt;&gt;"",IF(AND(B2020&gt;=_TM1,B2020&lt;=_TM2,OR(TH!L2020="1111",TH!M2020="1111")),TH!D2020,""),"")</f>
        <v/>
      </c>
      <c r="B2020" s="36">
        <f t="shared" si="297"/>
        <v>6</v>
      </c>
      <c r="C2020" s="190">
        <f t="shared" si="298"/>
        <v>42535</v>
      </c>
      <c r="D2020" s="190" t="s">
        <v>1617</v>
      </c>
      <c r="E2020" s="190">
        <v>42535</v>
      </c>
      <c r="F2020" s="188" t="s">
        <v>450</v>
      </c>
      <c r="G2020" s="833" t="s">
        <v>775</v>
      </c>
      <c r="H2020" s="192" t="s">
        <v>662</v>
      </c>
      <c r="I2020" s="253">
        <v>3500</v>
      </c>
      <c r="J2020" s="253">
        <v>18500</v>
      </c>
      <c r="K2020" s="584">
        <f>ROUND(I2020*J2020,0)</f>
        <v>64750000</v>
      </c>
      <c r="L2020" s="193" t="s">
        <v>251</v>
      </c>
      <c r="M2020" s="193" t="s">
        <v>164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26"/>
      <c r="AB2020" s="576" t="str">
        <f>IF(VLOOKUP(F2020,NXT!$C$12:$C$786,1,0)=F2020,"","x")</f>
        <v/>
      </c>
      <c r="AC2020" s="576"/>
      <c r="AD2020" s="576"/>
    </row>
    <row r="2021" spans="1:30" ht="15.75" customHeight="1">
      <c r="A2021" s="827" t="str">
        <f>IF(B2021&lt;&gt;"",IF(AND(B2021&gt;=_TM1,B2021&lt;=_TM2,OR(TH!L2021="1111",TH!M2021="1111")),TH!D2021,""),"")</f>
        <v/>
      </c>
      <c r="B2021" s="36">
        <f t="shared" si="297"/>
        <v>6</v>
      </c>
      <c r="C2021" s="190">
        <f t="shared" si="298"/>
        <v>42535</v>
      </c>
      <c r="D2021" s="190" t="s">
        <v>1617</v>
      </c>
      <c r="E2021" s="190">
        <v>42535</v>
      </c>
      <c r="F2021" s="191" t="s">
        <v>461</v>
      </c>
      <c r="G2021" s="833" t="s">
        <v>775</v>
      </c>
      <c r="H2021" s="192" t="s">
        <v>662</v>
      </c>
      <c r="I2021" s="253"/>
      <c r="J2021" s="253"/>
      <c r="K2021" s="584">
        <v>22290000</v>
      </c>
      <c r="L2021" s="193" t="s">
        <v>251</v>
      </c>
      <c r="M2021" s="193" t="s">
        <v>354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26"/>
      <c r="AB2021" s="576"/>
      <c r="AC2021" s="576"/>
      <c r="AD2021" s="576"/>
    </row>
    <row r="2022" spans="1:30" ht="15.75" customHeight="1">
      <c r="A2022" s="827" t="str">
        <f>IF(B2022&lt;&gt;"",IF(AND(B2022&gt;=_TM1,B2022&lt;=_TM2,OR(TH!L2022="1111",TH!M2022="1111")),TH!D2022,""),"")</f>
        <v/>
      </c>
      <c r="B2022" s="36">
        <f t="shared" si="297"/>
        <v>6</v>
      </c>
      <c r="C2022" s="190">
        <f t="shared" si="298"/>
        <v>42536</v>
      </c>
      <c r="D2022" s="190"/>
      <c r="E2022" s="190">
        <v>42536</v>
      </c>
      <c r="F2022" s="191" t="s">
        <v>621</v>
      </c>
      <c r="G2022" s="833" t="s">
        <v>776</v>
      </c>
      <c r="H2022" s="825" t="s">
        <v>777</v>
      </c>
      <c r="I2022" s="253"/>
      <c r="J2022" s="253"/>
      <c r="K2022" s="584">
        <v>820000</v>
      </c>
      <c r="L2022" s="193" t="s">
        <v>47</v>
      </c>
      <c r="M2022" s="193" t="s">
        <v>623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26"/>
      <c r="AB2022" s="576"/>
      <c r="AC2022" s="576"/>
      <c r="AD2022" s="576"/>
    </row>
    <row r="2023" spans="1:30" ht="15.75" customHeight="1">
      <c r="A2023" s="827" t="str">
        <f>IF(B2023&lt;&gt;"",IF(AND(B2023&gt;=_TM1,B2023&lt;=_TM2,OR(TH!L2023="1111",TH!M2023="1111")),TH!D2023,""),"")</f>
        <v/>
      </c>
      <c r="B2023" s="36">
        <f t="shared" si="297"/>
        <v>6</v>
      </c>
      <c r="C2023" s="190">
        <f t="shared" si="298"/>
        <v>42536</v>
      </c>
      <c r="D2023" s="183"/>
      <c r="E2023" s="190">
        <v>42536</v>
      </c>
      <c r="F2023" s="191" t="s">
        <v>622</v>
      </c>
      <c r="G2023" s="833" t="s">
        <v>776</v>
      </c>
      <c r="H2023" s="825" t="s">
        <v>777</v>
      </c>
      <c r="I2023" s="253"/>
      <c r="J2023" s="253"/>
      <c r="K2023" s="584">
        <v>82000</v>
      </c>
      <c r="L2023" s="193" t="s">
        <v>47</v>
      </c>
      <c r="M2023" s="193" t="s">
        <v>354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26"/>
      <c r="AB2023" s="576"/>
    </row>
    <row r="2024" spans="1:30" ht="15.75" customHeight="1">
      <c r="A2024" s="827" t="str">
        <f>IF(B2024&lt;&gt;"",IF(AND(B2024&gt;=_TM1,B2024&lt;=_TM2,OR(TH!L2024="1111",TH!M2024="1111")),TH!D2024,""),"")</f>
        <v/>
      </c>
      <c r="B2024" s="36">
        <f t="shared" si="297"/>
        <v>6</v>
      </c>
      <c r="C2024" s="190">
        <f t="shared" si="298"/>
        <v>42536</v>
      </c>
      <c r="D2024" s="190" t="s">
        <v>1618</v>
      </c>
      <c r="E2024" s="190">
        <v>42536</v>
      </c>
      <c r="F2024" s="188" t="s">
        <v>659</v>
      </c>
      <c r="G2024" s="833" t="s">
        <v>778</v>
      </c>
      <c r="H2024" s="7" t="s">
        <v>658</v>
      </c>
      <c r="I2024" s="253">
        <v>1000</v>
      </c>
      <c r="J2024" s="253">
        <v>9800</v>
      </c>
      <c r="K2024" s="584">
        <f>ROUND(I2024*J2024,0)</f>
        <v>9800000</v>
      </c>
      <c r="L2024" s="193" t="s">
        <v>251</v>
      </c>
      <c r="M2024" s="193" t="s">
        <v>164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26"/>
      <c r="AB2024" s="576" t="str">
        <f>IF(VLOOKUP(F2024,NXT!$C$12:$C$786,1,0)=F2024,"","x")</f>
        <v/>
      </c>
    </row>
    <row r="2025" spans="1:30" ht="15.75" customHeight="1">
      <c r="A2025" s="827" t="str">
        <f>IF(B2025&lt;&gt;"",IF(AND(B2025&gt;=_TM1,B2025&lt;=_TM2,OR(TH!L2025="1111",TH!M2025="1111")),TH!D2025,""),"")</f>
        <v/>
      </c>
      <c r="B2025" s="36">
        <f t="shared" si="297"/>
        <v>6</v>
      </c>
      <c r="C2025" s="190">
        <f t="shared" si="298"/>
        <v>42536</v>
      </c>
      <c r="D2025" s="190" t="s">
        <v>1618</v>
      </c>
      <c r="E2025" s="190">
        <v>42536</v>
      </c>
      <c r="F2025" s="191" t="s">
        <v>461</v>
      </c>
      <c r="G2025" s="833" t="s">
        <v>778</v>
      </c>
      <c r="H2025" s="7" t="s">
        <v>658</v>
      </c>
      <c r="I2025" s="253"/>
      <c r="J2025" s="253"/>
      <c r="K2025" s="584">
        <v>980000</v>
      </c>
      <c r="L2025" s="193" t="s">
        <v>251</v>
      </c>
      <c r="M2025" s="193" t="s">
        <v>354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26"/>
      <c r="AB2025" s="576"/>
    </row>
    <row r="2026" spans="1:30" ht="15.75" customHeight="1">
      <c r="A2026" s="827" t="str">
        <f>IF(B2026&lt;&gt;"",IF(AND(B2026&gt;=_TM1,B2026&lt;=_TM2,OR(TH!L2026="1111",TH!M2026="1111")),TH!D2026,""),"")</f>
        <v/>
      </c>
      <c r="B2026" s="36">
        <f t="shared" si="297"/>
        <v>6</v>
      </c>
      <c r="C2026" s="190">
        <f t="shared" si="298"/>
        <v>42536</v>
      </c>
      <c r="D2026" s="190" t="s">
        <v>1619</v>
      </c>
      <c r="E2026" s="190">
        <v>42536</v>
      </c>
      <c r="F2026" s="188" t="s">
        <v>780</v>
      </c>
      <c r="G2026" s="833" t="s">
        <v>779</v>
      </c>
      <c r="H2026" s="192" t="s">
        <v>636</v>
      </c>
      <c r="I2026" s="253">
        <v>75</v>
      </c>
      <c r="J2026" s="253">
        <v>21450</v>
      </c>
      <c r="K2026" s="584">
        <f>ROUND(I2026*J2026,0)</f>
        <v>1608750</v>
      </c>
      <c r="L2026" s="193" t="s">
        <v>251</v>
      </c>
      <c r="M2026" s="193" t="s">
        <v>164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26"/>
      <c r="AB2026" s="576" t="str">
        <f>IF(VLOOKUP(F2026,NXT!$C$12:$C$786,1,0)=F2026,"","x")</f>
        <v/>
      </c>
    </row>
    <row r="2027" spans="1:30" ht="15.75" customHeight="1">
      <c r="A2027" s="827" t="str">
        <f>IF(B2027&lt;&gt;"",IF(AND(B2027&gt;=_TM1,B2027&lt;=_TM2,OR(TH!L2027="1111",TH!M2027="1111")),TH!D2027,""),"")</f>
        <v/>
      </c>
      <c r="B2027" s="36">
        <f t="shared" si="297"/>
        <v>6</v>
      </c>
      <c r="C2027" s="190">
        <f t="shared" si="298"/>
        <v>42536</v>
      </c>
      <c r="D2027" s="190" t="s">
        <v>1619</v>
      </c>
      <c r="E2027" s="190">
        <v>42536</v>
      </c>
      <c r="F2027" s="188" t="s">
        <v>781</v>
      </c>
      <c r="G2027" s="833" t="s">
        <v>779</v>
      </c>
      <c r="H2027" s="192" t="s">
        <v>636</v>
      </c>
      <c r="I2027" s="253">
        <v>300</v>
      </c>
      <c r="J2027" s="253">
        <v>5430</v>
      </c>
      <c r="K2027" s="584">
        <f>ROUND(I2027*J2027,0)</f>
        <v>1629000</v>
      </c>
      <c r="L2027" s="193" t="s">
        <v>251</v>
      </c>
      <c r="M2027" s="193" t="s">
        <v>164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26"/>
      <c r="AB2027" s="576" t="str">
        <f>IF(VLOOKUP(F2027,NXT!$C$12:$C$786,1,0)=F2027,"","x")</f>
        <v/>
      </c>
    </row>
    <row r="2028" spans="1:30" ht="15.75" customHeight="1">
      <c r="A2028" s="827" t="str">
        <f>IF(B2028&lt;&gt;"",IF(AND(B2028&gt;=_TM1,B2028&lt;=_TM2,OR(TH!L2028="1111",TH!M2028="1111")),TH!D2028,""),"")</f>
        <v/>
      </c>
      <c r="B2028" s="36">
        <f t="shared" si="297"/>
        <v>6</v>
      </c>
      <c r="C2028" s="190">
        <f t="shared" si="298"/>
        <v>42536</v>
      </c>
      <c r="D2028" s="190" t="s">
        <v>1619</v>
      </c>
      <c r="E2028" s="190">
        <v>42536</v>
      </c>
      <c r="F2028" s="191" t="s">
        <v>461</v>
      </c>
      <c r="G2028" s="833" t="s">
        <v>779</v>
      </c>
      <c r="H2028" s="192" t="s">
        <v>636</v>
      </c>
      <c r="I2028" s="253"/>
      <c r="J2028" s="253"/>
      <c r="K2028" s="584">
        <v>323775</v>
      </c>
      <c r="L2028" s="193" t="s">
        <v>251</v>
      </c>
      <c r="M2028" s="193" t="s">
        <v>354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26"/>
      <c r="AB2028" s="576"/>
    </row>
    <row r="2029" spans="1:30" ht="15.75" customHeight="1">
      <c r="A2029" s="827" t="str">
        <f>IF(B2029&lt;&gt;"",IF(AND(B2029&gt;=_TM1,B2029&lt;=_TM2,OR(TH!L2029="1111",TH!M2029="1111")),TH!D2029,""),"")</f>
        <v/>
      </c>
      <c r="B2029" s="36">
        <f t="shared" si="297"/>
        <v>6</v>
      </c>
      <c r="C2029" s="190">
        <f t="shared" si="298"/>
        <v>42539</v>
      </c>
      <c r="D2029" s="190" t="s">
        <v>1620</v>
      </c>
      <c r="E2029" s="190">
        <v>42539</v>
      </c>
      <c r="F2029" s="188" t="s">
        <v>451</v>
      </c>
      <c r="G2029" s="833" t="s">
        <v>782</v>
      </c>
      <c r="H2029" s="7" t="s">
        <v>783</v>
      </c>
      <c r="I2029" s="253">
        <v>1000</v>
      </c>
      <c r="J2029" s="253">
        <v>10500</v>
      </c>
      <c r="K2029" s="584">
        <f>ROUND(I2029*J2029,0)</f>
        <v>10500000</v>
      </c>
      <c r="L2029" s="193" t="s">
        <v>251</v>
      </c>
      <c r="M2029" s="193" t="s">
        <v>164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26"/>
      <c r="AB2029" s="576" t="str">
        <f>IF(VLOOKUP(F2029,NXT!$C$12:$C$786,1,0)=F2029,"","x")</f>
        <v/>
      </c>
    </row>
    <row r="2030" spans="1:30" ht="15.75" customHeight="1">
      <c r="A2030" s="827" t="str">
        <f>IF(B2030&lt;&gt;"",IF(AND(B2030&gt;=_TM1,B2030&lt;=_TM2,OR(TH!L2030="1111",TH!M2030="1111")),TH!D2030,""),"")</f>
        <v/>
      </c>
      <c r="B2030" s="36">
        <f t="shared" si="297"/>
        <v>6</v>
      </c>
      <c r="C2030" s="190">
        <f t="shared" si="298"/>
        <v>42539</v>
      </c>
      <c r="D2030" s="190" t="s">
        <v>1620</v>
      </c>
      <c r="E2030" s="190">
        <v>42539</v>
      </c>
      <c r="F2030" s="188" t="s">
        <v>632</v>
      </c>
      <c r="G2030" s="833" t="s">
        <v>782</v>
      </c>
      <c r="H2030" s="7" t="s">
        <v>783</v>
      </c>
      <c r="I2030" s="253"/>
      <c r="J2030" s="253"/>
      <c r="K2030" s="584">
        <v>1050000</v>
      </c>
      <c r="L2030" s="193" t="s">
        <v>251</v>
      </c>
      <c r="M2030" s="193" t="s">
        <v>354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26"/>
      <c r="AB2030" s="576"/>
    </row>
    <row r="2031" spans="1:30" ht="15.75" customHeight="1">
      <c r="A2031" s="827" t="str">
        <f>IF(B2031&lt;&gt;"",IF(AND(B2031&gt;=_TM1,B2031&lt;=_TM2,OR(TH!L2031="1111",TH!M2031="1111")),TH!D2031,""),"")</f>
        <v/>
      </c>
      <c r="B2031" s="36">
        <f t="shared" si="297"/>
        <v>6</v>
      </c>
      <c r="C2031" s="190">
        <f t="shared" si="298"/>
        <v>42544</v>
      </c>
      <c r="D2031" s="190" t="s">
        <v>1621</v>
      </c>
      <c r="E2031" s="190">
        <v>42544</v>
      </c>
      <c r="F2031" s="191" t="s">
        <v>627</v>
      </c>
      <c r="G2031" s="833" t="s">
        <v>784</v>
      </c>
      <c r="H2031" s="7" t="s">
        <v>785</v>
      </c>
      <c r="I2031" s="253">
        <v>1090</v>
      </c>
      <c r="J2031" s="253">
        <v>6519</v>
      </c>
      <c r="K2031" s="584">
        <f>ROUND(I2031*J2031,0)</f>
        <v>7105710</v>
      </c>
      <c r="L2031" s="193" t="s">
        <v>251</v>
      </c>
      <c r="M2031" s="193" t="s">
        <v>164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26"/>
      <c r="AB2031" s="576" t="str">
        <f>IF(VLOOKUP(F2031,NXT!$C$12:$C$786,1,0)=F2031,"","x")</f>
        <v/>
      </c>
    </row>
    <row r="2032" spans="1:30" ht="15.75" customHeight="1">
      <c r="A2032" s="827" t="str">
        <f>IF(B2032&lt;&gt;"",IF(AND(B2032&gt;=_TM1,B2032&lt;=_TM2,OR(TH!L2032="1111",TH!M2032="1111")),TH!D2032,""),"")</f>
        <v/>
      </c>
      <c r="B2032" s="36">
        <f t="shared" si="297"/>
        <v>6</v>
      </c>
      <c r="C2032" s="190">
        <f t="shared" si="298"/>
        <v>42544</v>
      </c>
      <c r="D2032" s="190" t="s">
        <v>1621</v>
      </c>
      <c r="E2032" s="190">
        <v>42544</v>
      </c>
      <c r="F2032" s="191" t="s">
        <v>656</v>
      </c>
      <c r="G2032" s="833" t="s">
        <v>784</v>
      </c>
      <c r="H2032" s="7" t="s">
        <v>785</v>
      </c>
      <c r="I2032" s="253">
        <v>308</v>
      </c>
      <c r="J2032" s="253">
        <v>4464</v>
      </c>
      <c r="K2032" s="584">
        <f>ROUND(I2032*J2032,0)</f>
        <v>1374912</v>
      </c>
      <c r="L2032" s="193" t="s">
        <v>251</v>
      </c>
      <c r="M2032" s="193" t="s">
        <v>164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26"/>
      <c r="AB2032" s="576" t="str">
        <f>IF(VLOOKUP(F2032,NXT!$C$12:$C$786,1,0)=F2032,"","x")</f>
        <v/>
      </c>
      <c r="AC2032" s="576"/>
      <c r="AD2032" s="576"/>
    </row>
    <row r="2033" spans="1:30" ht="15.75" customHeight="1">
      <c r="A2033" s="827" t="str">
        <f>IF(B2033&lt;&gt;"",IF(AND(B2033&gt;=_TM1,B2033&lt;=_TM2,OR(TH!L2033="1111",TH!M2033="1111")),TH!D2033,""),"")</f>
        <v/>
      </c>
      <c r="B2033" s="36">
        <f t="shared" si="297"/>
        <v>6</v>
      </c>
      <c r="C2033" s="190">
        <f t="shared" si="298"/>
        <v>42544</v>
      </c>
      <c r="D2033" s="190" t="s">
        <v>1621</v>
      </c>
      <c r="E2033" s="190">
        <v>42544</v>
      </c>
      <c r="F2033" s="191" t="s">
        <v>921</v>
      </c>
      <c r="G2033" s="833" t="s">
        <v>784</v>
      </c>
      <c r="H2033" s="7" t="s">
        <v>785</v>
      </c>
      <c r="I2033" s="253">
        <v>2000</v>
      </c>
      <c r="J2033" s="253">
        <v>6749</v>
      </c>
      <c r="K2033" s="584">
        <f>ROUND(I2033*J2033,0)</f>
        <v>13498000</v>
      </c>
      <c r="L2033" s="193" t="s">
        <v>251</v>
      </c>
      <c r="M2033" s="193" t="s">
        <v>164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26"/>
      <c r="AB2033" s="576" t="str">
        <f>IF(VLOOKUP(F2033,NXT!$C$12:$C$786,1,0)=F2033,"","x")</f>
        <v/>
      </c>
      <c r="AD2033" s="576"/>
    </row>
    <row r="2034" spans="1:30" ht="15.75" customHeight="1">
      <c r="A2034" s="827" t="str">
        <f>IF(B2034&lt;&gt;"",IF(AND(B2034&gt;=_TM1,B2034&lt;=_TM2,OR(TH!L2034="1111",TH!M2034="1111")),TH!D2034,""),"")</f>
        <v/>
      </c>
      <c r="B2034" s="36">
        <f t="shared" si="297"/>
        <v>6</v>
      </c>
      <c r="C2034" s="190">
        <f t="shared" si="298"/>
        <v>42544</v>
      </c>
      <c r="D2034" s="190" t="s">
        <v>1621</v>
      </c>
      <c r="E2034" s="190">
        <v>42544</v>
      </c>
      <c r="F2034" s="188" t="s">
        <v>637</v>
      </c>
      <c r="G2034" s="833" t="s">
        <v>784</v>
      </c>
      <c r="H2034" s="7" t="s">
        <v>785</v>
      </c>
      <c r="I2034" s="253">
        <v>2000</v>
      </c>
      <c r="J2034" s="253">
        <v>5912</v>
      </c>
      <c r="K2034" s="584">
        <f>ROUND(I2034*J2034,0)</f>
        <v>11824000</v>
      </c>
      <c r="L2034" s="193" t="s">
        <v>251</v>
      </c>
      <c r="M2034" s="193" t="s">
        <v>164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26"/>
      <c r="AB2034" s="576" t="str">
        <f>IF(VLOOKUP(F2034,NXT!$C$12:$C$786,1,0)=F2034,"","x")</f>
        <v/>
      </c>
      <c r="AD2034" s="576"/>
    </row>
    <row r="2035" spans="1:30" ht="15.75" customHeight="1">
      <c r="A2035" s="827" t="str">
        <f>IF(B2035&lt;&gt;"",IF(AND(B2035&gt;=_TM1,B2035&lt;=_TM2,OR(TH!L2035="1111",TH!M2035="1111")),TH!D2035,""),"")</f>
        <v/>
      </c>
      <c r="B2035" s="36">
        <f t="shared" si="297"/>
        <v>6</v>
      </c>
      <c r="C2035" s="190">
        <f t="shared" si="298"/>
        <v>42544</v>
      </c>
      <c r="D2035" s="190" t="s">
        <v>1621</v>
      </c>
      <c r="E2035" s="190">
        <v>42544</v>
      </c>
      <c r="F2035" s="191" t="s">
        <v>461</v>
      </c>
      <c r="G2035" s="833" t="s">
        <v>784</v>
      </c>
      <c r="H2035" s="7" t="s">
        <v>785</v>
      </c>
      <c r="I2035" s="253"/>
      <c r="J2035" s="253"/>
      <c r="K2035" s="584">
        <v>3380262</v>
      </c>
      <c r="L2035" s="193" t="s">
        <v>251</v>
      </c>
      <c r="M2035" s="193" t="s">
        <v>354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26"/>
      <c r="AB2035" s="576"/>
      <c r="AC2035" s="576"/>
      <c r="AD2035" s="576"/>
    </row>
    <row r="2036" spans="1:30" ht="15.75" customHeight="1">
      <c r="A2036" s="827" t="str">
        <f>IF(B2036&lt;&gt;"",IF(AND(B2036&gt;=_TM1,B2036&lt;=_TM2,OR(TH!L2036="1111",TH!M2036="1111")),TH!D2036,""),"")</f>
        <v/>
      </c>
      <c r="B2036" s="36">
        <f t="shared" si="297"/>
        <v>6</v>
      </c>
      <c r="C2036" s="190">
        <f t="shared" si="298"/>
        <v>42548</v>
      </c>
      <c r="D2036" s="190" t="s">
        <v>1622</v>
      </c>
      <c r="E2036" s="190">
        <v>42548</v>
      </c>
      <c r="F2036" s="191" t="s">
        <v>1302</v>
      </c>
      <c r="G2036" s="833" t="s">
        <v>786</v>
      </c>
      <c r="H2036" s="192" t="s">
        <v>636</v>
      </c>
      <c r="I2036" s="253">
        <v>57</v>
      </c>
      <c r="J2036" s="253">
        <v>30737</v>
      </c>
      <c r="K2036" s="584">
        <f>ROUND(I2036*J2036,0)</f>
        <v>1752009</v>
      </c>
      <c r="L2036" s="193" t="s">
        <v>251</v>
      </c>
      <c r="M2036" s="193" t="s">
        <v>164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26"/>
      <c r="AB2036" s="576" t="str">
        <f>IF(VLOOKUP(F2036,NXT!$C$12:$C$786,1,0)=F2036,"","x")</f>
        <v/>
      </c>
      <c r="AD2036" s="576"/>
    </row>
    <row r="2037" spans="1:30" ht="15.75" customHeight="1">
      <c r="A2037" s="827" t="str">
        <f>IF(B2037&lt;&gt;"",IF(AND(B2037&gt;=_TM1,B2037&lt;=_TM2,OR(TH!L2037="1111",TH!M2037="1111")),TH!D2037,""),"")</f>
        <v/>
      </c>
      <c r="B2037" s="36">
        <f t="shared" si="297"/>
        <v>6</v>
      </c>
      <c r="C2037" s="190">
        <f t="shared" si="298"/>
        <v>42548</v>
      </c>
      <c r="D2037" s="190" t="s">
        <v>1622</v>
      </c>
      <c r="E2037" s="190">
        <v>42548</v>
      </c>
      <c r="F2037" s="191" t="s">
        <v>461</v>
      </c>
      <c r="G2037" s="833" t="s">
        <v>786</v>
      </c>
      <c r="H2037" s="192" t="s">
        <v>636</v>
      </c>
      <c r="I2037" s="253"/>
      <c r="J2037" s="253"/>
      <c r="K2037" s="584">
        <v>175200</v>
      </c>
      <c r="L2037" s="193" t="s">
        <v>251</v>
      </c>
      <c r="M2037" s="193" t="s">
        <v>354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26"/>
      <c r="AB2037" s="576"/>
      <c r="AD2037" s="576"/>
    </row>
    <row r="2038" spans="1:30" ht="15.75" customHeight="1">
      <c r="A2038" s="827" t="str">
        <f>IF(B2038&lt;&gt;"",IF(AND(B2038&gt;=_TM1,B2038&lt;=_TM2,OR(TH!L2038="1111",TH!M2038="1111")),TH!D2038,""),"")</f>
        <v/>
      </c>
      <c r="B2038" s="36">
        <f t="shared" si="297"/>
        <v>6</v>
      </c>
      <c r="C2038" s="190">
        <f t="shared" si="298"/>
        <v>42548</v>
      </c>
      <c r="D2038" s="190" t="s">
        <v>1623</v>
      </c>
      <c r="E2038" s="190">
        <v>42548</v>
      </c>
      <c r="F2038" s="188" t="s">
        <v>659</v>
      </c>
      <c r="G2038" s="833" t="s">
        <v>788</v>
      </c>
      <c r="H2038" s="7" t="s">
        <v>658</v>
      </c>
      <c r="I2038" s="253">
        <v>980</v>
      </c>
      <c r="J2038" s="253">
        <v>9800</v>
      </c>
      <c r="K2038" s="584">
        <f>ROUND(I2038*J2038,0)</f>
        <v>9604000</v>
      </c>
      <c r="L2038" s="193" t="s">
        <v>251</v>
      </c>
      <c r="M2038" s="193" t="s">
        <v>164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26"/>
      <c r="AB2038" s="576" t="str">
        <f>IF(VLOOKUP(F2038,NXT!$C$12:$C$786,1,0)=F2038,"","x")</f>
        <v/>
      </c>
      <c r="AC2038" s="576"/>
    </row>
    <row r="2039" spans="1:30" ht="15.75" customHeight="1">
      <c r="A2039" s="827" t="str">
        <f>IF(B2039&lt;&gt;"",IF(AND(B2039&gt;=_TM1,B2039&lt;=_TM2,OR(TH!L2039="1111",TH!M2039="1111")),TH!D2039,""),"")</f>
        <v/>
      </c>
      <c r="B2039" s="36">
        <f t="shared" si="297"/>
        <v>6</v>
      </c>
      <c r="C2039" s="190">
        <f t="shared" si="298"/>
        <v>42548</v>
      </c>
      <c r="D2039" s="190" t="s">
        <v>1623</v>
      </c>
      <c r="E2039" s="190">
        <v>42548</v>
      </c>
      <c r="F2039" s="191" t="s">
        <v>461</v>
      </c>
      <c r="G2039" s="833" t="s">
        <v>788</v>
      </c>
      <c r="H2039" s="7" t="s">
        <v>658</v>
      </c>
      <c r="I2039" s="253"/>
      <c r="J2039" s="253"/>
      <c r="K2039" s="584">
        <v>960400</v>
      </c>
      <c r="L2039" s="193" t="s">
        <v>251</v>
      </c>
      <c r="M2039" s="193" t="s">
        <v>354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26"/>
      <c r="AB2039" s="576"/>
    </row>
    <row r="2040" spans="1:30" ht="15.75" customHeight="1">
      <c r="A2040" s="827" t="str">
        <f>IF(B2040&lt;&gt;"",IF(AND(B2040&gt;=_TM1,B2040&lt;=_TM2,OR(TH!L2040="1111",TH!M2040="1111")),TH!D2040,""),"")</f>
        <v/>
      </c>
      <c r="B2040" s="36">
        <f t="shared" si="297"/>
        <v>6</v>
      </c>
      <c r="C2040" s="190">
        <f t="shared" si="298"/>
        <v>42548</v>
      </c>
      <c r="D2040" s="190" t="s">
        <v>1624</v>
      </c>
      <c r="E2040" s="190">
        <v>42548</v>
      </c>
      <c r="F2040" s="188" t="s">
        <v>790</v>
      </c>
      <c r="G2040" s="833" t="s">
        <v>789</v>
      </c>
      <c r="H2040" s="7" t="s">
        <v>743</v>
      </c>
      <c r="I2040" s="253">
        <v>7</v>
      </c>
      <c r="J2040" s="253">
        <v>127240</v>
      </c>
      <c r="K2040" s="584">
        <f>ROUND(I2040*J2040,0)</f>
        <v>890680</v>
      </c>
      <c r="L2040" s="193" t="s">
        <v>251</v>
      </c>
      <c r="M2040" s="193" t="s">
        <v>164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26"/>
      <c r="AB2040" s="576" t="str">
        <f>IF(VLOOKUP(F2040,NXT!$C$12:$C$786,1,0)=F2040,"","x")</f>
        <v/>
      </c>
      <c r="AC2040" s="576"/>
    </row>
    <row r="2041" spans="1:30" ht="15.75" customHeight="1">
      <c r="A2041" s="827" t="str">
        <f>IF(B2041&lt;&gt;"",IF(AND(B2041&gt;=_TM1,B2041&lt;=_TM2,OR(TH!L2041="1111",TH!M2041="1111")),TH!D2041,""),"")</f>
        <v/>
      </c>
      <c r="B2041" s="36">
        <f t="shared" si="297"/>
        <v>6</v>
      </c>
      <c r="C2041" s="190">
        <f t="shared" si="298"/>
        <v>42548</v>
      </c>
      <c r="D2041" s="190" t="s">
        <v>1624</v>
      </c>
      <c r="E2041" s="190">
        <v>42548</v>
      </c>
      <c r="F2041" s="188" t="s">
        <v>791</v>
      </c>
      <c r="G2041" s="833" t="s">
        <v>789</v>
      </c>
      <c r="H2041" s="7" t="s">
        <v>743</v>
      </c>
      <c r="I2041" s="253">
        <v>15</v>
      </c>
      <c r="J2041" s="253">
        <v>27120</v>
      </c>
      <c r="K2041" s="584">
        <f>ROUND(I2041*J2041,0)</f>
        <v>406800</v>
      </c>
      <c r="L2041" s="193" t="s">
        <v>251</v>
      </c>
      <c r="M2041" s="193" t="s">
        <v>164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26"/>
      <c r="AB2041" s="576" t="str">
        <f>IF(VLOOKUP(F2041,NXT!$C$12:$C$786,1,0)=F2041,"","x")</f>
        <v/>
      </c>
    </row>
    <row r="2042" spans="1:30" ht="15.75" customHeight="1">
      <c r="A2042" s="827" t="str">
        <f>IF(B2042&lt;&gt;"",IF(AND(B2042&gt;=_TM1,B2042&lt;=_TM2,OR(TH!L2042="1111",TH!M2042="1111")),TH!D2042,""),"")</f>
        <v/>
      </c>
      <c r="B2042" s="36">
        <f t="shared" si="297"/>
        <v>6</v>
      </c>
      <c r="C2042" s="190">
        <f t="shared" si="298"/>
        <v>42548</v>
      </c>
      <c r="D2042" s="190" t="s">
        <v>1624</v>
      </c>
      <c r="E2042" s="190">
        <v>42548</v>
      </c>
      <c r="F2042" s="188" t="s">
        <v>792</v>
      </c>
      <c r="G2042" s="833" t="s">
        <v>789</v>
      </c>
      <c r="H2042" s="7" t="s">
        <v>743</v>
      </c>
      <c r="I2042" s="253">
        <v>304</v>
      </c>
      <c r="J2042" s="253">
        <v>30770</v>
      </c>
      <c r="K2042" s="584">
        <f>ROUND(I2042*J2042,0)</f>
        <v>9354080</v>
      </c>
      <c r="L2042" s="193" t="s">
        <v>251</v>
      </c>
      <c r="M2042" s="193" t="s">
        <v>164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26"/>
      <c r="AB2042" s="576" t="str">
        <f>IF(VLOOKUP(F2042,NXT!$C$12:$C$786,1,0)=F2042,"","x")</f>
        <v/>
      </c>
      <c r="AC2042" s="576"/>
    </row>
    <row r="2043" spans="1:30" ht="15.75" customHeight="1">
      <c r="A2043" s="827" t="str">
        <f>IF(B2043&lt;&gt;"",IF(AND(B2043&gt;=_TM1,B2043&lt;=_TM2,OR(TH!L2043="1111",TH!M2043="1111")),TH!D2043,""),"")</f>
        <v/>
      </c>
      <c r="B2043" s="36">
        <f t="shared" si="297"/>
        <v>6</v>
      </c>
      <c r="C2043" s="190">
        <f t="shared" si="298"/>
        <v>42548</v>
      </c>
      <c r="D2043" s="190" t="s">
        <v>1624</v>
      </c>
      <c r="E2043" s="190">
        <v>42548</v>
      </c>
      <c r="F2043" s="188" t="s">
        <v>793</v>
      </c>
      <c r="G2043" s="833" t="s">
        <v>789</v>
      </c>
      <c r="H2043" s="7" t="s">
        <v>743</v>
      </c>
      <c r="I2043" s="253">
        <v>50</v>
      </c>
      <c r="J2043" s="253">
        <v>44870</v>
      </c>
      <c r="K2043" s="584">
        <f>ROUND(I2043*J2043,0)</f>
        <v>2243500</v>
      </c>
      <c r="L2043" s="193" t="s">
        <v>251</v>
      </c>
      <c r="M2043" s="193" t="s">
        <v>164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26"/>
      <c r="AB2043" s="576" t="str">
        <f>IF(VLOOKUP(F2043,NXT!$C$12:$C$786,1,0)=F2043,"","x")</f>
        <v/>
      </c>
    </row>
    <row r="2044" spans="1:30" ht="15.75" customHeight="1">
      <c r="A2044" s="827" t="str">
        <f>IF(B2044&lt;&gt;"",IF(AND(B2044&gt;=_TM1,B2044&lt;=_TM2,OR(TH!L2044="1111",TH!M2044="1111")),TH!D2044,""),"")</f>
        <v/>
      </c>
      <c r="B2044" s="36">
        <f t="shared" si="297"/>
        <v>6</v>
      </c>
      <c r="C2044" s="190">
        <f t="shared" si="298"/>
        <v>42548</v>
      </c>
      <c r="D2044" s="190" t="s">
        <v>1624</v>
      </c>
      <c r="E2044" s="190">
        <v>42548</v>
      </c>
      <c r="F2044" s="191" t="s">
        <v>461</v>
      </c>
      <c r="G2044" s="833" t="s">
        <v>789</v>
      </c>
      <c r="H2044" s="7" t="s">
        <v>743</v>
      </c>
      <c r="I2044" s="253"/>
      <c r="J2044" s="253"/>
      <c r="K2044" s="584">
        <v>1289506</v>
      </c>
      <c r="L2044" s="193" t="s">
        <v>251</v>
      </c>
      <c r="M2044" s="193" t="s">
        <v>354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26"/>
      <c r="AB2044" s="576"/>
    </row>
    <row r="2045" spans="1:30" ht="15.75" customHeight="1">
      <c r="A2045" s="827" t="str">
        <f>IF(B2045&lt;&gt;"",IF(AND(B2045&gt;=_TM1,B2045&lt;=_TM2,OR(TH!L2045="1111",TH!M2045="1111")),TH!D2045,""),"")</f>
        <v/>
      </c>
      <c r="B2045" s="36">
        <f t="shared" si="297"/>
        <v>6</v>
      </c>
      <c r="C2045" s="190">
        <f t="shared" si="298"/>
        <v>42549</v>
      </c>
      <c r="D2045" s="190" t="s">
        <v>1625</v>
      </c>
      <c r="E2045" s="190">
        <v>42549</v>
      </c>
      <c r="F2045" s="188" t="s">
        <v>451</v>
      </c>
      <c r="G2045" s="833" t="s">
        <v>794</v>
      </c>
      <c r="H2045" s="192" t="s">
        <v>630</v>
      </c>
      <c r="I2045" s="253">
        <v>1420</v>
      </c>
      <c r="J2045" s="253">
        <v>11000</v>
      </c>
      <c r="K2045" s="584">
        <f>ROUND(I2045*J2045,0)</f>
        <v>15620000</v>
      </c>
      <c r="L2045" s="193" t="s">
        <v>251</v>
      </c>
      <c r="M2045" s="193" t="s">
        <v>164</v>
      </c>
      <c r="N2045" s="52" t="str">
        <f>IF(AND('331-CT'!$E$7=TH!H2045,OR(L2045="331",M2045="331")),"331",IF(AND(OR(L2045="131",M2045="131"),H2045='131-CT'!$E$7),"131",""))</f>
        <v>131</v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26"/>
      <c r="AB2045" s="576" t="str">
        <f>IF(VLOOKUP(F2045,NXT!$C$12:$C$786,1,0)=F2045,"","x")</f>
        <v/>
      </c>
    </row>
    <row r="2046" spans="1:30" ht="15.75" customHeight="1">
      <c r="A2046" s="827" t="str">
        <f>IF(B2046&lt;&gt;"",IF(AND(B2046&gt;=_TM1,B2046&lt;=_TM2,OR(TH!L2046="1111",TH!M2046="1111")),TH!D2046,""),"")</f>
        <v/>
      </c>
      <c r="B2046" s="36">
        <f t="shared" si="297"/>
        <v>6</v>
      </c>
      <c r="C2046" s="190">
        <f t="shared" si="298"/>
        <v>42549</v>
      </c>
      <c r="D2046" s="190" t="s">
        <v>1625</v>
      </c>
      <c r="E2046" s="190">
        <v>42549</v>
      </c>
      <c r="F2046" s="188" t="s">
        <v>632</v>
      </c>
      <c r="G2046" s="833" t="s">
        <v>794</v>
      </c>
      <c r="H2046" s="192" t="s">
        <v>630</v>
      </c>
      <c r="I2046" s="253"/>
      <c r="J2046" s="253"/>
      <c r="K2046" s="584">
        <v>1562000</v>
      </c>
      <c r="L2046" s="193" t="s">
        <v>251</v>
      </c>
      <c r="M2046" s="193" t="s">
        <v>354</v>
      </c>
      <c r="N2046" s="52" t="str">
        <f>IF(AND('331-CT'!$E$7=TH!H2046,OR(L2046="331",M2046="331")),"331",IF(AND(OR(L2046="131",M2046="131"),H2046='131-CT'!$E$7),"131",""))</f>
        <v>131</v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26"/>
      <c r="AB2046" s="576"/>
    </row>
    <row r="2047" spans="1:30" ht="15.75" customHeight="1">
      <c r="A2047" s="827" t="str">
        <f>IF(B2047&lt;&gt;"",IF(AND(B2047&gt;=_TM1,B2047&lt;=_TM2,OR(TH!L2047="1111",TH!M2047="1111")),TH!D2047,""),"")</f>
        <v/>
      </c>
      <c r="B2047" s="36">
        <f t="shared" si="297"/>
        <v>6</v>
      </c>
      <c r="C2047" s="190">
        <f t="shared" si="298"/>
        <v>42550</v>
      </c>
      <c r="D2047" s="190" t="s">
        <v>1626</v>
      </c>
      <c r="E2047" s="190">
        <v>42550</v>
      </c>
      <c r="F2047" s="188" t="s">
        <v>451</v>
      </c>
      <c r="G2047" s="833" t="s">
        <v>795</v>
      </c>
      <c r="H2047" s="7" t="s">
        <v>796</v>
      </c>
      <c r="I2047" s="253">
        <v>96</v>
      </c>
      <c r="J2047" s="253">
        <v>11000</v>
      </c>
      <c r="K2047" s="584">
        <f>ROUND(I2047*J2047,0)</f>
        <v>1056000</v>
      </c>
      <c r="L2047" s="193" t="s">
        <v>251</v>
      </c>
      <c r="M2047" s="193" t="s">
        <v>164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26"/>
      <c r="AB2047" s="576" t="str">
        <f>IF(VLOOKUP(F2047,NXT!$C$12:$C$786,1,0)=F2047,"","x")</f>
        <v/>
      </c>
    </row>
    <row r="2048" spans="1:30" ht="15.75" customHeight="1">
      <c r="A2048" s="827" t="str">
        <f>IF(B2048&lt;&gt;"",IF(AND(B2048&gt;=_TM1,B2048&lt;=_TM2,OR(TH!L2048="1111",TH!M2048="1111")),TH!D2048,""),"")</f>
        <v/>
      </c>
      <c r="B2048" s="36">
        <f t="shared" si="297"/>
        <v>6</v>
      </c>
      <c r="C2048" s="190">
        <f t="shared" si="298"/>
        <v>42550</v>
      </c>
      <c r="D2048" s="190" t="s">
        <v>1626</v>
      </c>
      <c r="E2048" s="190">
        <v>42550</v>
      </c>
      <c r="F2048" s="188" t="s">
        <v>632</v>
      </c>
      <c r="G2048" s="833" t="s">
        <v>795</v>
      </c>
      <c r="H2048" s="7" t="s">
        <v>796</v>
      </c>
      <c r="I2048" s="253"/>
      <c r="J2048" s="253"/>
      <c r="K2048" s="584">
        <v>105600</v>
      </c>
      <c r="L2048" s="193" t="s">
        <v>251</v>
      </c>
      <c r="M2048" s="193" t="s">
        <v>354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26"/>
      <c r="AB2048" s="576"/>
    </row>
    <row r="2049" spans="1:30" ht="15.75" customHeight="1">
      <c r="A2049" s="827" t="str">
        <f>IF(B2049&lt;&gt;"",IF(AND(B2049&gt;=_TM1,B2049&lt;=_TM2,OR(TH!L2049="1111",TH!M2049="1111")),TH!D2049,""),"")</f>
        <v/>
      </c>
      <c r="B2049" s="36">
        <f t="shared" si="297"/>
        <v>6</v>
      </c>
      <c r="C2049" s="190">
        <f t="shared" si="298"/>
        <v>42550</v>
      </c>
      <c r="D2049" s="183"/>
      <c r="E2049" s="190">
        <v>42550</v>
      </c>
      <c r="F2049" s="191" t="s">
        <v>621</v>
      </c>
      <c r="G2049" s="833" t="s">
        <v>797</v>
      </c>
      <c r="H2049" s="192" t="s">
        <v>679</v>
      </c>
      <c r="I2049" s="253"/>
      <c r="J2049" s="253"/>
      <c r="K2049" s="584">
        <v>1700000</v>
      </c>
      <c r="L2049" s="193" t="s">
        <v>47</v>
      </c>
      <c r="M2049" s="193" t="s">
        <v>623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26"/>
      <c r="AB2049" s="576"/>
    </row>
    <row r="2050" spans="1:30" ht="15.75" customHeight="1">
      <c r="A2050" s="827" t="str">
        <f>IF(B2050&lt;&gt;"",IF(AND(B2050&gt;=_TM1,B2050&lt;=_TM2,OR(TH!L2050="1111",TH!M2050="1111")),TH!D2050,""),"")</f>
        <v/>
      </c>
      <c r="B2050" s="36">
        <f t="shared" si="297"/>
        <v>6</v>
      </c>
      <c r="C2050" s="190">
        <f t="shared" si="298"/>
        <v>42550</v>
      </c>
      <c r="D2050" s="183"/>
      <c r="E2050" s="190">
        <v>42550</v>
      </c>
      <c r="F2050" s="191" t="s">
        <v>622</v>
      </c>
      <c r="G2050" s="833" t="s">
        <v>797</v>
      </c>
      <c r="H2050" s="192" t="s">
        <v>679</v>
      </c>
      <c r="I2050" s="253"/>
      <c r="J2050" s="253"/>
      <c r="K2050" s="584">
        <v>170000</v>
      </c>
      <c r="L2050" s="193" t="s">
        <v>47</v>
      </c>
      <c r="M2050" s="193" t="s">
        <v>354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26"/>
      <c r="AB2050" s="576"/>
    </row>
    <row r="2051" spans="1:30" ht="15.75" customHeight="1">
      <c r="A2051" s="827" t="str">
        <f>IF(B2051&lt;&gt;"",IF(AND(B2051&gt;=_TM1,B2051&lt;=_TM2,OR(TH!L2051="1111",TH!M2051="1111")),TH!D2051,""),"")</f>
        <v/>
      </c>
      <c r="B2051" s="36">
        <f t="shared" si="297"/>
        <v>6</v>
      </c>
      <c r="C2051" s="190">
        <f t="shared" si="298"/>
        <v>42551</v>
      </c>
      <c r="D2051" s="190" t="s">
        <v>1627</v>
      </c>
      <c r="E2051" s="190">
        <v>42551</v>
      </c>
      <c r="F2051" s="188" t="s">
        <v>1305</v>
      </c>
      <c r="G2051" s="833" t="s">
        <v>798</v>
      </c>
      <c r="H2051" s="192" t="s">
        <v>636</v>
      </c>
      <c r="I2051" s="253">
        <v>3</v>
      </c>
      <c r="J2051" s="253">
        <v>6000</v>
      </c>
      <c r="K2051" s="584">
        <f>ROUND(I2051*J2051,0)</f>
        <v>18000</v>
      </c>
      <c r="L2051" s="193" t="s">
        <v>251</v>
      </c>
      <c r="M2051" s="193" t="s">
        <v>164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26"/>
      <c r="AB2051" s="576" t="str">
        <f>IF(VLOOKUP(F2051,NXT!$C$12:$C$786,1,0)=F2051,"","x")</f>
        <v/>
      </c>
    </row>
    <row r="2052" spans="1:30" ht="15.75" customHeight="1">
      <c r="A2052" s="827" t="str">
        <f>IF(B2052&lt;&gt;"",IF(AND(B2052&gt;=_TM1,B2052&lt;=_TM2,OR(TH!L2052="1111",TH!M2052="1111")),TH!D2052,""),"")</f>
        <v/>
      </c>
      <c r="B2052" s="36">
        <f t="shared" si="297"/>
        <v>6</v>
      </c>
      <c r="C2052" s="190">
        <f t="shared" si="298"/>
        <v>42551</v>
      </c>
      <c r="D2052" s="190" t="s">
        <v>1627</v>
      </c>
      <c r="E2052" s="190">
        <v>42551</v>
      </c>
      <c r="F2052" s="188" t="s">
        <v>1306</v>
      </c>
      <c r="G2052" s="833" t="s">
        <v>798</v>
      </c>
      <c r="H2052" s="192" t="s">
        <v>636</v>
      </c>
      <c r="I2052" s="253">
        <v>4</v>
      </c>
      <c r="J2052" s="253">
        <v>27800</v>
      </c>
      <c r="K2052" s="584">
        <f>ROUND(I2052*J2052,0)</f>
        <v>111200</v>
      </c>
      <c r="L2052" s="193" t="s">
        <v>251</v>
      </c>
      <c r="M2052" s="193" t="s">
        <v>164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26"/>
      <c r="AB2052" s="576" t="str">
        <f>IF(VLOOKUP(F2052,NXT!$C$12:$C$786,1,0)=F2052,"","x")</f>
        <v/>
      </c>
      <c r="AD2052" s="576"/>
    </row>
    <row r="2053" spans="1:30" ht="15.75" customHeight="1">
      <c r="A2053" s="827" t="str">
        <f>IF(B2053&lt;&gt;"",IF(AND(B2053&gt;=_TM1,B2053&lt;=_TM2,OR(TH!L2053="1111",TH!M2053="1111")),TH!D2053,""),"")</f>
        <v/>
      </c>
      <c r="B2053" s="36">
        <f t="shared" si="297"/>
        <v>6</v>
      </c>
      <c r="C2053" s="190">
        <f t="shared" si="298"/>
        <v>42551</v>
      </c>
      <c r="D2053" s="190" t="s">
        <v>1627</v>
      </c>
      <c r="E2053" s="190">
        <v>42551</v>
      </c>
      <c r="F2053" s="188" t="s">
        <v>1307</v>
      </c>
      <c r="G2053" s="833" t="s">
        <v>798</v>
      </c>
      <c r="H2053" s="192" t="s">
        <v>636</v>
      </c>
      <c r="I2053" s="253">
        <v>5</v>
      </c>
      <c r="J2053" s="253">
        <v>210000</v>
      </c>
      <c r="K2053" s="584">
        <f>ROUND(I2053*J2053,0)</f>
        <v>1050000</v>
      </c>
      <c r="L2053" s="193" t="s">
        <v>251</v>
      </c>
      <c r="M2053" s="193" t="s">
        <v>164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26"/>
      <c r="AB2053" s="576" t="str">
        <f>IF(VLOOKUP(F2053,NXT!$C$12:$C$786,1,0)=F2053,"","x")</f>
        <v/>
      </c>
      <c r="AD2053" s="576"/>
    </row>
    <row r="2054" spans="1:30" ht="15.75" customHeight="1">
      <c r="A2054" s="827" t="str">
        <f>IF(B2054&lt;&gt;"",IF(AND(B2054&gt;=_TM1,B2054&lt;=_TM2,OR(TH!L2054="1111",TH!M2054="1111")),TH!D2054,""),"")</f>
        <v/>
      </c>
      <c r="B2054" s="36">
        <f t="shared" si="297"/>
        <v>6</v>
      </c>
      <c r="C2054" s="190">
        <f t="shared" si="298"/>
        <v>42551</v>
      </c>
      <c r="D2054" s="190" t="s">
        <v>1627</v>
      </c>
      <c r="E2054" s="190">
        <v>42551</v>
      </c>
      <c r="F2054" s="188" t="s">
        <v>1308</v>
      </c>
      <c r="G2054" s="833" t="s">
        <v>798</v>
      </c>
      <c r="H2054" s="192" t="s">
        <v>636</v>
      </c>
      <c r="I2054" s="253">
        <v>25</v>
      </c>
      <c r="J2054" s="253">
        <v>28900</v>
      </c>
      <c r="K2054" s="584">
        <f>ROUND(I2054*J2054,0)</f>
        <v>722500</v>
      </c>
      <c r="L2054" s="193" t="s">
        <v>251</v>
      </c>
      <c r="M2054" s="193" t="s">
        <v>164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26"/>
      <c r="AB2054" s="576" t="str">
        <f>IF(VLOOKUP(F2054,NXT!$C$12:$C$786,1,0)=F2054,"","x")</f>
        <v/>
      </c>
    </row>
    <row r="2055" spans="1:30" ht="15.75" customHeight="1">
      <c r="A2055" s="827" t="str">
        <f>IF(B2055&lt;&gt;"",IF(AND(B2055&gt;=_TM1,B2055&lt;=_TM2,OR(TH!L2055="1111",TH!M2055="1111")),TH!D2055,""),"")</f>
        <v/>
      </c>
      <c r="B2055" s="36">
        <f t="shared" si="297"/>
        <v>6</v>
      </c>
      <c r="C2055" s="190">
        <f t="shared" si="298"/>
        <v>42551</v>
      </c>
      <c r="D2055" s="190" t="s">
        <v>1627</v>
      </c>
      <c r="E2055" s="190">
        <v>42551</v>
      </c>
      <c r="F2055" s="191" t="s">
        <v>1178</v>
      </c>
      <c r="G2055" s="833" t="s">
        <v>798</v>
      </c>
      <c r="H2055" s="192" t="s">
        <v>636</v>
      </c>
      <c r="I2055" s="253">
        <v>375</v>
      </c>
      <c r="J2055" s="253">
        <v>30950</v>
      </c>
      <c r="K2055" s="584">
        <f>ROUND(I2055*J2055,0)</f>
        <v>11606250</v>
      </c>
      <c r="L2055" s="193" t="s">
        <v>251</v>
      </c>
      <c r="M2055" s="193" t="s">
        <v>164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26"/>
      <c r="AB2055" s="576" t="str">
        <f>IF(VLOOKUP(F2055,NXT!$C$12:$C$786,1,0)=F2055,"","x")</f>
        <v/>
      </c>
    </row>
    <row r="2056" spans="1:30" ht="15.75" customHeight="1">
      <c r="A2056" s="827" t="str">
        <f>IF(B2056&lt;&gt;"",IF(AND(B2056&gt;=_TM1,B2056&lt;=_TM2,OR(TH!L2056="1111",TH!M2056="1111")),TH!D2056,""),"")</f>
        <v/>
      </c>
      <c r="B2056" s="36">
        <f t="shared" si="297"/>
        <v>6</v>
      </c>
      <c r="C2056" s="190">
        <f t="shared" si="298"/>
        <v>42551</v>
      </c>
      <c r="D2056" s="190" t="s">
        <v>1627</v>
      </c>
      <c r="E2056" s="190">
        <v>42551</v>
      </c>
      <c r="F2056" s="191" t="s">
        <v>461</v>
      </c>
      <c r="G2056" s="833" t="s">
        <v>798</v>
      </c>
      <c r="H2056" s="192" t="s">
        <v>636</v>
      </c>
      <c r="I2056" s="253"/>
      <c r="J2056" s="253"/>
      <c r="K2056" s="584">
        <v>1350795</v>
      </c>
      <c r="L2056" s="193" t="s">
        <v>251</v>
      </c>
      <c r="M2056" s="193" t="s">
        <v>354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26"/>
      <c r="AB2056" s="576"/>
    </row>
    <row r="2057" spans="1:30" ht="15.75" customHeight="1">
      <c r="A2057" s="827" t="str">
        <f>IF(B2057&lt;&gt;"",IF(AND(B2057&gt;=_TM1,B2057&lt;=_TM2,OR(TH!L2057="1111",TH!M2057="1111")),TH!D2057,""),"")</f>
        <v/>
      </c>
      <c r="B2057" s="36">
        <f t="shared" si="297"/>
        <v>6</v>
      </c>
      <c r="C2057" s="190">
        <f t="shared" si="298"/>
        <v>42551</v>
      </c>
      <c r="D2057" s="190" t="s">
        <v>1628</v>
      </c>
      <c r="E2057" s="190">
        <v>42551</v>
      </c>
      <c r="F2057" s="188" t="s">
        <v>802</v>
      </c>
      <c r="G2057" s="833" t="s">
        <v>799</v>
      </c>
      <c r="H2057" s="7" t="s">
        <v>800</v>
      </c>
      <c r="I2057" s="253">
        <v>1000</v>
      </c>
      <c r="J2057" s="253">
        <v>1400</v>
      </c>
      <c r="K2057" s="584">
        <f>ROUND(I2057*J2057,0)</f>
        <v>1400000</v>
      </c>
      <c r="L2057" s="193" t="s">
        <v>251</v>
      </c>
      <c r="M2057" s="193" t="s">
        <v>164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26"/>
      <c r="AB2057" s="576" t="str">
        <f>IF(VLOOKUP(F2057,NXT!$C$12:$C$786,1,0)=F2057,"","x")</f>
        <v/>
      </c>
    </row>
    <row r="2058" spans="1:30" ht="15.75" customHeight="1">
      <c r="A2058" s="827" t="str">
        <f>IF(B2058&lt;&gt;"",IF(AND(B2058&gt;=_TM1,B2058&lt;=_TM2,OR(TH!L2058="1111",TH!M2058="1111")),TH!D2058,""),"")</f>
        <v/>
      </c>
      <c r="B2058" s="36">
        <f t="shared" si="297"/>
        <v>6</v>
      </c>
      <c r="C2058" s="190">
        <f t="shared" si="298"/>
        <v>42551</v>
      </c>
      <c r="D2058" s="190" t="s">
        <v>1628</v>
      </c>
      <c r="E2058" s="190">
        <v>42551</v>
      </c>
      <c r="F2058" s="188" t="s">
        <v>801</v>
      </c>
      <c r="G2058" s="833" t="s">
        <v>799</v>
      </c>
      <c r="H2058" s="7" t="s">
        <v>800</v>
      </c>
      <c r="I2058" s="253"/>
      <c r="J2058" s="253"/>
      <c r="K2058" s="584">
        <v>140000</v>
      </c>
      <c r="L2058" s="193" t="s">
        <v>251</v>
      </c>
      <c r="M2058" s="193" t="s">
        <v>354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26"/>
      <c r="AB2058" s="576"/>
    </row>
    <row r="2059" spans="1:30" ht="15.75" customHeight="1">
      <c r="A2059" s="827" t="str">
        <f>IF(B2059&lt;&gt;"",IF(AND(B2059&gt;=_TM1,B2059&lt;=_TM2,OR(TH!L2059="1111",TH!M2059="1111")),TH!D2059,""),"")</f>
        <v/>
      </c>
      <c r="B2059" s="36">
        <f t="shared" si="297"/>
        <v>6</v>
      </c>
      <c r="C2059" s="190">
        <f t="shared" si="298"/>
        <v>42551</v>
      </c>
      <c r="D2059" s="190" t="s">
        <v>1628</v>
      </c>
      <c r="E2059" s="190">
        <v>42551</v>
      </c>
      <c r="F2059" s="191" t="s">
        <v>1178</v>
      </c>
      <c r="G2059" s="833" t="s">
        <v>803</v>
      </c>
      <c r="H2059" s="7" t="s">
        <v>753</v>
      </c>
      <c r="I2059" s="253">
        <v>1275</v>
      </c>
      <c r="J2059" s="253">
        <v>31000</v>
      </c>
      <c r="K2059" s="584">
        <f>ROUND(I2059*J2059,0)</f>
        <v>39525000</v>
      </c>
      <c r="L2059" s="193" t="s">
        <v>251</v>
      </c>
      <c r="M2059" s="193" t="s">
        <v>164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26"/>
      <c r="AB2059" s="576" t="str">
        <f>IF(VLOOKUP(F2059,NXT!$C$12:$C$786,1,0)=F2059,"","x")</f>
        <v/>
      </c>
    </row>
    <row r="2060" spans="1:30" ht="15.75" customHeight="1">
      <c r="A2060" s="827" t="str">
        <f>IF(B2060&lt;&gt;"",IF(AND(B2060&gt;=_TM1,B2060&lt;=_TM2,OR(TH!L2060="1111",TH!M2060="1111")),TH!D2060,""),"")</f>
        <v/>
      </c>
      <c r="B2060" s="36">
        <f t="shared" si="297"/>
        <v>6</v>
      </c>
      <c r="C2060" s="190">
        <f t="shared" si="298"/>
        <v>42551</v>
      </c>
      <c r="D2060" s="190" t="s">
        <v>1628</v>
      </c>
      <c r="E2060" s="190">
        <v>42551</v>
      </c>
      <c r="F2060" s="191" t="s">
        <v>1302</v>
      </c>
      <c r="G2060" s="833" t="s">
        <v>803</v>
      </c>
      <c r="H2060" s="7" t="s">
        <v>753</v>
      </c>
      <c r="I2060" s="253">
        <v>997</v>
      </c>
      <c r="J2060" s="253">
        <v>32800</v>
      </c>
      <c r="K2060" s="584">
        <f>ROUND(I2060*J2060,0)</f>
        <v>32701600</v>
      </c>
      <c r="L2060" s="193" t="s">
        <v>251</v>
      </c>
      <c r="M2060" s="193" t="s">
        <v>164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26"/>
      <c r="AB2060" s="576" t="str">
        <f>IF(VLOOKUP(F2060,NXT!$C$12:$C$786,1,0)=F2060,"","x")</f>
        <v/>
      </c>
    </row>
    <row r="2061" spans="1:30" ht="15.75" customHeight="1">
      <c r="A2061" s="827" t="str">
        <f>IF(B2061&lt;&gt;"",IF(AND(B2061&gt;=_TM1,B2061&lt;=_TM2,OR(TH!L2061="1111",TH!M2061="1111")),TH!D2061,""),"")</f>
        <v/>
      </c>
      <c r="B2061" s="36">
        <f t="shared" si="297"/>
        <v>6</v>
      </c>
      <c r="C2061" s="190">
        <f t="shared" si="298"/>
        <v>42551</v>
      </c>
      <c r="D2061" s="190" t="s">
        <v>1628</v>
      </c>
      <c r="E2061" s="190">
        <v>42551</v>
      </c>
      <c r="F2061" s="191" t="s">
        <v>461</v>
      </c>
      <c r="G2061" s="833" t="s">
        <v>803</v>
      </c>
      <c r="H2061" s="7" t="s">
        <v>753</v>
      </c>
      <c r="I2061" s="253"/>
      <c r="J2061" s="253"/>
      <c r="K2061" s="584">
        <v>7222660</v>
      </c>
      <c r="L2061" s="193" t="s">
        <v>251</v>
      </c>
      <c r="M2061" s="193" t="s">
        <v>354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26"/>
      <c r="AB2061" s="576"/>
    </row>
    <row r="2062" spans="1:30" ht="15.75" customHeight="1">
      <c r="A2062" s="827" t="str">
        <f>IF(B2062&lt;&gt;"",IF(AND(B2062&gt;=_TM1,B2062&lt;=_TM2,OR(TH!L2062="1111",TH!M2062="1111")),TH!D2062,""),"")</f>
        <v/>
      </c>
      <c r="B2062" s="36">
        <f t="shared" si="297"/>
        <v>6</v>
      </c>
      <c r="C2062" s="190">
        <f t="shared" si="298"/>
        <v>42551</v>
      </c>
      <c r="D2062" s="190" t="s">
        <v>1629</v>
      </c>
      <c r="E2062" s="190">
        <v>42551</v>
      </c>
      <c r="F2062" s="188" t="s">
        <v>834</v>
      </c>
      <c r="G2062" s="833" t="s">
        <v>804</v>
      </c>
      <c r="H2062" s="192" t="s">
        <v>678</v>
      </c>
      <c r="I2062" s="253">
        <v>15</v>
      </c>
      <c r="J2062" s="253">
        <v>94962</v>
      </c>
      <c r="K2062" s="584">
        <f t="shared" ref="K2062:K2093" si="299">ROUND(I2062*J2062,0)</f>
        <v>1424430</v>
      </c>
      <c r="L2062" s="193" t="s">
        <v>251</v>
      </c>
      <c r="M2062" s="193" t="s">
        <v>164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26"/>
      <c r="AB2062" s="576" t="str">
        <f>IF(VLOOKUP(F2062,NXT!$C$12:$C$786,1,0)=F2062,"","x")</f>
        <v/>
      </c>
      <c r="AD2062" s="576"/>
    </row>
    <row r="2063" spans="1:30" ht="15.75" customHeight="1">
      <c r="A2063" s="827" t="str">
        <f>IF(B2063&lt;&gt;"",IF(AND(B2063&gt;=_TM1,B2063&lt;=_TM2,OR(TH!L2063="1111",TH!M2063="1111")),TH!D2063,""),"")</f>
        <v/>
      </c>
      <c r="B2063" s="36">
        <f t="shared" si="297"/>
        <v>6</v>
      </c>
      <c r="C2063" s="190">
        <f t="shared" si="298"/>
        <v>42551</v>
      </c>
      <c r="D2063" s="190" t="s">
        <v>1629</v>
      </c>
      <c r="E2063" s="190">
        <v>42551</v>
      </c>
      <c r="F2063" s="188" t="s">
        <v>539</v>
      </c>
      <c r="G2063" s="833" t="s">
        <v>804</v>
      </c>
      <c r="H2063" s="192" t="s">
        <v>678</v>
      </c>
      <c r="I2063" s="253">
        <v>6</v>
      </c>
      <c r="J2063" s="253">
        <v>143577</v>
      </c>
      <c r="K2063" s="584">
        <f t="shared" si="299"/>
        <v>861462</v>
      </c>
      <c r="L2063" s="193" t="s">
        <v>251</v>
      </c>
      <c r="M2063" s="193" t="s">
        <v>164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26"/>
      <c r="AB2063" s="576" t="str">
        <f>IF(VLOOKUP(F2063,NXT!$C$12:$C$786,1,0)=F2063,"","x")</f>
        <v/>
      </c>
    </row>
    <row r="2064" spans="1:30" ht="15.75" customHeight="1">
      <c r="A2064" s="827" t="str">
        <f>IF(B2064&lt;&gt;"",IF(AND(B2064&gt;=_TM1,B2064&lt;=_TM2,OR(TH!L2064="1111",TH!M2064="1111")),TH!D2064,""),"")</f>
        <v/>
      </c>
      <c r="B2064" s="36">
        <f t="shared" si="297"/>
        <v>6</v>
      </c>
      <c r="C2064" s="190">
        <f t="shared" si="298"/>
        <v>42551</v>
      </c>
      <c r="D2064" s="190" t="s">
        <v>1629</v>
      </c>
      <c r="E2064" s="190">
        <v>42551</v>
      </c>
      <c r="F2064" s="191" t="s">
        <v>536</v>
      </c>
      <c r="G2064" s="833" t="s">
        <v>804</v>
      </c>
      <c r="H2064" s="192" t="s">
        <v>678</v>
      </c>
      <c r="I2064" s="253">
        <v>50</v>
      </c>
      <c r="J2064" s="253">
        <v>61256</v>
      </c>
      <c r="K2064" s="584">
        <f t="shared" si="299"/>
        <v>3062800</v>
      </c>
      <c r="L2064" s="193" t="s">
        <v>251</v>
      </c>
      <c r="M2064" s="193" t="s">
        <v>164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26"/>
      <c r="AB2064" s="576" t="str">
        <f>IF(VLOOKUP(F2064,NXT!$C$12:$C$786,1,0)=F2064,"","x")</f>
        <v/>
      </c>
    </row>
    <row r="2065" spans="1:29" ht="15.75" customHeight="1">
      <c r="A2065" s="827" t="str">
        <f>IF(B2065&lt;&gt;"",IF(AND(B2065&gt;=_TM1,B2065&lt;=_TM2,OR(TH!L2065="1111",TH!M2065="1111")),TH!D2065,""),"")</f>
        <v/>
      </c>
      <c r="B2065" s="36">
        <f t="shared" ref="B2065:B2128" si="300">IF(C2065&lt;&gt;"",MONTH(C2065),"")</f>
        <v>6</v>
      </c>
      <c r="C2065" s="190">
        <f t="shared" ref="C2065:C2131" si="301">E2065</f>
        <v>42551</v>
      </c>
      <c r="D2065" s="190" t="s">
        <v>1629</v>
      </c>
      <c r="E2065" s="190">
        <v>42551</v>
      </c>
      <c r="F2065" s="188" t="s">
        <v>490</v>
      </c>
      <c r="G2065" s="833" t="s">
        <v>804</v>
      </c>
      <c r="H2065" s="192" t="s">
        <v>678</v>
      </c>
      <c r="I2065" s="253">
        <v>18</v>
      </c>
      <c r="J2065" s="253">
        <v>162544</v>
      </c>
      <c r="K2065" s="584">
        <f t="shared" si="299"/>
        <v>2925792</v>
      </c>
      <c r="L2065" s="193" t="s">
        <v>251</v>
      </c>
      <c r="M2065" s="193" t="s">
        <v>164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26"/>
      <c r="AB2065" s="576" t="str">
        <f>IF(VLOOKUP(F2065,NXT!$C$12:$C$786,1,0)=F2065,"","x")</f>
        <v/>
      </c>
    </row>
    <row r="2066" spans="1:29" ht="15.75" customHeight="1">
      <c r="A2066" s="827" t="str">
        <f>IF(B2066&lt;&gt;"",IF(AND(B2066&gt;=_TM1,B2066&lt;=_TM2,OR(TH!L2066="1111",TH!M2066="1111")),TH!D2066,""),"")</f>
        <v/>
      </c>
      <c r="B2066" s="36">
        <f t="shared" si="300"/>
        <v>6</v>
      </c>
      <c r="C2066" s="190">
        <f t="shared" si="301"/>
        <v>42551</v>
      </c>
      <c r="D2066" s="190" t="s">
        <v>1629</v>
      </c>
      <c r="E2066" s="190">
        <v>42551</v>
      </c>
      <c r="F2066" s="191" t="s">
        <v>710</v>
      </c>
      <c r="G2066" s="833" t="s">
        <v>804</v>
      </c>
      <c r="H2066" s="192" t="s">
        <v>678</v>
      </c>
      <c r="I2066" s="253">
        <v>20</v>
      </c>
      <c r="J2066" s="253">
        <v>71382</v>
      </c>
      <c r="K2066" s="584">
        <f t="shared" si="299"/>
        <v>1427640</v>
      </c>
      <c r="L2066" s="193" t="s">
        <v>251</v>
      </c>
      <c r="M2066" s="193" t="s">
        <v>164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26"/>
      <c r="AB2066" s="576" t="str">
        <f>IF(VLOOKUP(F2066,NXT!$C$12:$C$786,1,0)=F2066,"","x")</f>
        <v/>
      </c>
    </row>
    <row r="2067" spans="1:29" ht="15.75" customHeight="1">
      <c r="A2067" s="827" t="str">
        <f>IF(B2067&lt;&gt;"",IF(AND(B2067&gt;=_TM1,B2067&lt;=_TM2,OR(TH!L2067="1111",TH!M2067="1111")),TH!D2067,""),"")</f>
        <v/>
      </c>
      <c r="B2067" s="36">
        <f t="shared" si="300"/>
        <v>6</v>
      </c>
      <c r="C2067" s="190">
        <f t="shared" si="301"/>
        <v>42551</v>
      </c>
      <c r="D2067" s="190" t="s">
        <v>1629</v>
      </c>
      <c r="E2067" s="190">
        <v>42551</v>
      </c>
      <c r="F2067" s="191" t="s">
        <v>534</v>
      </c>
      <c r="G2067" s="833" t="s">
        <v>804</v>
      </c>
      <c r="H2067" s="192" t="s">
        <v>678</v>
      </c>
      <c r="I2067" s="253">
        <v>40</v>
      </c>
      <c r="J2067" s="253">
        <v>90277</v>
      </c>
      <c r="K2067" s="584">
        <f t="shared" si="299"/>
        <v>3611080</v>
      </c>
      <c r="L2067" s="193" t="s">
        <v>251</v>
      </c>
      <c r="M2067" s="193" t="s">
        <v>164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26"/>
      <c r="AB2067" s="576" t="str">
        <f>IF(VLOOKUP(F2067,NXT!$C$12:$C$786,1,0)=F2067,"","x")</f>
        <v/>
      </c>
    </row>
    <row r="2068" spans="1:29" ht="15.75" customHeight="1">
      <c r="A2068" s="827" t="str">
        <f>IF(B2068&lt;&gt;"",IF(AND(B2068&gt;=_TM1,B2068&lt;=_TM2,OR(TH!L2068="1111",TH!M2068="1111")),TH!D2068,""),"")</f>
        <v/>
      </c>
      <c r="B2068" s="36">
        <f t="shared" si="300"/>
        <v>6</v>
      </c>
      <c r="C2068" s="190">
        <f t="shared" si="301"/>
        <v>42551</v>
      </c>
      <c r="D2068" s="190" t="s">
        <v>1629</v>
      </c>
      <c r="E2068" s="190">
        <v>42551</v>
      </c>
      <c r="F2068" s="188" t="s">
        <v>816</v>
      </c>
      <c r="G2068" s="833" t="s">
        <v>804</v>
      </c>
      <c r="H2068" s="192" t="s">
        <v>678</v>
      </c>
      <c r="I2068" s="253">
        <v>6</v>
      </c>
      <c r="J2068" s="253">
        <v>213532</v>
      </c>
      <c r="K2068" s="584">
        <f t="shared" si="299"/>
        <v>1281192</v>
      </c>
      <c r="L2068" s="193" t="s">
        <v>251</v>
      </c>
      <c r="M2068" s="193" t="s">
        <v>164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26"/>
      <c r="AB2068" s="576" t="str">
        <f>IF(VLOOKUP(F2068,NXT!$C$12:$C$786,1,0)=F2068,"","x")</f>
        <v/>
      </c>
      <c r="AC2068" s="576"/>
    </row>
    <row r="2069" spans="1:29" ht="15.75" customHeight="1">
      <c r="A2069" s="827" t="str">
        <f>IF(B2069&lt;&gt;"",IF(AND(B2069&gt;=_TM1,B2069&lt;=_TM2,OR(TH!L2069="1111",TH!M2069="1111")),TH!D2069,""),"")</f>
        <v/>
      </c>
      <c r="B2069" s="36">
        <f t="shared" si="300"/>
        <v>6</v>
      </c>
      <c r="C2069" s="190">
        <f t="shared" si="301"/>
        <v>42551</v>
      </c>
      <c r="D2069" s="190" t="s">
        <v>1629</v>
      </c>
      <c r="E2069" s="190">
        <v>42551</v>
      </c>
      <c r="F2069" s="191" t="s">
        <v>707</v>
      </c>
      <c r="G2069" s="833" t="s">
        <v>804</v>
      </c>
      <c r="H2069" s="192" t="s">
        <v>678</v>
      </c>
      <c r="I2069" s="253">
        <v>18</v>
      </c>
      <c r="J2069" s="253">
        <v>121968</v>
      </c>
      <c r="K2069" s="584">
        <f t="shared" si="299"/>
        <v>2195424</v>
      </c>
      <c r="L2069" s="193" t="s">
        <v>251</v>
      </c>
      <c r="M2069" s="193" t="s">
        <v>164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26"/>
      <c r="AB2069" s="576" t="str">
        <f>IF(VLOOKUP(F2069,NXT!$C$12:$C$786,1,0)=F2069,"","x")</f>
        <v/>
      </c>
    </row>
    <row r="2070" spans="1:29" ht="15.75" customHeight="1">
      <c r="A2070" s="827" t="str">
        <f>IF(B2070&lt;&gt;"",IF(AND(B2070&gt;=_TM1,B2070&lt;=_TM2,OR(TH!L2070="1111",TH!M2070="1111")),TH!D2070,""),"")</f>
        <v/>
      </c>
      <c r="B2070" s="36">
        <f t="shared" si="300"/>
        <v>6</v>
      </c>
      <c r="C2070" s="190">
        <f t="shared" si="301"/>
        <v>42551</v>
      </c>
      <c r="D2070" s="190" t="s">
        <v>1629</v>
      </c>
      <c r="E2070" s="190">
        <v>42551</v>
      </c>
      <c r="F2070" s="191" t="s">
        <v>707</v>
      </c>
      <c r="G2070" s="833" t="s">
        <v>804</v>
      </c>
      <c r="H2070" s="192" t="s">
        <v>678</v>
      </c>
      <c r="I2070" s="253">
        <v>4</v>
      </c>
      <c r="J2070" s="253">
        <v>123816</v>
      </c>
      <c r="K2070" s="584">
        <f t="shared" si="299"/>
        <v>495264</v>
      </c>
      <c r="L2070" s="193" t="s">
        <v>251</v>
      </c>
      <c r="M2070" s="193" t="s">
        <v>164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26"/>
      <c r="AB2070" s="576" t="str">
        <f>IF(VLOOKUP(F2070,NXT!$C$12:$C$786,1,0)=F2070,"","x")</f>
        <v/>
      </c>
    </row>
    <row r="2071" spans="1:29" ht="15.75" customHeight="1">
      <c r="A2071" s="827" t="str">
        <f>IF(B2071&lt;&gt;"",IF(AND(B2071&gt;=_TM1,B2071&lt;=_TM2,OR(TH!L2071="1111",TH!M2071="1111")),TH!D2071,""),"")</f>
        <v/>
      </c>
      <c r="B2071" s="36">
        <f t="shared" si="300"/>
        <v>6</v>
      </c>
      <c r="C2071" s="190">
        <f t="shared" si="301"/>
        <v>42551</v>
      </c>
      <c r="D2071" s="190" t="s">
        <v>1629</v>
      </c>
      <c r="E2071" s="190">
        <v>42551</v>
      </c>
      <c r="F2071" s="188" t="s">
        <v>817</v>
      </c>
      <c r="G2071" s="833" t="s">
        <v>804</v>
      </c>
      <c r="H2071" s="192" t="s">
        <v>678</v>
      </c>
      <c r="I2071" s="253">
        <v>16</v>
      </c>
      <c r="J2071" s="253">
        <v>149566</v>
      </c>
      <c r="K2071" s="584">
        <f t="shared" si="299"/>
        <v>2393056</v>
      </c>
      <c r="L2071" s="193" t="s">
        <v>251</v>
      </c>
      <c r="M2071" s="193" t="s">
        <v>164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26"/>
      <c r="AB2071" s="576" t="str">
        <f>IF(VLOOKUP(F2071,NXT!$C$12:$C$786,1,0)=F2071,"","x")</f>
        <v/>
      </c>
    </row>
    <row r="2072" spans="1:29" ht="15.75" customHeight="1">
      <c r="A2072" s="827" t="str">
        <f>IF(B2072&lt;&gt;"",IF(AND(B2072&gt;=_TM1,B2072&lt;=_TM2,OR(TH!L2072="1111",TH!M2072="1111")),TH!D2072,""),"")</f>
        <v/>
      </c>
      <c r="B2072" s="36">
        <f t="shared" si="300"/>
        <v>6</v>
      </c>
      <c r="C2072" s="190">
        <f t="shared" si="301"/>
        <v>42551</v>
      </c>
      <c r="D2072" s="190" t="s">
        <v>1629</v>
      </c>
      <c r="E2072" s="190">
        <v>42551</v>
      </c>
      <c r="F2072" s="191" t="s">
        <v>526</v>
      </c>
      <c r="G2072" s="833" t="s">
        <v>804</v>
      </c>
      <c r="H2072" s="192" t="s">
        <v>678</v>
      </c>
      <c r="I2072" s="255">
        <v>8</v>
      </c>
      <c r="J2072" s="255">
        <v>46634</v>
      </c>
      <c r="K2072" s="584">
        <f t="shared" si="299"/>
        <v>373072</v>
      </c>
      <c r="L2072" s="193" t="s">
        <v>251</v>
      </c>
      <c r="M2072" s="193" t="s">
        <v>164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26"/>
      <c r="AB2072" s="576" t="str">
        <f>IF(VLOOKUP(F2072,NXT!$C$12:$C$786,1,0)=F2072,"","x")</f>
        <v/>
      </c>
    </row>
    <row r="2073" spans="1:29" ht="15.75" customHeight="1">
      <c r="A2073" s="827" t="str">
        <f>IF(B2073&lt;&gt;"",IF(AND(B2073&gt;=_TM1,B2073&lt;=_TM2,OR(TH!L2073="1111",TH!M2073="1111")),TH!D2073,""),"")</f>
        <v/>
      </c>
      <c r="B2073" s="36">
        <f t="shared" si="300"/>
        <v>6</v>
      </c>
      <c r="C2073" s="190">
        <f t="shared" si="301"/>
        <v>42551</v>
      </c>
      <c r="D2073" s="190" t="s">
        <v>1629</v>
      </c>
      <c r="E2073" s="190">
        <v>42551</v>
      </c>
      <c r="F2073" s="188" t="s">
        <v>820</v>
      </c>
      <c r="G2073" s="833" t="s">
        <v>804</v>
      </c>
      <c r="H2073" s="192" t="s">
        <v>678</v>
      </c>
      <c r="I2073" s="253">
        <v>6</v>
      </c>
      <c r="J2073" s="253">
        <v>102547</v>
      </c>
      <c r="K2073" s="584">
        <f t="shared" si="299"/>
        <v>615282</v>
      </c>
      <c r="L2073" s="193" t="s">
        <v>251</v>
      </c>
      <c r="M2073" s="193" t="s">
        <v>164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26"/>
      <c r="AB2073" s="576" t="str">
        <f>IF(VLOOKUP(F2073,NXT!$C$12:$C$786,1,0)=F2073,"","x")</f>
        <v/>
      </c>
    </row>
    <row r="2074" spans="1:29" ht="15.75" customHeight="1">
      <c r="A2074" s="827" t="str">
        <f>IF(B2074&lt;&gt;"",IF(AND(B2074&gt;=_TM1,B2074&lt;=_TM2,OR(TH!L2074="1111",TH!M2074="1111")),TH!D2074,""),"")</f>
        <v/>
      </c>
      <c r="B2074" s="36">
        <f t="shared" si="300"/>
        <v>6</v>
      </c>
      <c r="C2074" s="190">
        <f t="shared" si="301"/>
        <v>42551</v>
      </c>
      <c r="D2074" s="190" t="s">
        <v>1629</v>
      </c>
      <c r="E2074" s="190">
        <v>42551</v>
      </c>
      <c r="F2074" s="188" t="s">
        <v>823</v>
      </c>
      <c r="G2074" s="833" t="s">
        <v>804</v>
      </c>
      <c r="H2074" s="192" t="s">
        <v>678</v>
      </c>
      <c r="I2074" s="253">
        <v>3</v>
      </c>
      <c r="J2074" s="253">
        <v>185632</v>
      </c>
      <c r="K2074" s="584">
        <f t="shared" si="299"/>
        <v>556896</v>
      </c>
      <c r="L2074" s="193" t="s">
        <v>251</v>
      </c>
      <c r="M2074" s="193" t="s">
        <v>164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26"/>
      <c r="AB2074" s="576" t="str">
        <f>IF(VLOOKUP(F2074,NXT!$C$12:$C$786,1,0)=F2074,"","x")</f>
        <v/>
      </c>
    </row>
    <row r="2075" spans="1:29" ht="15.75" customHeight="1">
      <c r="A2075" s="827" t="str">
        <f>IF(B2075&lt;&gt;"",IF(AND(B2075&gt;=_TM1,B2075&lt;=_TM2,OR(TH!L2075="1111",TH!M2075="1111")),TH!D2075,""),"")</f>
        <v/>
      </c>
      <c r="B2075" s="36">
        <f t="shared" si="300"/>
        <v>6</v>
      </c>
      <c r="C2075" s="190">
        <f t="shared" si="301"/>
        <v>42551</v>
      </c>
      <c r="D2075" s="190" t="s">
        <v>1629</v>
      </c>
      <c r="E2075" s="190">
        <v>42551</v>
      </c>
      <c r="F2075" s="191" t="s">
        <v>822</v>
      </c>
      <c r="G2075" s="833" t="s">
        <v>804</v>
      </c>
      <c r="H2075" s="192" t="s">
        <v>678</v>
      </c>
      <c r="I2075" s="253">
        <v>16</v>
      </c>
      <c r="J2075" s="253">
        <v>111703</v>
      </c>
      <c r="K2075" s="584">
        <f t="shared" si="299"/>
        <v>1787248</v>
      </c>
      <c r="L2075" s="193" t="s">
        <v>251</v>
      </c>
      <c r="M2075" s="193" t="s">
        <v>164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26"/>
      <c r="AB2075" s="576" t="str">
        <f>IF(VLOOKUP(F2075,NXT!$C$12:$C$786,1,0)=F2075,"","x")</f>
        <v/>
      </c>
      <c r="AC2075" s="576"/>
    </row>
    <row r="2076" spans="1:29" ht="15.75" customHeight="1">
      <c r="A2076" s="827" t="str">
        <f>IF(B2076&lt;&gt;"",IF(AND(B2076&gt;=_TM1,B2076&lt;=_TM2,OR(TH!L2076="1111",TH!M2076="1111")),TH!D2076,""),"")</f>
        <v/>
      </c>
      <c r="B2076" s="36">
        <f t="shared" si="300"/>
        <v>6</v>
      </c>
      <c r="C2076" s="190">
        <f t="shared" si="301"/>
        <v>42551</v>
      </c>
      <c r="D2076" s="190" t="s">
        <v>1629</v>
      </c>
      <c r="E2076" s="190">
        <v>42551</v>
      </c>
      <c r="F2076" s="191" t="s">
        <v>828</v>
      </c>
      <c r="G2076" s="833" t="s">
        <v>804</v>
      </c>
      <c r="H2076" s="192" t="s">
        <v>678</v>
      </c>
      <c r="I2076" s="777">
        <v>10</v>
      </c>
      <c r="J2076" s="255">
        <v>70409</v>
      </c>
      <c r="K2076" s="584">
        <f t="shared" si="299"/>
        <v>704090</v>
      </c>
      <c r="L2076" s="193" t="s">
        <v>251</v>
      </c>
      <c r="M2076" s="193" t="s">
        <v>164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26"/>
      <c r="AB2076" s="576" t="str">
        <f>IF(VLOOKUP(F2076,NXT!$C$12:$C$786,1,0)=F2076,"","x")</f>
        <v/>
      </c>
    </row>
    <row r="2077" spans="1:29" ht="15.75" customHeight="1">
      <c r="A2077" s="827" t="str">
        <f>IF(B2077&lt;&gt;"",IF(AND(B2077&gt;=_TM1,B2077&lt;=_TM2,OR(TH!L2077="1111",TH!M2077="1111")),TH!D2077,""),"")</f>
        <v/>
      </c>
      <c r="B2077" s="36">
        <f t="shared" si="300"/>
        <v>6</v>
      </c>
      <c r="C2077" s="190">
        <f t="shared" si="301"/>
        <v>42551</v>
      </c>
      <c r="D2077" s="190" t="s">
        <v>1629</v>
      </c>
      <c r="E2077" s="190">
        <v>42551</v>
      </c>
      <c r="F2077" s="188" t="s">
        <v>807</v>
      </c>
      <c r="G2077" s="833" t="s">
        <v>804</v>
      </c>
      <c r="H2077" s="192" t="s">
        <v>678</v>
      </c>
      <c r="I2077" s="253">
        <v>24</v>
      </c>
      <c r="J2077" s="253">
        <v>7963</v>
      </c>
      <c r="K2077" s="584">
        <f t="shared" si="299"/>
        <v>191112</v>
      </c>
      <c r="L2077" s="193" t="s">
        <v>251</v>
      </c>
      <c r="M2077" s="193" t="s">
        <v>164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26"/>
      <c r="AB2077" s="576" t="str">
        <f>IF(VLOOKUP(F2077,NXT!$C$12:$C$786,1,0)=F2077,"","x")</f>
        <v/>
      </c>
    </row>
    <row r="2078" spans="1:29" ht="15.75" customHeight="1">
      <c r="A2078" s="827" t="str">
        <f>IF(B2078&lt;&gt;"",IF(AND(B2078&gt;=_TM1,B2078&lt;=_TM2,OR(TH!L2078="1111",TH!M2078="1111")),TH!D2078,""),"")</f>
        <v/>
      </c>
      <c r="B2078" s="36">
        <f t="shared" si="300"/>
        <v>6</v>
      </c>
      <c r="C2078" s="190">
        <f t="shared" si="301"/>
        <v>42551</v>
      </c>
      <c r="D2078" s="190" t="s">
        <v>1629</v>
      </c>
      <c r="E2078" s="190">
        <v>42551</v>
      </c>
      <c r="F2078" s="188" t="s">
        <v>808</v>
      </c>
      <c r="G2078" s="833" t="s">
        <v>804</v>
      </c>
      <c r="H2078" s="192" t="s">
        <v>678</v>
      </c>
      <c r="I2078" s="253">
        <v>18</v>
      </c>
      <c r="J2078" s="253">
        <v>11846</v>
      </c>
      <c r="K2078" s="584">
        <f t="shared" si="299"/>
        <v>213228</v>
      </c>
      <c r="L2078" s="193" t="s">
        <v>251</v>
      </c>
      <c r="M2078" s="193" t="s">
        <v>164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26"/>
      <c r="AB2078" s="576" t="str">
        <f>IF(VLOOKUP(F2078,NXT!$C$12:$C$786,1,0)=F2078,"","x")</f>
        <v/>
      </c>
    </row>
    <row r="2079" spans="1:29" ht="15.75" customHeight="1">
      <c r="A2079" s="827" t="str">
        <f>IF(B2079&lt;&gt;"",IF(AND(B2079&gt;=_TM1,B2079&lt;=_TM2,OR(TH!L2079="1111",TH!M2079="1111")),TH!D2079,""),"")</f>
        <v/>
      </c>
      <c r="B2079" s="36">
        <f t="shared" si="300"/>
        <v>6</v>
      </c>
      <c r="C2079" s="190">
        <f t="shared" si="301"/>
        <v>42551</v>
      </c>
      <c r="D2079" s="190" t="s">
        <v>1629</v>
      </c>
      <c r="E2079" s="190">
        <v>42551</v>
      </c>
      <c r="F2079" s="188" t="s">
        <v>699</v>
      </c>
      <c r="G2079" s="833" t="s">
        <v>804</v>
      </c>
      <c r="H2079" s="192" t="s">
        <v>678</v>
      </c>
      <c r="I2079" s="253">
        <v>24</v>
      </c>
      <c r="J2079" s="253">
        <v>14722</v>
      </c>
      <c r="K2079" s="584">
        <f t="shared" si="299"/>
        <v>353328</v>
      </c>
      <c r="L2079" s="193" t="s">
        <v>251</v>
      </c>
      <c r="M2079" s="193" t="s">
        <v>164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26"/>
      <c r="AB2079" s="576" t="str">
        <f>IF(VLOOKUP(F2079,NXT!$C$12:$C$786,1,0)=F2079,"","x")</f>
        <v/>
      </c>
    </row>
    <row r="2080" spans="1:29" ht="15.75" customHeight="1">
      <c r="A2080" s="827" t="str">
        <f>IF(B2080&lt;&gt;"",IF(AND(B2080&gt;=_TM1,B2080&lt;=_TM2,OR(TH!L2080="1111",TH!M2080="1111")),TH!D2080,""),"")</f>
        <v/>
      </c>
      <c r="B2080" s="36">
        <f t="shared" si="300"/>
        <v>6</v>
      </c>
      <c r="C2080" s="190">
        <f t="shared" si="301"/>
        <v>42551</v>
      </c>
      <c r="D2080" s="190" t="s">
        <v>1629</v>
      </c>
      <c r="E2080" s="190">
        <v>42551</v>
      </c>
      <c r="F2080" s="786" t="s">
        <v>810</v>
      </c>
      <c r="G2080" s="833" t="s">
        <v>804</v>
      </c>
      <c r="H2080" s="192" t="s">
        <v>678</v>
      </c>
      <c r="I2080" s="253">
        <v>16</v>
      </c>
      <c r="J2080" s="253">
        <v>32558</v>
      </c>
      <c r="K2080" s="584">
        <f t="shared" si="299"/>
        <v>520928</v>
      </c>
      <c r="L2080" s="193" t="s">
        <v>251</v>
      </c>
      <c r="M2080" s="193" t="s">
        <v>164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26"/>
      <c r="AB2080" s="576" t="str">
        <f>IF(VLOOKUP(F2080,NXT!$C$12:$C$786,1,0)=F2080,"","x")</f>
        <v/>
      </c>
    </row>
    <row r="2081" spans="1:30" ht="15.75" customHeight="1">
      <c r="A2081" s="827" t="str">
        <f>IF(B2081&lt;&gt;"",IF(AND(B2081&gt;=_TM1,B2081&lt;=_TM2,OR(TH!L2081="1111",TH!M2081="1111")),TH!D2081,""),"")</f>
        <v/>
      </c>
      <c r="B2081" s="36">
        <f t="shared" si="300"/>
        <v>6</v>
      </c>
      <c r="C2081" s="190">
        <f t="shared" si="301"/>
        <v>42551</v>
      </c>
      <c r="D2081" s="190" t="s">
        <v>1629</v>
      </c>
      <c r="E2081" s="190">
        <v>42551</v>
      </c>
      <c r="F2081" s="188" t="s">
        <v>525</v>
      </c>
      <c r="G2081" s="833" t="s">
        <v>804</v>
      </c>
      <c r="H2081" s="192" t="s">
        <v>678</v>
      </c>
      <c r="I2081" s="253">
        <v>254</v>
      </c>
      <c r="J2081" s="253">
        <v>17602</v>
      </c>
      <c r="K2081" s="584">
        <f t="shared" si="299"/>
        <v>4470908</v>
      </c>
      <c r="L2081" s="193" t="s">
        <v>251</v>
      </c>
      <c r="M2081" s="193" t="s">
        <v>164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26"/>
      <c r="AB2081" s="576" t="str">
        <f>IF(VLOOKUP(F2081,NXT!$C$12:$C$786,1,0)=F2081,"","x")</f>
        <v/>
      </c>
    </row>
    <row r="2082" spans="1:30" ht="15.75" customHeight="1">
      <c r="A2082" s="827" t="str">
        <f>IF(B2082&lt;&gt;"",IF(AND(B2082&gt;=_TM1,B2082&lt;=_TM2,OR(TH!L2082="1111",TH!M2082="1111")),TH!D2082,""),"")</f>
        <v/>
      </c>
      <c r="B2082" s="36">
        <f t="shared" si="300"/>
        <v>6</v>
      </c>
      <c r="C2082" s="190">
        <f t="shared" si="301"/>
        <v>42551</v>
      </c>
      <c r="D2082" s="190" t="s">
        <v>1629</v>
      </c>
      <c r="E2082" s="190">
        <v>42551</v>
      </c>
      <c r="F2082" s="188" t="s">
        <v>812</v>
      </c>
      <c r="G2082" s="833" t="s">
        <v>804</v>
      </c>
      <c r="H2082" s="192" t="s">
        <v>678</v>
      </c>
      <c r="I2082" s="253">
        <v>20</v>
      </c>
      <c r="J2082" s="253">
        <v>16855</v>
      </c>
      <c r="K2082" s="584">
        <f t="shared" si="299"/>
        <v>337100</v>
      </c>
      <c r="L2082" s="193" t="s">
        <v>251</v>
      </c>
      <c r="M2082" s="193" t="s">
        <v>164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26"/>
      <c r="AB2082" s="576" t="str">
        <f>IF(VLOOKUP(F2082,NXT!$C$12:$C$786,1,0)=F2082,"","x")</f>
        <v/>
      </c>
    </row>
    <row r="2083" spans="1:30" ht="15.75" customHeight="1">
      <c r="A2083" s="827" t="str">
        <f>IF(B2083&lt;&gt;"",IF(AND(B2083&gt;=_TM1,B2083&lt;=_TM2,OR(TH!L2083="1111",TH!M2083="1111")),TH!D2083,""),"")</f>
        <v/>
      </c>
      <c r="B2083" s="36">
        <f t="shared" si="300"/>
        <v>6</v>
      </c>
      <c r="C2083" s="190">
        <f t="shared" si="301"/>
        <v>42551</v>
      </c>
      <c r="D2083" s="190" t="s">
        <v>1629</v>
      </c>
      <c r="E2083" s="190">
        <v>42551</v>
      </c>
      <c r="F2083" s="188" t="s">
        <v>711</v>
      </c>
      <c r="G2083" s="833" t="s">
        <v>804</v>
      </c>
      <c r="H2083" s="192" t="s">
        <v>678</v>
      </c>
      <c r="I2083" s="253">
        <v>54</v>
      </c>
      <c r="J2083" s="253">
        <v>18260</v>
      </c>
      <c r="K2083" s="584">
        <f t="shared" si="299"/>
        <v>986040</v>
      </c>
      <c r="L2083" s="193" t="s">
        <v>251</v>
      </c>
      <c r="M2083" s="193" t="s">
        <v>164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26"/>
      <c r="AB2083" s="576" t="str">
        <f>IF(VLOOKUP(F2083,NXT!$C$12:$C$786,1,0)=F2083,"","x")</f>
        <v/>
      </c>
    </row>
    <row r="2084" spans="1:30" ht="15.75" customHeight="1">
      <c r="A2084" s="827" t="str">
        <f>IF(B2084&lt;&gt;"",IF(AND(B2084&gt;=_TM1,B2084&lt;=_TM2,OR(TH!L2084="1111",TH!M2084="1111")),TH!D2084,""),"")</f>
        <v/>
      </c>
      <c r="B2084" s="36">
        <f t="shared" si="300"/>
        <v>6</v>
      </c>
      <c r="C2084" s="190">
        <f t="shared" si="301"/>
        <v>42551</v>
      </c>
      <c r="D2084" s="190" t="s">
        <v>1629</v>
      </c>
      <c r="E2084" s="190">
        <v>42551</v>
      </c>
      <c r="F2084" s="191" t="s">
        <v>511</v>
      </c>
      <c r="G2084" s="833" t="s">
        <v>804</v>
      </c>
      <c r="H2084" s="192" t="s">
        <v>678</v>
      </c>
      <c r="I2084" s="253">
        <v>48</v>
      </c>
      <c r="J2084" s="253">
        <v>30278</v>
      </c>
      <c r="K2084" s="584">
        <f t="shared" si="299"/>
        <v>1453344</v>
      </c>
      <c r="L2084" s="193" t="s">
        <v>251</v>
      </c>
      <c r="M2084" s="193" t="s">
        <v>164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26"/>
      <c r="AB2084" s="576" t="str">
        <f>IF(VLOOKUP(F2084,NXT!$C$12:$C$786,1,0)=F2084,"","x")</f>
        <v/>
      </c>
    </row>
    <row r="2085" spans="1:30" s="848" customFormat="1" ht="15.75" customHeight="1">
      <c r="A2085" s="827" t="str">
        <f>IF(B2085&lt;&gt;"",IF(AND(B2085&gt;=_TM1,B2085&lt;=_TM2,OR(TH!L2085="1111",TH!M2085="1111")),TH!D2085,""),"")</f>
        <v/>
      </c>
      <c r="B2085" s="36">
        <f t="shared" si="300"/>
        <v>6</v>
      </c>
      <c r="C2085" s="190">
        <f t="shared" si="301"/>
        <v>42551</v>
      </c>
      <c r="D2085" s="190" t="s">
        <v>1629</v>
      </c>
      <c r="E2085" s="190">
        <v>42551</v>
      </c>
      <c r="F2085" s="188" t="s">
        <v>811</v>
      </c>
      <c r="G2085" s="833" t="s">
        <v>804</v>
      </c>
      <c r="H2085" s="192" t="s">
        <v>678</v>
      </c>
      <c r="I2085" s="253">
        <v>5</v>
      </c>
      <c r="J2085" s="253">
        <v>42529</v>
      </c>
      <c r="K2085" s="584">
        <f t="shared" si="299"/>
        <v>212645</v>
      </c>
      <c r="L2085" s="193" t="s">
        <v>251</v>
      </c>
      <c r="M2085" s="193" t="s">
        <v>164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26"/>
      <c r="AB2085" s="576" t="str">
        <f>IF(VLOOKUP(F2085,NXT!$C$12:$C$786,1,0)=F2085,"","x")</f>
        <v/>
      </c>
      <c r="AC2085" s="205"/>
      <c r="AD2085" s="205"/>
    </row>
    <row r="2086" spans="1:30" s="848" customFormat="1" ht="15.75" customHeight="1">
      <c r="A2086" s="827" t="str">
        <f>IF(B2086&lt;&gt;"",IF(AND(B2086&gt;=_TM1,B2086&lt;=_TM2,OR(TH!L2086="1111",TH!M2086="1111")),TH!D2086,""),"")</f>
        <v/>
      </c>
      <c r="B2086" s="36">
        <f t="shared" si="300"/>
        <v>6</v>
      </c>
      <c r="C2086" s="190">
        <f t="shared" si="301"/>
        <v>42551</v>
      </c>
      <c r="D2086" s="190" t="s">
        <v>1629</v>
      </c>
      <c r="E2086" s="190">
        <v>42551</v>
      </c>
      <c r="F2086" s="188" t="s">
        <v>700</v>
      </c>
      <c r="G2086" s="833" t="s">
        <v>804</v>
      </c>
      <c r="H2086" s="192" t="s">
        <v>678</v>
      </c>
      <c r="I2086" s="253">
        <v>36</v>
      </c>
      <c r="J2086" s="253">
        <v>20772</v>
      </c>
      <c r="K2086" s="584">
        <f t="shared" si="299"/>
        <v>747792</v>
      </c>
      <c r="L2086" s="193" t="s">
        <v>251</v>
      </c>
      <c r="M2086" s="193" t="s">
        <v>164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26"/>
      <c r="AB2086" s="576" t="str">
        <f>IF(VLOOKUP(F2086,NXT!$C$12:$C$786,1,0)=F2086,"","x")</f>
        <v/>
      </c>
      <c r="AC2086" s="205"/>
      <c r="AD2086" s="205"/>
    </row>
    <row r="2087" spans="1:30" s="848" customFormat="1" ht="15.75" customHeight="1">
      <c r="A2087" s="827" t="str">
        <f>IF(B2087&lt;&gt;"",IF(AND(B2087&gt;=_TM1,B2087&lt;=_TM2,OR(TH!L2087="1111",TH!M2087="1111")),TH!D2087,""),"")</f>
        <v/>
      </c>
      <c r="B2087" s="36">
        <f t="shared" si="300"/>
        <v>6</v>
      </c>
      <c r="C2087" s="190">
        <f t="shared" si="301"/>
        <v>42551</v>
      </c>
      <c r="D2087" s="190" t="s">
        <v>1629</v>
      </c>
      <c r="E2087" s="190">
        <v>42551</v>
      </c>
      <c r="F2087" s="786" t="s">
        <v>814</v>
      </c>
      <c r="G2087" s="833" t="s">
        <v>804</v>
      </c>
      <c r="H2087" s="192" t="s">
        <v>678</v>
      </c>
      <c r="I2087" s="253">
        <v>24</v>
      </c>
      <c r="J2087" s="253">
        <v>21214</v>
      </c>
      <c r="K2087" s="584">
        <f t="shared" si="299"/>
        <v>509136</v>
      </c>
      <c r="L2087" s="193" t="s">
        <v>251</v>
      </c>
      <c r="M2087" s="193" t="s">
        <v>164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26"/>
      <c r="AB2087" s="576" t="str">
        <f>IF(VLOOKUP(F2087,NXT!$C$12:$C$786,1,0)=F2087,"","x")</f>
        <v/>
      </c>
      <c r="AC2087" s="205"/>
      <c r="AD2087" s="205"/>
    </row>
    <row r="2088" spans="1:30" s="848" customFormat="1" ht="15.75" customHeight="1">
      <c r="A2088" s="827" t="str">
        <f>IF(B2088&lt;&gt;"",IF(AND(B2088&gt;=_TM1,B2088&lt;=_TM2,OR(TH!L2088="1111",TH!M2088="1111")),TH!D2088,""),"")</f>
        <v/>
      </c>
      <c r="B2088" s="36">
        <f t="shared" si="300"/>
        <v>6</v>
      </c>
      <c r="C2088" s="190">
        <f t="shared" si="301"/>
        <v>42551</v>
      </c>
      <c r="D2088" s="190" t="s">
        <v>1629</v>
      </c>
      <c r="E2088" s="190">
        <v>42551</v>
      </c>
      <c r="F2088" s="786" t="s">
        <v>805</v>
      </c>
      <c r="G2088" s="833" t="s">
        <v>804</v>
      </c>
      <c r="H2088" s="192" t="s">
        <v>678</v>
      </c>
      <c r="I2088" s="253">
        <v>24</v>
      </c>
      <c r="J2088" s="253">
        <v>21476</v>
      </c>
      <c r="K2088" s="584">
        <f t="shared" si="299"/>
        <v>515424</v>
      </c>
      <c r="L2088" s="193" t="s">
        <v>251</v>
      </c>
      <c r="M2088" s="193" t="s">
        <v>164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26"/>
      <c r="AB2088" s="576" t="str">
        <f>IF(VLOOKUP(F2088,NXT!$C$12:$C$786,1,0)=F2088,"","x")</f>
        <v/>
      </c>
      <c r="AC2088" s="205"/>
      <c r="AD2088" s="205"/>
    </row>
    <row r="2089" spans="1:30" ht="15.75" customHeight="1">
      <c r="A2089" s="827" t="str">
        <f>IF(B2089&lt;&gt;"",IF(AND(B2089&gt;=_TM1,B2089&lt;=_TM2,OR(TH!L2089="1111",TH!M2089="1111")),TH!D2089,""),"")</f>
        <v/>
      </c>
      <c r="B2089" s="36">
        <f t="shared" si="300"/>
        <v>6</v>
      </c>
      <c r="C2089" s="190">
        <f t="shared" si="301"/>
        <v>42551</v>
      </c>
      <c r="D2089" s="190" t="s">
        <v>1629</v>
      </c>
      <c r="E2089" s="190">
        <v>42551</v>
      </c>
      <c r="F2089" s="188" t="s">
        <v>552</v>
      </c>
      <c r="G2089" s="833" t="s">
        <v>804</v>
      </c>
      <c r="H2089" s="192" t="s">
        <v>678</v>
      </c>
      <c r="I2089" s="253">
        <v>84</v>
      </c>
      <c r="J2089" s="253">
        <v>34580</v>
      </c>
      <c r="K2089" s="584">
        <f t="shared" si="299"/>
        <v>2904720</v>
      </c>
      <c r="L2089" s="193" t="s">
        <v>251</v>
      </c>
      <c r="M2089" s="193" t="s">
        <v>164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26"/>
      <c r="AB2089" s="576" t="str">
        <f>IF(VLOOKUP(F2089,NXT!$C$12:$C$786,1,0)=F2089,"","x")</f>
        <v/>
      </c>
    </row>
    <row r="2090" spans="1:30" ht="15.75" customHeight="1">
      <c r="A2090" s="827" t="str">
        <f>IF(B2090&lt;&gt;"",IF(AND(B2090&gt;=_TM1,B2090&lt;=_TM2,OR(TH!L2090="1111",TH!M2090="1111")),TH!D2090,""),"")</f>
        <v/>
      </c>
      <c r="B2090" s="36">
        <f t="shared" si="300"/>
        <v>6</v>
      </c>
      <c r="C2090" s="190">
        <f t="shared" si="301"/>
        <v>42551</v>
      </c>
      <c r="D2090" s="190" t="s">
        <v>1629</v>
      </c>
      <c r="E2090" s="190">
        <v>42551</v>
      </c>
      <c r="F2090" s="188" t="s">
        <v>806</v>
      </c>
      <c r="G2090" s="833" t="s">
        <v>804</v>
      </c>
      <c r="H2090" s="192" t="s">
        <v>678</v>
      </c>
      <c r="I2090" s="253">
        <v>36</v>
      </c>
      <c r="J2090" s="253">
        <v>32513</v>
      </c>
      <c r="K2090" s="584">
        <f t="shared" si="299"/>
        <v>1170468</v>
      </c>
      <c r="L2090" s="193" t="s">
        <v>251</v>
      </c>
      <c r="M2090" s="193" t="s">
        <v>164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26"/>
      <c r="AB2090" s="576" t="str">
        <f>IF(VLOOKUP(F2090,NXT!$C$12:$C$786,1,0)=F2090,"","x")</f>
        <v/>
      </c>
    </row>
    <row r="2091" spans="1:30" ht="15.75" customHeight="1">
      <c r="A2091" s="827" t="str">
        <f>IF(B2091&lt;&gt;"",IF(AND(B2091&gt;=_TM1,B2091&lt;=_TM2,OR(TH!L2091="1111",TH!M2091="1111")),TH!D2091,""),"")</f>
        <v/>
      </c>
      <c r="B2091" s="36">
        <f t="shared" si="300"/>
        <v>6</v>
      </c>
      <c r="C2091" s="190">
        <f t="shared" si="301"/>
        <v>42551</v>
      </c>
      <c r="D2091" s="190" t="s">
        <v>1629</v>
      </c>
      <c r="E2091" s="190">
        <v>42551</v>
      </c>
      <c r="F2091" s="191" t="s">
        <v>824</v>
      </c>
      <c r="G2091" s="833" t="s">
        <v>804</v>
      </c>
      <c r="H2091" s="192" t="s">
        <v>678</v>
      </c>
      <c r="I2091" s="253">
        <v>20</v>
      </c>
      <c r="J2091" s="253">
        <v>37611</v>
      </c>
      <c r="K2091" s="584">
        <f t="shared" si="299"/>
        <v>752220</v>
      </c>
      <c r="L2091" s="193" t="s">
        <v>251</v>
      </c>
      <c r="M2091" s="193" t="s">
        <v>164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26"/>
      <c r="AB2091" s="576" t="str">
        <f>IF(VLOOKUP(F2091,NXT!$C$12:$C$786,1,0)=F2091,"","x")</f>
        <v/>
      </c>
      <c r="AC2091" s="641"/>
      <c r="AD2091" s="641"/>
    </row>
    <row r="2092" spans="1:30" ht="15.75" customHeight="1">
      <c r="A2092" s="827" t="str">
        <f>IF(B2092&lt;&gt;"",IF(AND(B2092&gt;=_TM1,B2092&lt;=_TM2,OR(TH!L2092="1111",TH!M2092="1111")),TH!D2092,""),"")</f>
        <v/>
      </c>
      <c r="B2092" s="36">
        <f t="shared" si="300"/>
        <v>6</v>
      </c>
      <c r="C2092" s="190">
        <f t="shared" si="301"/>
        <v>42551</v>
      </c>
      <c r="D2092" s="190" t="s">
        <v>1629</v>
      </c>
      <c r="E2092" s="190">
        <v>42551</v>
      </c>
      <c r="F2092" s="191" t="s">
        <v>704</v>
      </c>
      <c r="G2092" s="833" t="s">
        <v>804</v>
      </c>
      <c r="H2092" s="192" t="s">
        <v>678</v>
      </c>
      <c r="I2092" s="253">
        <v>20</v>
      </c>
      <c r="J2092" s="253">
        <v>37935</v>
      </c>
      <c r="K2092" s="584">
        <f t="shared" si="299"/>
        <v>758700</v>
      </c>
      <c r="L2092" s="193" t="s">
        <v>251</v>
      </c>
      <c r="M2092" s="193" t="s">
        <v>164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26"/>
      <c r="AB2092" s="576" t="str">
        <f>IF(VLOOKUP(F2092,NXT!$C$12:$C$786,1,0)=F2092,"","x")</f>
        <v/>
      </c>
    </row>
    <row r="2093" spans="1:30" ht="15.75" customHeight="1">
      <c r="A2093" s="827" t="str">
        <f>IF(B2093&lt;&gt;"",IF(AND(B2093&gt;=_TM1,B2093&lt;=_TM2,OR(TH!L2093="1111",TH!M2093="1111")),TH!D2093,""),"")</f>
        <v/>
      </c>
      <c r="B2093" s="36">
        <f t="shared" si="300"/>
        <v>6</v>
      </c>
      <c r="C2093" s="190">
        <f t="shared" si="301"/>
        <v>42551</v>
      </c>
      <c r="D2093" s="190" t="s">
        <v>1629</v>
      </c>
      <c r="E2093" s="190">
        <v>42551</v>
      </c>
      <c r="F2093" s="191" t="s">
        <v>825</v>
      </c>
      <c r="G2093" s="833" t="s">
        <v>804</v>
      </c>
      <c r="H2093" s="192" t="s">
        <v>678</v>
      </c>
      <c r="I2093" s="253">
        <v>36</v>
      </c>
      <c r="J2093" s="253">
        <v>38627</v>
      </c>
      <c r="K2093" s="584">
        <f t="shared" si="299"/>
        <v>1390572</v>
      </c>
      <c r="L2093" s="193" t="s">
        <v>251</v>
      </c>
      <c r="M2093" s="193" t="s">
        <v>164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26"/>
      <c r="AB2093" s="576" t="str">
        <f>IF(VLOOKUP(F2093,NXT!$C$12:$C$786,1,0)=F2093,"","x")</f>
        <v/>
      </c>
      <c r="AC2093" s="576"/>
    </row>
    <row r="2094" spans="1:30" ht="15.75" customHeight="1">
      <c r="A2094" s="827" t="str">
        <f>IF(B2094&lt;&gt;"",IF(AND(B2094&gt;=_TM1,B2094&lt;=_TM2,OR(TH!L2094="1111",TH!M2094="1111")),TH!D2094,""),"")</f>
        <v/>
      </c>
      <c r="B2094" s="36">
        <f t="shared" si="300"/>
        <v>6</v>
      </c>
      <c r="C2094" s="190">
        <f t="shared" si="301"/>
        <v>42551</v>
      </c>
      <c r="D2094" s="190" t="s">
        <v>1629</v>
      </c>
      <c r="E2094" s="190">
        <v>42551</v>
      </c>
      <c r="F2094" s="191" t="s">
        <v>825</v>
      </c>
      <c r="G2094" s="833" t="s">
        <v>804</v>
      </c>
      <c r="H2094" s="192" t="s">
        <v>678</v>
      </c>
      <c r="I2094" s="253">
        <v>50</v>
      </c>
      <c r="J2094" s="253">
        <v>38521</v>
      </c>
      <c r="K2094" s="584">
        <f t="shared" ref="K2094:K2125" si="302">ROUND(I2094*J2094,0)</f>
        <v>1926050</v>
      </c>
      <c r="L2094" s="193" t="s">
        <v>251</v>
      </c>
      <c r="M2094" s="193" t="s">
        <v>164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52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26"/>
      <c r="AB2094" s="576" t="str">
        <f>IF(VLOOKUP(F2094,NXT!$C$12:$C$786,1,0)=F2094,"","x")</f>
        <v/>
      </c>
      <c r="AC2094" s="576"/>
    </row>
    <row r="2095" spans="1:30" ht="15.75" customHeight="1">
      <c r="A2095" s="827" t="str">
        <f>IF(B2095&lt;&gt;"",IF(AND(B2095&gt;=_TM1,B2095&lt;=_TM2,OR(TH!L2095="1111",TH!M2095="1111")),TH!D2095,""),"")</f>
        <v/>
      </c>
      <c r="B2095" s="36">
        <f t="shared" si="300"/>
        <v>6</v>
      </c>
      <c r="C2095" s="190">
        <f t="shared" si="301"/>
        <v>42551</v>
      </c>
      <c r="D2095" s="190" t="s">
        <v>1629</v>
      </c>
      <c r="E2095" s="190">
        <v>42551</v>
      </c>
      <c r="F2095" s="188" t="s">
        <v>809</v>
      </c>
      <c r="G2095" s="833" t="s">
        <v>804</v>
      </c>
      <c r="H2095" s="192" t="s">
        <v>678</v>
      </c>
      <c r="I2095" s="253">
        <v>528</v>
      </c>
      <c r="J2095" s="253">
        <v>40546</v>
      </c>
      <c r="K2095" s="584">
        <f t="shared" si="302"/>
        <v>21408288</v>
      </c>
      <c r="L2095" s="193" t="s">
        <v>251</v>
      </c>
      <c r="M2095" s="193" t="s">
        <v>164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52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26"/>
      <c r="AB2095" s="576" t="str">
        <f>IF(VLOOKUP(F2095,NXT!$C$12:$C$786,1,0)=F2095,"","x")</f>
        <v/>
      </c>
    </row>
    <row r="2096" spans="1:30" ht="15.75" customHeight="1">
      <c r="A2096" s="827" t="str">
        <f>IF(B2096&lt;&gt;"",IF(AND(B2096&gt;=_TM1,B2096&lt;=_TM2,OR(TH!L2096="1111",TH!M2096="1111")),TH!D2096,""),"")</f>
        <v/>
      </c>
      <c r="B2096" s="36">
        <f t="shared" si="300"/>
        <v>6</v>
      </c>
      <c r="C2096" s="190">
        <f t="shared" si="301"/>
        <v>42551</v>
      </c>
      <c r="D2096" s="190" t="s">
        <v>1629</v>
      </c>
      <c r="E2096" s="190">
        <v>42551</v>
      </c>
      <c r="F2096" s="188" t="s">
        <v>809</v>
      </c>
      <c r="G2096" s="833" t="s">
        <v>804</v>
      </c>
      <c r="H2096" s="192" t="s">
        <v>678</v>
      </c>
      <c r="I2096" s="253">
        <v>18</v>
      </c>
      <c r="J2096" s="253">
        <v>44814</v>
      </c>
      <c r="K2096" s="584">
        <f t="shared" si="302"/>
        <v>806652</v>
      </c>
      <c r="L2096" s="193" t="s">
        <v>251</v>
      </c>
      <c r="M2096" s="193" t="s">
        <v>164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52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26"/>
      <c r="AB2096" s="576" t="str">
        <f>IF(VLOOKUP(F2096,NXT!$C$12:$C$786,1,0)=F2096,"","x")</f>
        <v/>
      </c>
      <c r="AC2096" s="576"/>
    </row>
    <row r="2097" spans="1:29" ht="15.75" customHeight="1">
      <c r="A2097" s="827" t="str">
        <f>IF(B2097&lt;&gt;"",IF(AND(B2097&gt;=_TM1,B2097&lt;=_TM2,OR(TH!L2097="1111",TH!M2097="1111")),TH!D2097,""),"")</f>
        <v/>
      </c>
      <c r="B2097" s="36">
        <f t="shared" si="300"/>
        <v>6</v>
      </c>
      <c r="C2097" s="190">
        <f t="shared" si="301"/>
        <v>42551</v>
      </c>
      <c r="D2097" s="190" t="s">
        <v>1629</v>
      </c>
      <c r="E2097" s="190">
        <v>42551</v>
      </c>
      <c r="F2097" s="188" t="s">
        <v>809</v>
      </c>
      <c r="G2097" s="833" t="s">
        <v>804</v>
      </c>
      <c r="H2097" s="192" t="s">
        <v>678</v>
      </c>
      <c r="I2097" s="253">
        <v>48</v>
      </c>
      <c r="J2097" s="253">
        <v>42669</v>
      </c>
      <c r="K2097" s="584">
        <f t="shared" si="302"/>
        <v>2048112</v>
      </c>
      <c r="L2097" s="193" t="s">
        <v>251</v>
      </c>
      <c r="M2097" s="193" t="s">
        <v>164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52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26"/>
      <c r="AB2097" s="576" t="str">
        <f>IF(VLOOKUP(F2097,NXT!$C$12:$C$786,1,0)=F2097,"","x")</f>
        <v/>
      </c>
    </row>
    <row r="2098" spans="1:29" ht="15.75" customHeight="1">
      <c r="A2098" s="827" t="str">
        <f>IF(B2098&lt;&gt;"",IF(AND(B2098&gt;=_TM1,B2098&lt;=_TM2,OR(TH!L2098="1111",TH!M2098="1111")),TH!D2098,""),"")</f>
        <v/>
      </c>
      <c r="B2098" s="36">
        <f t="shared" si="300"/>
        <v>6</v>
      </c>
      <c r="C2098" s="190">
        <f t="shared" si="301"/>
        <v>42551</v>
      </c>
      <c r="D2098" s="190" t="s">
        <v>1629</v>
      </c>
      <c r="E2098" s="190">
        <v>42551</v>
      </c>
      <c r="F2098" s="188" t="s">
        <v>553</v>
      </c>
      <c r="G2098" s="833" t="s">
        <v>804</v>
      </c>
      <c r="H2098" s="192" t="s">
        <v>678</v>
      </c>
      <c r="I2098" s="253">
        <v>48</v>
      </c>
      <c r="J2098" s="253">
        <v>39125</v>
      </c>
      <c r="K2098" s="584">
        <f t="shared" si="302"/>
        <v>1878000</v>
      </c>
      <c r="L2098" s="193" t="s">
        <v>251</v>
      </c>
      <c r="M2098" s="193" t="s">
        <v>164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52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26"/>
      <c r="AB2098" s="576" t="str">
        <f>IF(VLOOKUP(F2098,NXT!$C$12:$C$786,1,0)=F2098,"","x")</f>
        <v/>
      </c>
    </row>
    <row r="2099" spans="1:29" ht="15.75" customHeight="1">
      <c r="A2099" s="827" t="str">
        <f>IF(B2099&lt;&gt;"",IF(AND(B2099&gt;=_TM1,B2099&lt;=_TM2,OR(TH!L2099="1111",TH!M2099="1111")),TH!D2099,""),"")</f>
        <v/>
      </c>
      <c r="B2099" s="36">
        <f t="shared" si="300"/>
        <v>6</v>
      </c>
      <c r="C2099" s="190">
        <f t="shared" si="301"/>
        <v>42551</v>
      </c>
      <c r="D2099" s="190" t="s">
        <v>1629</v>
      </c>
      <c r="E2099" s="190">
        <v>42551</v>
      </c>
      <c r="F2099" s="188" t="s">
        <v>815</v>
      </c>
      <c r="G2099" s="833" t="s">
        <v>804</v>
      </c>
      <c r="H2099" s="192" t="s">
        <v>678</v>
      </c>
      <c r="I2099" s="253">
        <v>24</v>
      </c>
      <c r="J2099" s="253">
        <v>45309</v>
      </c>
      <c r="K2099" s="584">
        <f t="shared" si="302"/>
        <v>1087416</v>
      </c>
      <c r="L2099" s="193" t="s">
        <v>251</v>
      </c>
      <c r="M2099" s="193" t="s">
        <v>164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52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26"/>
      <c r="AB2099" s="576" t="str">
        <f>IF(VLOOKUP(F2099,NXT!$C$12:$C$786,1,0)=F2099,"","x")</f>
        <v/>
      </c>
    </row>
    <row r="2100" spans="1:29" ht="15.75" customHeight="1">
      <c r="A2100" s="827" t="str">
        <f>IF(B2100&lt;&gt;"",IF(AND(B2100&gt;=_TM1,B2100&lt;=_TM2,OR(TH!L2100="1111",TH!M2100="1111")),TH!D2100,""),"")</f>
        <v/>
      </c>
      <c r="B2100" s="36">
        <f t="shared" si="300"/>
        <v>6</v>
      </c>
      <c r="C2100" s="190">
        <f t="shared" si="301"/>
        <v>42551</v>
      </c>
      <c r="D2100" s="190" t="s">
        <v>1629</v>
      </c>
      <c r="E2100" s="190">
        <v>42551</v>
      </c>
      <c r="F2100" s="188" t="s">
        <v>821</v>
      </c>
      <c r="G2100" s="833" t="s">
        <v>804</v>
      </c>
      <c r="H2100" s="192" t="s">
        <v>678</v>
      </c>
      <c r="I2100" s="253">
        <v>24</v>
      </c>
      <c r="J2100" s="253">
        <v>47028</v>
      </c>
      <c r="K2100" s="584">
        <f t="shared" si="302"/>
        <v>1128672</v>
      </c>
      <c r="L2100" s="193" t="s">
        <v>251</v>
      </c>
      <c r="M2100" s="193" t="s">
        <v>164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52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26"/>
      <c r="AB2100" s="576" t="str">
        <f>IF(VLOOKUP(F2100,NXT!$C$12:$C$786,1,0)=F2100,"","x")</f>
        <v/>
      </c>
    </row>
    <row r="2101" spans="1:29" ht="15.75" customHeight="1">
      <c r="A2101" s="827" t="str">
        <f>IF(B2101&lt;&gt;"",IF(AND(B2101&gt;=_TM1,B2101&lt;=_TM2,OR(TH!L2101="1111",TH!M2101="1111")),TH!D2101,""),"")</f>
        <v/>
      </c>
      <c r="B2101" s="36">
        <f t="shared" si="300"/>
        <v>6</v>
      </c>
      <c r="C2101" s="190">
        <f t="shared" si="301"/>
        <v>42551</v>
      </c>
      <c r="D2101" s="190" t="s">
        <v>1629</v>
      </c>
      <c r="E2101" s="190">
        <v>42551</v>
      </c>
      <c r="F2101" s="191" t="s">
        <v>832</v>
      </c>
      <c r="G2101" s="833" t="s">
        <v>804</v>
      </c>
      <c r="H2101" s="192" t="s">
        <v>678</v>
      </c>
      <c r="I2101" s="253">
        <v>40</v>
      </c>
      <c r="J2101" s="253">
        <v>22494</v>
      </c>
      <c r="K2101" s="584">
        <f t="shared" si="302"/>
        <v>899760</v>
      </c>
      <c r="L2101" s="193" t="s">
        <v>251</v>
      </c>
      <c r="M2101" s="193" t="s">
        <v>164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52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26"/>
      <c r="AB2101" s="576" t="str">
        <f>IF(VLOOKUP(F2101,NXT!$C$12:$C$786,1,0)=F2101,"","x")</f>
        <v/>
      </c>
    </row>
    <row r="2102" spans="1:29" ht="15.75" customHeight="1">
      <c r="A2102" s="827" t="str">
        <f>IF(B2102&lt;&gt;"",IF(AND(B2102&gt;=_TM1,B2102&lt;=_TM2,OR(TH!L2102="1111",TH!M2102="1111")),TH!D2102,""),"")</f>
        <v/>
      </c>
      <c r="B2102" s="36">
        <f t="shared" si="300"/>
        <v>6</v>
      </c>
      <c r="C2102" s="190">
        <f t="shared" si="301"/>
        <v>42551</v>
      </c>
      <c r="D2102" s="190" t="s">
        <v>1629</v>
      </c>
      <c r="E2102" s="190">
        <v>42551</v>
      </c>
      <c r="F2102" s="188" t="s">
        <v>503</v>
      </c>
      <c r="G2102" s="833" t="s">
        <v>804</v>
      </c>
      <c r="H2102" s="192" t="s">
        <v>678</v>
      </c>
      <c r="I2102" s="253">
        <v>10</v>
      </c>
      <c r="J2102" s="253">
        <v>42134</v>
      </c>
      <c r="K2102" s="584">
        <f t="shared" si="302"/>
        <v>421340</v>
      </c>
      <c r="L2102" s="193" t="s">
        <v>251</v>
      </c>
      <c r="M2102" s="193" t="s">
        <v>164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52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26"/>
      <c r="AB2102" s="576" t="str">
        <f>IF(VLOOKUP(F2102,NXT!$C$12:$C$786,1,0)=F2102,"","x")</f>
        <v/>
      </c>
    </row>
    <row r="2103" spans="1:29" ht="15.75" customHeight="1">
      <c r="A2103" s="827" t="str">
        <f>IF(B2103&lt;&gt;"",IF(AND(B2103&gt;=_TM1,B2103&lt;=_TM2,OR(TH!L2103="1111",TH!M2103="1111")),TH!D2103,""),"")</f>
        <v/>
      </c>
      <c r="B2103" s="36">
        <f t="shared" si="300"/>
        <v>6</v>
      </c>
      <c r="C2103" s="190">
        <f t="shared" si="301"/>
        <v>42551</v>
      </c>
      <c r="D2103" s="190" t="s">
        <v>1629</v>
      </c>
      <c r="E2103" s="190">
        <v>42551</v>
      </c>
      <c r="F2103" s="188" t="s">
        <v>826</v>
      </c>
      <c r="G2103" s="833" t="s">
        <v>804</v>
      </c>
      <c r="H2103" s="192" t="s">
        <v>678</v>
      </c>
      <c r="I2103" s="253">
        <v>24</v>
      </c>
      <c r="J2103" s="253">
        <v>46805</v>
      </c>
      <c r="K2103" s="584">
        <f t="shared" si="302"/>
        <v>1123320</v>
      </c>
      <c r="L2103" s="193" t="s">
        <v>251</v>
      </c>
      <c r="M2103" s="193" t="s">
        <v>164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52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26"/>
      <c r="AB2103" s="576" t="str">
        <f>IF(VLOOKUP(F2103,NXT!$C$12:$C$786,1,0)=F2103,"","x")</f>
        <v/>
      </c>
    </row>
    <row r="2104" spans="1:29" ht="15.75" customHeight="1">
      <c r="A2104" s="827" t="str">
        <f>IF(B2104&lt;&gt;"",IF(AND(B2104&gt;=_TM1,B2104&lt;=_TM2,OR(TH!L2104="1111",TH!M2104="1111")),TH!D2104,""),"")</f>
        <v/>
      </c>
      <c r="B2104" s="36">
        <f t="shared" si="300"/>
        <v>6</v>
      </c>
      <c r="C2104" s="190">
        <f t="shared" si="301"/>
        <v>42551</v>
      </c>
      <c r="D2104" s="190" t="s">
        <v>1629</v>
      </c>
      <c r="E2104" s="190">
        <v>42551</v>
      </c>
      <c r="F2104" s="188" t="s">
        <v>559</v>
      </c>
      <c r="G2104" s="833" t="s">
        <v>804</v>
      </c>
      <c r="H2104" s="192" t="s">
        <v>678</v>
      </c>
      <c r="I2104" s="253">
        <v>24</v>
      </c>
      <c r="J2104" s="253">
        <v>46759</v>
      </c>
      <c r="K2104" s="584">
        <f t="shared" si="302"/>
        <v>1122216</v>
      </c>
      <c r="L2104" s="193" t="s">
        <v>251</v>
      </c>
      <c r="M2104" s="193" t="s">
        <v>164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52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26"/>
      <c r="AB2104" s="576" t="str">
        <f>IF(VLOOKUP(F2104,NXT!$C$12:$C$786,1,0)=F2104,"","x")</f>
        <v/>
      </c>
    </row>
    <row r="2105" spans="1:29" ht="15.75" customHeight="1">
      <c r="A2105" s="827" t="str">
        <f>IF(B2105&lt;&gt;"",IF(AND(B2105&gt;=_TM1,B2105&lt;=_TM2,OR(TH!L2105="1111",TH!M2105="1111")),TH!D2105,""),"")</f>
        <v/>
      </c>
      <c r="B2105" s="36">
        <f t="shared" si="300"/>
        <v>6</v>
      </c>
      <c r="C2105" s="190">
        <f t="shared" si="301"/>
        <v>42551</v>
      </c>
      <c r="D2105" s="190" t="s">
        <v>1629</v>
      </c>
      <c r="E2105" s="190">
        <v>42551</v>
      </c>
      <c r="F2105" s="40" t="s">
        <v>535</v>
      </c>
      <c r="G2105" s="833" t="s">
        <v>804</v>
      </c>
      <c r="H2105" s="192" t="s">
        <v>678</v>
      </c>
      <c r="I2105" s="253">
        <v>20</v>
      </c>
      <c r="J2105" s="253">
        <v>49208</v>
      </c>
      <c r="K2105" s="584">
        <f t="shared" si="302"/>
        <v>984160</v>
      </c>
      <c r="L2105" s="193" t="s">
        <v>251</v>
      </c>
      <c r="M2105" s="193" t="s">
        <v>164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52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26"/>
      <c r="AB2105" s="576" t="str">
        <f>IF(VLOOKUP(F2105,NXT!$C$12:$C$786,1,0)=F2105,"","x")</f>
        <v/>
      </c>
    </row>
    <row r="2106" spans="1:29" ht="15.75" customHeight="1">
      <c r="A2106" s="827" t="str">
        <f>IF(B2106&lt;&gt;"",IF(AND(B2106&gt;=_TM1,B2106&lt;=_TM2,OR(TH!L2106="1111",TH!M2106="1111")),TH!D2106,""),"")</f>
        <v/>
      </c>
      <c r="B2106" s="36">
        <f t="shared" si="300"/>
        <v>6</v>
      </c>
      <c r="C2106" s="190">
        <f t="shared" si="301"/>
        <v>42551</v>
      </c>
      <c r="D2106" s="190" t="s">
        <v>1629</v>
      </c>
      <c r="E2106" s="190">
        <v>42551</v>
      </c>
      <c r="F2106" s="188" t="s">
        <v>813</v>
      </c>
      <c r="G2106" s="833" t="s">
        <v>804</v>
      </c>
      <c r="H2106" s="192" t="s">
        <v>678</v>
      </c>
      <c r="I2106" s="253">
        <v>70</v>
      </c>
      <c r="J2106" s="253">
        <v>48944</v>
      </c>
      <c r="K2106" s="584">
        <f t="shared" si="302"/>
        <v>3426080</v>
      </c>
      <c r="L2106" s="193" t="s">
        <v>251</v>
      </c>
      <c r="M2106" s="193" t="s">
        <v>164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52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26"/>
      <c r="AB2106" s="576" t="str">
        <f>IF(VLOOKUP(F2106,NXT!$C$12:$C$786,1,0)=F2106,"","x")</f>
        <v/>
      </c>
      <c r="AC2106" s="576"/>
    </row>
    <row r="2107" spans="1:29" ht="15.75" customHeight="1">
      <c r="A2107" s="827" t="str">
        <f>IF(B2107&lt;&gt;"",IF(AND(B2107&gt;=_TM1,B2107&lt;=_TM2,OR(TH!L2107="1111",TH!M2107="1111")),TH!D2107,""),"")</f>
        <v/>
      </c>
      <c r="B2107" s="36">
        <f t="shared" si="300"/>
        <v>6</v>
      </c>
      <c r="C2107" s="190">
        <f t="shared" si="301"/>
        <v>42551</v>
      </c>
      <c r="D2107" s="190" t="s">
        <v>1629</v>
      </c>
      <c r="E2107" s="190">
        <v>42551</v>
      </c>
      <c r="F2107" s="191" t="s">
        <v>813</v>
      </c>
      <c r="G2107" s="833" t="s">
        <v>804</v>
      </c>
      <c r="H2107" s="192" t="s">
        <v>678</v>
      </c>
      <c r="I2107" s="253">
        <v>100</v>
      </c>
      <c r="J2107" s="253">
        <v>49818</v>
      </c>
      <c r="K2107" s="584">
        <f t="shared" si="302"/>
        <v>4981800</v>
      </c>
      <c r="L2107" s="193" t="s">
        <v>251</v>
      </c>
      <c r="M2107" s="193" t="s">
        <v>164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52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26"/>
      <c r="AB2107" s="576" t="str">
        <f>IF(VLOOKUP(F2107,NXT!$C$12:$C$786,1,0)=F2107,"","x")</f>
        <v/>
      </c>
      <c r="AC2107" s="576"/>
    </row>
    <row r="2108" spans="1:29" ht="15.75" customHeight="1">
      <c r="A2108" s="827" t="str">
        <f>IF(B2108&lt;&gt;"",IF(AND(B2108&gt;=_TM1,B2108&lt;=_TM2,OR(TH!L2108="1111",TH!M2108="1111")),TH!D2108,""),"")</f>
        <v/>
      </c>
      <c r="B2108" s="36">
        <f t="shared" si="300"/>
        <v>6</v>
      </c>
      <c r="C2108" s="190">
        <f t="shared" si="301"/>
        <v>42551</v>
      </c>
      <c r="D2108" s="190" t="s">
        <v>1629</v>
      </c>
      <c r="E2108" s="190">
        <v>42551</v>
      </c>
      <c r="F2108" s="191" t="s">
        <v>708</v>
      </c>
      <c r="G2108" s="833" t="s">
        <v>804</v>
      </c>
      <c r="H2108" s="192" t="s">
        <v>678</v>
      </c>
      <c r="I2108" s="253">
        <v>46</v>
      </c>
      <c r="J2108" s="253">
        <v>51129</v>
      </c>
      <c r="K2108" s="584">
        <f t="shared" si="302"/>
        <v>2351934</v>
      </c>
      <c r="L2108" s="193" t="s">
        <v>251</v>
      </c>
      <c r="M2108" s="193" t="s">
        <v>164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52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26"/>
      <c r="AB2108" s="576" t="str">
        <f>IF(VLOOKUP(F2108,NXT!$C$12:$C$786,1,0)=F2108,"","x")</f>
        <v/>
      </c>
      <c r="AC2108" s="576"/>
    </row>
    <row r="2109" spans="1:29" ht="15.75" customHeight="1">
      <c r="A2109" s="827" t="str">
        <f>IF(B2109&lt;&gt;"",IF(AND(B2109&gt;=_TM1,B2109&lt;=_TM2,OR(TH!L2109="1111",TH!M2109="1111")),TH!D2109,""),"")</f>
        <v/>
      </c>
      <c r="B2109" s="36">
        <f t="shared" si="300"/>
        <v>6</v>
      </c>
      <c r="C2109" s="190">
        <f t="shared" si="301"/>
        <v>42551</v>
      </c>
      <c r="D2109" s="190" t="s">
        <v>1629</v>
      </c>
      <c r="E2109" s="190">
        <v>42551</v>
      </c>
      <c r="F2109" s="292" t="s">
        <v>705</v>
      </c>
      <c r="G2109" s="833" t="s">
        <v>804</v>
      </c>
      <c r="H2109" s="192" t="s">
        <v>678</v>
      </c>
      <c r="I2109" s="253">
        <v>12</v>
      </c>
      <c r="J2109" s="253">
        <v>65205</v>
      </c>
      <c r="K2109" s="584">
        <f t="shared" si="302"/>
        <v>782460</v>
      </c>
      <c r="L2109" s="193" t="s">
        <v>251</v>
      </c>
      <c r="M2109" s="193" t="s">
        <v>164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52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26"/>
      <c r="AB2109" s="576" t="str">
        <f>IF(VLOOKUP(F2109,NXT!$C$12:$C$786,1,0)=F2109,"","x")</f>
        <v/>
      </c>
    </row>
    <row r="2110" spans="1:29" ht="15.75" customHeight="1">
      <c r="A2110" s="827" t="str">
        <f>IF(B2110&lt;&gt;"",IF(AND(B2110&gt;=_TM1,B2110&lt;=_TM2,OR(TH!L2110="1111",TH!M2110="1111")),TH!D2110,""),"")</f>
        <v/>
      </c>
      <c r="B2110" s="36">
        <f t="shared" si="300"/>
        <v>6</v>
      </c>
      <c r="C2110" s="190">
        <f t="shared" si="301"/>
        <v>42551</v>
      </c>
      <c r="D2110" s="190" t="s">
        <v>1629</v>
      </c>
      <c r="E2110" s="190">
        <v>42551</v>
      </c>
      <c r="F2110" s="191" t="s">
        <v>705</v>
      </c>
      <c r="G2110" s="833" t="s">
        <v>804</v>
      </c>
      <c r="H2110" s="192" t="s">
        <v>678</v>
      </c>
      <c r="I2110" s="253">
        <v>20</v>
      </c>
      <c r="J2110" s="253">
        <v>63004</v>
      </c>
      <c r="K2110" s="584">
        <f t="shared" si="302"/>
        <v>1260080</v>
      </c>
      <c r="L2110" s="193" t="s">
        <v>251</v>
      </c>
      <c r="M2110" s="193" t="s">
        <v>164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52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26"/>
      <c r="AB2110" s="576" t="str">
        <f>IF(VLOOKUP(F2110,NXT!$C$12:$C$786,1,0)=F2110,"","x")</f>
        <v/>
      </c>
    </row>
    <row r="2111" spans="1:29" ht="15.75" customHeight="1">
      <c r="A2111" s="827" t="str">
        <f>IF(B2111&lt;&gt;"",IF(AND(B2111&gt;=_TM1,B2111&lt;=_TM2,OR(TH!L2111="1111",TH!M2111="1111")),TH!D2111,""),"")</f>
        <v/>
      </c>
      <c r="B2111" s="36">
        <f t="shared" si="300"/>
        <v>6</v>
      </c>
      <c r="C2111" s="190">
        <f t="shared" si="301"/>
        <v>42551</v>
      </c>
      <c r="D2111" s="190" t="s">
        <v>1629</v>
      </c>
      <c r="E2111" s="190">
        <v>42551</v>
      </c>
      <c r="F2111" s="191" t="s">
        <v>537</v>
      </c>
      <c r="G2111" s="833" t="s">
        <v>804</v>
      </c>
      <c r="H2111" s="192" t="s">
        <v>678</v>
      </c>
      <c r="I2111" s="253">
        <v>48</v>
      </c>
      <c r="J2111" s="253">
        <v>31624</v>
      </c>
      <c r="K2111" s="584">
        <f t="shared" si="302"/>
        <v>1517952</v>
      </c>
      <c r="L2111" s="193" t="s">
        <v>251</v>
      </c>
      <c r="M2111" s="193" t="s">
        <v>164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52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26"/>
      <c r="AB2111" s="576" t="str">
        <f>IF(VLOOKUP(F2111,NXT!$C$12:$C$786,1,0)=F2111,"","x")</f>
        <v/>
      </c>
      <c r="AC2111" s="576"/>
    </row>
    <row r="2112" spans="1:29" ht="15.75" customHeight="1">
      <c r="A2112" s="827" t="str">
        <f>IF(B2112&lt;&gt;"",IF(AND(B2112&gt;=_TM1,B2112&lt;=_TM2,OR(TH!L2112="1111",TH!M2112="1111")),TH!D2112,""),"")</f>
        <v/>
      </c>
      <c r="B2112" s="36">
        <f t="shared" si="300"/>
        <v>6</v>
      </c>
      <c r="C2112" s="190">
        <f t="shared" si="301"/>
        <v>42551</v>
      </c>
      <c r="D2112" s="190" t="s">
        <v>1629</v>
      </c>
      <c r="E2112" s="190">
        <v>42551</v>
      </c>
      <c r="F2112" s="188" t="s">
        <v>493</v>
      </c>
      <c r="G2112" s="833" t="s">
        <v>804</v>
      </c>
      <c r="H2112" s="192" t="s">
        <v>678</v>
      </c>
      <c r="I2112" s="253">
        <v>32</v>
      </c>
      <c r="J2112" s="253">
        <v>50190</v>
      </c>
      <c r="K2112" s="584">
        <f t="shared" si="302"/>
        <v>1606080</v>
      </c>
      <c r="L2112" s="193" t="s">
        <v>251</v>
      </c>
      <c r="M2112" s="193" t="s">
        <v>164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52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26"/>
      <c r="AB2112" s="576" t="str">
        <f>IF(VLOOKUP(F2112,NXT!$C$12:$C$786,1,0)=F2112,"","x")</f>
        <v/>
      </c>
    </row>
    <row r="2113" spans="1:30" ht="15.75" customHeight="1">
      <c r="A2113" s="827" t="str">
        <f>IF(B2113&lt;&gt;"",IF(AND(B2113&gt;=_TM1,B2113&lt;=_TM2,OR(TH!L2113="1111",TH!M2113="1111")),TH!D2113,""),"")</f>
        <v/>
      </c>
      <c r="B2113" s="36">
        <f t="shared" si="300"/>
        <v>6</v>
      </c>
      <c r="C2113" s="190">
        <f t="shared" si="301"/>
        <v>42551</v>
      </c>
      <c r="D2113" s="190" t="s">
        <v>1629</v>
      </c>
      <c r="E2113" s="190">
        <v>42551</v>
      </c>
      <c r="F2113" s="188" t="s">
        <v>493</v>
      </c>
      <c r="G2113" s="833" t="s">
        <v>804</v>
      </c>
      <c r="H2113" s="192" t="s">
        <v>678</v>
      </c>
      <c r="I2113" s="253">
        <v>4</v>
      </c>
      <c r="J2113" s="253">
        <v>55474</v>
      </c>
      <c r="K2113" s="584">
        <f t="shared" si="302"/>
        <v>221896</v>
      </c>
      <c r="L2113" s="193" t="s">
        <v>251</v>
      </c>
      <c r="M2113" s="193" t="s">
        <v>164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52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26"/>
      <c r="AB2113" s="576" t="str">
        <f>IF(VLOOKUP(F2113,NXT!$C$12:$C$786,1,0)=F2113,"","x")</f>
        <v/>
      </c>
    </row>
    <row r="2114" spans="1:30" ht="15.75" customHeight="1">
      <c r="A2114" s="827" t="str">
        <f>IF(B2114&lt;&gt;"",IF(AND(B2114&gt;=_TM1,B2114&lt;=_TM2,OR(TH!L2114="1111",TH!M2114="1111")),TH!D2114,""),"")</f>
        <v/>
      </c>
      <c r="B2114" s="36">
        <f t="shared" si="300"/>
        <v>6</v>
      </c>
      <c r="C2114" s="190">
        <f t="shared" si="301"/>
        <v>42551</v>
      </c>
      <c r="D2114" s="190" t="s">
        <v>1629</v>
      </c>
      <c r="E2114" s="190">
        <v>42551</v>
      </c>
      <c r="F2114" s="188" t="s">
        <v>515</v>
      </c>
      <c r="G2114" s="833" t="s">
        <v>804</v>
      </c>
      <c r="H2114" s="192" t="s">
        <v>678</v>
      </c>
      <c r="I2114" s="253">
        <v>4</v>
      </c>
      <c r="J2114" s="253">
        <v>82354</v>
      </c>
      <c r="K2114" s="584">
        <f t="shared" si="302"/>
        <v>329416</v>
      </c>
      <c r="L2114" s="193" t="s">
        <v>251</v>
      </c>
      <c r="M2114" s="193" t="s">
        <v>164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52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26"/>
      <c r="AB2114" s="576" t="str">
        <f>IF(VLOOKUP(F2114,NXT!$C$12:$C$786,1,0)=F2114,"","x")</f>
        <v/>
      </c>
    </row>
    <row r="2115" spans="1:30" ht="15.75" customHeight="1">
      <c r="A2115" s="827" t="str">
        <f>IF(B2115&lt;&gt;"",IF(AND(B2115&gt;=_TM1,B2115&lt;=_TM2,OR(TH!L2115="1111",TH!M2115="1111")),TH!D2115,""),"")</f>
        <v/>
      </c>
      <c r="B2115" s="36">
        <f t="shared" si="300"/>
        <v>6</v>
      </c>
      <c r="C2115" s="190">
        <f t="shared" si="301"/>
        <v>42551</v>
      </c>
      <c r="D2115" s="190" t="s">
        <v>1629</v>
      </c>
      <c r="E2115" s="190">
        <v>42551</v>
      </c>
      <c r="F2115" s="188" t="s">
        <v>515</v>
      </c>
      <c r="G2115" s="833" t="s">
        <v>804</v>
      </c>
      <c r="H2115" s="192" t="s">
        <v>678</v>
      </c>
      <c r="I2115" s="784">
        <v>4</v>
      </c>
      <c r="J2115" s="253">
        <v>82354</v>
      </c>
      <c r="K2115" s="584">
        <f t="shared" si="302"/>
        <v>329416</v>
      </c>
      <c r="L2115" s="193" t="s">
        <v>251</v>
      </c>
      <c r="M2115" s="193" t="s">
        <v>164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52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26"/>
      <c r="AB2115" s="576" t="str">
        <f>IF(VLOOKUP(F2115,NXT!$C$12:$C$786,1,0)=F2115,"","x")</f>
        <v/>
      </c>
    </row>
    <row r="2116" spans="1:30" ht="15.75" customHeight="1">
      <c r="A2116" s="827" t="str">
        <f>IF(B2116&lt;&gt;"",IF(AND(B2116&gt;=_TM1,B2116&lt;=_TM2,OR(TH!L2116="1111",TH!M2116="1111")),TH!D2116,""),"")</f>
        <v/>
      </c>
      <c r="B2116" s="36">
        <f t="shared" si="300"/>
        <v>6</v>
      </c>
      <c r="C2116" s="190">
        <f t="shared" si="301"/>
        <v>42551</v>
      </c>
      <c r="D2116" s="190" t="s">
        <v>1629</v>
      </c>
      <c r="E2116" s="190">
        <v>42551</v>
      </c>
      <c r="F2116" s="292" t="s">
        <v>484</v>
      </c>
      <c r="G2116" s="833" t="s">
        <v>804</v>
      </c>
      <c r="H2116" s="192" t="s">
        <v>678</v>
      </c>
      <c r="I2116" s="254">
        <v>10</v>
      </c>
      <c r="J2116" s="254">
        <v>39249</v>
      </c>
      <c r="K2116" s="584">
        <f t="shared" si="302"/>
        <v>392490</v>
      </c>
      <c r="L2116" s="193" t="s">
        <v>251</v>
      </c>
      <c r="M2116" s="193" t="s">
        <v>164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52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26"/>
      <c r="AB2116" s="576" t="str">
        <f>IF(VLOOKUP(F2116,NXT!$C$12:$C$786,1,0)=F2116,"","x")</f>
        <v/>
      </c>
    </row>
    <row r="2117" spans="1:30" ht="15.75" customHeight="1">
      <c r="A2117" s="827" t="str">
        <f>IF(B2117&lt;&gt;"",IF(AND(B2117&gt;=_TM1,B2117&lt;=_TM2,OR(TH!L2117="1111",TH!M2117="1111")),TH!D2117,""),"")</f>
        <v/>
      </c>
      <c r="B2117" s="36">
        <f t="shared" si="300"/>
        <v>6</v>
      </c>
      <c r="C2117" s="190">
        <f t="shared" si="301"/>
        <v>42551</v>
      </c>
      <c r="D2117" s="190" t="s">
        <v>1629</v>
      </c>
      <c r="E2117" s="190">
        <v>42551</v>
      </c>
      <c r="F2117" s="188" t="s">
        <v>818</v>
      </c>
      <c r="G2117" s="833" t="s">
        <v>804</v>
      </c>
      <c r="H2117" s="192" t="s">
        <v>678</v>
      </c>
      <c r="I2117" s="253">
        <v>4</v>
      </c>
      <c r="J2117" s="253">
        <v>79981</v>
      </c>
      <c r="K2117" s="584">
        <f t="shared" si="302"/>
        <v>319924</v>
      </c>
      <c r="L2117" s="193" t="s">
        <v>251</v>
      </c>
      <c r="M2117" s="193" t="s">
        <v>164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52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26"/>
      <c r="AB2117" s="576" t="str">
        <f>IF(VLOOKUP(F2117,NXT!$C$12:$C$786,1,0)=F2117,"","x")</f>
        <v/>
      </c>
      <c r="AC2117" s="576"/>
    </row>
    <row r="2118" spans="1:30" ht="15.75" customHeight="1">
      <c r="A2118" s="827" t="str">
        <f>IF(B2118&lt;&gt;"",IF(AND(B2118&gt;=_TM1,B2118&lt;=_TM2,OR(TH!L2118="1111",TH!M2118="1111")),TH!D2118,""),"")</f>
        <v/>
      </c>
      <c r="B2118" s="36">
        <f t="shared" si="300"/>
        <v>6</v>
      </c>
      <c r="C2118" s="190">
        <f t="shared" si="301"/>
        <v>42551</v>
      </c>
      <c r="D2118" s="190" t="s">
        <v>1629</v>
      </c>
      <c r="E2118" s="190">
        <v>42551</v>
      </c>
      <c r="F2118" s="188" t="s">
        <v>883</v>
      </c>
      <c r="G2118" s="833" t="s">
        <v>804</v>
      </c>
      <c r="H2118" s="192" t="s">
        <v>678</v>
      </c>
      <c r="I2118" s="253">
        <v>7</v>
      </c>
      <c r="J2118" s="253">
        <v>49480</v>
      </c>
      <c r="K2118" s="584">
        <f t="shared" si="302"/>
        <v>346360</v>
      </c>
      <c r="L2118" s="193" t="s">
        <v>251</v>
      </c>
      <c r="M2118" s="193" t="s">
        <v>164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52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26"/>
      <c r="AB2118" s="576" t="str">
        <f>IF(VLOOKUP(F2118,NXT!$C$12:$C$786,1,0)=F2118,"","x")</f>
        <v/>
      </c>
    </row>
    <row r="2119" spans="1:30" ht="15.75" customHeight="1">
      <c r="A2119" s="827" t="str">
        <f>IF(B2119&lt;&gt;"",IF(AND(B2119&gt;=_TM1,B2119&lt;=_TM2,OR(TH!L2119="1111",TH!M2119="1111")),TH!D2119,""),"")</f>
        <v/>
      </c>
      <c r="B2119" s="36">
        <f t="shared" si="300"/>
        <v>6</v>
      </c>
      <c r="C2119" s="190">
        <f t="shared" si="301"/>
        <v>42551</v>
      </c>
      <c r="D2119" s="190" t="s">
        <v>1629</v>
      </c>
      <c r="E2119" s="190">
        <v>42551</v>
      </c>
      <c r="F2119" s="188" t="s">
        <v>494</v>
      </c>
      <c r="G2119" s="833" t="s">
        <v>804</v>
      </c>
      <c r="H2119" s="192" t="s">
        <v>678</v>
      </c>
      <c r="I2119" s="253">
        <v>10</v>
      </c>
      <c r="J2119" s="253">
        <v>71350</v>
      </c>
      <c r="K2119" s="584">
        <f t="shared" si="302"/>
        <v>713500</v>
      </c>
      <c r="L2119" s="193" t="s">
        <v>251</v>
      </c>
      <c r="M2119" s="193" t="s">
        <v>164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52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26"/>
      <c r="AB2119" s="576" t="str">
        <f>IF(VLOOKUP(F2119,NXT!$C$12:$C$786,1,0)=F2119,"","x")</f>
        <v/>
      </c>
    </row>
    <row r="2120" spans="1:30" ht="15.75" customHeight="1">
      <c r="A2120" s="827" t="str">
        <f>IF(B2120&lt;&gt;"",IF(AND(B2120&gt;=_TM1,B2120&lt;=_TM2,OR(TH!L2120="1111",TH!M2120="1111")),TH!D2120,""),"")</f>
        <v/>
      </c>
      <c r="B2120" s="36">
        <f t="shared" si="300"/>
        <v>6</v>
      </c>
      <c r="C2120" s="190">
        <f t="shared" si="301"/>
        <v>42551</v>
      </c>
      <c r="D2120" s="190" t="s">
        <v>1629</v>
      </c>
      <c r="E2120" s="190">
        <v>42551</v>
      </c>
      <c r="F2120" s="188" t="s">
        <v>477</v>
      </c>
      <c r="G2120" s="833" t="s">
        <v>804</v>
      </c>
      <c r="H2120" s="192" t="s">
        <v>678</v>
      </c>
      <c r="I2120" s="253">
        <v>180</v>
      </c>
      <c r="J2120" s="253">
        <v>66812</v>
      </c>
      <c r="K2120" s="584">
        <f t="shared" si="302"/>
        <v>12026160</v>
      </c>
      <c r="L2120" s="193" t="s">
        <v>251</v>
      </c>
      <c r="M2120" s="193" t="s">
        <v>164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52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26"/>
      <c r="AB2120" s="576" t="str">
        <f>IF(VLOOKUP(F2120,NXT!$C$12:$C$786,1,0)=F2120,"","x")</f>
        <v/>
      </c>
      <c r="AC2120" s="576"/>
      <c r="AD2120" s="576"/>
    </row>
    <row r="2121" spans="1:30" ht="15.75" customHeight="1">
      <c r="A2121" s="827" t="str">
        <f>IF(B2121&lt;&gt;"",IF(AND(B2121&gt;=_TM1,B2121&lt;=_TM2,OR(TH!L2121="1111",TH!M2121="1111")),TH!D2121,""),"")</f>
        <v/>
      </c>
      <c r="B2121" s="36">
        <f t="shared" si="300"/>
        <v>6</v>
      </c>
      <c r="C2121" s="190">
        <f t="shared" si="301"/>
        <v>42551</v>
      </c>
      <c r="D2121" s="190" t="s">
        <v>1629</v>
      </c>
      <c r="E2121" s="190">
        <v>42551</v>
      </c>
      <c r="F2121" s="191" t="s">
        <v>830</v>
      </c>
      <c r="G2121" s="833" t="s">
        <v>804</v>
      </c>
      <c r="H2121" s="192" t="s">
        <v>678</v>
      </c>
      <c r="I2121" s="253">
        <v>25</v>
      </c>
      <c r="J2121" s="253">
        <v>32385</v>
      </c>
      <c r="K2121" s="584">
        <f t="shared" si="302"/>
        <v>809625</v>
      </c>
      <c r="L2121" s="193" t="s">
        <v>251</v>
      </c>
      <c r="M2121" s="193" t="s">
        <v>164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52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26"/>
      <c r="AB2121" s="576" t="str">
        <f>IF(VLOOKUP(F2121,NXT!$C$12:$C$786,1,0)=F2121,"","x")</f>
        <v/>
      </c>
      <c r="AD2121" s="576"/>
    </row>
    <row r="2122" spans="1:30" ht="15.75" customHeight="1">
      <c r="A2122" s="827" t="str">
        <f>IF(B2122&lt;&gt;"",IF(AND(B2122&gt;=_TM1,B2122&lt;=_TM2,OR(TH!L2122="1111",TH!M2122="1111")),TH!D2122,""),"")</f>
        <v/>
      </c>
      <c r="B2122" s="36">
        <f t="shared" si="300"/>
        <v>6</v>
      </c>
      <c r="C2122" s="190">
        <f t="shared" si="301"/>
        <v>42551</v>
      </c>
      <c r="D2122" s="190" t="s">
        <v>1629</v>
      </c>
      <c r="E2122" s="190">
        <v>42551</v>
      </c>
      <c r="F2122" s="191" t="s">
        <v>827</v>
      </c>
      <c r="G2122" s="833" t="s">
        <v>804</v>
      </c>
      <c r="H2122" s="192" t="s">
        <v>678</v>
      </c>
      <c r="I2122" s="253">
        <v>10</v>
      </c>
      <c r="J2122" s="253">
        <v>102207</v>
      </c>
      <c r="K2122" s="584">
        <f t="shared" si="302"/>
        <v>1022070</v>
      </c>
      <c r="L2122" s="193" t="s">
        <v>251</v>
      </c>
      <c r="M2122" s="193" t="s">
        <v>164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52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26"/>
      <c r="AB2122" s="576" t="str">
        <f>IF(VLOOKUP(F2122,NXT!$C$12:$C$786,1,0)=F2122,"","x")</f>
        <v/>
      </c>
    </row>
    <row r="2123" spans="1:30" ht="15.75" customHeight="1">
      <c r="A2123" s="827" t="str">
        <f>IF(B2123&lt;&gt;"",IF(AND(B2123&gt;=_TM1,B2123&lt;=_TM2,OR(TH!L2123="1111",TH!M2123="1111")),TH!D2123,""),"")</f>
        <v/>
      </c>
      <c r="B2123" s="36">
        <f t="shared" si="300"/>
        <v>6</v>
      </c>
      <c r="C2123" s="190">
        <f t="shared" si="301"/>
        <v>42551</v>
      </c>
      <c r="D2123" s="190" t="s">
        <v>1629</v>
      </c>
      <c r="E2123" s="190">
        <v>42551</v>
      </c>
      <c r="F2123" s="188" t="s">
        <v>833</v>
      </c>
      <c r="G2123" s="833" t="s">
        <v>804</v>
      </c>
      <c r="H2123" s="192" t="s">
        <v>678</v>
      </c>
      <c r="I2123" s="256">
        <v>30</v>
      </c>
      <c r="J2123" s="256">
        <v>47059</v>
      </c>
      <c r="K2123" s="584">
        <f t="shared" si="302"/>
        <v>1411770</v>
      </c>
      <c r="L2123" s="193" t="s">
        <v>251</v>
      </c>
      <c r="M2123" s="193" t="s">
        <v>164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52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26"/>
      <c r="AB2123" s="576" t="str">
        <f>IF(VLOOKUP(F2123,NXT!$C$12:$C$786,1,0)=F2123,"","x")</f>
        <v/>
      </c>
      <c r="AD2123" s="576"/>
    </row>
    <row r="2124" spans="1:30" ht="15.75" customHeight="1">
      <c r="A2124" s="827" t="str">
        <f>IF(B2124&lt;&gt;"",IF(AND(B2124&gt;=_TM1,B2124&lt;=_TM2,OR(TH!L2124="1111",TH!M2124="1111")),TH!D2124,""),"")</f>
        <v/>
      </c>
      <c r="B2124" s="36">
        <f t="shared" si="300"/>
        <v>6</v>
      </c>
      <c r="C2124" s="190">
        <f t="shared" si="301"/>
        <v>42551</v>
      </c>
      <c r="D2124" s="190" t="s">
        <v>1629</v>
      </c>
      <c r="E2124" s="190">
        <v>42551</v>
      </c>
      <c r="F2124" s="191" t="s">
        <v>829</v>
      </c>
      <c r="G2124" s="833" t="s">
        <v>804</v>
      </c>
      <c r="H2124" s="192" t="s">
        <v>678</v>
      </c>
      <c r="I2124" s="253">
        <v>20</v>
      </c>
      <c r="J2124" s="253">
        <v>46789</v>
      </c>
      <c r="K2124" s="584">
        <f t="shared" si="302"/>
        <v>935780</v>
      </c>
      <c r="L2124" s="193" t="s">
        <v>251</v>
      </c>
      <c r="M2124" s="193" t="s">
        <v>164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52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26"/>
      <c r="AB2124" s="576" t="str">
        <f>IF(VLOOKUP(F2124,NXT!$C$12:$C$786,1,0)=F2124,"","x")</f>
        <v/>
      </c>
    </row>
    <row r="2125" spans="1:30" ht="15.75" customHeight="1">
      <c r="A2125" s="827" t="str">
        <f>IF(B2125&lt;&gt;"",IF(AND(B2125&gt;=_TM1,B2125&lt;=_TM2,OR(TH!L2125="1111",TH!M2125="1111")),TH!D2125,""),"")</f>
        <v/>
      </c>
      <c r="B2125" s="36">
        <f t="shared" si="300"/>
        <v>6</v>
      </c>
      <c r="C2125" s="190">
        <f t="shared" si="301"/>
        <v>42551</v>
      </c>
      <c r="D2125" s="190" t="s">
        <v>1629</v>
      </c>
      <c r="E2125" s="190">
        <v>42551</v>
      </c>
      <c r="F2125" s="188" t="s">
        <v>819</v>
      </c>
      <c r="G2125" s="833" t="s">
        <v>804</v>
      </c>
      <c r="H2125" s="192" t="s">
        <v>678</v>
      </c>
      <c r="I2125" s="253">
        <v>4</v>
      </c>
      <c r="J2125" s="253">
        <v>122086</v>
      </c>
      <c r="K2125" s="584">
        <f t="shared" si="302"/>
        <v>488344</v>
      </c>
      <c r="L2125" s="193" t="s">
        <v>251</v>
      </c>
      <c r="M2125" s="193" t="s">
        <v>164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52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26"/>
      <c r="AB2125" s="576" t="str">
        <f>IF(VLOOKUP(F2125,NXT!$C$12:$C$786,1,0)=F2125,"","x")</f>
        <v/>
      </c>
      <c r="AC2125" s="576"/>
    </row>
    <row r="2126" spans="1:30" ht="15.75" customHeight="1">
      <c r="A2126" s="827" t="str">
        <f>IF(B2126&lt;&gt;"",IF(AND(B2126&gt;=_TM1,B2126&lt;=_TM2,OR(TH!L2126="1111",TH!M2126="1111")),TH!D2126,""),"")</f>
        <v/>
      </c>
      <c r="B2126" s="36">
        <f t="shared" si="300"/>
        <v>6</v>
      </c>
      <c r="C2126" s="190">
        <f t="shared" si="301"/>
        <v>42551</v>
      </c>
      <c r="D2126" s="190" t="s">
        <v>1629</v>
      </c>
      <c r="E2126" s="190">
        <v>42551</v>
      </c>
      <c r="F2126" s="292" t="s">
        <v>538</v>
      </c>
      <c r="G2126" s="833" t="s">
        <v>804</v>
      </c>
      <c r="H2126" s="192" t="s">
        <v>678</v>
      </c>
      <c r="I2126" s="253">
        <v>36</v>
      </c>
      <c r="J2126" s="253">
        <v>71296</v>
      </c>
      <c r="K2126" s="584">
        <f t="shared" ref="K2126:K2130" si="303">ROUND(I2126*J2126,0)</f>
        <v>2566656</v>
      </c>
      <c r="L2126" s="193" t="s">
        <v>251</v>
      </c>
      <c r="M2126" s="193" t="s">
        <v>164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52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26"/>
      <c r="AB2126" s="576" t="str">
        <f>IF(VLOOKUP(F2126,NXT!$C$12:$C$786,1,0)=F2126,"","x")</f>
        <v/>
      </c>
    </row>
    <row r="2127" spans="1:30" ht="15.75" customHeight="1">
      <c r="A2127" s="827" t="str">
        <f>IF(B2127&lt;&gt;"",IF(AND(B2127&gt;=_TM1,B2127&lt;=_TM2,OR(TH!L2127="1111",TH!M2127="1111")),TH!D2127,""),"")</f>
        <v/>
      </c>
      <c r="B2127" s="36">
        <f t="shared" si="300"/>
        <v>6</v>
      </c>
      <c r="C2127" s="190">
        <f t="shared" si="301"/>
        <v>42551</v>
      </c>
      <c r="D2127" s="190" t="s">
        <v>1629</v>
      </c>
      <c r="E2127" s="190">
        <v>42551</v>
      </c>
      <c r="F2127" s="191" t="s">
        <v>538</v>
      </c>
      <c r="G2127" s="833" t="s">
        <v>804</v>
      </c>
      <c r="H2127" s="192" t="s">
        <v>678</v>
      </c>
      <c r="I2127" s="253">
        <v>30</v>
      </c>
      <c r="J2127" s="253">
        <v>72641</v>
      </c>
      <c r="K2127" s="584">
        <f t="shared" si="303"/>
        <v>2179230</v>
      </c>
      <c r="L2127" s="193" t="s">
        <v>251</v>
      </c>
      <c r="M2127" s="193" t="s">
        <v>164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52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26"/>
      <c r="AB2127" s="576" t="str">
        <f>IF(VLOOKUP(F2127,NXT!$C$12:$C$786,1,0)=F2127,"","x")</f>
        <v/>
      </c>
    </row>
    <row r="2128" spans="1:30" ht="15.75" customHeight="1">
      <c r="A2128" s="827" t="str">
        <f>IF(B2128&lt;&gt;"",IF(AND(B2128&gt;=_TM1,B2128&lt;=_TM2,OR(TH!L2128="1111",TH!M2128="1111")),TH!D2128,""),"")</f>
        <v/>
      </c>
      <c r="B2128" s="36">
        <f t="shared" si="300"/>
        <v>6</v>
      </c>
      <c r="C2128" s="190">
        <f t="shared" si="301"/>
        <v>42551</v>
      </c>
      <c r="D2128" s="190" t="s">
        <v>1629</v>
      </c>
      <c r="E2128" s="190">
        <v>42551</v>
      </c>
      <c r="F2128" s="191" t="s">
        <v>831</v>
      </c>
      <c r="G2128" s="833" t="s">
        <v>804</v>
      </c>
      <c r="H2128" s="192" t="s">
        <v>678</v>
      </c>
      <c r="I2128" s="253">
        <v>25</v>
      </c>
      <c r="J2128" s="253">
        <v>42184</v>
      </c>
      <c r="K2128" s="584">
        <f t="shared" si="303"/>
        <v>1054600</v>
      </c>
      <c r="L2128" s="193" t="s">
        <v>251</v>
      </c>
      <c r="M2128" s="193" t="s">
        <v>164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52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26"/>
      <c r="AB2128" s="576" t="str">
        <f>IF(VLOOKUP(F2128,NXT!$C$12:$C$786,1,0)=F2128,"","x")</f>
        <v/>
      </c>
      <c r="AD2128" s="576"/>
    </row>
    <row r="2129" spans="1:30" ht="15.75" customHeight="1">
      <c r="A2129" s="827" t="str">
        <f>IF(B2129&lt;&gt;"",IF(AND(B2129&gt;=_TM1,B2129&lt;=_TM2,OR(TH!L2129="1111",TH!M2129="1111")),TH!D2129,""),"")</f>
        <v/>
      </c>
      <c r="B2129" s="36">
        <f t="shared" ref="B2129:B2434" si="304">IF(C2129&lt;&gt;"",MONTH(C2129),"")</f>
        <v>6</v>
      </c>
      <c r="C2129" s="190">
        <f t="shared" si="301"/>
        <v>42551</v>
      </c>
      <c r="D2129" s="190" t="s">
        <v>1629</v>
      </c>
      <c r="E2129" s="190">
        <v>42551</v>
      </c>
      <c r="F2129" s="40" t="s">
        <v>702</v>
      </c>
      <c r="G2129" s="833" t="s">
        <v>804</v>
      </c>
      <c r="H2129" s="192" t="s">
        <v>678</v>
      </c>
      <c r="I2129" s="253">
        <v>6</v>
      </c>
      <c r="J2129" s="253">
        <v>67473</v>
      </c>
      <c r="K2129" s="584">
        <f t="shared" si="303"/>
        <v>404838</v>
      </c>
      <c r="L2129" s="193" t="s">
        <v>251</v>
      </c>
      <c r="M2129" s="193" t="s">
        <v>164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52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26"/>
      <c r="AB2129" s="576" t="str">
        <f>IF(VLOOKUP(F2129,NXT!$C$12:$C$786,1,0)=F2129,"","x")</f>
        <v/>
      </c>
    </row>
    <row r="2130" spans="1:30" ht="15.75" customHeight="1">
      <c r="A2130" s="827" t="str">
        <f>IF(B2130&lt;&gt;"",IF(AND(B2130&gt;=_TM1,B2130&lt;=_TM2,OR(TH!L2130="1111",TH!M2130="1111")),TH!D2130,""),"")</f>
        <v/>
      </c>
      <c r="B2130" s="36">
        <f t="shared" si="304"/>
        <v>6</v>
      </c>
      <c r="C2130" s="190">
        <f t="shared" si="301"/>
        <v>42551</v>
      </c>
      <c r="D2130" s="190" t="s">
        <v>1629</v>
      </c>
      <c r="E2130" s="190">
        <v>42551</v>
      </c>
      <c r="F2130" s="292" t="s">
        <v>709</v>
      </c>
      <c r="G2130" s="833" t="s">
        <v>804</v>
      </c>
      <c r="H2130" s="192" t="s">
        <v>678</v>
      </c>
      <c r="I2130" s="253">
        <v>12</v>
      </c>
      <c r="J2130" s="253">
        <v>120393</v>
      </c>
      <c r="K2130" s="584">
        <f t="shared" si="303"/>
        <v>1444716</v>
      </c>
      <c r="L2130" s="193" t="s">
        <v>251</v>
      </c>
      <c r="M2130" s="193" t="s">
        <v>164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52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26"/>
      <c r="AB2130" s="576" t="str">
        <f>IF(VLOOKUP(F2130,NXT!$C$12:$C$786,1,0)=F2130,"","x")</f>
        <v/>
      </c>
    </row>
    <row r="2131" spans="1:30" ht="15.75" customHeight="1">
      <c r="A2131" s="827" t="str">
        <f>IF(B2131&lt;&gt;"",IF(AND(B2131&gt;=_TM1,B2131&lt;=_TM2,OR(TH!L2131="1111",TH!M2131="1111")),TH!D2131,""),"")</f>
        <v/>
      </c>
      <c r="B2131" s="36">
        <f t="shared" si="304"/>
        <v>6</v>
      </c>
      <c r="C2131" s="190">
        <f t="shared" si="301"/>
        <v>42551</v>
      </c>
      <c r="D2131" s="190" t="s">
        <v>1629</v>
      </c>
      <c r="E2131" s="190">
        <v>42551</v>
      </c>
      <c r="F2131" s="191" t="s">
        <v>461</v>
      </c>
      <c r="G2131" s="833" t="s">
        <v>804</v>
      </c>
      <c r="H2131" s="192" t="s">
        <v>678</v>
      </c>
      <c r="I2131" s="253"/>
      <c r="J2131" s="253"/>
      <c r="K2131" s="584">
        <v>11895956</v>
      </c>
      <c r="L2131" s="193" t="s">
        <v>251</v>
      </c>
      <c r="M2131" s="193" t="s">
        <v>354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52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26"/>
      <c r="AB2131" s="576"/>
    </row>
    <row r="2132" spans="1:30" ht="15.75" customHeight="1">
      <c r="A2132" s="827" t="str">
        <f>IF(B2132&lt;&gt;"",IF(AND(B2132&gt;=_TM1,B2132&lt;=_TM2,OR(TH!L2132="1111",TH!M2132="1111")),TH!D2132,""),"")</f>
        <v/>
      </c>
      <c r="B2132" s="36">
        <f t="shared" si="304"/>
        <v>7</v>
      </c>
      <c r="C2132" s="190">
        <f t="shared" ref="C2132:C2441" si="305">E2132</f>
        <v>42562</v>
      </c>
      <c r="D2132" s="190" t="s">
        <v>1578</v>
      </c>
      <c r="E2132" s="190">
        <v>42562</v>
      </c>
      <c r="F2132" s="292" t="s">
        <v>479</v>
      </c>
      <c r="G2132" s="833" t="s">
        <v>1431</v>
      </c>
      <c r="H2132" s="764" t="s">
        <v>639</v>
      </c>
      <c r="I2132" s="253">
        <v>300</v>
      </c>
      <c r="J2132" s="253">
        <v>8030</v>
      </c>
      <c r="K2132" s="584">
        <f t="shared" ref="K2132" si="306">ROUND(I2132*J2132,0)</f>
        <v>2409000</v>
      </c>
      <c r="L2132" s="193" t="s">
        <v>251</v>
      </c>
      <c r="M2132" s="193" t="s">
        <v>164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52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A2132" s="826"/>
      <c r="AB2132" s="576" t="str">
        <f>IF(VLOOKUP(F2132,NXT!$C$12:$C$786,1,0)=F2132,"","x")</f>
        <v/>
      </c>
    </row>
    <row r="2133" spans="1:30" ht="15.75" customHeight="1">
      <c r="A2133" s="827" t="str">
        <f>IF(B2133&lt;&gt;"",IF(AND(B2133&gt;=_TM1,B2133&lt;=_TM2,OR(TH!L2133="1111",TH!M2133="1111")),TH!D2133,""),"")</f>
        <v/>
      </c>
      <c r="B2133" s="36">
        <f t="shared" si="304"/>
        <v>7</v>
      </c>
      <c r="C2133" s="190">
        <f t="shared" si="305"/>
        <v>42562</v>
      </c>
      <c r="D2133" s="190" t="s">
        <v>1578</v>
      </c>
      <c r="E2133" s="190">
        <v>42562</v>
      </c>
      <c r="F2133" s="191" t="s">
        <v>461</v>
      </c>
      <c r="G2133" s="833" t="s">
        <v>1431</v>
      </c>
      <c r="H2133" s="764" t="s">
        <v>639</v>
      </c>
      <c r="I2133" s="253"/>
      <c r="J2133" s="253"/>
      <c r="K2133" s="584">
        <v>240900</v>
      </c>
      <c r="L2133" s="193" t="s">
        <v>251</v>
      </c>
      <c r="M2133" s="193" t="s">
        <v>354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52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A2133" s="826"/>
      <c r="AB2133" s="576"/>
    </row>
    <row r="2134" spans="1:30" ht="15.75" customHeight="1">
      <c r="A2134" s="827" t="str">
        <f>IF(B2134&lt;&gt;"",IF(AND(B2134&gt;=_TM1,B2134&lt;=_TM2,OR(TH!L2134="1111",TH!M2134="1111")),TH!D2134,""),"")</f>
        <v/>
      </c>
      <c r="B2134" s="36">
        <f t="shared" ref="B2134" si="307">IF(C2134&lt;&gt;"",MONTH(C2134),"")</f>
        <v>7</v>
      </c>
      <c r="C2134" s="190">
        <f t="shared" ref="C2134" si="308">E2134</f>
        <v>42562</v>
      </c>
      <c r="D2134" s="190" t="s">
        <v>1578</v>
      </c>
      <c r="E2134" s="190">
        <v>42562</v>
      </c>
      <c r="F2134" s="191" t="s">
        <v>839</v>
      </c>
      <c r="G2134" s="833" t="s">
        <v>1431</v>
      </c>
      <c r="H2134" s="764" t="s">
        <v>639</v>
      </c>
      <c r="I2134" s="253"/>
      <c r="J2134" s="253"/>
      <c r="K2134" s="584">
        <v>2649900</v>
      </c>
      <c r="L2134" s="193" t="s">
        <v>47</v>
      </c>
      <c r="M2134" s="193" t="s">
        <v>251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52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A2134" s="826"/>
      <c r="AB2134" s="576"/>
    </row>
    <row r="2135" spans="1:30" ht="15.75" customHeight="1">
      <c r="A2135" s="827" t="str">
        <f>IF(B2135&lt;&gt;"",IF(AND(B2135&gt;=_TM1,B2135&lt;=_TM2,OR(TH!L2135="1111",TH!M2135="1111")),TH!D2135,""),"")</f>
        <v/>
      </c>
      <c r="B2135" s="36">
        <f t="shared" ref="B2135:B2143" si="309">IF(C2135&lt;&gt;"",MONTH(C2135),"")</f>
        <v>7</v>
      </c>
      <c r="C2135" s="190">
        <f t="shared" ref="C2135:C2143" si="310">E2135</f>
        <v>42565</v>
      </c>
      <c r="D2135" s="190" t="s">
        <v>1579</v>
      </c>
      <c r="E2135" s="190">
        <v>42565</v>
      </c>
      <c r="F2135" s="292" t="s">
        <v>1433</v>
      </c>
      <c r="G2135" s="833" t="s">
        <v>1432</v>
      </c>
      <c r="H2135" s="7" t="s">
        <v>743</v>
      </c>
      <c r="I2135" s="253">
        <v>60</v>
      </c>
      <c r="J2135" s="253">
        <v>38860</v>
      </c>
      <c r="K2135" s="584">
        <f t="shared" ref="K2135:K2143" si="311">ROUND(I2135*J2135,0)</f>
        <v>2331600</v>
      </c>
      <c r="L2135" s="193" t="s">
        <v>251</v>
      </c>
      <c r="M2135" s="193" t="s">
        <v>164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52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A2135" s="826"/>
      <c r="AB2135" s="576" t="str">
        <f>IF(VLOOKUP(F2135,NXT!$C$12:$C$786,1,0)=F2135,"","x")</f>
        <v/>
      </c>
      <c r="AD2135" s="576"/>
    </row>
    <row r="2136" spans="1:30" ht="15.75" customHeight="1">
      <c r="A2136" s="827" t="str">
        <f>IF(B2136&lt;&gt;"",IF(AND(B2136&gt;=_TM1,B2136&lt;=_TM2,OR(TH!L2136="1111",TH!M2136="1111")),TH!D2136,""),"")</f>
        <v/>
      </c>
      <c r="B2136" s="36">
        <f t="shared" si="309"/>
        <v>7</v>
      </c>
      <c r="C2136" s="190">
        <f t="shared" si="310"/>
        <v>42565</v>
      </c>
      <c r="D2136" s="190" t="s">
        <v>1579</v>
      </c>
      <c r="E2136" s="190">
        <v>42565</v>
      </c>
      <c r="F2136" s="292" t="s">
        <v>1434</v>
      </c>
      <c r="G2136" s="833" t="s">
        <v>1432</v>
      </c>
      <c r="H2136" s="7" t="s">
        <v>743</v>
      </c>
      <c r="I2136" s="253">
        <v>80</v>
      </c>
      <c r="J2136" s="253">
        <v>34280</v>
      </c>
      <c r="K2136" s="584">
        <f t="shared" si="311"/>
        <v>2742400</v>
      </c>
      <c r="L2136" s="193" t="s">
        <v>251</v>
      </c>
      <c r="M2136" s="193" t="s">
        <v>164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52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A2136" s="826"/>
      <c r="AB2136" s="576" t="str">
        <f>IF(VLOOKUP(F2136,NXT!$C$12:$C$786,1,0)=F2136,"","x")</f>
        <v/>
      </c>
    </row>
    <row r="2137" spans="1:30" ht="15.75" customHeight="1">
      <c r="A2137" s="827" t="str">
        <f>IF(B2137&lt;&gt;"",IF(AND(B2137&gt;=_TM1,B2137&lt;=_TM2,OR(TH!L2137="1111",TH!M2137="1111")),TH!D2137,""),"")</f>
        <v/>
      </c>
      <c r="B2137" s="36">
        <f t="shared" si="309"/>
        <v>7</v>
      </c>
      <c r="C2137" s="190">
        <f t="shared" si="310"/>
        <v>42565</v>
      </c>
      <c r="D2137" s="190" t="s">
        <v>1579</v>
      </c>
      <c r="E2137" s="190">
        <v>42565</v>
      </c>
      <c r="F2137" s="292" t="s">
        <v>867</v>
      </c>
      <c r="G2137" s="833" t="s">
        <v>1432</v>
      </c>
      <c r="H2137" s="7" t="s">
        <v>743</v>
      </c>
      <c r="I2137" s="253">
        <v>64</v>
      </c>
      <c r="J2137" s="253">
        <v>27350</v>
      </c>
      <c r="K2137" s="584">
        <f t="shared" si="311"/>
        <v>1750400</v>
      </c>
      <c r="L2137" s="193" t="s">
        <v>251</v>
      </c>
      <c r="M2137" s="193" t="s">
        <v>164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52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A2137" s="826"/>
      <c r="AB2137" s="576" t="str">
        <f>IF(VLOOKUP(F2137,NXT!$C$12:$C$786,1,0)=F2137,"","x")</f>
        <v/>
      </c>
    </row>
    <row r="2138" spans="1:30" ht="15.75" customHeight="1">
      <c r="A2138" s="827" t="str">
        <f>IF(B2138&lt;&gt;"",IF(AND(B2138&gt;=_TM1,B2138&lt;=_TM2,OR(TH!L2138="1111",TH!M2138="1111")),TH!D2138,""),"")</f>
        <v/>
      </c>
      <c r="B2138" s="36">
        <f t="shared" si="309"/>
        <v>7</v>
      </c>
      <c r="C2138" s="190">
        <f t="shared" si="310"/>
        <v>42565</v>
      </c>
      <c r="D2138" s="190" t="s">
        <v>1579</v>
      </c>
      <c r="E2138" s="190">
        <v>42565</v>
      </c>
      <c r="F2138" s="292" t="s">
        <v>1435</v>
      </c>
      <c r="G2138" s="833" t="s">
        <v>1432</v>
      </c>
      <c r="H2138" s="7" t="s">
        <v>743</v>
      </c>
      <c r="I2138" s="253">
        <v>55</v>
      </c>
      <c r="J2138" s="253">
        <v>46134</v>
      </c>
      <c r="K2138" s="584">
        <f t="shared" si="311"/>
        <v>2537370</v>
      </c>
      <c r="L2138" s="193" t="s">
        <v>251</v>
      </c>
      <c r="M2138" s="193" t="s">
        <v>164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52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A2138" s="826"/>
      <c r="AB2138" s="576" t="str">
        <f>IF(VLOOKUP(F2138,NXT!$C$12:$C$786,1,0)=F2138,"","x")</f>
        <v/>
      </c>
      <c r="AD2138" s="576"/>
    </row>
    <row r="2139" spans="1:30" ht="15.75" customHeight="1">
      <c r="A2139" s="827" t="str">
        <f>IF(B2139&lt;&gt;"",IF(AND(B2139&gt;=_TM1,B2139&lt;=_TM2,OR(TH!L2139="1111",TH!M2139="1111")),TH!D2139,""),"")</f>
        <v/>
      </c>
      <c r="B2139" s="36">
        <f t="shared" si="309"/>
        <v>7</v>
      </c>
      <c r="C2139" s="190">
        <f t="shared" si="310"/>
        <v>42565</v>
      </c>
      <c r="D2139" s="190" t="s">
        <v>1579</v>
      </c>
      <c r="E2139" s="190">
        <v>42565</v>
      </c>
      <c r="F2139" s="191" t="s">
        <v>461</v>
      </c>
      <c r="G2139" s="833" t="s">
        <v>1432</v>
      </c>
      <c r="H2139" s="7" t="s">
        <v>743</v>
      </c>
      <c r="I2139" s="253"/>
      <c r="J2139" s="253"/>
      <c r="K2139" s="584">
        <v>936177</v>
      </c>
      <c r="L2139" s="193" t="s">
        <v>251</v>
      </c>
      <c r="M2139" s="193" t="s">
        <v>354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52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A2139" s="826"/>
      <c r="AB2139" s="576"/>
    </row>
    <row r="2140" spans="1:30" ht="15.75" customHeight="1">
      <c r="A2140" s="827" t="str">
        <f>IF(B2140&lt;&gt;"",IF(AND(B2140&gt;=_TM1,B2140&lt;=_TM2,OR(TH!L2140="1111",TH!M2140="1111")),TH!D2140,""),"")</f>
        <v/>
      </c>
      <c r="B2140" s="36">
        <f t="shared" si="309"/>
        <v>7</v>
      </c>
      <c r="C2140" s="190">
        <f t="shared" si="310"/>
        <v>42566</v>
      </c>
      <c r="D2140" s="190" t="s">
        <v>1580</v>
      </c>
      <c r="E2140" s="190">
        <v>42566</v>
      </c>
      <c r="F2140" s="292" t="s">
        <v>1438</v>
      </c>
      <c r="G2140" s="833" t="s">
        <v>1436</v>
      </c>
      <c r="H2140" s="192" t="s">
        <v>1437</v>
      </c>
      <c r="I2140" s="253">
        <v>12</v>
      </c>
      <c r="J2140" s="253">
        <v>61328</v>
      </c>
      <c r="K2140" s="584">
        <f t="shared" si="311"/>
        <v>735936</v>
      </c>
      <c r="L2140" s="193" t="s">
        <v>251</v>
      </c>
      <c r="M2140" s="193" t="s">
        <v>164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52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A2140" s="826"/>
      <c r="AB2140" s="576" t="str">
        <f>IF(VLOOKUP(F2140,NXT!$C$12:$C$786,1,0)=F2140,"","x")</f>
        <v/>
      </c>
    </row>
    <row r="2141" spans="1:30" ht="15.75" customHeight="1">
      <c r="A2141" s="827" t="str">
        <f>IF(B2141&lt;&gt;"",IF(AND(B2141&gt;=_TM1,B2141&lt;=_TM2,OR(TH!L2141="1111",TH!M2141="1111")),TH!D2141,""),"")</f>
        <v/>
      </c>
      <c r="B2141" s="36">
        <f t="shared" si="309"/>
        <v>7</v>
      </c>
      <c r="C2141" s="190">
        <f t="shared" si="310"/>
        <v>42566</v>
      </c>
      <c r="D2141" s="190" t="s">
        <v>1580</v>
      </c>
      <c r="E2141" s="190">
        <v>42566</v>
      </c>
      <c r="F2141" s="292" t="s">
        <v>1439</v>
      </c>
      <c r="G2141" s="833" t="s">
        <v>1436</v>
      </c>
      <c r="H2141" s="192" t="s">
        <v>1437</v>
      </c>
      <c r="I2141" s="253">
        <v>12</v>
      </c>
      <c r="J2141" s="253">
        <v>41644</v>
      </c>
      <c r="K2141" s="584">
        <f t="shared" si="311"/>
        <v>499728</v>
      </c>
      <c r="L2141" s="193" t="s">
        <v>251</v>
      </c>
      <c r="M2141" s="193" t="s">
        <v>164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52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A2141" s="826"/>
      <c r="AB2141" s="576" t="str">
        <f>IF(VLOOKUP(F2141,NXT!$C$12:$C$786,1,0)=F2141,"","x")</f>
        <v/>
      </c>
      <c r="AD2141" s="576"/>
    </row>
    <row r="2142" spans="1:30" ht="15.75" customHeight="1">
      <c r="A2142" s="827" t="str">
        <f>IF(B2142&lt;&gt;"",IF(AND(B2142&gt;=_TM1,B2142&lt;=_TM2,OR(TH!L2142="1111",TH!M2142="1111")),TH!D2142,""),"")</f>
        <v/>
      </c>
      <c r="B2142" s="36">
        <f t="shared" si="309"/>
        <v>7</v>
      </c>
      <c r="C2142" s="190">
        <f t="shared" si="310"/>
        <v>42566</v>
      </c>
      <c r="D2142" s="190" t="s">
        <v>1580</v>
      </c>
      <c r="E2142" s="190">
        <v>42566</v>
      </c>
      <c r="F2142" s="292" t="s">
        <v>1440</v>
      </c>
      <c r="G2142" s="833" t="s">
        <v>1436</v>
      </c>
      <c r="H2142" s="192" t="s">
        <v>1437</v>
      </c>
      <c r="I2142" s="253">
        <v>81</v>
      </c>
      <c r="J2142" s="253">
        <v>115858</v>
      </c>
      <c r="K2142" s="584">
        <f t="shared" si="311"/>
        <v>9384498</v>
      </c>
      <c r="L2142" s="193" t="s">
        <v>251</v>
      </c>
      <c r="M2142" s="193" t="s">
        <v>164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52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A2142" s="826"/>
      <c r="AB2142" s="576" t="str">
        <f>IF(VLOOKUP(F2142,NXT!$C$12:$C$786,1,0)=F2142,"","x")</f>
        <v/>
      </c>
    </row>
    <row r="2143" spans="1:30" ht="15.75" customHeight="1">
      <c r="A2143" s="827" t="str">
        <f>IF(B2143&lt;&gt;"",IF(AND(B2143&gt;=_TM1,B2143&lt;=_TM2,OR(TH!L2143="1111",TH!M2143="1111")),TH!D2143,""),"")</f>
        <v/>
      </c>
      <c r="B2143" s="36">
        <f t="shared" si="309"/>
        <v>7</v>
      </c>
      <c r="C2143" s="190">
        <f t="shared" si="310"/>
        <v>42566</v>
      </c>
      <c r="D2143" s="190" t="s">
        <v>1580</v>
      </c>
      <c r="E2143" s="190">
        <v>42566</v>
      </c>
      <c r="F2143" s="292" t="s">
        <v>1441</v>
      </c>
      <c r="G2143" s="833" t="s">
        <v>1436</v>
      </c>
      <c r="H2143" s="192" t="s">
        <v>1437</v>
      </c>
      <c r="I2143" s="253">
        <v>81</v>
      </c>
      <c r="J2143" s="253">
        <v>8265</v>
      </c>
      <c r="K2143" s="584">
        <f t="shared" si="311"/>
        <v>669465</v>
      </c>
      <c r="L2143" s="193" t="s">
        <v>251</v>
      </c>
      <c r="M2143" s="193" t="s">
        <v>164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52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A2143" s="826"/>
      <c r="AB2143" s="576" t="str">
        <f>IF(VLOOKUP(F2143,NXT!$C$12:$C$786,1,0)=F2143,"","x")</f>
        <v/>
      </c>
    </row>
    <row r="2144" spans="1:30" ht="15.75" customHeight="1">
      <c r="A2144" s="827" t="str">
        <f>IF(B2144&lt;&gt;"",IF(AND(B2144&gt;=_TM1,B2144&lt;=_TM2,OR(TH!L2144="1111",TH!M2144="1111")),TH!D2144,""),"")</f>
        <v/>
      </c>
      <c r="B2144" s="36">
        <f t="shared" si="304"/>
        <v>7</v>
      </c>
      <c r="C2144" s="190">
        <f t="shared" si="305"/>
        <v>42566</v>
      </c>
      <c r="D2144" s="190" t="s">
        <v>1580</v>
      </c>
      <c r="E2144" s="190">
        <v>42566</v>
      </c>
      <c r="F2144" s="191" t="s">
        <v>461</v>
      </c>
      <c r="G2144" s="833" t="s">
        <v>1436</v>
      </c>
      <c r="H2144" s="192" t="s">
        <v>1437</v>
      </c>
      <c r="I2144" s="253"/>
      <c r="J2144" s="253"/>
      <c r="K2144" s="584">
        <v>1128963</v>
      </c>
      <c r="L2144" s="193" t="s">
        <v>251</v>
      </c>
      <c r="M2144" s="193" t="s">
        <v>354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52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A2144" s="826"/>
      <c r="AB2144" s="576"/>
      <c r="AD2144" s="576"/>
    </row>
    <row r="2145" spans="1:30" ht="15.75" customHeight="1">
      <c r="A2145" s="827" t="str">
        <f>IF(B2145&lt;&gt;"",IF(AND(B2145&gt;=_TM1,B2145&lt;=_TM2,OR(TH!L2145="1111",TH!M2145="1111")),TH!D2145,""),"")</f>
        <v/>
      </c>
      <c r="B2145" s="36">
        <f t="shared" si="304"/>
        <v>7</v>
      </c>
      <c r="C2145" s="190">
        <f t="shared" si="305"/>
        <v>42569</v>
      </c>
      <c r="D2145" s="190" t="s">
        <v>1581</v>
      </c>
      <c r="E2145" s="190">
        <v>42569</v>
      </c>
      <c r="F2145" s="292" t="s">
        <v>1444</v>
      </c>
      <c r="G2145" s="833" t="s">
        <v>1442</v>
      </c>
      <c r="H2145" s="192" t="s">
        <v>1443</v>
      </c>
      <c r="I2145" s="253">
        <v>200</v>
      </c>
      <c r="J2145" s="253">
        <v>12979</v>
      </c>
      <c r="K2145" s="584">
        <f t="shared" ref="K2145" si="312">ROUND(I2145*J2145,0)</f>
        <v>2595800</v>
      </c>
      <c r="L2145" s="193" t="s">
        <v>251</v>
      </c>
      <c r="M2145" s="193" t="s">
        <v>164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52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A2145" s="826"/>
      <c r="AB2145" s="576" t="str">
        <f>IF(VLOOKUP(F2145,NXT!$C$12:$C$786,1,0)=F2145,"","x")</f>
        <v/>
      </c>
    </row>
    <row r="2146" spans="1:30" ht="15.75" customHeight="1">
      <c r="A2146" s="827" t="str">
        <f>IF(B2146&lt;&gt;"",IF(AND(B2146&gt;=_TM1,B2146&lt;=_TM2,OR(TH!L2146="1111",TH!M2146="1111")),TH!D2146,""),"")</f>
        <v/>
      </c>
      <c r="B2146" s="36">
        <f t="shared" si="304"/>
        <v>7</v>
      </c>
      <c r="C2146" s="190">
        <f t="shared" si="305"/>
        <v>42569</v>
      </c>
      <c r="D2146" s="190" t="s">
        <v>1581</v>
      </c>
      <c r="E2146" s="190">
        <v>42569</v>
      </c>
      <c r="F2146" s="191" t="s">
        <v>461</v>
      </c>
      <c r="G2146" s="833" t="s">
        <v>1442</v>
      </c>
      <c r="H2146" s="192" t="s">
        <v>1443</v>
      </c>
      <c r="I2146" s="253"/>
      <c r="J2146" s="253"/>
      <c r="K2146" s="584">
        <v>259580</v>
      </c>
      <c r="L2146" s="193" t="s">
        <v>251</v>
      </c>
      <c r="M2146" s="193" t="s">
        <v>354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52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A2146" s="826"/>
      <c r="AB2146" s="576"/>
    </row>
    <row r="2147" spans="1:30" ht="15.75" customHeight="1">
      <c r="A2147" s="827" t="str">
        <f>IF(B2147&lt;&gt;"",IF(AND(B2147&gt;=_TM1,B2147&lt;=_TM2,OR(TH!L2147="1111",TH!M2147="1111")),TH!D2147,""),"")</f>
        <v/>
      </c>
      <c r="B2147" s="36">
        <f t="shared" ref="B2147:B2308" si="313">IF(C2147&lt;&gt;"",MONTH(C2147),"")</f>
        <v>7</v>
      </c>
      <c r="C2147" s="190">
        <f t="shared" ref="C2147:C2308" si="314">E2147</f>
        <v>42576</v>
      </c>
      <c r="D2147" s="190" t="s">
        <v>1582</v>
      </c>
      <c r="E2147" s="190">
        <v>42576</v>
      </c>
      <c r="F2147" s="292" t="s">
        <v>921</v>
      </c>
      <c r="G2147" s="833" t="s">
        <v>1445</v>
      </c>
      <c r="H2147" s="7" t="s">
        <v>785</v>
      </c>
      <c r="I2147" s="253">
        <v>5000</v>
      </c>
      <c r="J2147" s="253">
        <v>9000</v>
      </c>
      <c r="K2147" s="584">
        <f t="shared" ref="K2147:K2308" si="315">ROUND(I2147*J2147,0)</f>
        <v>45000000</v>
      </c>
      <c r="L2147" s="193" t="s">
        <v>251</v>
      </c>
      <c r="M2147" s="193" t="s">
        <v>164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52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A2147" s="826"/>
      <c r="AB2147" s="576" t="str">
        <f>IF(VLOOKUP(F2147,NXT!$C$12:$C$786,1,0)=F2147,"","x")</f>
        <v/>
      </c>
      <c r="AD2147" s="576"/>
    </row>
    <row r="2148" spans="1:30" ht="15.75" customHeight="1">
      <c r="A2148" s="827" t="str">
        <f>IF(B2148&lt;&gt;"",IF(AND(B2148&gt;=_TM1,B2148&lt;=_TM2,OR(TH!L2148="1111",TH!M2148="1111")),TH!D2148,""),"")</f>
        <v/>
      </c>
      <c r="B2148" s="36">
        <f t="shared" si="313"/>
        <v>7</v>
      </c>
      <c r="C2148" s="190">
        <f t="shared" si="314"/>
        <v>42576</v>
      </c>
      <c r="D2148" s="190" t="s">
        <v>1582</v>
      </c>
      <c r="E2148" s="190">
        <v>42576</v>
      </c>
      <c r="F2148" s="191" t="s">
        <v>461</v>
      </c>
      <c r="G2148" s="833" t="s">
        <v>1445</v>
      </c>
      <c r="H2148" s="7" t="s">
        <v>785</v>
      </c>
      <c r="I2148" s="253"/>
      <c r="J2148" s="253"/>
      <c r="K2148" s="584">
        <v>4500000</v>
      </c>
      <c r="L2148" s="193" t="s">
        <v>251</v>
      </c>
      <c r="M2148" s="193" t="s">
        <v>354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52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A2148" s="826"/>
      <c r="AB2148" s="576"/>
    </row>
    <row r="2149" spans="1:30" ht="15.75" customHeight="1">
      <c r="A2149" s="827" t="str">
        <f>IF(B2149&lt;&gt;"",IF(AND(B2149&gt;=_TM1,B2149&lt;=_TM2,OR(TH!L2149="1111",TH!M2149="1111")),TH!D2149,""),"")</f>
        <v/>
      </c>
      <c r="B2149" s="36">
        <f t="shared" si="313"/>
        <v>7</v>
      </c>
      <c r="C2149" s="190">
        <f t="shared" si="314"/>
        <v>42576</v>
      </c>
      <c r="D2149" s="190" t="s">
        <v>1583</v>
      </c>
      <c r="E2149" s="190">
        <v>42576</v>
      </c>
      <c r="F2149" s="292" t="s">
        <v>1447</v>
      </c>
      <c r="G2149" s="833" t="s">
        <v>1446</v>
      </c>
      <c r="H2149" s="192" t="s">
        <v>636</v>
      </c>
      <c r="I2149" s="253">
        <v>500</v>
      </c>
      <c r="J2149" s="253">
        <v>20520</v>
      </c>
      <c r="K2149" s="584">
        <f t="shared" si="315"/>
        <v>10260000</v>
      </c>
      <c r="L2149" s="193" t="s">
        <v>251</v>
      </c>
      <c r="M2149" s="193" t="s">
        <v>164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52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A2149" s="826"/>
      <c r="AB2149" s="576" t="str">
        <f>IF(VLOOKUP(F2149,NXT!$C$12:$C$786,1,0)=F2149,"","x")</f>
        <v/>
      </c>
    </row>
    <row r="2150" spans="1:30" ht="15.75" customHeight="1">
      <c r="A2150" s="827" t="str">
        <f>IF(B2150&lt;&gt;"",IF(AND(B2150&gt;=_TM1,B2150&lt;=_TM2,OR(TH!L2150="1111",TH!M2150="1111")),TH!D2150,""),"")</f>
        <v/>
      </c>
      <c r="B2150" s="36">
        <f t="shared" si="313"/>
        <v>7</v>
      </c>
      <c r="C2150" s="190">
        <f t="shared" si="314"/>
        <v>42576</v>
      </c>
      <c r="D2150" s="190" t="s">
        <v>1583</v>
      </c>
      <c r="E2150" s="190">
        <v>42576</v>
      </c>
      <c r="F2150" s="191" t="s">
        <v>461</v>
      </c>
      <c r="G2150" s="833" t="s">
        <v>1446</v>
      </c>
      <c r="H2150" s="192" t="s">
        <v>636</v>
      </c>
      <c r="I2150" s="253"/>
      <c r="J2150" s="253"/>
      <c r="K2150" s="584">
        <v>1026000</v>
      </c>
      <c r="L2150" s="193" t="s">
        <v>251</v>
      </c>
      <c r="M2150" s="193" t="s">
        <v>354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52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A2150" s="826"/>
      <c r="AB2150" s="576"/>
      <c r="AD2150" s="576"/>
    </row>
    <row r="2151" spans="1:30" ht="15.75" customHeight="1">
      <c r="A2151" s="827" t="str">
        <f>IF(B2151&lt;&gt;"",IF(AND(B2151&gt;=_TM1,B2151&lt;=_TM2,OR(TH!L2151="1111",TH!M2151="1111")),TH!D2151,""),"")</f>
        <v/>
      </c>
      <c r="B2151" s="36">
        <f t="shared" si="313"/>
        <v>7</v>
      </c>
      <c r="C2151" s="190">
        <f t="shared" si="314"/>
        <v>42579</v>
      </c>
      <c r="D2151" s="190" t="s">
        <v>1584</v>
      </c>
      <c r="E2151" s="190">
        <v>42579</v>
      </c>
      <c r="F2151" s="292" t="s">
        <v>1450</v>
      </c>
      <c r="G2151" s="833" t="s">
        <v>1448</v>
      </c>
      <c r="H2151" s="192" t="s">
        <v>1449</v>
      </c>
      <c r="I2151" s="253">
        <v>500</v>
      </c>
      <c r="J2151" s="253">
        <v>29930</v>
      </c>
      <c r="K2151" s="584">
        <f t="shared" si="315"/>
        <v>14965000</v>
      </c>
      <c r="L2151" s="193" t="s">
        <v>251</v>
      </c>
      <c r="M2151" s="193" t="s">
        <v>164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52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A2151" s="826"/>
      <c r="AB2151" s="576" t="str">
        <f>IF(VLOOKUP(F2151,NXT!$C$12:$C$786,1,0)=F2151,"","x")</f>
        <v/>
      </c>
    </row>
    <row r="2152" spans="1:30" ht="15.75" customHeight="1">
      <c r="A2152" s="827" t="str">
        <f>IF(B2152&lt;&gt;"",IF(AND(B2152&gt;=_TM1,B2152&lt;=_TM2,OR(TH!L2152="1111",TH!M2152="1111")),TH!D2152,""),"")</f>
        <v/>
      </c>
      <c r="B2152" s="36">
        <f t="shared" si="313"/>
        <v>7</v>
      </c>
      <c r="C2152" s="190">
        <f t="shared" si="314"/>
        <v>42579</v>
      </c>
      <c r="D2152" s="190" t="s">
        <v>1584</v>
      </c>
      <c r="E2152" s="190">
        <v>42579</v>
      </c>
      <c r="F2152" s="191" t="s">
        <v>461</v>
      </c>
      <c r="G2152" s="833" t="s">
        <v>1448</v>
      </c>
      <c r="H2152" s="192" t="s">
        <v>1449</v>
      </c>
      <c r="I2152" s="253"/>
      <c r="J2152" s="253"/>
      <c r="K2152" s="584">
        <v>1496500</v>
      </c>
      <c r="L2152" s="193" t="s">
        <v>251</v>
      </c>
      <c r="M2152" s="193" t="s">
        <v>354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52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A2152" s="826"/>
      <c r="AB2152" s="576"/>
    </row>
    <row r="2153" spans="1:30" ht="15.75" customHeight="1">
      <c r="A2153" s="827" t="str">
        <f>IF(B2153&lt;&gt;"",IF(AND(B2153&gt;=_TM1,B2153&lt;=_TM2,OR(TH!L2153="1111",TH!M2153="1111")),TH!D2153,""),"")</f>
        <v/>
      </c>
      <c r="B2153" s="36">
        <f t="shared" si="313"/>
        <v>7</v>
      </c>
      <c r="C2153" s="190">
        <f t="shared" si="314"/>
        <v>42579</v>
      </c>
      <c r="D2153" s="190"/>
      <c r="E2153" s="190">
        <v>42579</v>
      </c>
      <c r="F2153" s="191" t="s">
        <v>621</v>
      </c>
      <c r="G2153" s="833" t="s">
        <v>1451</v>
      </c>
      <c r="H2153" s="192" t="s">
        <v>679</v>
      </c>
      <c r="I2153" s="253"/>
      <c r="J2153" s="253"/>
      <c r="K2153" s="584">
        <v>2600000</v>
      </c>
      <c r="L2153" s="193" t="s">
        <v>47</v>
      </c>
      <c r="M2153" s="193" t="s">
        <v>623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52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A2153" s="826"/>
      <c r="AB2153" s="576"/>
      <c r="AD2153" s="576"/>
    </row>
    <row r="2154" spans="1:30" ht="15.75" customHeight="1">
      <c r="A2154" s="827" t="str">
        <f>IF(B2154&lt;&gt;"",IF(AND(B2154&gt;=_TM1,B2154&lt;=_TM2,OR(TH!L2154="1111",TH!M2154="1111")),TH!D2154,""),"")</f>
        <v/>
      </c>
      <c r="B2154" s="36">
        <f t="shared" si="313"/>
        <v>7</v>
      </c>
      <c r="C2154" s="190">
        <f t="shared" si="314"/>
        <v>42579</v>
      </c>
      <c r="D2154" s="190"/>
      <c r="E2154" s="190">
        <v>42579</v>
      </c>
      <c r="F2154" s="191" t="s">
        <v>622</v>
      </c>
      <c r="G2154" s="833" t="s">
        <v>1451</v>
      </c>
      <c r="H2154" s="192" t="s">
        <v>679</v>
      </c>
      <c r="I2154" s="253"/>
      <c r="J2154" s="253"/>
      <c r="K2154" s="584">
        <v>260000</v>
      </c>
      <c r="L2154" s="193" t="s">
        <v>47</v>
      </c>
      <c r="M2154" s="193" t="s">
        <v>354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52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A2154" s="826"/>
      <c r="AB2154" s="576"/>
    </row>
    <row r="2155" spans="1:30" ht="15.75" customHeight="1">
      <c r="A2155" s="827" t="str">
        <f>IF(B2155&lt;&gt;"",IF(AND(B2155&gt;=_TM1,B2155&lt;=_TM2,OR(TH!L2155="1111",TH!M2155="1111")),TH!D2155,""),"")</f>
        <v/>
      </c>
      <c r="B2155" s="36">
        <f t="shared" si="313"/>
        <v>7</v>
      </c>
      <c r="C2155" s="190">
        <f t="shared" si="314"/>
        <v>42580</v>
      </c>
      <c r="D2155" s="190" t="s">
        <v>1585</v>
      </c>
      <c r="E2155" s="190">
        <v>42580</v>
      </c>
      <c r="F2155" s="292" t="s">
        <v>1178</v>
      </c>
      <c r="G2155" s="833" t="s">
        <v>1452</v>
      </c>
      <c r="H2155" s="192" t="s">
        <v>662</v>
      </c>
      <c r="I2155" s="253">
        <v>1450</v>
      </c>
      <c r="J2155" s="253">
        <v>35000</v>
      </c>
      <c r="K2155" s="584">
        <f t="shared" si="315"/>
        <v>50750000</v>
      </c>
      <c r="L2155" s="193" t="s">
        <v>251</v>
      </c>
      <c r="M2155" s="193" t="s">
        <v>164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52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A2155" s="826"/>
      <c r="AB2155" s="576" t="str">
        <f>IF(VLOOKUP(F2155,NXT!$C$12:$C$786,1,0)=F2155,"","x")</f>
        <v/>
      </c>
    </row>
    <row r="2156" spans="1:30" ht="15.75" customHeight="1">
      <c r="A2156" s="827" t="str">
        <f>IF(B2156&lt;&gt;"",IF(AND(B2156&gt;=_TM1,B2156&lt;=_TM2,OR(TH!L2156="1111",TH!M2156="1111")),TH!D2156,""),"")</f>
        <v/>
      </c>
      <c r="B2156" s="36">
        <f t="shared" si="313"/>
        <v>7</v>
      </c>
      <c r="C2156" s="190">
        <f t="shared" si="314"/>
        <v>42580</v>
      </c>
      <c r="D2156" s="190" t="s">
        <v>1585</v>
      </c>
      <c r="E2156" s="190">
        <v>42580</v>
      </c>
      <c r="F2156" s="292" t="s">
        <v>1179</v>
      </c>
      <c r="G2156" s="833" t="s">
        <v>1452</v>
      </c>
      <c r="H2156" s="192" t="s">
        <v>662</v>
      </c>
      <c r="I2156" s="253">
        <v>1500</v>
      </c>
      <c r="J2156" s="253">
        <v>32500</v>
      </c>
      <c r="K2156" s="584">
        <f t="shared" si="315"/>
        <v>48750000</v>
      </c>
      <c r="L2156" s="193" t="s">
        <v>251</v>
      </c>
      <c r="M2156" s="193" t="s">
        <v>164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52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A2156" s="826"/>
      <c r="AB2156" s="576" t="str">
        <f>IF(VLOOKUP(F2156,NXT!$C$12:$C$786,1,0)=F2156,"","x")</f>
        <v/>
      </c>
      <c r="AD2156" s="576"/>
    </row>
    <row r="2157" spans="1:30" ht="15.75" customHeight="1">
      <c r="A2157" s="827" t="str">
        <f>IF(B2157&lt;&gt;"",IF(AND(B2157&gt;=_TM1,B2157&lt;=_TM2,OR(TH!L2157="1111",TH!M2157="1111")),TH!D2157,""),"")</f>
        <v/>
      </c>
      <c r="B2157" s="36">
        <f t="shared" si="313"/>
        <v>7</v>
      </c>
      <c r="C2157" s="190">
        <f t="shared" si="314"/>
        <v>42580</v>
      </c>
      <c r="D2157" s="190" t="s">
        <v>1585</v>
      </c>
      <c r="E2157" s="190">
        <v>42580</v>
      </c>
      <c r="F2157" s="290" t="s">
        <v>451</v>
      </c>
      <c r="G2157" s="833" t="s">
        <v>1452</v>
      </c>
      <c r="H2157" s="192" t="s">
        <v>662</v>
      </c>
      <c r="I2157" s="253">
        <v>4300</v>
      </c>
      <c r="J2157" s="253">
        <v>18500</v>
      </c>
      <c r="K2157" s="584">
        <f t="shared" si="315"/>
        <v>79550000</v>
      </c>
      <c r="L2157" s="193" t="s">
        <v>251</v>
      </c>
      <c r="M2157" s="193" t="s">
        <v>164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52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A2157" s="826"/>
      <c r="AB2157" s="576" t="str">
        <f>IF(VLOOKUP(F2157,NXT!$C$12:$C$786,1,0)=F2157,"","x")</f>
        <v/>
      </c>
    </row>
    <row r="2158" spans="1:30" ht="15.75" customHeight="1">
      <c r="A2158" s="827" t="str">
        <f>IF(B2158&lt;&gt;"",IF(AND(B2158&gt;=_TM1,B2158&lt;=_TM2,OR(TH!L2158="1111",TH!M2158="1111")),TH!D2158,""),"")</f>
        <v/>
      </c>
      <c r="B2158" s="36">
        <f t="shared" si="313"/>
        <v>7</v>
      </c>
      <c r="C2158" s="190">
        <f t="shared" si="314"/>
        <v>42580</v>
      </c>
      <c r="D2158" s="190" t="s">
        <v>1585</v>
      </c>
      <c r="E2158" s="190">
        <v>42580</v>
      </c>
      <c r="F2158" s="290" t="s">
        <v>450</v>
      </c>
      <c r="G2158" s="833" t="s">
        <v>1452</v>
      </c>
      <c r="H2158" s="192" t="s">
        <v>662</v>
      </c>
      <c r="I2158" s="253">
        <v>4000</v>
      </c>
      <c r="J2158" s="253">
        <v>18500</v>
      </c>
      <c r="K2158" s="584">
        <f t="shared" si="315"/>
        <v>74000000</v>
      </c>
      <c r="L2158" s="193" t="s">
        <v>251</v>
      </c>
      <c r="M2158" s="193" t="s">
        <v>164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52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A2158" s="826"/>
      <c r="AB2158" s="576" t="str">
        <f>IF(VLOOKUP(F2158,NXT!$C$12:$C$786,1,0)=F2158,"","x")</f>
        <v/>
      </c>
    </row>
    <row r="2159" spans="1:30" ht="15.75" customHeight="1">
      <c r="A2159" s="827" t="str">
        <f>IF(B2159&lt;&gt;"",IF(AND(B2159&gt;=_TM1,B2159&lt;=_TM2,OR(TH!L2159="1111",TH!M2159="1111")),TH!D2159,""),"")</f>
        <v/>
      </c>
      <c r="B2159" s="36">
        <f t="shared" si="313"/>
        <v>7</v>
      </c>
      <c r="C2159" s="190">
        <f t="shared" si="314"/>
        <v>42580</v>
      </c>
      <c r="D2159" s="190" t="s">
        <v>1585</v>
      </c>
      <c r="E2159" s="190">
        <v>42580</v>
      </c>
      <c r="F2159" s="191" t="s">
        <v>461</v>
      </c>
      <c r="G2159" s="833" t="s">
        <v>1452</v>
      </c>
      <c r="H2159" s="192" t="s">
        <v>662</v>
      </c>
      <c r="I2159" s="253"/>
      <c r="J2159" s="253"/>
      <c r="K2159" s="584">
        <v>25305000</v>
      </c>
      <c r="L2159" s="193" t="s">
        <v>251</v>
      </c>
      <c r="M2159" s="193" t="s">
        <v>354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52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A2159" s="826"/>
      <c r="AB2159" s="576"/>
      <c r="AD2159" s="576"/>
    </row>
    <row r="2160" spans="1:30" ht="15.75" customHeight="1">
      <c r="A2160" s="827" t="str">
        <f>IF(B2160&lt;&gt;"",IF(AND(B2160&gt;=_TM1,B2160&lt;=_TM2,OR(TH!L2160="1111",TH!M2160="1111")),TH!D2160,""),"")</f>
        <v/>
      </c>
      <c r="B2160" s="36">
        <f t="shared" si="313"/>
        <v>7</v>
      </c>
      <c r="C2160" s="190">
        <f t="shared" si="314"/>
        <v>42580</v>
      </c>
      <c r="D2160" s="190" t="s">
        <v>1586</v>
      </c>
      <c r="E2160" s="190">
        <v>42580</v>
      </c>
      <c r="F2160" s="292" t="s">
        <v>1455</v>
      </c>
      <c r="G2160" s="833" t="s">
        <v>1453</v>
      </c>
      <c r="H2160" s="192" t="s">
        <v>1454</v>
      </c>
      <c r="I2160" s="253">
        <v>2100</v>
      </c>
      <c r="J2160" s="253">
        <v>8500</v>
      </c>
      <c r="K2160" s="584">
        <f t="shared" si="315"/>
        <v>17850000</v>
      </c>
      <c r="L2160" s="193" t="s">
        <v>251</v>
      </c>
      <c r="M2160" s="193" t="s">
        <v>164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52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A2160" s="826"/>
      <c r="AB2160" s="576" t="str">
        <f>IF(VLOOKUP(F2160,NXT!$C$12:$C$786,1,0)=F2160,"","x")</f>
        <v/>
      </c>
    </row>
    <row r="2161" spans="1:30" ht="15.75" customHeight="1">
      <c r="A2161" s="827" t="str">
        <f>IF(B2161&lt;&gt;"",IF(AND(B2161&gt;=_TM1,B2161&lt;=_TM2,OR(TH!L2161="1111",TH!M2161="1111")),TH!D2161,""),"")</f>
        <v/>
      </c>
      <c r="B2161" s="36">
        <f t="shared" si="313"/>
        <v>7</v>
      </c>
      <c r="C2161" s="190">
        <f t="shared" si="314"/>
        <v>42580</v>
      </c>
      <c r="D2161" s="190" t="s">
        <v>1586</v>
      </c>
      <c r="E2161" s="190">
        <v>42580</v>
      </c>
      <c r="F2161" s="191" t="s">
        <v>461</v>
      </c>
      <c r="G2161" s="833" t="s">
        <v>1453</v>
      </c>
      <c r="H2161" s="192" t="s">
        <v>1454</v>
      </c>
      <c r="I2161" s="253"/>
      <c r="J2161" s="253"/>
      <c r="K2161" s="584">
        <v>1785000</v>
      </c>
      <c r="L2161" s="193" t="s">
        <v>251</v>
      </c>
      <c r="M2161" s="193" t="s">
        <v>354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52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A2161" s="826"/>
      <c r="AB2161" s="576"/>
    </row>
    <row r="2162" spans="1:30" ht="15.75" customHeight="1">
      <c r="A2162" s="827" t="str">
        <f>IF(B2162&lt;&gt;"",IF(AND(B2162&gt;=_TM1,B2162&lt;=_TM2,OR(TH!L2162="1111",TH!M2162="1111")),TH!D2162,""),"")</f>
        <v/>
      </c>
      <c r="B2162" s="36">
        <f t="shared" si="313"/>
        <v>7</v>
      </c>
      <c r="C2162" s="190">
        <f t="shared" si="314"/>
        <v>42581</v>
      </c>
      <c r="D2162" s="190" t="s">
        <v>1587</v>
      </c>
      <c r="E2162" s="190">
        <v>42581</v>
      </c>
      <c r="F2162" s="292" t="s">
        <v>809</v>
      </c>
      <c r="G2162" s="833" t="s">
        <v>1470</v>
      </c>
      <c r="H2162" s="192" t="s">
        <v>678</v>
      </c>
      <c r="I2162" s="253">
        <v>12</v>
      </c>
      <c r="J2162" s="253">
        <v>44814</v>
      </c>
      <c r="K2162" s="584">
        <f t="shared" si="315"/>
        <v>537768</v>
      </c>
      <c r="L2162" s="193" t="s">
        <v>251</v>
      </c>
      <c r="M2162" s="193" t="s">
        <v>164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52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A2162" s="826"/>
      <c r="AB2162" s="576" t="str">
        <f>IF(VLOOKUP(F2162,NXT!$C$12:$C$786,1,0)=F2162,"","x")</f>
        <v/>
      </c>
    </row>
    <row r="2163" spans="1:30" ht="15.75" customHeight="1">
      <c r="A2163" s="827" t="str">
        <f>IF(B2163&lt;&gt;"",IF(AND(B2163&gt;=_TM1,B2163&lt;=_TM2,OR(TH!L2163="1111",TH!M2163="1111")),TH!D2163,""),"")</f>
        <v/>
      </c>
      <c r="B2163" s="36">
        <f t="shared" si="313"/>
        <v>7</v>
      </c>
      <c r="C2163" s="190">
        <f t="shared" si="314"/>
        <v>42581</v>
      </c>
      <c r="D2163" s="190" t="s">
        <v>1587</v>
      </c>
      <c r="E2163" s="190">
        <v>42581</v>
      </c>
      <c r="F2163" s="292" t="s">
        <v>1456</v>
      </c>
      <c r="G2163" s="833" t="s">
        <v>1470</v>
      </c>
      <c r="H2163" s="192" t="s">
        <v>678</v>
      </c>
      <c r="I2163" s="253">
        <v>12</v>
      </c>
      <c r="J2163" s="253">
        <v>45738</v>
      </c>
      <c r="K2163" s="584">
        <f t="shared" si="315"/>
        <v>548856</v>
      </c>
      <c r="L2163" s="193" t="s">
        <v>251</v>
      </c>
      <c r="M2163" s="193" t="s">
        <v>164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52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A2163" s="826"/>
      <c r="AB2163" s="576" t="str">
        <f>IF(VLOOKUP(F2163,NXT!$C$12:$C$786,1,0)=F2163,"","x")</f>
        <v/>
      </c>
    </row>
    <row r="2164" spans="1:30" ht="15.75" customHeight="1">
      <c r="A2164" s="827" t="str">
        <f>IF(B2164&lt;&gt;"",IF(AND(B2164&gt;=_TM1,B2164&lt;=_TM2,OR(TH!L2164="1111",TH!M2164="1111")),TH!D2164,""),"")</f>
        <v/>
      </c>
      <c r="B2164" s="36">
        <f t="shared" si="313"/>
        <v>7</v>
      </c>
      <c r="C2164" s="190">
        <f t="shared" si="314"/>
        <v>42581</v>
      </c>
      <c r="D2164" s="190" t="s">
        <v>1587</v>
      </c>
      <c r="E2164" s="190">
        <v>42581</v>
      </c>
      <c r="F2164" s="292" t="s">
        <v>821</v>
      </c>
      <c r="G2164" s="833" t="s">
        <v>1470</v>
      </c>
      <c r="H2164" s="192" t="s">
        <v>678</v>
      </c>
      <c r="I2164" s="253">
        <v>12</v>
      </c>
      <c r="J2164" s="253">
        <v>49833</v>
      </c>
      <c r="K2164" s="584">
        <f t="shared" si="315"/>
        <v>597996</v>
      </c>
      <c r="L2164" s="193" t="s">
        <v>251</v>
      </c>
      <c r="M2164" s="193" t="s">
        <v>164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52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A2164" s="826"/>
      <c r="AB2164" s="576" t="str">
        <f>IF(VLOOKUP(F2164,NXT!$C$12:$C$786,1,0)=F2164,"","x")</f>
        <v/>
      </c>
      <c r="AD2164" s="576"/>
    </row>
    <row r="2165" spans="1:30" ht="15.75" customHeight="1">
      <c r="A2165" s="827" t="str">
        <f>IF(B2165&lt;&gt;"",IF(AND(B2165&gt;=_TM1,B2165&lt;=_TM2,OR(TH!L2165="1111",TH!M2165="1111")),TH!D2165,""),"")</f>
        <v/>
      </c>
      <c r="B2165" s="36">
        <f t="shared" si="313"/>
        <v>7</v>
      </c>
      <c r="C2165" s="190">
        <f t="shared" si="314"/>
        <v>42581</v>
      </c>
      <c r="D2165" s="190" t="s">
        <v>1587</v>
      </c>
      <c r="E2165" s="190">
        <v>42581</v>
      </c>
      <c r="F2165" s="292" t="s">
        <v>818</v>
      </c>
      <c r="G2165" s="833" t="s">
        <v>1470</v>
      </c>
      <c r="H2165" s="192" t="s">
        <v>678</v>
      </c>
      <c r="I2165" s="253">
        <v>9</v>
      </c>
      <c r="J2165" s="253">
        <v>80546</v>
      </c>
      <c r="K2165" s="584">
        <f t="shared" si="315"/>
        <v>724914</v>
      </c>
      <c r="L2165" s="193" t="s">
        <v>251</v>
      </c>
      <c r="M2165" s="193" t="s">
        <v>164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52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A2165" s="826"/>
      <c r="AB2165" s="576" t="str">
        <f>IF(VLOOKUP(F2165,NXT!$C$12:$C$786,1,0)=F2165,"","x")</f>
        <v/>
      </c>
    </row>
    <row r="2166" spans="1:30" ht="15.75" customHeight="1">
      <c r="A2166" s="827" t="str">
        <f>IF(B2166&lt;&gt;"",IF(AND(B2166&gt;=_TM1,B2166&lt;=_TM2,OR(TH!L2166="1111",TH!M2166="1111")),TH!D2166,""),"")</f>
        <v/>
      </c>
      <c r="B2166" s="36">
        <f t="shared" si="313"/>
        <v>7</v>
      </c>
      <c r="C2166" s="190">
        <f t="shared" si="314"/>
        <v>42581</v>
      </c>
      <c r="D2166" s="190" t="s">
        <v>1587</v>
      </c>
      <c r="E2166" s="190">
        <v>42581</v>
      </c>
      <c r="F2166" s="292" t="s">
        <v>878</v>
      </c>
      <c r="G2166" s="833" t="s">
        <v>1470</v>
      </c>
      <c r="H2166" s="192" t="s">
        <v>678</v>
      </c>
      <c r="I2166" s="253">
        <v>14</v>
      </c>
      <c r="J2166" s="253">
        <v>45864</v>
      </c>
      <c r="K2166" s="584">
        <f t="shared" si="315"/>
        <v>642096</v>
      </c>
      <c r="L2166" s="193" t="s">
        <v>251</v>
      </c>
      <c r="M2166" s="193" t="s">
        <v>164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52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A2166" s="826"/>
      <c r="AB2166" s="576" t="str">
        <f>IF(VLOOKUP(F2166,NXT!$C$12:$C$786,1,0)=F2166,"","x")</f>
        <v/>
      </c>
    </row>
    <row r="2167" spans="1:30" ht="15.75" customHeight="1">
      <c r="A2167" s="827" t="str">
        <f>IF(B2167&lt;&gt;"",IF(AND(B2167&gt;=_TM1,B2167&lt;=_TM2,OR(TH!L2167="1111",TH!M2167="1111")),TH!D2167,""),"")</f>
        <v/>
      </c>
      <c r="B2167" s="36">
        <f t="shared" si="313"/>
        <v>7</v>
      </c>
      <c r="C2167" s="190">
        <f t="shared" si="314"/>
        <v>42581</v>
      </c>
      <c r="D2167" s="190" t="s">
        <v>1587</v>
      </c>
      <c r="E2167" s="190">
        <v>42581</v>
      </c>
      <c r="F2167" s="292" t="s">
        <v>494</v>
      </c>
      <c r="G2167" s="833" t="s">
        <v>1470</v>
      </c>
      <c r="H2167" s="192" t="s">
        <v>678</v>
      </c>
      <c r="I2167" s="253">
        <v>12</v>
      </c>
      <c r="J2167" s="253">
        <v>71870</v>
      </c>
      <c r="K2167" s="584">
        <f t="shared" si="315"/>
        <v>862440</v>
      </c>
      <c r="L2167" s="193" t="s">
        <v>251</v>
      </c>
      <c r="M2167" s="193" t="s">
        <v>164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52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A2167" s="826"/>
      <c r="AB2167" s="576" t="str">
        <f>IF(VLOOKUP(F2167,NXT!$C$12:$C$786,1,0)=F2167,"","x")</f>
        <v/>
      </c>
      <c r="AD2167" s="576"/>
    </row>
    <row r="2168" spans="1:30" ht="15.75" customHeight="1">
      <c r="A2168" s="827" t="str">
        <f>IF(B2168&lt;&gt;"",IF(AND(B2168&gt;=_TM1,B2168&lt;=_TM2,OR(TH!L2168="1111",TH!M2168="1111")),TH!D2168,""),"")</f>
        <v/>
      </c>
      <c r="B2168" s="36">
        <f t="shared" si="313"/>
        <v>7</v>
      </c>
      <c r="C2168" s="190">
        <f t="shared" si="314"/>
        <v>42581</v>
      </c>
      <c r="D2168" s="190" t="s">
        <v>1587</v>
      </c>
      <c r="E2168" s="190">
        <v>42581</v>
      </c>
      <c r="F2168" s="292" t="s">
        <v>809</v>
      </c>
      <c r="G2168" s="833" t="s">
        <v>1470</v>
      </c>
      <c r="H2168" s="192" t="s">
        <v>678</v>
      </c>
      <c r="I2168" s="253">
        <v>24</v>
      </c>
      <c r="J2168" s="253">
        <v>42669</v>
      </c>
      <c r="K2168" s="584">
        <f t="shared" si="315"/>
        <v>1024056</v>
      </c>
      <c r="L2168" s="193" t="s">
        <v>251</v>
      </c>
      <c r="M2168" s="193" t="s">
        <v>164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52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A2168" s="826"/>
      <c r="AB2168" s="576" t="str">
        <f>IF(VLOOKUP(F2168,NXT!$C$12:$C$786,1,0)=F2168,"","x")</f>
        <v/>
      </c>
    </row>
    <row r="2169" spans="1:30" ht="15.75" customHeight="1">
      <c r="A2169" s="827" t="str">
        <f>IF(B2169&lt;&gt;"",IF(AND(B2169&gt;=_TM1,B2169&lt;=_TM2,OR(TH!L2169="1111",TH!M2169="1111")),TH!D2169,""),"")</f>
        <v/>
      </c>
      <c r="B2169" s="36">
        <f t="shared" si="313"/>
        <v>7</v>
      </c>
      <c r="C2169" s="190">
        <f t="shared" si="314"/>
        <v>42581</v>
      </c>
      <c r="D2169" s="190" t="s">
        <v>1587</v>
      </c>
      <c r="E2169" s="190">
        <v>42581</v>
      </c>
      <c r="F2169" s="292" t="s">
        <v>820</v>
      </c>
      <c r="G2169" s="833" t="s">
        <v>1470</v>
      </c>
      <c r="H2169" s="192" t="s">
        <v>678</v>
      </c>
      <c r="I2169" s="253">
        <v>8</v>
      </c>
      <c r="J2169" s="253">
        <v>103488</v>
      </c>
      <c r="K2169" s="584">
        <f t="shared" si="315"/>
        <v>827904</v>
      </c>
      <c r="L2169" s="193" t="s">
        <v>251</v>
      </c>
      <c r="M2169" s="193" t="s">
        <v>164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52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A2169" s="826"/>
      <c r="AB2169" s="576" t="str">
        <f>IF(VLOOKUP(F2169,NXT!$C$12:$C$786,1,0)=F2169,"","x")</f>
        <v/>
      </c>
    </row>
    <row r="2170" spans="1:30" ht="15.75" customHeight="1">
      <c r="A2170" s="827" t="str">
        <f>IF(B2170&lt;&gt;"",IF(AND(B2170&gt;=_TM1,B2170&lt;=_TM2,OR(TH!L2170="1111",TH!M2170="1111")),TH!D2170,""),"")</f>
        <v/>
      </c>
      <c r="B2170" s="36">
        <f t="shared" si="313"/>
        <v>7</v>
      </c>
      <c r="C2170" s="190">
        <f t="shared" si="314"/>
        <v>42581</v>
      </c>
      <c r="D2170" s="190" t="s">
        <v>1587</v>
      </c>
      <c r="E2170" s="190">
        <v>42581</v>
      </c>
      <c r="F2170" s="292" t="s">
        <v>809</v>
      </c>
      <c r="G2170" s="833" t="s">
        <v>1470</v>
      </c>
      <c r="H2170" s="192" t="s">
        <v>678</v>
      </c>
      <c r="I2170" s="253">
        <v>12</v>
      </c>
      <c r="J2170" s="253">
        <v>44814</v>
      </c>
      <c r="K2170" s="584">
        <f t="shared" si="315"/>
        <v>537768</v>
      </c>
      <c r="L2170" s="193" t="s">
        <v>251</v>
      </c>
      <c r="M2170" s="193" t="s">
        <v>164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52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A2170" s="826"/>
      <c r="AB2170" s="576" t="str">
        <f>IF(VLOOKUP(F2170,NXT!$C$12:$C$786,1,0)=F2170,"","x")</f>
        <v/>
      </c>
      <c r="AD2170" s="576"/>
    </row>
    <row r="2171" spans="1:30" ht="15.75" customHeight="1">
      <c r="A2171" s="827" t="str">
        <f>IF(B2171&lt;&gt;"",IF(AND(B2171&gt;=_TM1,B2171&lt;=_TM2,OR(TH!L2171="1111",TH!M2171="1111")),TH!D2171,""),"")</f>
        <v/>
      </c>
      <c r="B2171" s="36">
        <f t="shared" si="313"/>
        <v>7</v>
      </c>
      <c r="C2171" s="190">
        <f t="shared" si="314"/>
        <v>42581</v>
      </c>
      <c r="D2171" s="190" t="s">
        <v>1587</v>
      </c>
      <c r="E2171" s="190">
        <v>42581</v>
      </c>
      <c r="F2171" s="292" t="s">
        <v>822</v>
      </c>
      <c r="G2171" s="833" t="s">
        <v>1470</v>
      </c>
      <c r="H2171" s="192" t="s">
        <v>678</v>
      </c>
      <c r="I2171" s="253">
        <v>12</v>
      </c>
      <c r="J2171" s="253">
        <v>112728</v>
      </c>
      <c r="K2171" s="584">
        <f t="shared" si="315"/>
        <v>1352736</v>
      </c>
      <c r="L2171" s="193" t="s">
        <v>251</v>
      </c>
      <c r="M2171" s="193" t="s">
        <v>164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52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  <c r="AA2171" s="826"/>
      <c r="AB2171" s="576" t="str">
        <f>IF(VLOOKUP(F2171,NXT!$C$12:$C$786,1,0)=F2171,"","x")</f>
        <v/>
      </c>
    </row>
    <row r="2172" spans="1:30" ht="15.75" customHeight="1">
      <c r="A2172" s="827" t="str">
        <f>IF(B2172&lt;&gt;"",IF(AND(B2172&gt;=_TM1,B2172&lt;=_TM2,OR(TH!L2172="1111",TH!M2172="1111")),TH!D2172,""),"")</f>
        <v/>
      </c>
      <c r="B2172" s="36">
        <f t="shared" si="313"/>
        <v>7</v>
      </c>
      <c r="C2172" s="190">
        <f t="shared" si="314"/>
        <v>42581</v>
      </c>
      <c r="D2172" s="190" t="s">
        <v>1587</v>
      </c>
      <c r="E2172" s="190">
        <v>42581</v>
      </c>
      <c r="F2172" s="292" t="s">
        <v>882</v>
      </c>
      <c r="G2172" s="833" t="s">
        <v>1470</v>
      </c>
      <c r="H2172" s="192" t="s">
        <v>678</v>
      </c>
      <c r="I2172" s="253">
        <v>16</v>
      </c>
      <c r="J2172" s="253">
        <v>69350</v>
      </c>
      <c r="K2172" s="584">
        <f t="shared" si="315"/>
        <v>1109600</v>
      </c>
      <c r="L2172" s="193" t="s">
        <v>251</v>
      </c>
      <c r="M2172" s="193" t="s">
        <v>164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52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A2172" s="826"/>
      <c r="AB2172" s="576" t="str">
        <f>IF(VLOOKUP(F2172,NXT!$C$12:$C$786,1,0)=F2172,"","x")</f>
        <v/>
      </c>
    </row>
    <row r="2173" spans="1:30" ht="15.75" customHeight="1">
      <c r="A2173" s="827" t="str">
        <f>IF(B2173&lt;&gt;"",IF(AND(B2173&gt;=_TM1,B2173&lt;=_TM2,OR(TH!L2173="1111",TH!M2173="1111")),TH!D2173,""),"")</f>
        <v/>
      </c>
      <c r="B2173" s="36">
        <f t="shared" si="313"/>
        <v>7</v>
      </c>
      <c r="C2173" s="190">
        <f t="shared" si="314"/>
        <v>42581</v>
      </c>
      <c r="D2173" s="190" t="s">
        <v>1587</v>
      </c>
      <c r="E2173" s="190">
        <v>42581</v>
      </c>
      <c r="F2173" s="292" t="s">
        <v>883</v>
      </c>
      <c r="G2173" s="833" t="s">
        <v>1470</v>
      </c>
      <c r="H2173" s="192" t="s">
        <v>678</v>
      </c>
      <c r="I2173" s="253">
        <v>7</v>
      </c>
      <c r="J2173" s="253">
        <v>49480</v>
      </c>
      <c r="K2173" s="584">
        <f t="shared" si="315"/>
        <v>346360</v>
      </c>
      <c r="L2173" s="193" t="s">
        <v>251</v>
      </c>
      <c r="M2173" s="193" t="s">
        <v>164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52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>x</v>
      </c>
      <c r="AA2173" s="826"/>
      <c r="AB2173" s="576" t="str">
        <f>IF(VLOOKUP(F2173,NXT!$C$12:$C$786,1,0)=F2173,"","x")</f>
        <v/>
      </c>
      <c r="AD2173" s="576"/>
    </row>
    <row r="2174" spans="1:30" ht="15.75" customHeight="1">
      <c r="A2174" s="827" t="str">
        <f>IF(B2174&lt;&gt;"",IF(AND(B2174&gt;=_TM1,B2174&lt;=_TM2,OR(TH!L2174="1111",TH!M2174="1111")),TH!D2174,""),"")</f>
        <v/>
      </c>
      <c r="B2174" s="36">
        <f t="shared" si="313"/>
        <v>7</v>
      </c>
      <c r="C2174" s="190">
        <f t="shared" si="314"/>
        <v>42581</v>
      </c>
      <c r="D2174" s="190" t="s">
        <v>1587</v>
      </c>
      <c r="E2174" s="190">
        <v>42581</v>
      </c>
      <c r="F2174" s="292" t="s">
        <v>818</v>
      </c>
      <c r="G2174" s="833" t="s">
        <v>1470</v>
      </c>
      <c r="H2174" s="192" t="s">
        <v>678</v>
      </c>
      <c r="I2174" s="253">
        <v>4</v>
      </c>
      <c r="J2174" s="253">
        <v>80546</v>
      </c>
      <c r="K2174" s="584">
        <f t="shared" si="315"/>
        <v>322184</v>
      </c>
      <c r="L2174" s="193" t="s">
        <v>251</v>
      </c>
      <c r="M2174" s="193" t="s">
        <v>164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52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>x</v>
      </c>
      <c r="AA2174" s="826"/>
      <c r="AB2174" s="576" t="str">
        <f>IF(VLOOKUP(F2174,NXT!$C$12:$C$786,1,0)=F2174,"","x")</f>
        <v/>
      </c>
    </row>
    <row r="2175" spans="1:30" ht="15.75" customHeight="1">
      <c r="A2175" s="827" t="str">
        <f>IF(B2175&lt;&gt;"",IF(AND(B2175&gt;=_TM1,B2175&lt;=_TM2,OR(TH!L2175="1111",TH!M2175="1111")),TH!D2175,""),"")</f>
        <v/>
      </c>
      <c r="B2175" s="36">
        <f t="shared" si="313"/>
        <v>7</v>
      </c>
      <c r="C2175" s="190">
        <f t="shared" si="314"/>
        <v>42581</v>
      </c>
      <c r="D2175" s="190" t="s">
        <v>1587</v>
      </c>
      <c r="E2175" s="190">
        <v>42581</v>
      </c>
      <c r="F2175" s="292" t="s">
        <v>873</v>
      </c>
      <c r="G2175" s="833" t="s">
        <v>1470</v>
      </c>
      <c r="H2175" s="192" t="s">
        <v>678</v>
      </c>
      <c r="I2175" s="253">
        <v>6</v>
      </c>
      <c r="J2175" s="253">
        <v>44982</v>
      </c>
      <c r="K2175" s="584">
        <f t="shared" si="315"/>
        <v>269892</v>
      </c>
      <c r="L2175" s="193" t="s">
        <v>251</v>
      </c>
      <c r="M2175" s="193" t="s">
        <v>164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52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>x</v>
      </c>
      <c r="AA2175" s="826"/>
      <c r="AB2175" s="576" t="str">
        <f>IF(VLOOKUP(F2175,NXT!$C$12:$C$786,1,0)=F2175,"","x")</f>
        <v/>
      </c>
    </row>
    <row r="2176" spans="1:30" ht="15.75" customHeight="1">
      <c r="A2176" s="827" t="str">
        <f>IF(B2176&lt;&gt;"",IF(AND(B2176&gt;=_TM1,B2176&lt;=_TM2,OR(TH!L2176="1111",TH!M2176="1111")),TH!D2176,""),"")</f>
        <v/>
      </c>
      <c r="B2176" s="36">
        <f t="shared" si="313"/>
        <v>7</v>
      </c>
      <c r="C2176" s="190">
        <f t="shared" si="314"/>
        <v>42581</v>
      </c>
      <c r="D2176" s="190" t="s">
        <v>1587</v>
      </c>
      <c r="E2176" s="190">
        <v>42581</v>
      </c>
      <c r="F2176" s="292" t="s">
        <v>874</v>
      </c>
      <c r="G2176" s="833" t="s">
        <v>1470</v>
      </c>
      <c r="H2176" s="192" t="s">
        <v>678</v>
      </c>
      <c r="I2176" s="253">
        <v>6</v>
      </c>
      <c r="J2176" s="253">
        <v>34507</v>
      </c>
      <c r="K2176" s="584">
        <f t="shared" si="315"/>
        <v>207042</v>
      </c>
      <c r="L2176" s="193" t="s">
        <v>251</v>
      </c>
      <c r="M2176" s="193" t="s">
        <v>164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52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>x</v>
      </c>
      <c r="AA2176" s="826"/>
      <c r="AB2176" s="576" t="str">
        <f>IF(VLOOKUP(F2176,NXT!$C$12:$C$786,1,0)=F2176,"","x")</f>
        <v/>
      </c>
      <c r="AD2176" s="576"/>
    </row>
    <row r="2177" spans="1:30" ht="15.75" customHeight="1">
      <c r="A2177" s="827" t="str">
        <f>IF(B2177&lt;&gt;"",IF(AND(B2177&gt;=_TM1,B2177&lt;=_TM2,OR(TH!L2177="1111",TH!M2177="1111")),TH!D2177,""),"")</f>
        <v/>
      </c>
      <c r="B2177" s="36">
        <f t="shared" si="313"/>
        <v>7</v>
      </c>
      <c r="C2177" s="190">
        <f t="shared" si="314"/>
        <v>42581</v>
      </c>
      <c r="D2177" s="190" t="s">
        <v>1587</v>
      </c>
      <c r="E2177" s="190">
        <v>42581</v>
      </c>
      <c r="F2177" s="292" t="s">
        <v>875</v>
      </c>
      <c r="G2177" s="833" t="s">
        <v>1470</v>
      </c>
      <c r="H2177" s="192" t="s">
        <v>678</v>
      </c>
      <c r="I2177" s="253">
        <v>8</v>
      </c>
      <c r="J2177" s="253">
        <v>55474</v>
      </c>
      <c r="K2177" s="584">
        <f t="shared" si="315"/>
        <v>443792</v>
      </c>
      <c r="L2177" s="193" t="s">
        <v>251</v>
      </c>
      <c r="M2177" s="193" t="s">
        <v>164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52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>x</v>
      </c>
      <c r="AA2177" s="826"/>
      <c r="AB2177" s="576" t="str">
        <f>IF(VLOOKUP(F2177,NXT!$C$12:$C$786,1,0)=F2177,"","x")</f>
        <v/>
      </c>
    </row>
    <row r="2178" spans="1:30" ht="15.75" customHeight="1">
      <c r="A2178" s="827" t="str">
        <f>IF(B2178&lt;&gt;"",IF(AND(B2178&gt;=_TM1,B2178&lt;=_TM2,OR(TH!L2178="1111",TH!M2178="1111")),TH!D2178,""),"")</f>
        <v/>
      </c>
      <c r="B2178" s="36">
        <f t="shared" si="313"/>
        <v>7</v>
      </c>
      <c r="C2178" s="190">
        <f t="shared" si="314"/>
        <v>42581</v>
      </c>
      <c r="D2178" s="190" t="s">
        <v>1587</v>
      </c>
      <c r="E2178" s="190">
        <v>42581</v>
      </c>
      <c r="F2178" s="292" t="s">
        <v>809</v>
      </c>
      <c r="G2178" s="833" t="s">
        <v>1470</v>
      </c>
      <c r="H2178" s="192" t="s">
        <v>678</v>
      </c>
      <c r="I2178" s="253">
        <v>8</v>
      </c>
      <c r="J2178" s="253">
        <v>44814</v>
      </c>
      <c r="K2178" s="584">
        <f t="shared" si="315"/>
        <v>358512</v>
      </c>
      <c r="L2178" s="193" t="s">
        <v>251</v>
      </c>
      <c r="M2178" s="193" t="s">
        <v>164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52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>x</v>
      </c>
      <c r="AA2178" s="826"/>
      <c r="AB2178" s="576" t="str">
        <f>IF(VLOOKUP(F2178,NXT!$C$12:$C$786,1,0)=F2178,"","x")</f>
        <v/>
      </c>
    </row>
    <row r="2179" spans="1:30" ht="15.75" customHeight="1">
      <c r="A2179" s="827" t="str">
        <f>IF(B2179&lt;&gt;"",IF(AND(B2179&gt;=_TM1,B2179&lt;=_TM2,OR(TH!L2179="1111",TH!M2179="1111")),TH!D2179,""),"")</f>
        <v/>
      </c>
      <c r="B2179" s="36">
        <f t="shared" si="313"/>
        <v>7</v>
      </c>
      <c r="C2179" s="190">
        <f t="shared" si="314"/>
        <v>42581</v>
      </c>
      <c r="D2179" s="190" t="s">
        <v>1587</v>
      </c>
      <c r="E2179" s="190">
        <v>42581</v>
      </c>
      <c r="F2179" s="292" t="s">
        <v>864</v>
      </c>
      <c r="G2179" s="833" t="s">
        <v>1470</v>
      </c>
      <c r="H2179" s="192" t="s">
        <v>678</v>
      </c>
      <c r="I2179" s="253">
        <v>15</v>
      </c>
      <c r="J2179" s="253">
        <v>118570</v>
      </c>
      <c r="K2179" s="584">
        <f t="shared" si="315"/>
        <v>1778550</v>
      </c>
      <c r="L2179" s="193" t="s">
        <v>251</v>
      </c>
      <c r="M2179" s="193" t="s">
        <v>164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52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>x</v>
      </c>
      <c r="AA2179" s="826"/>
      <c r="AB2179" s="576" t="str">
        <f>IF(VLOOKUP(F2179,NXT!$C$12:$C$786,1,0)=F2179,"","x")</f>
        <v/>
      </c>
      <c r="AD2179" s="576"/>
    </row>
    <row r="2180" spans="1:30" ht="15.75" customHeight="1">
      <c r="A2180" s="827" t="str">
        <f>IF(B2180&lt;&gt;"",IF(AND(B2180&gt;=_TM1,B2180&lt;=_TM2,OR(TH!L2180="1111",TH!M2180="1111")),TH!D2180,""),"")</f>
        <v/>
      </c>
      <c r="B2180" s="36">
        <f t="shared" si="313"/>
        <v>7</v>
      </c>
      <c r="C2180" s="190">
        <f t="shared" si="314"/>
        <v>42581</v>
      </c>
      <c r="D2180" s="190" t="s">
        <v>1587</v>
      </c>
      <c r="E2180" s="190">
        <v>42581</v>
      </c>
      <c r="F2180" s="292" t="s">
        <v>451</v>
      </c>
      <c r="G2180" s="833" t="s">
        <v>1470</v>
      </c>
      <c r="H2180" s="192" t="s">
        <v>678</v>
      </c>
      <c r="I2180" s="253">
        <v>150</v>
      </c>
      <c r="J2180" s="253">
        <v>10500</v>
      </c>
      <c r="K2180" s="584">
        <f t="shared" si="315"/>
        <v>1575000</v>
      </c>
      <c r="L2180" s="193" t="s">
        <v>251</v>
      </c>
      <c r="M2180" s="193" t="s">
        <v>164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52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>x</v>
      </c>
      <c r="AA2180" s="826"/>
      <c r="AB2180" s="576" t="str">
        <f>IF(VLOOKUP(F2180,NXT!$C$12:$C$786,1,0)=F2180,"","x")</f>
        <v/>
      </c>
    </row>
    <row r="2181" spans="1:30" ht="15.75" customHeight="1">
      <c r="A2181" s="827" t="str">
        <f>IF(B2181&lt;&gt;"",IF(AND(B2181&gt;=_TM1,B2181&lt;=_TM2,OR(TH!L2181="1111",TH!M2181="1111")),TH!D2181,""),"")</f>
        <v/>
      </c>
      <c r="B2181" s="36">
        <f t="shared" si="313"/>
        <v>7</v>
      </c>
      <c r="C2181" s="190">
        <f t="shared" si="314"/>
        <v>42581</v>
      </c>
      <c r="D2181" s="190" t="s">
        <v>1587</v>
      </c>
      <c r="E2181" s="190">
        <v>42581</v>
      </c>
      <c r="F2181" s="292" t="s">
        <v>451</v>
      </c>
      <c r="G2181" s="833" t="s">
        <v>1470</v>
      </c>
      <c r="H2181" s="192" t="s">
        <v>678</v>
      </c>
      <c r="I2181" s="253">
        <v>1147</v>
      </c>
      <c r="J2181" s="253">
        <v>10500</v>
      </c>
      <c r="K2181" s="584">
        <f t="shared" si="315"/>
        <v>12043500</v>
      </c>
      <c r="L2181" s="193" t="s">
        <v>251</v>
      </c>
      <c r="M2181" s="193" t="s">
        <v>164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52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>x</v>
      </c>
      <c r="AA2181" s="826"/>
      <c r="AB2181" s="576" t="str">
        <f>IF(VLOOKUP(F2181,NXT!$C$12:$C$786,1,0)=F2181,"","x")</f>
        <v/>
      </c>
    </row>
    <row r="2182" spans="1:30" ht="15.75" customHeight="1">
      <c r="A2182" s="827" t="str">
        <f>IF(B2182&lt;&gt;"",IF(AND(B2182&gt;=_TM1,B2182&lt;=_TM2,OR(TH!L2182="1111",TH!M2182="1111")),TH!D2182,""),"")</f>
        <v/>
      </c>
      <c r="B2182" s="36">
        <f t="shared" si="313"/>
        <v>7</v>
      </c>
      <c r="C2182" s="190">
        <f t="shared" si="314"/>
        <v>42581</v>
      </c>
      <c r="D2182" s="190" t="s">
        <v>1587</v>
      </c>
      <c r="E2182" s="190">
        <v>42581</v>
      </c>
      <c r="F2182" s="292" t="s">
        <v>490</v>
      </c>
      <c r="G2182" s="833" t="s">
        <v>1470</v>
      </c>
      <c r="H2182" s="192" t="s">
        <v>678</v>
      </c>
      <c r="I2182" s="253">
        <v>4</v>
      </c>
      <c r="J2182" s="253">
        <v>163506</v>
      </c>
      <c r="K2182" s="584">
        <f t="shared" si="315"/>
        <v>654024</v>
      </c>
      <c r="L2182" s="193" t="s">
        <v>251</v>
      </c>
      <c r="M2182" s="193" t="s">
        <v>164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52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>x</v>
      </c>
      <c r="AA2182" s="826"/>
      <c r="AB2182" s="576" t="str">
        <f>IF(VLOOKUP(F2182,NXT!$C$12:$C$786,1,0)=F2182,"","x")</f>
        <v/>
      </c>
      <c r="AD2182" s="576"/>
    </row>
    <row r="2183" spans="1:30" ht="15.75" customHeight="1">
      <c r="A2183" s="827" t="str">
        <f>IF(B2183&lt;&gt;"",IF(AND(B2183&gt;=_TM1,B2183&lt;=_TM2,OR(TH!L2183="1111",TH!M2183="1111")),TH!D2183,""),"")</f>
        <v/>
      </c>
      <c r="B2183" s="36">
        <f t="shared" si="313"/>
        <v>7</v>
      </c>
      <c r="C2183" s="190">
        <f t="shared" si="314"/>
        <v>42581</v>
      </c>
      <c r="D2183" s="190" t="s">
        <v>1587</v>
      </c>
      <c r="E2183" s="190">
        <v>42581</v>
      </c>
      <c r="F2183" s="292" t="s">
        <v>817</v>
      </c>
      <c r="G2183" s="833" t="s">
        <v>1470</v>
      </c>
      <c r="H2183" s="192" t="s">
        <v>678</v>
      </c>
      <c r="I2183" s="253">
        <v>4</v>
      </c>
      <c r="J2183" s="253">
        <v>150570</v>
      </c>
      <c r="K2183" s="584">
        <f t="shared" si="315"/>
        <v>602280</v>
      </c>
      <c r="L2183" s="193" t="s">
        <v>251</v>
      </c>
      <c r="M2183" s="193" t="s">
        <v>164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52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>x</v>
      </c>
      <c r="AA2183" s="826"/>
      <c r="AB2183" s="576" t="str">
        <f>IF(VLOOKUP(F2183,NXT!$C$12:$C$786,1,0)=F2183,"","x")</f>
        <v/>
      </c>
    </row>
    <row r="2184" spans="1:30" ht="15.75" customHeight="1">
      <c r="A2184" s="827" t="str">
        <f>IF(B2184&lt;&gt;"",IF(AND(B2184&gt;=_TM1,B2184&lt;=_TM2,OR(TH!L2184="1111",TH!M2184="1111")),TH!D2184,""),"")</f>
        <v/>
      </c>
      <c r="B2184" s="36">
        <f t="shared" si="313"/>
        <v>7</v>
      </c>
      <c r="C2184" s="190">
        <f t="shared" si="314"/>
        <v>42581</v>
      </c>
      <c r="D2184" s="190" t="s">
        <v>1587</v>
      </c>
      <c r="E2184" s="190">
        <v>42581</v>
      </c>
      <c r="F2184" s="292" t="s">
        <v>823</v>
      </c>
      <c r="G2184" s="833" t="s">
        <v>1470</v>
      </c>
      <c r="H2184" s="192" t="s">
        <v>678</v>
      </c>
      <c r="I2184" s="253">
        <v>2</v>
      </c>
      <c r="J2184" s="253">
        <v>186837</v>
      </c>
      <c r="K2184" s="584">
        <f t="shared" si="315"/>
        <v>373674</v>
      </c>
      <c r="L2184" s="193" t="s">
        <v>251</v>
      </c>
      <c r="M2184" s="193" t="s">
        <v>164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52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>x</v>
      </c>
      <c r="AA2184" s="826"/>
      <c r="AB2184" s="576" t="str">
        <f>IF(VLOOKUP(F2184,NXT!$C$12:$C$786,1,0)=F2184,"","x")</f>
        <v/>
      </c>
    </row>
    <row r="2185" spans="1:30" ht="15.75" customHeight="1">
      <c r="A2185" s="827" t="str">
        <f>IF(B2185&lt;&gt;"",IF(AND(B2185&gt;=_TM1,B2185&lt;=_TM2,OR(TH!L2185="1111",TH!M2185="1111")),TH!D2185,""),"")</f>
        <v/>
      </c>
      <c r="B2185" s="36">
        <f t="shared" si="313"/>
        <v>7</v>
      </c>
      <c r="C2185" s="190">
        <f t="shared" si="314"/>
        <v>42581</v>
      </c>
      <c r="D2185" s="190" t="s">
        <v>1587</v>
      </c>
      <c r="E2185" s="190">
        <v>42581</v>
      </c>
      <c r="F2185" s="292" t="s">
        <v>869</v>
      </c>
      <c r="G2185" s="833" t="s">
        <v>1470</v>
      </c>
      <c r="H2185" s="192" t="s">
        <v>678</v>
      </c>
      <c r="I2185" s="253">
        <v>16</v>
      </c>
      <c r="J2185" s="253">
        <v>19395</v>
      </c>
      <c r="K2185" s="584">
        <f t="shared" si="315"/>
        <v>310320</v>
      </c>
      <c r="L2185" s="193" t="s">
        <v>251</v>
      </c>
      <c r="M2185" s="193" t="s">
        <v>164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52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>x</v>
      </c>
      <c r="AA2185" s="826"/>
      <c r="AB2185" s="576" t="str">
        <f>IF(VLOOKUP(F2185,NXT!$C$12:$C$786,1,0)=F2185,"","x")</f>
        <v/>
      </c>
      <c r="AD2185" s="576"/>
    </row>
    <row r="2186" spans="1:30" ht="15.75" customHeight="1">
      <c r="A2186" s="827" t="str">
        <f>IF(B2186&lt;&gt;"",IF(AND(B2186&gt;=_TM1,B2186&lt;=_TM2,OR(TH!L2186="1111",TH!M2186="1111")),TH!D2186,""),"")</f>
        <v/>
      </c>
      <c r="B2186" s="36">
        <f t="shared" si="313"/>
        <v>7</v>
      </c>
      <c r="C2186" s="190">
        <f t="shared" si="314"/>
        <v>42581</v>
      </c>
      <c r="D2186" s="190" t="s">
        <v>1587</v>
      </c>
      <c r="E2186" s="190">
        <v>42581</v>
      </c>
      <c r="F2186" s="292" t="s">
        <v>468</v>
      </c>
      <c r="G2186" s="833" t="s">
        <v>1470</v>
      </c>
      <c r="H2186" s="192" t="s">
        <v>678</v>
      </c>
      <c r="I2186" s="253">
        <v>6</v>
      </c>
      <c r="J2186" s="253">
        <v>76986</v>
      </c>
      <c r="K2186" s="584">
        <f t="shared" si="315"/>
        <v>461916</v>
      </c>
      <c r="L2186" s="193" t="s">
        <v>251</v>
      </c>
      <c r="M2186" s="193" t="s">
        <v>164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52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>x</v>
      </c>
      <c r="AA2186" s="826"/>
      <c r="AB2186" s="576" t="str">
        <f>IF(VLOOKUP(F2186,NXT!$C$12:$C$786,1,0)=F2186,"","x")</f>
        <v/>
      </c>
    </row>
    <row r="2187" spans="1:30" ht="15.75" customHeight="1">
      <c r="A2187" s="827" t="str">
        <f>IF(B2187&lt;&gt;"",IF(AND(B2187&gt;=_TM1,B2187&lt;=_TM2,OR(TH!L2187="1111",TH!M2187="1111")),TH!D2187,""),"")</f>
        <v/>
      </c>
      <c r="B2187" s="36">
        <f t="shared" si="313"/>
        <v>7</v>
      </c>
      <c r="C2187" s="190">
        <f t="shared" si="314"/>
        <v>42581</v>
      </c>
      <c r="D2187" s="190" t="s">
        <v>1587</v>
      </c>
      <c r="E2187" s="190">
        <v>42581</v>
      </c>
      <c r="F2187" s="292" t="s">
        <v>705</v>
      </c>
      <c r="G2187" s="833" t="s">
        <v>1470</v>
      </c>
      <c r="H2187" s="192" t="s">
        <v>678</v>
      </c>
      <c r="I2187" s="253">
        <v>6</v>
      </c>
      <c r="J2187" s="253">
        <v>40018</v>
      </c>
      <c r="K2187" s="584">
        <f t="shared" si="315"/>
        <v>240108</v>
      </c>
      <c r="L2187" s="193" t="s">
        <v>251</v>
      </c>
      <c r="M2187" s="193" t="s">
        <v>164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52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>x</v>
      </c>
      <c r="AA2187" s="826"/>
      <c r="AB2187" s="576" t="str">
        <f>IF(VLOOKUP(F2187,NXT!$C$12:$C$786,1,0)=F2187,"","x")</f>
        <v/>
      </c>
    </row>
    <row r="2188" spans="1:30" ht="15.75" customHeight="1">
      <c r="A2188" s="827" t="str">
        <f>IF(B2188&lt;&gt;"",IF(AND(B2188&gt;=_TM1,B2188&lt;=_TM2,OR(TH!L2188="1111",TH!M2188="1111")),TH!D2188,""),"")</f>
        <v/>
      </c>
      <c r="B2188" s="36">
        <f t="shared" si="313"/>
        <v>7</v>
      </c>
      <c r="C2188" s="190">
        <f t="shared" si="314"/>
        <v>42581</v>
      </c>
      <c r="D2188" s="190" t="s">
        <v>1587</v>
      </c>
      <c r="E2188" s="190">
        <v>42581</v>
      </c>
      <c r="F2188" s="191" t="s">
        <v>511</v>
      </c>
      <c r="G2188" s="833" t="s">
        <v>1470</v>
      </c>
      <c r="H2188" s="192" t="s">
        <v>678</v>
      </c>
      <c r="I2188" s="253">
        <v>8</v>
      </c>
      <c r="J2188" s="253">
        <v>33466</v>
      </c>
      <c r="K2188" s="584">
        <f t="shared" si="315"/>
        <v>267728</v>
      </c>
      <c r="L2188" s="193" t="s">
        <v>251</v>
      </c>
      <c r="M2188" s="193" t="s">
        <v>164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52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>x</v>
      </c>
      <c r="AA2188" s="826"/>
      <c r="AB2188" s="576" t="str">
        <f>IF(VLOOKUP(F2188,NXT!$C$12:$C$786,1,0)=F2188,"","x")</f>
        <v/>
      </c>
      <c r="AD2188" s="576"/>
    </row>
    <row r="2189" spans="1:30" ht="15.75" customHeight="1">
      <c r="A2189" s="827" t="str">
        <f>IF(B2189&lt;&gt;"",IF(AND(B2189&gt;=_TM1,B2189&lt;=_TM2,OR(TH!L2189="1111",TH!M2189="1111")),TH!D2189,""),"")</f>
        <v/>
      </c>
      <c r="B2189" s="36">
        <f t="shared" si="313"/>
        <v>7</v>
      </c>
      <c r="C2189" s="190">
        <f t="shared" si="314"/>
        <v>42581</v>
      </c>
      <c r="D2189" s="190" t="s">
        <v>1587</v>
      </c>
      <c r="E2189" s="190">
        <v>42581</v>
      </c>
      <c r="F2189" s="292" t="s">
        <v>469</v>
      </c>
      <c r="G2189" s="833" t="s">
        <v>1470</v>
      </c>
      <c r="H2189" s="192" t="s">
        <v>678</v>
      </c>
      <c r="I2189" s="253">
        <v>5</v>
      </c>
      <c r="J2189" s="253">
        <v>62408</v>
      </c>
      <c r="K2189" s="584">
        <f t="shared" si="315"/>
        <v>312040</v>
      </c>
      <c r="L2189" s="193" t="s">
        <v>251</v>
      </c>
      <c r="M2189" s="193" t="s">
        <v>164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52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>x</v>
      </c>
      <c r="AA2189" s="826"/>
      <c r="AB2189" s="576" t="str">
        <f>IF(VLOOKUP(F2189,NXT!$C$12:$C$786,1,0)=F2189,"","x")</f>
        <v/>
      </c>
    </row>
    <row r="2190" spans="1:30" ht="15.75" customHeight="1">
      <c r="A2190" s="827" t="str">
        <f>IF(B2190&lt;&gt;"",IF(AND(B2190&gt;=_TM1,B2190&lt;=_TM2,OR(TH!L2190="1111",TH!M2190="1111")),TH!D2190,""),"")</f>
        <v/>
      </c>
      <c r="B2190" s="36">
        <f t="shared" si="313"/>
        <v>7</v>
      </c>
      <c r="C2190" s="190">
        <f t="shared" si="314"/>
        <v>42581</v>
      </c>
      <c r="D2190" s="190" t="s">
        <v>1587</v>
      </c>
      <c r="E2190" s="190">
        <v>42581</v>
      </c>
      <c r="F2190" s="292" t="s">
        <v>514</v>
      </c>
      <c r="G2190" s="833" t="s">
        <v>1470</v>
      </c>
      <c r="H2190" s="192" t="s">
        <v>678</v>
      </c>
      <c r="I2190" s="253">
        <v>8</v>
      </c>
      <c r="J2190" s="253">
        <v>29812</v>
      </c>
      <c r="K2190" s="584">
        <f t="shared" si="315"/>
        <v>238496</v>
      </c>
      <c r="L2190" s="193" t="s">
        <v>251</v>
      </c>
      <c r="M2190" s="193" t="s">
        <v>164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52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>x</v>
      </c>
      <c r="AA2190" s="826"/>
      <c r="AB2190" s="576" t="str">
        <f>IF(VLOOKUP(F2190,NXT!$C$12:$C$786,1,0)=F2190,"","x")</f>
        <v/>
      </c>
    </row>
    <row r="2191" spans="1:30" ht="15.75" customHeight="1">
      <c r="A2191" s="827" t="str">
        <f>IF(B2191&lt;&gt;"",IF(AND(B2191&gt;=_TM1,B2191&lt;=_TM2,OR(TH!L2191="1111",TH!M2191="1111")),TH!D2191,""),"")</f>
        <v/>
      </c>
      <c r="B2191" s="36">
        <f t="shared" si="313"/>
        <v>7</v>
      </c>
      <c r="C2191" s="190">
        <f t="shared" si="314"/>
        <v>42581</v>
      </c>
      <c r="D2191" s="190" t="s">
        <v>1587</v>
      </c>
      <c r="E2191" s="190">
        <v>42581</v>
      </c>
      <c r="F2191" s="292" t="s">
        <v>464</v>
      </c>
      <c r="G2191" s="833" t="s">
        <v>1470</v>
      </c>
      <c r="H2191" s="192" t="s">
        <v>678</v>
      </c>
      <c r="I2191" s="253">
        <v>6</v>
      </c>
      <c r="J2191" s="253">
        <v>147063</v>
      </c>
      <c r="K2191" s="584">
        <f t="shared" si="315"/>
        <v>882378</v>
      </c>
      <c r="L2191" s="193" t="s">
        <v>251</v>
      </c>
      <c r="M2191" s="193" t="s">
        <v>164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52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>x</v>
      </c>
      <c r="AA2191" s="826"/>
      <c r="AB2191" s="576" t="str">
        <f>IF(VLOOKUP(F2191,NXT!$C$12:$C$786,1,0)=F2191,"","x")</f>
        <v/>
      </c>
      <c r="AD2191" s="576"/>
    </row>
    <row r="2192" spans="1:30" ht="15.75" customHeight="1">
      <c r="A2192" s="827" t="str">
        <f>IF(B2192&lt;&gt;"",IF(AND(B2192&gt;=_TM1,B2192&lt;=_TM2,OR(TH!L2192="1111",TH!M2192="1111")),TH!D2192,""),"")</f>
        <v/>
      </c>
      <c r="B2192" s="36">
        <f t="shared" si="313"/>
        <v>7</v>
      </c>
      <c r="C2192" s="190">
        <f t="shared" si="314"/>
        <v>42581</v>
      </c>
      <c r="D2192" s="190" t="s">
        <v>1587</v>
      </c>
      <c r="E2192" s="190">
        <v>42581</v>
      </c>
      <c r="F2192" s="292" t="s">
        <v>485</v>
      </c>
      <c r="G2192" s="833" t="s">
        <v>1470</v>
      </c>
      <c r="H2192" s="192" t="s">
        <v>678</v>
      </c>
      <c r="I2192" s="253">
        <v>6</v>
      </c>
      <c r="J2192" s="253">
        <v>46851</v>
      </c>
      <c r="K2192" s="584">
        <f t="shared" si="315"/>
        <v>281106</v>
      </c>
      <c r="L2192" s="193" t="s">
        <v>251</v>
      </c>
      <c r="M2192" s="193" t="s">
        <v>164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52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>x</v>
      </c>
      <c r="AA2192" s="826"/>
      <c r="AB2192" s="576" t="str">
        <f>IF(VLOOKUP(F2192,NXT!$C$12:$C$786,1,0)=F2192,"","x")</f>
        <v/>
      </c>
    </row>
    <row r="2193" spans="1:30" ht="15.75" customHeight="1">
      <c r="A2193" s="827" t="str">
        <f>IF(B2193&lt;&gt;"",IF(AND(B2193&gt;=_TM1,B2193&lt;=_TM2,OR(TH!L2193="1111",TH!M2193="1111")),TH!D2193,""),"")</f>
        <v/>
      </c>
      <c r="B2193" s="36">
        <f t="shared" si="313"/>
        <v>7</v>
      </c>
      <c r="C2193" s="190">
        <f t="shared" si="314"/>
        <v>42581</v>
      </c>
      <c r="D2193" s="190" t="s">
        <v>1587</v>
      </c>
      <c r="E2193" s="190">
        <v>42581</v>
      </c>
      <c r="F2193" s="292" t="s">
        <v>720</v>
      </c>
      <c r="G2193" s="833" t="s">
        <v>1470</v>
      </c>
      <c r="H2193" s="192" t="s">
        <v>678</v>
      </c>
      <c r="I2193" s="253">
        <v>6</v>
      </c>
      <c r="J2193" s="253">
        <v>84672</v>
      </c>
      <c r="K2193" s="584">
        <f t="shared" si="315"/>
        <v>508032</v>
      </c>
      <c r="L2193" s="193" t="s">
        <v>251</v>
      </c>
      <c r="M2193" s="193" t="s">
        <v>164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52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>x</v>
      </c>
      <c r="AA2193" s="826"/>
      <c r="AB2193" s="576" t="str">
        <f>IF(VLOOKUP(F2193,NXT!$C$12:$C$786,1,0)=F2193,"","x")</f>
        <v/>
      </c>
    </row>
    <row r="2194" spans="1:30" ht="15.75" customHeight="1">
      <c r="A2194" s="827" t="str">
        <f>IF(B2194&lt;&gt;"",IF(AND(B2194&gt;=_TM1,B2194&lt;=_TM2,OR(TH!L2194="1111",TH!M2194="1111")),TH!D2194,""),"")</f>
        <v/>
      </c>
      <c r="B2194" s="36">
        <f t="shared" si="313"/>
        <v>7</v>
      </c>
      <c r="C2194" s="190">
        <f t="shared" si="314"/>
        <v>42581</v>
      </c>
      <c r="D2194" s="190" t="s">
        <v>1587</v>
      </c>
      <c r="E2194" s="190">
        <v>42581</v>
      </c>
      <c r="F2194" s="292" t="s">
        <v>870</v>
      </c>
      <c r="G2194" s="833" t="s">
        <v>1470</v>
      </c>
      <c r="H2194" s="192" t="s">
        <v>678</v>
      </c>
      <c r="I2194" s="253">
        <v>5</v>
      </c>
      <c r="J2194" s="253">
        <v>88895</v>
      </c>
      <c r="K2194" s="584">
        <f t="shared" si="315"/>
        <v>444475</v>
      </c>
      <c r="L2194" s="193" t="s">
        <v>251</v>
      </c>
      <c r="M2194" s="193" t="s">
        <v>164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52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>x</v>
      </c>
      <c r="AA2194" s="826"/>
      <c r="AB2194" s="576" t="str">
        <f>IF(VLOOKUP(F2194,NXT!$C$12:$C$786,1,0)=F2194,"","x")</f>
        <v/>
      </c>
      <c r="AD2194" s="576"/>
    </row>
    <row r="2195" spans="1:30" ht="15.75" customHeight="1">
      <c r="A2195" s="827" t="str">
        <f>IF(B2195&lt;&gt;"",IF(AND(B2195&gt;=_TM1,B2195&lt;=_TM2,OR(TH!L2195="1111",TH!M2195="1111")),TH!D2195,""),"")</f>
        <v/>
      </c>
      <c r="B2195" s="36">
        <f t="shared" si="313"/>
        <v>7</v>
      </c>
      <c r="C2195" s="190">
        <f t="shared" si="314"/>
        <v>42581</v>
      </c>
      <c r="D2195" s="190" t="s">
        <v>1587</v>
      </c>
      <c r="E2195" s="190">
        <v>42581</v>
      </c>
      <c r="F2195" s="292" t="s">
        <v>817</v>
      </c>
      <c r="G2195" s="833" t="s">
        <v>1470</v>
      </c>
      <c r="H2195" s="192" t="s">
        <v>678</v>
      </c>
      <c r="I2195" s="253">
        <v>8</v>
      </c>
      <c r="J2195" s="253">
        <v>163506</v>
      </c>
      <c r="K2195" s="584">
        <f t="shared" si="315"/>
        <v>1308048</v>
      </c>
      <c r="L2195" s="193" t="s">
        <v>251</v>
      </c>
      <c r="M2195" s="193" t="s">
        <v>164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52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>x</v>
      </c>
      <c r="AA2195" s="826"/>
      <c r="AB2195" s="576" t="str">
        <f>IF(VLOOKUP(F2195,NXT!$C$12:$C$786,1,0)=F2195,"","x")</f>
        <v/>
      </c>
    </row>
    <row r="2196" spans="1:30" ht="15.75" customHeight="1">
      <c r="A2196" s="827" t="str">
        <f>IF(B2196&lt;&gt;"",IF(AND(B2196&gt;=_TM1,B2196&lt;=_TM2,OR(TH!L2196="1111",TH!M2196="1111")),TH!D2196,""),"")</f>
        <v/>
      </c>
      <c r="B2196" s="36">
        <f t="shared" si="313"/>
        <v>7</v>
      </c>
      <c r="C2196" s="190">
        <f t="shared" si="314"/>
        <v>42581</v>
      </c>
      <c r="D2196" s="190" t="s">
        <v>1587</v>
      </c>
      <c r="E2196" s="190">
        <v>42581</v>
      </c>
      <c r="F2196" s="292" t="s">
        <v>817</v>
      </c>
      <c r="G2196" s="833" t="s">
        <v>1470</v>
      </c>
      <c r="H2196" s="192" t="s">
        <v>678</v>
      </c>
      <c r="I2196" s="253">
        <v>10</v>
      </c>
      <c r="J2196" s="253">
        <v>150570</v>
      </c>
      <c r="K2196" s="584">
        <f t="shared" si="315"/>
        <v>1505700</v>
      </c>
      <c r="L2196" s="193" t="s">
        <v>251</v>
      </c>
      <c r="M2196" s="193" t="s">
        <v>164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52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>x</v>
      </c>
      <c r="AA2196" s="826"/>
      <c r="AB2196" s="576" t="str">
        <f>IF(VLOOKUP(F2196,NXT!$C$12:$C$786,1,0)=F2196,"","x")</f>
        <v/>
      </c>
    </row>
    <row r="2197" spans="1:30" ht="15.75" customHeight="1">
      <c r="A2197" s="827" t="str">
        <f>IF(B2197&lt;&gt;"",IF(AND(B2197&gt;=_TM1,B2197&lt;=_TM2,OR(TH!L2197="1111",TH!M2197="1111")),TH!D2197,""),"")</f>
        <v/>
      </c>
      <c r="B2197" s="36">
        <f t="shared" si="313"/>
        <v>7</v>
      </c>
      <c r="C2197" s="190">
        <f t="shared" si="314"/>
        <v>42581</v>
      </c>
      <c r="D2197" s="190" t="s">
        <v>1587</v>
      </c>
      <c r="E2197" s="190">
        <v>42581</v>
      </c>
      <c r="F2197" s="292" t="s">
        <v>490</v>
      </c>
      <c r="G2197" s="833" t="s">
        <v>1470</v>
      </c>
      <c r="H2197" s="192" t="s">
        <v>678</v>
      </c>
      <c r="I2197" s="253">
        <v>4</v>
      </c>
      <c r="J2197" s="253">
        <v>163506</v>
      </c>
      <c r="K2197" s="584">
        <f t="shared" si="315"/>
        <v>654024</v>
      </c>
      <c r="L2197" s="193" t="s">
        <v>251</v>
      </c>
      <c r="M2197" s="193" t="s">
        <v>164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52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>x</v>
      </c>
      <c r="AA2197" s="826"/>
      <c r="AB2197" s="576" t="str">
        <f>IF(VLOOKUP(F2197,NXT!$C$12:$C$786,1,0)=F2197,"","x")</f>
        <v/>
      </c>
      <c r="AD2197" s="576"/>
    </row>
    <row r="2198" spans="1:30" ht="15.75" customHeight="1">
      <c r="A2198" s="827" t="str">
        <f>IF(B2198&lt;&gt;"",IF(AND(B2198&gt;=_TM1,B2198&lt;=_TM2,OR(TH!L2198="1111",TH!M2198="1111")),TH!D2198,""),"")</f>
        <v/>
      </c>
      <c r="B2198" s="36">
        <f t="shared" si="313"/>
        <v>7</v>
      </c>
      <c r="C2198" s="190">
        <f t="shared" si="314"/>
        <v>42581</v>
      </c>
      <c r="D2198" s="190" t="s">
        <v>1587</v>
      </c>
      <c r="E2198" s="190">
        <v>42581</v>
      </c>
      <c r="F2198" s="292" t="s">
        <v>515</v>
      </c>
      <c r="G2198" s="833" t="s">
        <v>1470</v>
      </c>
      <c r="H2198" s="192" t="s">
        <v>678</v>
      </c>
      <c r="I2198" s="253">
        <v>4</v>
      </c>
      <c r="J2198" s="253">
        <v>82895</v>
      </c>
      <c r="K2198" s="584">
        <f t="shared" si="315"/>
        <v>331580</v>
      </c>
      <c r="L2198" s="193" t="s">
        <v>251</v>
      </c>
      <c r="M2198" s="193" t="s">
        <v>164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52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>x</v>
      </c>
      <c r="AA2198" s="826"/>
      <c r="AB2198" s="576" t="str">
        <f>IF(VLOOKUP(F2198,NXT!$C$12:$C$786,1,0)=F2198,"","x")</f>
        <v/>
      </c>
    </row>
    <row r="2199" spans="1:30" ht="15.75" customHeight="1">
      <c r="A2199" s="827" t="str">
        <f>IF(B2199&lt;&gt;"",IF(AND(B2199&gt;=_TM1,B2199&lt;=_TM2,OR(TH!L2199="1111",TH!M2199="1111")),TH!D2199,""),"")</f>
        <v/>
      </c>
      <c r="B2199" s="36">
        <f t="shared" si="313"/>
        <v>7</v>
      </c>
      <c r="C2199" s="190">
        <f t="shared" si="314"/>
        <v>42581</v>
      </c>
      <c r="D2199" s="190" t="s">
        <v>1587</v>
      </c>
      <c r="E2199" s="190">
        <v>42581</v>
      </c>
      <c r="F2199" s="292" t="s">
        <v>877</v>
      </c>
      <c r="G2199" s="833" t="s">
        <v>1470</v>
      </c>
      <c r="H2199" s="192" t="s">
        <v>678</v>
      </c>
      <c r="I2199" s="253">
        <v>6</v>
      </c>
      <c r="J2199" s="253">
        <v>222999</v>
      </c>
      <c r="K2199" s="584">
        <f t="shared" si="315"/>
        <v>1337994</v>
      </c>
      <c r="L2199" s="193" t="s">
        <v>251</v>
      </c>
      <c r="M2199" s="193" t="s">
        <v>164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52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>x</v>
      </c>
      <c r="AA2199" s="826"/>
      <c r="AB2199" s="576" t="str">
        <f>IF(VLOOKUP(F2199,NXT!$C$12:$C$786,1,0)=F2199,"","x")</f>
        <v/>
      </c>
    </row>
    <row r="2200" spans="1:30" ht="15.75" customHeight="1">
      <c r="A2200" s="827" t="str">
        <f>IF(B2200&lt;&gt;"",IF(AND(B2200&gt;=_TM1,B2200&lt;=_TM2,OR(TH!L2200="1111",TH!M2200="1111")),TH!D2200,""),"")</f>
        <v/>
      </c>
      <c r="B2200" s="36">
        <f t="shared" si="313"/>
        <v>7</v>
      </c>
      <c r="C2200" s="190">
        <f t="shared" si="314"/>
        <v>42581</v>
      </c>
      <c r="D2200" s="190" t="s">
        <v>1587</v>
      </c>
      <c r="E2200" s="190">
        <v>42581</v>
      </c>
      <c r="F2200" s="292" t="s">
        <v>879</v>
      </c>
      <c r="G2200" s="833" t="s">
        <v>1470</v>
      </c>
      <c r="H2200" s="192" t="s">
        <v>678</v>
      </c>
      <c r="I2200" s="253">
        <v>5</v>
      </c>
      <c r="J2200" s="253">
        <v>97868</v>
      </c>
      <c r="K2200" s="584">
        <f t="shared" si="315"/>
        <v>489340</v>
      </c>
      <c r="L2200" s="193" t="s">
        <v>251</v>
      </c>
      <c r="M2200" s="193" t="s">
        <v>164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52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>x</v>
      </c>
      <c r="AA2200" s="826"/>
      <c r="AB2200" s="576" t="str">
        <f>IF(VLOOKUP(F2200,NXT!$C$12:$C$786,1,0)=F2200,"","x")</f>
        <v/>
      </c>
      <c r="AD2200" s="576"/>
    </row>
    <row r="2201" spans="1:30" ht="15.75" customHeight="1">
      <c r="A2201" s="827" t="str">
        <f>IF(B2201&lt;&gt;"",IF(AND(B2201&gt;=_TM1,B2201&lt;=_TM2,OR(TH!L2201="1111",TH!M2201="1111")),TH!D2201,""),"")</f>
        <v/>
      </c>
      <c r="B2201" s="36">
        <f t="shared" si="313"/>
        <v>7</v>
      </c>
      <c r="C2201" s="190">
        <f t="shared" si="314"/>
        <v>42581</v>
      </c>
      <c r="D2201" s="190" t="s">
        <v>1587</v>
      </c>
      <c r="E2201" s="190">
        <v>42581</v>
      </c>
      <c r="F2201" s="292" t="s">
        <v>881</v>
      </c>
      <c r="G2201" s="833" t="s">
        <v>1470</v>
      </c>
      <c r="H2201" s="192" t="s">
        <v>678</v>
      </c>
      <c r="I2201" s="253">
        <v>5</v>
      </c>
      <c r="J2201" s="253">
        <v>164468</v>
      </c>
      <c r="K2201" s="584">
        <f t="shared" si="315"/>
        <v>822340</v>
      </c>
      <c r="L2201" s="193" t="s">
        <v>251</v>
      </c>
      <c r="M2201" s="193" t="s">
        <v>164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52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>x</v>
      </c>
      <c r="AA2201" s="826"/>
      <c r="AB2201" s="576" t="str">
        <f>IF(VLOOKUP(F2201,NXT!$C$12:$C$786,1,0)=F2201,"","x")</f>
        <v/>
      </c>
    </row>
    <row r="2202" spans="1:30" ht="15.75" customHeight="1">
      <c r="A2202" s="827" t="str">
        <f>IF(B2202&lt;&gt;"",IF(AND(B2202&gt;=_TM1,B2202&lt;=_TM2,OR(TH!L2202="1111",TH!M2202="1111")),TH!D2202,""),"")</f>
        <v/>
      </c>
      <c r="B2202" s="36">
        <f t="shared" si="313"/>
        <v>7</v>
      </c>
      <c r="C2202" s="190">
        <f t="shared" si="314"/>
        <v>42581</v>
      </c>
      <c r="D2202" s="190" t="s">
        <v>1587</v>
      </c>
      <c r="E2202" s="190">
        <v>42581</v>
      </c>
      <c r="F2202" s="292" t="s">
        <v>515</v>
      </c>
      <c r="G2202" s="833" t="s">
        <v>1470</v>
      </c>
      <c r="H2202" s="192" t="s">
        <v>678</v>
      </c>
      <c r="I2202" s="253">
        <v>5</v>
      </c>
      <c r="J2202" s="253">
        <v>82895</v>
      </c>
      <c r="K2202" s="584">
        <f t="shared" si="315"/>
        <v>414475</v>
      </c>
      <c r="L2202" s="193" t="s">
        <v>251</v>
      </c>
      <c r="M2202" s="193" t="s">
        <v>164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52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>x</v>
      </c>
      <c r="AA2202" s="826"/>
      <c r="AB2202" s="576" t="str">
        <f>IF(VLOOKUP(F2202,NXT!$C$12:$C$786,1,0)=F2202,"","x")</f>
        <v/>
      </c>
    </row>
    <row r="2203" spans="1:30" ht="15.75" customHeight="1">
      <c r="A2203" s="827" t="str">
        <f>IF(B2203&lt;&gt;"",IF(AND(B2203&gt;=_TM1,B2203&lt;=_TM2,OR(TH!L2203="1111",TH!M2203="1111")),TH!D2203,""),"")</f>
        <v/>
      </c>
      <c r="B2203" s="36">
        <f t="shared" si="313"/>
        <v>7</v>
      </c>
      <c r="C2203" s="190">
        <f t="shared" si="314"/>
        <v>42581</v>
      </c>
      <c r="D2203" s="190" t="s">
        <v>1587</v>
      </c>
      <c r="E2203" s="190">
        <v>42581</v>
      </c>
      <c r="F2203" s="292" t="s">
        <v>860</v>
      </c>
      <c r="G2203" s="833" t="s">
        <v>1470</v>
      </c>
      <c r="H2203" s="192" t="s">
        <v>678</v>
      </c>
      <c r="I2203" s="253">
        <v>100</v>
      </c>
      <c r="J2203" s="253">
        <v>13846</v>
      </c>
      <c r="K2203" s="584">
        <f t="shared" si="315"/>
        <v>1384600</v>
      </c>
      <c r="L2203" s="193" t="s">
        <v>251</v>
      </c>
      <c r="M2203" s="193" t="s">
        <v>164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52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>x</v>
      </c>
      <c r="AA2203" s="826"/>
      <c r="AB2203" s="576" t="str">
        <f>IF(VLOOKUP(F2203,NXT!$C$12:$C$786,1,0)=F2203,"","x")</f>
        <v/>
      </c>
      <c r="AD2203" s="576"/>
    </row>
    <row r="2204" spans="1:30" ht="15.75" customHeight="1">
      <c r="A2204" s="827" t="str">
        <f>IF(B2204&lt;&gt;"",IF(AND(B2204&gt;=_TM1,B2204&lt;=_TM2,OR(TH!L2204="1111",TH!M2204="1111")),TH!D2204,""),"")</f>
        <v/>
      </c>
      <c r="B2204" s="36">
        <f t="shared" si="313"/>
        <v>7</v>
      </c>
      <c r="C2204" s="190">
        <f t="shared" si="314"/>
        <v>42581</v>
      </c>
      <c r="D2204" s="190" t="s">
        <v>1587</v>
      </c>
      <c r="E2204" s="190">
        <v>42581</v>
      </c>
      <c r="F2204" s="292" t="s">
        <v>861</v>
      </c>
      <c r="G2204" s="833" t="s">
        <v>1470</v>
      </c>
      <c r="H2204" s="192" t="s">
        <v>678</v>
      </c>
      <c r="I2204" s="253">
        <v>100</v>
      </c>
      <c r="J2204" s="253">
        <v>8458</v>
      </c>
      <c r="K2204" s="584">
        <f t="shared" si="315"/>
        <v>845800</v>
      </c>
      <c r="L2204" s="193" t="s">
        <v>251</v>
      </c>
      <c r="M2204" s="193" t="s">
        <v>164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52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>x</v>
      </c>
      <c r="AA2204" s="826"/>
      <c r="AB2204" s="576" t="str">
        <f>IF(VLOOKUP(F2204,NXT!$C$12:$C$786,1,0)=F2204,"","x")</f>
        <v/>
      </c>
    </row>
    <row r="2205" spans="1:30" ht="15.75" customHeight="1">
      <c r="A2205" s="827" t="str">
        <f>IF(B2205&lt;&gt;"",IF(AND(B2205&gt;=_TM1,B2205&lt;=_TM2,OR(TH!L2205="1111",TH!M2205="1111")),TH!D2205,""),"")</f>
        <v/>
      </c>
      <c r="B2205" s="36">
        <f t="shared" si="313"/>
        <v>7</v>
      </c>
      <c r="C2205" s="190">
        <f t="shared" si="314"/>
        <v>42581</v>
      </c>
      <c r="D2205" s="190" t="s">
        <v>1587</v>
      </c>
      <c r="E2205" s="190">
        <v>42581</v>
      </c>
      <c r="F2205" s="292" t="s">
        <v>862</v>
      </c>
      <c r="G2205" s="833" t="s">
        <v>1470</v>
      </c>
      <c r="H2205" s="192" t="s">
        <v>678</v>
      </c>
      <c r="I2205" s="253">
        <v>100</v>
      </c>
      <c r="J2205" s="253">
        <v>9832</v>
      </c>
      <c r="K2205" s="584">
        <f t="shared" si="315"/>
        <v>983200</v>
      </c>
      <c r="L2205" s="193" t="s">
        <v>251</v>
      </c>
      <c r="M2205" s="193" t="s">
        <v>164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52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>x</v>
      </c>
      <c r="AA2205" s="826"/>
      <c r="AB2205" s="576" t="str">
        <f>IF(VLOOKUP(F2205,NXT!$C$12:$C$786,1,0)=F2205,"","x")</f>
        <v/>
      </c>
    </row>
    <row r="2206" spans="1:30" ht="15.75" customHeight="1">
      <c r="A2206" s="827" t="str">
        <f>IF(B2206&lt;&gt;"",IF(AND(B2206&gt;=_TM1,B2206&lt;=_TM2,OR(TH!L2206="1111",TH!M2206="1111")),TH!D2206,""),"")</f>
        <v/>
      </c>
      <c r="B2206" s="36">
        <f t="shared" si="313"/>
        <v>7</v>
      </c>
      <c r="C2206" s="190">
        <f t="shared" si="314"/>
        <v>42581</v>
      </c>
      <c r="D2206" s="190" t="s">
        <v>1587</v>
      </c>
      <c r="E2206" s="190">
        <v>42581</v>
      </c>
      <c r="F2206" s="292" t="s">
        <v>493</v>
      </c>
      <c r="G2206" s="833" t="s">
        <v>1470</v>
      </c>
      <c r="H2206" s="192" t="s">
        <v>678</v>
      </c>
      <c r="I2206" s="253">
        <v>14</v>
      </c>
      <c r="J2206" s="253">
        <v>55910</v>
      </c>
      <c r="K2206" s="584">
        <f t="shared" si="315"/>
        <v>782740</v>
      </c>
      <c r="L2206" s="193" t="s">
        <v>251</v>
      </c>
      <c r="M2206" s="193" t="s">
        <v>164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52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>x</v>
      </c>
      <c r="AA2206" s="826"/>
      <c r="AB2206" s="576" t="str">
        <f>IF(VLOOKUP(F2206,NXT!$C$12:$C$786,1,0)=F2206,"","x")</f>
        <v/>
      </c>
      <c r="AD2206" s="576"/>
    </row>
    <row r="2207" spans="1:30" ht="15.75" customHeight="1">
      <c r="A2207" s="827" t="str">
        <f>IF(B2207&lt;&gt;"",IF(AND(B2207&gt;=_TM1,B2207&lt;=_TM2,OR(TH!L2207="1111",TH!M2207="1111")),TH!D2207,""),"")</f>
        <v/>
      </c>
      <c r="B2207" s="36">
        <f t="shared" si="313"/>
        <v>7</v>
      </c>
      <c r="C2207" s="190">
        <f t="shared" si="314"/>
        <v>42581</v>
      </c>
      <c r="D2207" s="190" t="s">
        <v>1587</v>
      </c>
      <c r="E2207" s="190">
        <v>42581</v>
      </c>
      <c r="F2207" s="292" t="s">
        <v>819</v>
      </c>
      <c r="G2207" s="833" t="s">
        <v>1470</v>
      </c>
      <c r="H2207" s="192" t="s">
        <v>678</v>
      </c>
      <c r="I2207" s="253">
        <v>4</v>
      </c>
      <c r="J2207" s="253">
        <v>122795</v>
      </c>
      <c r="K2207" s="584">
        <f t="shared" si="315"/>
        <v>491180</v>
      </c>
      <c r="L2207" s="193" t="s">
        <v>251</v>
      </c>
      <c r="M2207" s="193" t="s">
        <v>164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52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>x</v>
      </c>
      <c r="AA2207" s="826"/>
      <c r="AB2207" s="576" t="str">
        <f>IF(VLOOKUP(F2207,NXT!$C$12:$C$786,1,0)=F2207,"","x")</f>
        <v/>
      </c>
    </row>
    <row r="2208" spans="1:30" ht="15.75" customHeight="1">
      <c r="A2208" s="827" t="str">
        <f>IF(B2208&lt;&gt;"",IF(AND(B2208&gt;=_TM1,B2208&lt;=_TM2,OR(TH!L2208="1111",TH!M2208="1111")),TH!D2208,""),"")</f>
        <v/>
      </c>
      <c r="B2208" s="36">
        <f t="shared" si="313"/>
        <v>7</v>
      </c>
      <c r="C2208" s="190">
        <f t="shared" si="314"/>
        <v>42581</v>
      </c>
      <c r="D2208" s="190" t="s">
        <v>1587</v>
      </c>
      <c r="E2208" s="190">
        <v>42581</v>
      </c>
      <c r="F2208" s="292" t="s">
        <v>880</v>
      </c>
      <c r="G2208" s="833" t="s">
        <v>1470</v>
      </c>
      <c r="H2208" s="192" t="s">
        <v>678</v>
      </c>
      <c r="I2208" s="253">
        <v>10</v>
      </c>
      <c r="J2208" s="253">
        <v>143854</v>
      </c>
      <c r="K2208" s="584">
        <f t="shared" si="315"/>
        <v>1438540</v>
      </c>
      <c r="L2208" s="193" t="s">
        <v>251</v>
      </c>
      <c r="M2208" s="193" t="s">
        <v>164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52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>x</v>
      </c>
      <c r="AA2208" s="826"/>
      <c r="AB2208" s="576" t="str">
        <f>IF(VLOOKUP(F2208,NXT!$C$12:$C$786,1,0)=F2208,"","x")</f>
        <v/>
      </c>
    </row>
    <row r="2209" spans="1:30" ht="15.75" customHeight="1">
      <c r="A2209" s="827" t="str">
        <f>IF(B2209&lt;&gt;"",IF(AND(B2209&gt;=_TM1,B2209&lt;=_TM2,OR(TH!L2209="1111",TH!M2209="1111")),TH!D2209,""),"")</f>
        <v/>
      </c>
      <c r="B2209" s="36">
        <f t="shared" si="313"/>
        <v>7</v>
      </c>
      <c r="C2209" s="190">
        <f t="shared" si="314"/>
        <v>42581</v>
      </c>
      <c r="D2209" s="190" t="s">
        <v>1587</v>
      </c>
      <c r="E2209" s="190">
        <v>42581</v>
      </c>
      <c r="F2209" s="292" t="s">
        <v>884</v>
      </c>
      <c r="G2209" s="833" t="s">
        <v>1470</v>
      </c>
      <c r="H2209" s="192" t="s">
        <v>678</v>
      </c>
      <c r="I2209" s="253">
        <v>7</v>
      </c>
      <c r="J2209" s="253">
        <v>64474</v>
      </c>
      <c r="K2209" s="584">
        <f t="shared" si="315"/>
        <v>451318</v>
      </c>
      <c r="L2209" s="193" t="s">
        <v>251</v>
      </c>
      <c r="M2209" s="193" t="s">
        <v>164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52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>x</v>
      </c>
      <c r="AA2209" s="826"/>
      <c r="AB2209" s="576" t="str">
        <f>IF(VLOOKUP(F2209,NXT!$C$12:$C$786,1,0)=F2209,"","x")</f>
        <v/>
      </c>
      <c r="AD2209" s="576"/>
    </row>
    <row r="2210" spans="1:30" ht="15.75" customHeight="1">
      <c r="A2210" s="827" t="str">
        <f>IF(B2210&lt;&gt;"",IF(AND(B2210&gt;=_TM1,B2210&lt;=_TM2,OR(TH!L2210="1111",TH!M2210="1111")),TH!D2210,""),"")</f>
        <v/>
      </c>
      <c r="B2210" s="36">
        <f t="shared" si="313"/>
        <v>7</v>
      </c>
      <c r="C2210" s="190">
        <f t="shared" si="314"/>
        <v>42581</v>
      </c>
      <c r="D2210" s="190" t="s">
        <v>1587</v>
      </c>
      <c r="E2210" s="190">
        <v>42581</v>
      </c>
      <c r="F2210" s="292" t="s">
        <v>525</v>
      </c>
      <c r="G2210" s="833" t="s">
        <v>1470</v>
      </c>
      <c r="H2210" s="192" t="s">
        <v>678</v>
      </c>
      <c r="I2210" s="253">
        <v>144</v>
      </c>
      <c r="J2210" s="253">
        <v>17602</v>
      </c>
      <c r="K2210" s="584">
        <f t="shared" si="315"/>
        <v>2534688</v>
      </c>
      <c r="L2210" s="193" t="s">
        <v>251</v>
      </c>
      <c r="M2210" s="193" t="s">
        <v>164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52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>x</v>
      </c>
      <c r="AA2210" s="826"/>
      <c r="AB2210" s="576" t="str">
        <f>IF(VLOOKUP(F2210,NXT!$C$12:$C$786,1,0)=F2210,"","x")</f>
        <v/>
      </c>
    </row>
    <row r="2211" spans="1:30" ht="15.75" customHeight="1">
      <c r="A2211" s="827" t="str">
        <f>IF(B2211&lt;&gt;"",IF(AND(B2211&gt;=_TM1,B2211&lt;=_TM2,OR(TH!L2211="1111",TH!M2211="1111")),TH!D2211,""),"")</f>
        <v/>
      </c>
      <c r="B2211" s="36">
        <f t="shared" si="313"/>
        <v>7</v>
      </c>
      <c r="C2211" s="190">
        <f t="shared" si="314"/>
        <v>42581</v>
      </c>
      <c r="D2211" s="190" t="s">
        <v>1587</v>
      </c>
      <c r="E2211" s="190">
        <v>42581</v>
      </c>
      <c r="F2211" s="292" t="s">
        <v>808</v>
      </c>
      <c r="G2211" s="833" t="s">
        <v>1470</v>
      </c>
      <c r="H2211" s="192" t="s">
        <v>678</v>
      </c>
      <c r="I2211" s="253">
        <v>72</v>
      </c>
      <c r="J2211" s="253">
        <v>11572</v>
      </c>
      <c r="K2211" s="584">
        <f t="shared" si="315"/>
        <v>833184</v>
      </c>
      <c r="L2211" s="193" t="s">
        <v>251</v>
      </c>
      <c r="M2211" s="193" t="s">
        <v>164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52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>x</v>
      </c>
      <c r="AA2211" s="826"/>
      <c r="AB2211" s="576" t="str">
        <f>IF(VLOOKUP(F2211,NXT!$C$12:$C$786,1,0)=F2211,"","x")</f>
        <v/>
      </c>
    </row>
    <row r="2212" spans="1:30" ht="15.75" customHeight="1">
      <c r="A2212" s="827" t="str">
        <f>IF(B2212&lt;&gt;"",IF(AND(B2212&gt;=_TM1,B2212&lt;=_TM2,OR(TH!L2212="1111",TH!M2212="1111")),TH!D2212,""),"")</f>
        <v/>
      </c>
      <c r="B2212" s="36">
        <f t="shared" si="313"/>
        <v>7</v>
      </c>
      <c r="C2212" s="190">
        <f t="shared" si="314"/>
        <v>42581</v>
      </c>
      <c r="D2212" s="190" t="s">
        <v>1587</v>
      </c>
      <c r="E2212" s="190">
        <v>42581</v>
      </c>
      <c r="F2212" s="292" t="s">
        <v>865</v>
      </c>
      <c r="G2212" s="833" t="s">
        <v>1470</v>
      </c>
      <c r="H2212" s="192" t="s">
        <v>678</v>
      </c>
      <c r="I2212" s="253">
        <v>30</v>
      </c>
      <c r="J2212" s="253">
        <v>23058</v>
      </c>
      <c r="K2212" s="584">
        <f t="shared" si="315"/>
        <v>691740</v>
      </c>
      <c r="L2212" s="193" t="s">
        <v>251</v>
      </c>
      <c r="M2212" s="193" t="s">
        <v>164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52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>x</v>
      </c>
      <c r="AA2212" s="826"/>
      <c r="AB2212" s="576" t="str">
        <f>IF(VLOOKUP(F2212,NXT!$C$12:$C$786,1,0)=F2212,"","x")</f>
        <v/>
      </c>
      <c r="AD2212" s="576"/>
    </row>
    <row r="2213" spans="1:30" ht="15.75" customHeight="1">
      <c r="A2213" s="827" t="str">
        <f>IF(B2213&lt;&gt;"",IF(AND(B2213&gt;=_TM1,B2213&lt;=_TM2,OR(TH!L2213="1111",TH!M2213="1111")),TH!D2213,""),"")</f>
        <v/>
      </c>
      <c r="B2213" s="36">
        <f t="shared" si="313"/>
        <v>7</v>
      </c>
      <c r="C2213" s="190">
        <f t="shared" si="314"/>
        <v>42581</v>
      </c>
      <c r="D2213" s="190" t="s">
        <v>1587</v>
      </c>
      <c r="E2213" s="190">
        <v>42581</v>
      </c>
      <c r="F2213" s="292" t="s">
        <v>700</v>
      </c>
      <c r="G2213" s="833" t="s">
        <v>1470</v>
      </c>
      <c r="H2213" s="192" t="s">
        <v>678</v>
      </c>
      <c r="I2213" s="253">
        <v>30</v>
      </c>
      <c r="J2213" s="253">
        <v>20772</v>
      </c>
      <c r="K2213" s="584">
        <f t="shared" si="315"/>
        <v>623160</v>
      </c>
      <c r="L2213" s="193" t="s">
        <v>251</v>
      </c>
      <c r="M2213" s="193" t="s">
        <v>164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52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>x</v>
      </c>
      <c r="AA2213" s="826"/>
      <c r="AB2213" s="576" t="str">
        <f>IF(VLOOKUP(F2213,NXT!$C$12:$C$786,1,0)=F2213,"","x")</f>
        <v/>
      </c>
    </row>
    <row r="2214" spans="1:30" ht="15.75" customHeight="1">
      <c r="A2214" s="827" t="str">
        <f>IF(B2214&lt;&gt;"",IF(AND(B2214&gt;=_TM1,B2214&lt;=_TM2,OR(TH!L2214="1111",TH!M2214="1111")),TH!D2214,""),"")</f>
        <v/>
      </c>
      <c r="B2214" s="36">
        <f t="shared" si="313"/>
        <v>7</v>
      </c>
      <c r="C2214" s="190">
        <f t="shared" si="314"/>
        <v>42581</v>
      </c>
      <c r="D2214" s="190" t="s">
        <v>1587</v>
      </c>
      <c r="E2214" s="190">
        <v>42581</v>
      </c>
      <c r="F2214" s="292" t="s">
        <v>866</v>
      </c>
      <c r="G2214" s="833" t="s">
        <v>1470</v>
      </c>
      <c r="H2214" s="192" t="s">
        <v>678</v>
      </c>
      <c r="I2214" s="253">
        <v>25</v>
      </c>
      <c r="J2214" s="253">
        <v>32705</v>
      </c>
      <c r="K2214" s="584">
        <f t="shared" si="315"/>
        <v>817625</v>
      </c>
      <c r="L2214" s="193" t="s">
        <v>251</v>
      </c>
      <c r="M2214" s="193" t="s">
        <v>164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52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>x</v>
      </c>
      <c r="AA2214" s="826"/>
      <c r="AB2214" s="576" t="str">
        <f>IF(VLOOKUP(F2214,NXT!$C$12:$C$786,1,0)=F2214,"","x")</f>
        <v/>
      </c>
    </row>
    <row r="2215" spans="1:30" ht="15.75" customHeight="1">
      <c r="A2215" s="827" t="str">
        <f>IF(B2215&lt;&gt;"",IF(AND(B2215&gt;=_TM1,B2215&lt;=_TM2,OR(TH!L2215="1111",TH!M2215="1111")),TH!D2215,""),"")</f>
        <v/>
      </c>
      <c r="B2215" s="36">
        <f t="shared" si="313"/>
        <v>7</v>
      </c>
      <c r="C2215" s="190">
        <f t="shared" si="314"/>
        <v>42581</v>
      </c>
      <c r="D2215" s="190" t="s">
        <v>1587</v>
      </c>
      <c r="E2215" s="190">
        <v>42581</v>
      </c>
      <c r="F2215" s="292" t="s">
        <v>867</v>
      </c>
      <c r="G2215" s="833" t="s">
        <v>1470</v>
      </c>
      <c r="H2215" s="192" t="s">
        <v>678</v>
      </c>
      <c r="I2215" s="253">
        <v>16</v>
      </c>
      <c r="J2215" s="253">
        <v>29901</v>
      </c>
      <c r="K2215" s="584">
        <f t="shared" si="315"/>
        <v>478416</v>
      </c>
      <c r="L2215" s="193" t="s">
        <v>251</v>
      </c>
      <c r="M2215" s="193" t="s">
        <v>164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52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>x</v>
      </c>
      <c r="AA2215" s="826"/>
      <c r="AB2215" s="576" t="str">
        <f>IF(VLOOKUP(F2215,NXT!$C$12:$C$786,1,0)=F2215,"","x")</f>
        <v/>
      </c>
      <c r="AD2215" s="576"/>
    </row>
    <row r="2216" spans="1:30" ht="15.75" customHeight="1">
      <c r="A2216" s="827" t="str">
        <f>IF(B2216&lt;&gt;"",IF(AND(B2216&gt;=_TM1,B2216&lt;=_TM2,OR(TH!L2216="1111",TH!M2216="1111")),TH!D2216,""),"")</f>
        <v/>
      </c>
      <c r="B2216" s="36">
        <f t="shared" si="313"/>
        <v>7</v>
      </c>
      <c r="C2216" s="190">
        <f t="shared" si="314"/>
        <v>42581</v>
      </c>
      <c r="D2216" s="190" t="s">
        <v>1587</v>
      </c>
      <c r="E2216" s="190">
        <v>42581</v>
      </c>
      <c r="F2216" s="292" t="s">
        <v>868</v>
      </c>
      <c r="G2216" s="833" t="s">
        <v>1470</v>
      </c>
      <c r="H2216" s="192" t="s">
        <v>678</v>
      </c>
      <c r="I2216" s="253">
        <v>15</v>
      </c>
      <c r="J2216" s="253">
        <v>26960</v>
      </c>
      <c r="K2216" s="584">
        <f t="shared" si="315"/>
        <v>404400</v>
      </c>
      <c r="L2216" s="193" t="s">
        <v>251</v>
      </c>
      <c r="M2216" s="193" t="s">
        <v>164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52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>x</v>
      </c>
      <c r="AA2216" s="826"/>
      <c r="AB2216" s="576" t="str">
        <f>IF(VLOOKUP(F2216,NXT!$C$12:$C$786,1,0)=F2216,"","x")</f>
        <v/>
      </c>
    </row>
    <row r="2217" spans="1:30" ht="15.75" customHeight="1">
      <c r="A2217" s="827" t="str">
        <f>IF(B2217&lt;&gt;"",IF(AND(B2217&gt;=_TM1,B2217&lt;=_TM2,OR(TH!L2217="1111",TH!M2217="1111")),TH!D2217,""),"")</f>
        <v/>
      </c>
      <c r="B2217" s="36">
        <f t="shared" si="313"/>
        <v>7</v>
      </c>
      <c r="C2217" s="190">
        <f t="shared" si="314"/>
        <v>42581</v>
      </c>
      <c r="D2217" s="190" t="s">
        <v>1587</v>
      </c>
      <c r="E2217" s="190">
        <v>42581</v>
      </c>
      <c r="F2217" s="292" t="s">
        <v>1457</v>
      </c>
      <c r="G2217" s="833" t="s">
        <v>1470</v>
      </c>
      <c r="H2217" s="192" t="s">
        <v>678</v>
      </c>
      <c r="I2217" s="253">
        <v>30</v>
      </c>
      <c r="J2217" s="253">
        <v>48214</v>
      </c>
      <c r="K2217" s="584">
        <f t="shared" si="315"/>
        <v>1446420</v>
      </c>
      <c r="L2217" s="193" t="s">
        <v>251</v>
      </c>
      <c r="M2217" s="193" t="s">
        <v>164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52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>x</v>
      </c>
      <c r="AA2217" s="826"/>
      <c r="AB2217" s="576" t="str">
        <f>IF(VLOOKUP(F2217,NXT!$C$12:$C$786,1,0)=F2217,"","x")</f>
        <v/>
      </c>
    </row>
    <row r="2218" spans="1:30" ht="15.75" customHeight="1">
      <c r="A2218" s="827" t="str">
        <f>IF(B2218&lt;&gt;"",IF(AND(B2218&gt;=_TM1,B2218&lt;=_TM2,OR(TH!L2218="1111",TH!M2218="1111")),TH!D2218,""),"")</f>
        <v/>
      </c>
      <c r="B2218" s="36">
        <f t="shared" si="313"/>
        <v>7</v>
      </c>
      <c r="C2218" s="190">
        <f t="shared" si="314"/>
        <v>42581</v>
      </c>
      <c r="D2218" s="190" t="s">
        <v>1587</v>
      </c>
      <c r="E2218" s="190">
        <v>42581</v>
      </c>
      <c r="F2218" s="292" t="s">
        <v>1458</v>
      </c>
      <c r="G2218" s="833" t="s">
        <v>1470</v>
      </c>
      <c r="H2218" s="192" t="s">
        <v>678</v>
      </c>
      <c r="I2218" s="253">
        <v>40</v>
      </c>
      <c r="J2218" s="253">
        <v>41648</v>
      </c>
      <c r="K2218" s="584">
        <f t="shared" si="315"/>
        <v>1665920</v>
      </c>
      <c r="L2218" s="193" t="s">
        <v>251</v>
      </c>
      <c r="M2218" s="193" t="s">
        <v>164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52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>x</v>
      </c>
      <c r="AA2218" s="826"/>
      <c r="AB2218" s="576" t="str">
        <f>IF(VLOOKUP(F2218,NXT!$C$12:$C$786,1,0)=F2218,"","x")</f>
        <v/>
      </c>
      <c r="AD2218" s="576"/>
    </row>
    <row r="2219" spans="1:30" ht="15.75" customHeight="1">
      <c r="A2219" s="827" t="str">
        <f>IF(B2219&lt;&gt;"",IF(AND(B2219&gt;=_TM1,B2219&lt;=_TM2,OR(TH!L2219="1111",TH!M2219="1111")),TH!D2219,""),"")</f>
        <v/>
      </c>
      <c r="B2219" s="36">
        <f t="shared" si="313"/>
        <v>7</v>
      </c>
      <c r="C2219" s="190">
        <f t="shared" si="314"/>
        <v>42581</v>
      </c>
      <c r="D2219" s="190" t="s">
        <v>1587</v>
      </c>
      <c r="E2219" s="190">
        <v>42581</v>
      </c>
      <c r="F2219" s="292" t="s">
        <v>1459</v>
      </c>
      <c r="G2219" s="833" t="s">
        <v>1470</v>
      </c>
      <c r="H2219" s="192" t="s">
        <v>678</v>
      </c>
      <c r="I2219" s="253">
        <v>30</v>
      </c>
      <c r="J2219" s="253">
        <v>83140</v>
      </c>
      <c r="K2219" s="584">
        <f t="shared" si="315"/>
        <v>2494200</v>
      </c>
      <c r="L2219" s="193" t="s">
        <v>251</v>
      </c>
      <c r="M2219" s="193" t="s">
        <v>164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52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>x</v>
      </c>
      <c r="AA2219" s="826"/>
      <c r="AB2219" s="576" t="str">
        <f>IF(VLOOKUP(F2219,NXT!$C$12:$C$786,1,0)=F2219,"","x")</f>
        <v/>
      </c>
    </row>
    <row r="2220" spans="1:30" ht="15.75" customHeight="1">
      <c r="A2220" s="827" t="str">
        <f>IF(B2220&lt;&gt;"",IF(AND(B2220&gt;=_TM1,B2220&lt;=_TM2,OR(TH!L2220="1111",TH!M2220="1111")),TH!D2220,""),"")</f>
        <v/>
      </c>
      <c r="B2220" s="36">
        <f t="shared" si="313"/>
        <v>7</v>
      </c>
      <c r="C2220" s="190">
        <f t="shared" si="314"/>
        <v>42581</v>
      </c>
      <c r="D2220" s="190" t="s">
        <v>1587</v>
      </c>
      <c r="E2220" s="190">
        <v>42581</v>
      </c>
      <c r="F2220" s="292" t="s">
        <v>1460</v>
      </c>
      <c r="G2220" s="833" t="s">
        <v>1470</v>
      </c>
      <c r="H2220" s="192" t="s">
        <v>678</v>
      </c>
      <c r="I2220" s="253">
        <v>50</v>
      </c>
      <c r="J2220" s="253">
        <v>40060</v>
      </c>
      <c r="K2220" s="584">
        <f t="shared" si="315"/>
        <v>2003000</v>
      </c>
      <c r="L2220" s="193" t="s">
        <v>251</v>
      </c>
      <c r="M2220" s="193" t="s">
        <v>164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52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>x</v>
      </c>
      <c r="AA2220" s="826"/>
      <c r="AB2220" s="576" t="str">
        <f>IF(VLOOKUP(F2220,NXT!$C$12:$C$786,1,0)=F2220,"","x")</f>
        <v/>
      </c>
    </row>
    <row r="2221" spans="1:30" ht="15.75" customHeight="1">
      <c r="A2221" s="827" t="str">
        <f>IF(B2221&lt;&gt;"",IF(AND(B2221&gt;=_TM1,B2221&lt;=_TM2,OR(TH!L2221="1111",TH!M2221="1111")),TH!D2221,""),"")</f>
        <v/>
      </c>
      <c r="B2221" s="36">
        <f t="shared" si="313"/>
        <v>7</v>
      </c>
      <c r="C2221" s="190">
        <f t="shared" si="314"/>
        <v>42581</v>
      </c>
      <c r="D2221" s="190" t="s">
        <v>1587</v>
      </c>
      <c r="E2221" s="190">
        <v>42581</v>
      </c>
      <c r="F2221" s="292" t="s">
        <v>1461</v>
      </c>
      <c r="G2221" s="833" t="s">
        <v>1470</v>
      </c>
      <c r="H2221" s="192" t="s">
        <v>678</v>
      </c>
      <c r="I2221" s="253">
        <v>30</v>
      </c>
      <c r="J2221" s="253">
        <v>61803</v>
      </c>
      <c r="K2221" s="584">
        <f t="shared" si="315"/>
        <v>1854090</v>
      </c>
      <c r="L2221" s="193" t="s">
        <v>251</v>
      </c>
      <c r="M2221" s="193" t="s">
        <v>164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52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>x</v>
      </c>
      <c r="AA2221" s="826"/>
      <c r="AB2221" s="576" t="str">
        <f>IF(VLOOKUP(F2221,NXT!$C$12:$C$786,1,0)=F2221,"","x")</f>
        <v/>
      </c>
      <c r="AD2221" s="576"/>
    </row>
    <row r="2222" spans="1:30" ht="15.75" customHeight="1">
      <c r="A2222" s="827" t="str">
        <f>IF(B2222&lt;&gt;"",IF(AND(B2222&gt;=_TM1,B2222&lt;=_TM2,OR(TH!L2222="1111",TH!M2222="1111")),TH!D2222,""),"")</f>
        <v/>
      </c>
      <c r="B2222" s="36">
        <f t="shared" si="313"/>
        <v>7</v>
      </c>
      <c r="C2222" s="190">
        <f t="shared" si="314"/>
        <v>42581</v>
      </c>
      <c r="D2222" s="190" t="s">
        <v>1587</v>
      </c>
      <c r="E2222" s="190">
        <v>42581</v>
      </c>
      <c r="F2222" s="292" t="s">
        <v>1462</v>
      </c>
      <c r="G2222" s="833" t="s">
        <v>1470</v>
      </c>
      <c r="H2222" s="192" t="s">
        <v>678</v>
      </c>
      <c r="I2222" s="253">
        <v>30</v>
      </c>
      <c r="J2222" s="253">
        <v>67902</v>
      </c>
      <c r="K2222" s="584">
        <f t="shared" si="315"/>
        <v>2037060</v>
      </c>
      <c r="L2222" s="193" t="s">
        <v>251</v>
      </c>
      <c r="M2222" s="193" t="s">
        <v>164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52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>x</v>
      </c>
      <c r="AA2222" s="826"/>
      <c r="AB2222" s="576" t="str">
        <f>IF(VLOOKUP(F2222,NXT!$C$12:$C$786,1,0)=F2222,"","x")</f>
        <v/>
      </c>
    </row>
    <row r="2223" spans="1:30" ht="15.75" customHeight="1">
      <c r="A2223" s="827" t="str">
        <f>IF(B2223&lt;&gt;"",IF(AND(B2223&gt;=_TM1,B2223&lt;=_TM2,OR(TH!L2223="1111",TH!M2223="1111")),TH!D2223,""),"")</f>
        <v/>
      </c>
      <c r="B2223" s="36">
        <f t="shared" si="313"/>
        <v>7</v>
      </c>
      <c r="C2223" s="190">
        <f t="shared" si="314"/>
        <v>42581</v>
      </c>
      <c r="D2223" s="190" t="s">
        <v>1587</v>
      </c>
      <c r="E2223" s="190">
        <v>42581</v>
      </c>
      <c r="F2223" s="292" t="s">
        <v>534</v>
      </c>
      <c r="G2223" s="833" t="s">
        <v>1470</v>
      </c>
      <c r="H2223" s="192" t="s">
        <v>678</v>
      </c>
      <c r="I2223" s="253">
        <v>40</v>
      </c>
      <c r="J2223" s="253">
        <v>85785</v>
      </c>
      <c r="K2223" s="584">
        <f t="shared" si="315"/>
        <v>3431400</v>
      </c>
      <c r="L2223" s="193" t="s">
        <v>251</v>
      </c>
      <c r="M2223" s="193" t="s">
        <v>164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52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>x</v>
      </c>
      <c r="AA2223" s="826"/>
      <c r="AB2223" s="576" t="str">
        <f>IF(VLOOKUP(F2223,NXT!$C$12:$C$786,1,0)=F2223,"","x")</f>
        <v/>
      </c>
    </row>
    <row r="2224" spans="1:30" ht="15.75" customHeight="1">
      <c r="A2224" s="827" t="str">
        <f>IF(B2224&lt;&gt;"",IF(AND(B2224&gt;=_TM1,B2224&lt;=_TM2,OR(TH!L2224="1111",TH!M2224="1111")),TH!D2224,""),"")</f>
        <v/>
      </c>
      <c r="B2224" s="36">
        <f t="shared" si="313"/>
        <v>7</v>
      </c>
      <c r="C2224" s="190">
        <f t="shared" si="314"/>
        <v>42581</v>
      </c>
      <c r="D2224" s="190" t="s">
        <v>1587</v>
      </c>
      <c r="E2224" s="190">
        <v>42581</v>
      </c>
      <c r="F2224" s="292" t="s">
        <v>484</v>
      </c>
      <c r="G2224" s="833" t="s">
        <v>1470</v>
      </c>
      <c r="H2224" s="192" t="s">
        <v>678</v>
      </c>
      <c r="I2224" s="253">
        <v>20</v>
      </c>
      <c r="J2224" s="253">
        <v>35511</v>
      </c>
      <c r="K2224" s="584">
        <f t="shared" si="315"/>
        <v>710220</v>
      </c>
      <c r="L2224" s="193" t="s">
        <v>251</v>
      </c>
      <c r="M2224" s="193" t="s">
        <v>164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52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>x</v>
      </c>
      <c r="AA2224" s="826"/>
      <c r="AB2224" s="576" t="str">
        <f>IF(VLOOKUP(F2224,NXT!$C$12:$C$786,1,0)=F2224,"","x")</f>
        <v/>
      </c>
      <c r="AD2224" s="576"/>
    </row>
    <row r="2225" spans="1:30" ht="15.75" customHeight="1">
      <c r="A2225" s="827" t="str">
        <f>IF(B2225&lt;&gt;"",IF(AND(B2225&gt;=_TM1,B2225&lt;=_TM2,OR(TH!L2225="1111",TH!M2225="1111")),TH!D2225,""),"")</f>
        <v/>
      </c>
      <c r="B2225" s="36">
        <f t="shared" si="313"/>
        <v>7</v>
      </c>
      <c r="C2225" s="190">
        <f t="shared" si="314"/>
        <v>42581</v>
      </c>
      <c r="D2225" s="190" t="s">
        <v>1587</v>
      </c>
      <c r="E2225" s="190">
        <v>42581</v>
      </c>
      <c r="F2225" s="292" t="s">
        <v>703</v>
      </c>
      <c r="G2225" s="833" t="s">
        <v>1470</v>
      </c>
      <c r="H2225" s="192" t="s">
        <v>678</v>
      </c>
      <c r="I2225" s="253">
        <v>12</v>
      </c>
      <c r="J2225" s="253">
        <v>50387</v>
      </c>
      <c r="K2225" s="584">
        <f t="shared" si="315"/>
        <v>604644</v>
      </c>
      <c r="L2225" s="193" t="s">
        <v>251</v>
      </c>
      <c r="M2225" s="193" t="s">
        <v>164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52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>x</v>
      </c>
      <c r="AA2225" s="826"/>
      <c r="AB2225" s="576" t="str">
        <f>IF(VLOOKUP(F2225,NXT!$C$12:$C$786,1,0)=F2225,"","x")</f>
        <v/>
      </c>
    </row>
    <row r="2226" spans="1:30" ht="15.75" customHeight="1">
      <c r="A2226" s="827" t="str">
        <f>IF(B2226&lt;&gt;"",IF(AND(B2226&gt;=_TM1,B2226&lt;=_TM2,OR(TH!L2226="1111",TH!M2226="1111")),TH!D2226,""),"")</f>
        <v/>
      </c>
      <c r="B2226" s="36">
        <f t="shared" si="313"/>
        <v>7</v>
      </c>
      <c r="C2226" s="190">
        <f t="shared" si="314"/>
        <v>42581</v>
      </c>
      <c r="D2226" s="190" t="s">
        <v>1587</v>
      </c>
      <c r="E2226" s="190">
        <v>42581</v>
      </c>
      <c r="F2226" s="292" t="s">
        <v>871</v>
      </c>
      <c r="G2226" s="833" t="s">
        <v>1470</v>
      </c>
      <c r="H2226" s="192" t="s">
        <v>678</v>
      </c>
      <c r="I2226" s="253">
        <v>12</v>
      </c>
      <c r="J2226" s="253">
        <v>67137</v>
      </c>
      <c r="K2226" s="584">
        <f t="shared" si="315"/>
        <v>805644</v>
      </c>
      <c r="L2226" s="193" t="s">
        <v>251</v>
      </c>
      <c r="M2226" s="193" t="s">
        <v>164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52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>x</v>
      </c>
      <c r="AA2226" s="826"/>
      <c r="AB2226" s="576" t="str">
        <f>IF(VLOOKUP(F2226,NXT!$C$12:$C$786,1,0)=F2226,"","x")</f>
        <v/>
      </c>
    </row>
    <row r="2227" spans="1:30" ht="15.75" customHeight="1">
      <c r="A2227" s="827" t="str">
        <f>IF(B2227&lt;&gt;"",IF(AND(B2227&gt;=_TM1,B2227&lt;=_TM2,OR(TH!L2227="1111",TH!M2227="1111")),TH!D2227,""),"")</f>
        <v/>
      </c>
      <c r="B2227" s="36">
        <f t="shared" si="313"/>
        <v>7</v>
      </c>
      <c r="C2227" s="190">
        <f t="shared" si="314"/>
        <v>42581</v>
      </c>
      <c r="D2227" s="190" t="s">
        <v>1587</v>
      </c>
      <c r="E2227" s="190">
        <v>42581</v>
      </c>
      <c r="F2227" s="292" t="s">
        <v>813</v>
      </c>
      <c r="G2227" s="833" t="s">
        <v>1470</v>
      </c>
      <c r="H2227" s="192" t="s">
        <v>678</v>
      </c>
      <c r="I2227" s="253">
        <v>75</v>
      </c>
      <c r="J2227" s="253">
        <v>49818</v>
      </c>
      <c r="K2227" s="584">
        <f t="shared" si="315"/>
        <v>3736350</v>
      </c>
      <c r="L2227" s="193" t="s">
        <v>251</v>
      </c>
      <c r="M2227" s="193" t="s">
        <v>164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52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>x</v>
      </c>
      <c r="AA2227" s="826"/>
      <c r="AB2227" s="576" t="str">
        <f>IF(VLOOKUP(F2227,NXT!$C$12:$C$786,1,0)=F2227,"","x")</f>
        <v/>
      </c>
      <c r="AD2227" s="576"/>
    </row>
    <row r="2228" spans="1:30" ht="15.75" customHeight="1">
      <c r="A2228" s="827" t="str">
        <f>IF(B2228&lt;&gt;"",IF(AND(B2228&gt;=_TM1,B2228&lt;=_TM2,OR(TH!L2228="1111",TH!M2228="1111")),TH!D2228,""),"")</f>
        <v/>
      </c>
      <c r="B2228" s="36">
        <f t="shared" si="313"/>
        <v>7</v>
      </c>
      <c r="C2228" s="190">
        <f t="shared" si="314"/>
        <v>42581</v>
      </c>
      <c r="D2228" s="190" t="s">
        <v>1587</v>
      </c>
      <c r="E2228" s="190">
        <v>42581</v>
      </c>
      <c r="F2228" s="292" t="s">
        <v>709</v>
      </c>
      <c r="G2228" s="833" t="s">
        <v>1470</v>
      </c>
      <c r="H2228" s="192" t="s">
        <v>678</v>
      </c>
      <c r="I2228" s="253">
        <v>12</v>
      </c>
      <c r="J2228" s="253">
        <v>116191</v>
      </c>
      <c r="K2228" s="584">
        <f t="shared" si="315"/>
        <v>1394292</v>
      </c>
      <c r="L2228" s="193" t="s">
        <v>251</v>
      </c>
      <c r="M2228" s="193" t="s">
        <v>164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52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>x</v>
      </c>
      <c r="AA2228" s="826"/>
      <c r="AB2228" s="576" t="str">
        <f>IF(VLOOKUP(F2228,NXT!$C$12:$C$786,1,0)=F2228,"","x")</f>
        <v/>
      </c>
    </row>
    <row r="2229" spans="1:30" ht="15.75" customHeight="1">
      <c r="A2229" s="827" t="str">
        <f>IF(B2229&lt;&gt;"",IF(AND(B2229&gt;=_TM1,B2229&lt;=_TM2,OR(TH!L2229="1111",TH!M2229="1111")),TH!D2229,""),"")</f>
        <v/>
      </c>
      <c r="B2229" s="36">
        <f t="shared" si="313"/>
        <v>7</v>
      </c>
      <c r="C2229" s="190">
        <f t="shared" si="314"/>
        <v>42581</v>
      </c>
      <c r="D2229" s="190" t="s">
        <v>1587</v>
      </c>
      <c r="E2229" s="190">
        <v>42581</v>
      </c>
      <c r="F2229" s="292" t="s">
        <v>539</v>
      </c>
      <c r="G2229" s="833" t="s">
        <v>1470</v>
      </c>
      <c r="H2229" s="192" t="s">
        <v>678</v>
      </c>
      <c r="I2229" s="253">
        <v>20</v>
      </c>
      <c r="J2229" s="253">
        <v>143577</v>
      </c>
      <c r="K2229" s="584">
        <f t="shared" si="315"/>
        <v>2871540</v>
      </c>
      <c r="L2229" s="193" t="s">
        <v>251</v>
      </c>
      <c r="M2229" s="193" t="s">
        <v>164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52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>x</v>
      </c>
      <c r="AA2229" s="826"/>
      <c r="AB2229" s="576" t="str">
        <f>IF(VLOOKUP(F2229,NXT!$C$12:$C$786,1,0)=F2229,"","x")</f>
        <v/>
      </c>
    </row>
    <row r="2230" spans="1:30" ht="15.75" customHeight="1">
      <c r="A2230" s="827" t="str">
        <f>IF(B2230&lt;&gt;"",IF(AND(B2230&gt;=_TM1,B2230&lt;=_TM2,OR(TH!L2230="1111",TH!M2230="1111")),TH!D2230,""),"")</f>
        <v/>
      </c>
      <c r="B2230" s="36">
        <f t="shared" si="313"/>
        <v>7</v>
      </c>
      <c r="C2230" s="190">
        <f t="shared" si="314"/>
        <v>42581</v>
      </c>
      <c r="D2230" s="190" t="s">
        <v>1587</v>
      </c>
      <c r="E2230" s="190">
        <v>42581</v>
      </c>
      <c r="F2230" s="292" t="s">
        <v>813</v>
      </c>
      <c r="G2230" s="833" t="s">
        <v>1470</v>
      </c>
      <c r="H2230" s="192" t="s">
        <v>678</v>
      </c>
      <c r="I2230" s="253">
        <v>12</v>
      </c>
      <c r="J2230" s="253">
        <v>55062</v>
      </c>
      <c r="K2230" s="584">
        <f t="shared" si="315"/>
        <v>660744</v>
      </c>
      <c r="L2230" s="193" t="s">
        <v>251</v>
      </c>
      <c r="M2230" s="193" t="s">
        <v>164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52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>x</v>
      </c>
      <c r="AA2230" s="826"/>
      <c r="AB2230" s="576" t="str">
        <f>IF(VLOOKUP(F2230,NXT!$C$12:$C$786,1,0)=F2230,"","x")</f>
        <v/>
      </c>
      <c r="AD2230" s="576"/>
    </row>
    <row r="2231" spans="1:30" ht="15.75" customHeight="1">
      <c r="A2231" s="827" t="str">
        <f>IF(B2231&lt;&gt;"",IF(AND(B2231&gt;=_TM1,B2231&lt;=_TM2,OR(TH!L2231="1111",TH!M2231="1111")),TH!D2231,""),"")</f>
        <v/>
      </c>
      <c r="B2231" s="36">
        <f t="shared" si="313"/>
        <v>7</v>
      </c>
      <c r="C2231" s="190">
        <f t="shared" si="314"/>
        <v>42581</v>
      </c>
      <c r="D2231" s="190" t="s">
        <v>1587</v>
      </c>
      <c r="E2231" s="190">
        <v>42581</v>
      </c>
      <c r="F2231" s="292" t="s">
        <v>824</v>
      </c>
      <c r="G2231" s="833" t="s">
        <v>1470</v>
      </c>
      <c r="H2231" s="192" t="s">
        <v>678</v>
      </c>
      <c r="I2231" s="253">
        <v>24</v>
      </c>
      <c r="J2231" s="253">
        <v>37563</v>
      </c>
      <c r="K2231" s="584">
        <f t="shared" si="315"/>
        <v>901512</v>
      </c>
      <c r="L2231" s="193" t="s">
        <v>251</v>
      </c>
      <c r="M2231" s="193" t="s">
        <v>164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52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>x</v>
      </c>
      <c r="AA2231" s="826"/>
      <c r="AB2231" s="576" t="str">
        <f>IF(VLOOKUP(F2231,NXT!$C$12:$C$786,1,0)=F2231,"","x")</f>
        <v/>
      </c>
    </row>
    <row r="2232" spans="1:30" ht="15.75" customHeight="1">
      <c r="A2232" s="827" t="str">
        <f>IF(B2232&lt;&gt;"",IF(AND(B2232&gt;=_TM1,B2232&lt;=_TM2,OR(TH!L2232="1111",TH!M2232="1111")),TH!D2232,""),"")</f>
        <v/>
      </c>
      <c r="B2232" s="36">
        <f t="shared" si="313"/>
        <v>7</v>
      </c>
      <c r="C2232" s="190">
        <f t="shared" si="314"/>
        <v>42581</v>
      </c>
      <c r="D2232" s="190" t="s">
        <v>1587</v>
      </c>
      <c r="E2232" s="190">
        <v>42581</v>
      </c>
      <c r="F2232" s="292" t="s">
        <v>540</v>
      </c>
      <c r="G2232" s="833" t="s">
        <v>1470</v>
      </c>
      <c r="H2232" s="192" t="s">
        <v>678</v>
      </c>
      <c r="I2232" s="253">
        <v>12</v>
      </c>
      <c r="J2232" s="253">
        <v>74235</v>
      </c>
      <c r="K2232" s="584">
        <f t="shared" si="315"/>
        <v>890820</v>
      </c>
      <c r="L2232" s="193" t="s">
        <v>251</v>
      </c>
      <c r="M2232" s="193" t="s">
        <v>164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52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>x</v>
      </c>
      <c r="AA2232" s="826"/>
      <c r="AB2232" s="576" t="str">
        <f>IF(VLOOKUP(F2232,NXT!$C$12:$C$786,1,0)=F2232,"","x")</f>
        <v/>
      </c>
    </row>
    <row r="2233" spans="1:30" ht="15.75" customHeight="1">
      <c r="A2233" s="827" t="str">
        <f>IF(B2233&lt;&gt;"",IF(AND(B2233&gt;=_TM1,B2233&lt;=_TM2,OR(TH!L2233="1111",TH!M2233="1111")),TH!D2233,""),"")</f>
        <v/>
      </c>
      <c r="B2233" s="36">
        <f t="shared" si="313"/>
        <v>7</v>
      </c>
      <c r="C2233" s="190">
        <f t="shared" si="314"/>
        <v>42581</v>
      </c>
      <c r="D2233" s="190" t="s">
        <v>1587</v>
      </c>
      <c r="E2233" s="190">
        <v>42581</v>
      </c>
      <c r="F2233" s="292" t="s">
        <v>709</v>
      </c>
      <c r="G2233" s="833" t="s">
        <v>1470</v>
      </c>
      <c r="H2233" s="192" t="s">
        <v>678</v>
      </c>
      <c r="I2233" s="253">
        <v>12</v>
      </c>
      <c r="J2233" s="253">
        <v>116191</v>
      </c>
      <c r="K2233" s="584">
        <f t="shared" si="315"/>
        <v>1394292</v>
      </c>
      <c r="L2233" s="193" t="s">
        <v>251</v>
      </c>
      <c r="M2233" s="193" t="s">
        <v>164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52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>x</v>
      </c>
      <c r="AA2233" s="826"/>
      <c r="AB2233" s="576" t="str">
        <f>IF(VLOOKUP(F2233,NXT!$C$12:$C$786,1,0)=F2233,"","x")</f>
        <v/>
      </c>
      <c r="AD2233" s="576"/>
    </row>
    <row r="2234" spans="1:30" ht="15.75" customHeight="1">
      <c r="A2234" s="827" t="str">
        <f>IF(B2234&lt;&gt;"",IF(AND(B2234&gt;=_TM1,B2234&lt;=_TM2,OR(TH!L2234="1111",TH!M2234="1111")),TH!D2234,""),"")</f>
        <v/>
      </c>
      <c r="B2234" s="36">
        <f t="shared" ref="B2234:B2306" si="316">IF(C2234&lt;&gt;"",MONTH(C2234),"")</f>
        <v>7</v>
      </c>
      <c r="C2234" s="190">
        <f t="shared" ref="C2234:C2306" si="317">E2234</f>
        <v>42581</v>
      </c>
      <c r="D2234" s="190" t="s">
        <v>1587</v>
      </c>
      <c r="E2234" s="190">
        <v>42581</v>
      </c>
      <c r="F2234" s="292" t="s">
        <v>705</v>
      </c>
      <c r="G2234" s="833" t="s">
        <v>1470</v>
      </c>
      <c r="H2234" s="192" t="s">
        <v>678</v>
      </c>
      <c r="I2234" s="253">
        <v>12</v>
      </c>
      <c r="J2234" s="253">
        <v>66171</v>
      </c>
      <c r="K2234" s="584">
        <f t="shared" ref="K2234:K2306" si="318">ROUND(I2234*J2234,0)</f>
        <v>794052</v>
      </c>
      <c r="L2234" s="193" t="s">
        <v>251</v>
      </c>
      <c r="M2234" s="193" t="s">
        <v>164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52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>x</v>
      </c>
      <c r="AA2234" s="826"/>
      <c r="AB2234" s="576" t="str">
        <f>IF(VLOOKUP(F2234,NXT!$C$12:$C$786,1,0)=F2234,"","x")</f>
        <v/>
      </c>
    </row>
    <row r="2235" spans="1:30" ht="15.75" customHeight="1">
      <c r="A2235" s="827" t="str">
        <f>IF(B2235&lt;&gt;"",IF(AND(B2235&gt;=_TM1,B2235&lt;=_TM2,OR(TH!L2235="1111",TH!M2235="1111")),TH!D2235,""),"")</f>
        <v/>
      </c>
      <c r="B2235" s="36">
        <f t="shared" si="316"/>
        <v>7</v>
      </c>
      <c r="C2235" s="190">
        <f t="shared" si="317"/>
        <v>42581</v>
      </c>
      <c r="D2235" s="190" t="s">
        <v>1587</v>
      </c>
      <c r="E2235" s="190">
        <v>42581</v>
      </c>
      <c r="F2235" s="292" t="s">
        <v>484</v>
      </c>
      <c r="G2235" s="833" t="s">
        <v>1470</v>
      </c>
      <c r="H2235" s="192" t="s">
        <v>678</v>
      </c>
      <c r="I2235" s="253">
        <v>12</v>
      </c>
      <c r="J2235" s="253">
        <v>35511</v>
      </c>
      <c r="K2235" s="584">
        <f t="shared" si="318"/>
        <v>426132</v>
      </c>
      <c r="L2235" s="193" t="s">
        <v>251</v>
      </c>
      <c r="M2235" s="193" t="s">
        <v>164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52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>x</v>
      </c>
      <c r="AA2235" s="826"/>
      <c r="AB2235" s="576" t="str">
        <f>IF(VLOOKUP(F2235,NXT!$C$12:$C$786,1,0)=F2235,"","x")</f>
        <v/>
      </c>
    </row>
    <row r="2236" spans="1:30" ht="15.75" customHeight="1">
      <c r="A2236" s="827" t="str">
        <f>IF(B2236&lt;&gt;"",IF(AND(B2236&gt;=_TM1,B2236&lt;=_TM2,OR(TH!L2236="1111",TH!M2236="1111")),TH!D2236,""),"")</f>
        <v/>
      </c>
      <c r="B2236" s="36">
        <f t="shared" si="316"/>
        <v>7</v>
      </c>
      <c r="C2236" s="190">
        <f t="shared" si="317"/>
        <v>42581</v>
      </c>
      <c r="D2236" s="190" t="s">
        <v>1587</v>
      </c>
      <c r="E2236" s="190">
        <v>42581</v>
      </c>
      <c r="F2236" s="292" t="s">
        <v>702</v>
      </c>
      <c r="G2236" s="833" t="s">
        <v>1470</v>
      </c>
      <c r="H2236" s="192" t="s">
        <v>678</v>
      </c>
      <c r="I2236" s="253">
        <v>30</v>
      </c>
      <c r="J2236" s="253">
        <v>61047</v>
      </c>
      <c r="K2236" s="584">
        <f t="shared" si="318"/>
        <v>1831410</v>
      </c>
      <c r="L2236" s="193" t="s">
        <v>251</v>
      </c>
      <c r="M2236" s="193" t="s">
        <v>164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52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>x</v>
      </c>
      <c r="AA2236" s="826"/>
      <c r="AB2236" s="576" t="str">
        <f>IF(VLOOKUP(F2236,NXT!$C$12:$C$786,1,0)=F2236,"","x")</f>
        <v/>
      </c>
      <c r="AD2236" s="576"/>
    </row>
    <row r="2237" spans="1:30" ht="15.75" customHeight="1">
      <c r="A2237" s="827" t="str">
        <f>IF(B2237&lt;&gt;"",IF(AND(B2237&gt;=_TM1,B2237&lt;=_TM2,OR(TH!L2237="1111",TH!M2237="1111")),TH!D2237,""),"")</f>
        <v/>
      </c>
      <c r="B2237" s="36">
        <f t="shared" si="316"/>
        <v>7</v>
      </c>
      <c r="C2237" s="190">
        <f t="shared" si="317"/>
        <v>42581</v>
      </c>
      <c r="D2237" s="190" t="s">
        <v>1587</v>
      </c>
      <c r="E2237" s="190">
        <v>42581</v>
      </c>
      <c r="F2237" s="292" t="s">
        <v>536</v>
      </c>
      <c r="G2237" s="833" t="s">
        <v>1470</v>
      </c>
      <c r="H2237" s="192" t="s">
        <v>678</v>
      </c>
      <c r="I2237" s="253">
        <v>18</v>
      </c>
      <c r="J2237" s="253">
        <v>67704</v>
      </c>
      <c r="K2237" s="584">
        <f t="shared" si="318"/>
        <v>1218672</v>
      </c>
      <c r="L2237" s="193" t="s">
        <v>251</v>
      </c>
      <c r="M2237" s="193" t="s">
        <v>164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52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>x</v>
      </c>
      <c r="AA2237" s="826"/>
      <c r="AB2237" s="576" t="str">
        <f>IF(VLOOKUP(F2237,NXT!$C$12:$C$786,1,0)=F2237,"","x")</f>
        <v/>
      </c>
    </row>
    <row r="2238" spans="1:30" ht="15.75" customHeight="1">
      <c r="A2238" s="827" t="str">
        <f>IF(B2238&lt;&gt;"",IF(AND(B2238&gt;=_TM1,B2238&lt;=_TM2,OR(TH!L2238="1111",TH!M2238="1111")),TH!D2238,""),"")</f>
        <v/>
      </c>
      <c r="B2238" s="36">
        <f t="shared" si="316"/>
        <v>7</v>
      </c>
      <c r="C2238" s="190">
        <f t="shared" si="317"/>
        <v>42581</v>
      </c>
      <c r="D2238" s="190" t="s">
        <v>1587</v>
      </c>
      <c r="E2238" s="190">
        <v>42581</v>
      </c>
      <c r="F2238" s="292" t="s">
        <v>537</v>
      </c>
      <c r="G2238" s="833" t="s">
        <v>1470</v>
      </c>
      <c r="H2238" s="192" t="s">
        <v>678</v>
      </c>
      <c r="I2238" s="253">
        <v>24</v>
      </c>
      <c r="J2238" s="253">
        <v>32490</v>
      </c>
      <c r="K2238" s="584">
        <f t="shared" si="318"/>
        <v>779760</v>
      </c>
      <c r="L2238" s="193" t="s">
        <v>251</v>
      </c>
      <c r="M2238" s="193" t="s">
        <v>164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52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>x</v>
      </c>
      <c r="AA2238" s="826"/>
      <c r="AB2238" s="576" t="str">
        <f>IF(VLOOKUP(F2238,NXT!$C$12:$C$786,1,0)=F2238,"","x")</f>
        <v/>
      </c>
    </row>
    <row r="2239" spans="1:30" ht="15.75" customHeight="1">
      <c r="A2239" s="827" t="str">
        <f>IF(B2239&lt;&gt;"",IF(AND(B2239&gt;=_TM1,B2239&lt;=_TM2,OR(TH!L2239="1111",TH!M2239="1111")),TH!D2239,""),"")</f>
        <v/>
      </c>
      <c r="B2239" s="36">
        <f t="shared" si="316"/>
        <v>7</v>
      </c>
      <c r="C2239" s="190">
        <f t="shared" si="317"/>
        <v>42581</v>
      </c>
      <c r="D2239" s="190" t="s">
        <v>1587</v>
      </c>
      <c r="E2239" s="190">
        <v>42581</v>
      </c>
      <c r="F2239" s="292" t="s">
        <v>816</v>
      </c>
      <c r="G2239" s="833" t="s">
        <v>1470</v>
      </c>
      <c r="H2239" s="192" t="s">
        <v>678</v>
      </c>
      <c r="I2239" s="253">
        <v>2</v>
      </c>
      <c r="J2239" s="253">
        <v>214662</v>
      </c>
      <c r="K2239" s="584">
        <f t="shared" si="318"/>
        <v>429324</v>
      </c>
      <c r="L2239" s="193" t="s">
        <v>251</v>
      </c>
      <c r="M2239" s="193" t="s">
        <v>164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52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>x</v>
      </c>
      <c r="AA2239" s="826"/>
      <c r="AB2239" s="576" t="str">
        <f>IF(VLOOKUP(F2239,NXT!$C$12:$C$786,1,0)=F2239,"","x")</f>
        <v/>
      </c>
      <c r="AD2239" s="576"/>
    </row>
    <row r="2240" spans="1:30" ht="15.75" customHeight="1">
      <c r="A2240" s="827" t="str">
        <f>IF(B2240&lt;&gt;"",IF(AND(B2240&gt;=_TM1,B2240&lt;=_TM2,OR(TH!L2240="1111",TH!M2240="1111")),TH!D2240,""),"")</f>
        <v/>
      </c>
      <c r="B2240" s="36">
        <f t="shared" si="316"/>
        <v>7</v>
      </c>
      <c r="C2240" s="190">
        <f t="shared" si="317"/>
        <v>42581</v>
      </c>
      <c r="D2240" s="190" t="s">
        <v>1587</v>
      </c>
      <c r="E2240" s="190">
        <v>42581</v>
      </c>
      <c r="F2240" s="292" t="s">
        <v>490</v>
      </c>
      <c r="G2240" s="833" t="s">
        <v>1470</v>
      </c>
      <c r="H2240" s="192" t="s">
        <v>678</v>
      </c>
      <c r="I2240" s="253">
        <v>2</v>
      </c>
      <c r="J2240" s="253">
        <v>163506</v>
      </c>
      <c r="K2240" s="584">
        <f t="shared" si="318"/>
        <v>327012</v>
      </c>
      <c r="L2240" s="193" t="s">
        <v>251</v>
      </c>
      <c r="M2240" s="193" t="s">
        <v>164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52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>x</v>
      </c>
      <c r="AA2240" s="826"/>
      <c r="AB2240" s="576" t="str">
        <f>IF(VLOOKUP(F2240,NXT!$C$12:$C$786,1,0)=F2240,"","x")</f>
        <v/>
      </c>
    </row>
    <row r="2241" spans="1:30" ht="15.75" customHeight="1">
      <c r="A2241" s="827" t="str">
        <f>IF(B2241&lt;&gt;"",IF(AND(B2241&gt;=_TM1,B2241&lt;=_TM2,OR(TH!L2241="1111",TH!M2241="1111")),TH!D2241,""),"")</f>
        <v/>
      </c>
      <c r="B2241" s="36">
        <f t="shared" si="316"/>
        <v>7</v>
      </c>
      <c r="C2241" s="190">
        <f t="shared" si="317"/>
        <v>42581</v>
      </c>
      <c r="D2241" s="190" t="s">
        <v>1587</v>
      </c>
      <c r="E2241" s="190">
        <v>42581</v>
      </c>
      <c r="F2241" s="292" t="s">
        <v>885</v>
      </c>
      <c r="G2241" s="833" t="s">
        <v>1470</v>
      </c>
      <c r="H2241" s="192" t="s">
        <v>678</v>
      </c>
      <c r="I2241" s="253">
        <v>6</v>
      </c>
      <c r="J2241" s="253">
        <v>71350</v>
      </c>
      <c r="K2241" s="584">
        <f t="shared" si="318"/>
        <v>428100</v>
      </c>
      <c r="L2241" s="193" t="s">
        <v>251</v>
      </c>
      <c r="M2241" s="193" t="s">
        <v>164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52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>x</v>
      </c>
      <c r="AA2241" s="826"/>
      <c r="AB2241" s="576" t="str">
        <f>IF(VLOOKUP(F2241,NXT!$C$12:$C$786,1,0)=F2241,"","x")</f>
        <v/>
      </c>
    </row>
    <row r="2242" spans="1:30" ht="15.75" customHeight="1">
      <c r="A2242" s="827" t="str">
        <f>IF(B2242&lt;&gt;"",IF(AND(B2242&gt;=_TM1,B2242&lt;=_TM2,OR(TH!L2242="1111",TH!M2242="1111")),TH!D2242,""),"")</f>
        <v/>
      </c>
      <c r="B2242" s="36">
        <f t="shared" si="316"/>
        <v>7</v>
      </c>
      <c r="C2242" s="190">
        <f t="shared" si="317"/>
        <v>42581</v>
      </c>
      <c r="D2242" s="190" t="s">
        <v>1587</v>
      </c>
      <c r="E2242" s="190">
        <v>42581</v>
      </c>
      <c r="F2242" s="292" t="s">
        <v>809</v>
      </c>
      <c r="G2242" s="833" t="s">
        <v>1470</v>
      </c>
      <c r="H2242" s="192" t="s">
        <v>678</v>
      </c>
      <c r="I2242" s="253">
        <v>24</v>
      </c>
      <c r="J2242" s="253">
        <v>42669</v>
      </c>
      <c r="K2242" s="584">
        <f t="shared" si="318"/>
        <v>1024056</v>
      </c>
      <c r="L2242" s="193" t="s">
        <v>251</v>
      </c>
      <c r="M2242" s="193" t="s">
        <v>164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52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>x</v>
      </c>
      <c r="AA2242" s="826"/>
      <c r="AB2242" s="576" t="str">
        <f>IF(VLOOKUP(F2242,NXT!$C$12:$C$786,1,0)=F2242,"","x")</f>
        <v/>
      </c>
      <c r="AD2242" s="576"/>
    </row>
    <row r="2243" spans="1:30" ht="15.75" customHeight="1">
      <c r="A2243" s="827" t="str">
        <f>IF(B2243&lt;&gt;"",IF(AND(B2243&gt;=_TM1,B2243&lt;=_TM2,OR(TH!L2243="1111",TH!M2243="1111")),TH!D2243,""),"")</f>
        <v/>
      </c>
      <c r="B2243" s="36">
        <f t="shared" si="316"/>
        <v>7</v>
      </c>
      <c r="C2243" s="190">
        <f t="shared" si="317"/>
        <v>42581</v>
      </c>
      <c r="D2243" s="190" t="s">
        <v>1587</v>
      </c>
      <c r="E2243" s="190">
        <v>42581</v>
      </c>
      <c r="F2243" s="292" t="s">
        <v>820</v>
      </c>
      <c r="G2243" s="833" t="s">
        <v>1470</v>
      </c>
      <c r="H2243" s="192" t="s">
        <v>678</v>
      </c>
      <c r="I2243" s="253">
        <v>6</v>
      </c>
      <c r="J2243" s="253">
        <v>103488</v>
      </c>
      <c r="K2243" s="584">
        <f t="shared" si="318"/>
        <v>620928</v>
      </c>
      <c r="L2243" s="193" t="s">
        <v>251</v>
      </c>
      <c r="M2243" s="193" t="s">
        <v>164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52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>x</v>
      </c>
      <c r="AA2243" s="826"/>
      <c r="AB2243" s="576" t="str">
        <f>IF(VLOOKUP(F2243,NXT!$C$12:$C$786,1,0)=F2243,"","x")</f>
        <v/>
      </c>
    </row>
    <row r="2244" spans="1:30" ht="15.75" customHeight="1">
      <c r="A2244" s="827" t="str">
        <f>IF(B2244&lt;&gt;"",IF(AND(B2244&gt;=_TM1,B2244&lt;=_TM2,OR(TH!L2244="1111",TH!M2244="1111")),TH!D2244,""),"")</f>
        <v/>
      </c>
      <c r="B2244" s="36">
        <f t="shared" si="316"/>
        <v>7</v>
      </c>
      <c r="C2244" s="190">
        <f t="shared" si="317"/>
        <v>42581</v>
      </c>
      <c r="D2244" s="190" t="s">
        <v>1587</v>
      </c>
      <c r="E2244" s="190">
        <v>42581</v>
      </c>
      <c r="F2244" s="292" t="s">
        <v>1463</v>
      </c>
      <c r="G2244" s="833" t="s">
        <v>1470</v>
      </c>
      <c r="H2244" s="192" t="s">
        <v>678</v>
      </c>
      <c r="I2244" s="253">
        <v>11</v>
      </c>
      <c r="J2244" s="253">
        <v>75214</v>
      </c>
      <c r="K2244" s="584">
        <f t="shared" si="318"/>
        <v>827354</v>
      </c>
      <c r="L2244" s="193" t="s">
        <v>251</v>
      </c>
      <c r="M2244" s="193" t="s">
        <v>164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52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>x</v>
      </c>
      <c r="AA2244" s="826"/>
      <c r="AB2244" s="576" t="str">
        <f>IF(VLOOKUP(F2244,NXT!$C$12:$C$786,1,0)=F2244,"","x")</f>
        <v/>
      </c>
    </row>
    <row r="2245" spans="1:30" ht="15.75" customHeight="1">
      <c r="A2245" s="827" t="str">
        <f>IF(B2245&lt;&gt;"",IF(AND(B2245&gt;=_TM1,B2245&lt;=_TM2,OR(TH!L2245="1111",TH!M2245="1111")),TH!D2245,""),"")</f>
        <v/>
      </c>
      <c r="B2245" s="36">
        <f t="shared" si="316"/>
        <v>7</v>
      </c>
      <c r="C2245" s="190">
        <f t="shared" si="317"/>
        <v>42581</v>
      </c>
      <c r="D2245" s="190" t="s">
        <v>1587</v>
      </c>
      <c r="E2245" s="190">
        <v>42581</v>
      </c>
      <c r="F2245" s="292" t="s">
        <v>490</v>
      </c>
      <c r="G2245" s="833" t="s">
        <v>1470</v>
      </c>
      <c r="H2245" s="192" t="s">
        <v>678</v>
      </c>
      <c r="I2245" s="253">
        <v>4</v>
      </c>
      <c r="J2245" s="253">
        <v>163506</v>
      </c>
      <c r="K2245" s="584">
        <f t="shared" si="318"/>
        <v>654024</v>
      </c>
      <c r="L2245" s="193" t="s">
        <v>251</v>
      </c>
      <c r="M2245" s="193" t="s">
        <v>164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52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>x</v>
      </c>
      <c r="AA2245" s="826"/>
      <c r="AB2245" s="576" t="str">
        <f>IF(VLOOKUP(F2245,NXT!$C$12:$C$786,1,0)=F2245,"","x")</f>
        <v/>
      </c>
      <c r="AD2245" s="576"/>
    </row>
    <row r="2246" spans="1:30" ht="15.75" customHeight="1">
      <c r="A2246" s="827" t="str">
        <f>IF(B2246&lt;&gt;"",IF(AND(B2246&gt;=_TM1,B2246&lt;=_TM2,OR(TH!L2246="1111",TH!M2246="1111")),TH!D2246,""),"")</f>
        <v/>
      </c>
      <c r="B2246" s="36">
        <f t="shared" si="316"/>
        <v>7</v>
      </c>
      <c r="C2246" s="190">
        <f t="shared" si="317"/>
        <v>42581</v>
      </c>
      <c r="D2246" s="190" t="s">
        <v>1587</v>
      </c>
      <c r="E2246" s="190">
        <v>42581</v>
      </c>
      <c r="F2246" s="292" t="s">
        <v>494</v>
      </c>
      <c r="G2246" s="833" t="s">
        <v>1470</v>
      </c>
      <c r="H2246" s="192" t="s">
        <v>678</v>
      </c>
      <c r="I2246" s="253">
        <v>12</v>
      </c>
      <c r="J2246" s="253">
        <v>71870</v>
      </c>
      <c r="K2246" s="584">
        <f t="shared" si="318"/>
        <v>862440</v>
      </c>
      <c r="L2246" s="193" t="s">
        <v>251</v>
      </c>
      <c r="M2246" s="193" t="s">
        <v>164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52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>x</v>
      </c>
      <c r="AA2246" s="826"/>
      <c r="AB2246" s="576" t="str">
        <f>IF(VLOOKUP(F2246,NXT!$C$12:$C$786,1,0)=F2246,"","x")</f>
        <v/>
      </c>
    </row>
    <row r="2247" spans="1:30" ht="15.75" customHeight="1">
      <c r="A2247" s="827" t="str">
        <f>IF(B2247&lt;&gt;"",IF(AND(B2247&gt;=_TM1,B2247&lt;=_TM2,OR(TH!L2247="1111",TH!M2247="1111")),TH!D2247,""),"")</f>
        <v/>
      </c>
      <c r="B2247" s="36">
        <f t="shared" si="316"/>
        <v>7</v>
      </c>
      <c r="C2247" s="190">
        <f t="shared" si="317"/>
        <v>42581</v>
      </c>
      <c r="D2247" s="190" t="s">
        <v>1587</v>
      </c>
      <c r="E2247" s="190">
        <v>42581</v>
      </c>
      <c r="F2247" s="292" t="s">
        <v>809</v>
      </c>
      <c r="G2247" s="833" t="s">
        <v>1470</v>
      </c>
      <c r="H2247" s="192" t="s">
        <v>678</v>
      </c>
      <c r="I2247" s="253">
        <v>48</v>
      </c>
      <c r="J2247" s="253">
        <v>40546</v>
      </c>
      <c r="K2247" s="584">
        <f t="shared" si="318"/>
        <v>1946208</v>
      </c>
      <c r="L2247" s="193" t="s">
        <v>251</v>
      </c>
      <c r="M2247" s="193" t="s">
        <v>164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52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>x</v>
      </c>
      <c r="AA2247" s="826"/>
      <c r="AB2247" s="576" t="str">
        <f>IF(VLOOKUP(F2247,NXT!$C$12:$C$786,1,0)=F2247,"","x")</f>
        <v/>
      </c>
    </row>
    <row r="2248" spans="1:30" ht="15.75" customHeight="1">
      <c r="A2248" s="827" t="str">
        <f>IF(B2248&lt;&gt;"",IF(AND(B2248&gt;=_TM1,B2248&lt;=_TM2,OR(TH!L2248="1111",TH!M2248="1111")),TH!D2248,""),"")</f>
        <v/>
      </c>
      <c r="B2248" s="36">
        <f t="shared" si="316"/>
        <v>7</v>
      </c>
      <c r="C2248" s="190">
        <f t="shared" si="317"/>
        <v>42581</v>
      </c>
      <c r="D2248" s="190" t="s">
        <v>1587</v>
      </c>
      <c r="E2248" s="190">
        <v>42581</v>
      </c>
      <c r="F2248" s="292" t="s">
        <v>451</v>
      </c>
      <c r="G2248" s="833" t="s">
        <v>1470</v>
      </c>
      <c r="H2248" s="192" t="s">
        <v>678</v>
      </c>
      <c r="I2248" s="253">
        <v>580</v>
      </c>
      <c r="J2248" s="253">
        <v>10500</v>
      </c>
      <c r="K2248" s="584">
        <f t="shared" si="318"/>
        <v>6090000</v>
      </c>
      <c r="L2248" s="193" t="s">
        <v>251</v>
      </c>
      <c r="M2248" s="193" t="s">
        <v>164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52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>x</v>
      </c>
      <c r="AA2248" s="826"/>
      <c r="AB2248" s="576" t="str">
        <f>IF(VLOOKUP(F2248,NXT!$C$12:$C$786,1,0)=F2248,"","x")</f>
        <v/>
      </c>
      <c r="AD2248" s="576"/>
    </row>
    <row r="2249" spans="1:30" ht="15.75" customHeight="1">
      <c r="A2249" s="827" t="str">
        <f>IF(B2249&lt;&gt;"",IF(AND(B2249&gt;=_TM1,B2249&lt;=_TM2,OR(TH!L2249="1111",TH!M2249="1111")),TH!D2249,""),"")</f>
        <v/>
      </c>
      <c r="B2249" s="36">
        <f t="shared" si="316"/>
        <v>7</v>
      </c>
      <c r="C2249" s="190">
        <f t="shared" si="317"/>
        <v>42581</v>
      </c>
      <c r="D2249" s="190" t="s">
        <v>1587</v>
      </c>
      <c r="E2249" s="190">
        <v>42581</v>
      </c>
      <c r="F2249" s="292" t="s">
        <v>886</v>
      </c>
      <c r="G2249" s="833" t="s">
        <v>1470</v>
      </c>
      <c r="H2249" s="192" t="s">
        <v>678</v>
      </c>
      <c r="I2249" s="253">
        <v>4</v>
      </c>
      <c r="J2249" s="253">
        <v>99792</v>
      </c>
      <c r="K2249" s="584">
        <f t="shared" si="318"/>
        <v>399168</v>
      </c>
      <c r="L2249" s="193" t="s">
        <v>251</v>
      </c>
      <c r="M2249" s="193" t="s">
        <v>164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52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>x</v>
      </c>
      <c r="AA2249" s="826"/>
      <c r="AB2249" s="576" t="str">
        <f>IF(VLOOKUP(F2249,NXT!$C$12:$C$786,1,0)=F2249,"","x")</f>
        <v/>
      </c>
    </row>
    <row r="2250" spans="1:30" ht="15.75" customHeight="1">
      <c r="A2250" s="827" t="str">
        <f>IF(B2250&lt;&gt;"",IF(AND(B2250&gt;=_TM1,B2250&lt;=_TM2,OR(TH!L2250="1111",TH!M2250="1111")),TH!D2250,""),"")</f>
        <v/>
      </c>
      <c r="B2250" s="36">
        <f t="shared" si="316"/>
        <v>7</v>
      </c>
      <c r="C2250" s="190">
        <f t="shared" si="317"/>
        <v>42581</v>
      </c>
      <c r="D2250" s="190" t="s">
        <v>1587</v>
      </c>
      <c r="E2250" s="190">
        <v>42581</v>
      </c>
      <c r="F2250" s="292" t="s">
        <v>882</v>
      </c>
      <c r="G2250" s="833" t="s">
        <v>1470</v>
      </c>
      <c r="H2250" s="192" t="s">
        <v>678</v>
      </c>
      <c r="I2250" s="253">
        <v>12</v>
      </c>
      <c r="J2250" s="253">
        <v>69350</v>
      </c>
      <c r="K2250" s="584">
        <f t="shared" si="318"/>
        <v>832200</v>
      </c>
      <c r="L2250" s="193" t="s">
        <v>251</v>
      </c>
      <c r="M2250" s="193" t="s">
        <v>164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52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>x</v>
      </c>
      <c r="AA2250" s="826"/>
      <c r="AB2250" s="576" t="str">
        <f>IF(VLOOKUP(F2250,NXT!$C$12:$C$786,1,0)=F2250,"","x")</f>
        <v/>
      </c>
    </row>
    <row r="2251" spans="1:30" ht="15.75" customHeight="1">
      <c r="A2251" s="827" t="str">
        <f>IF(B2251&lt;&gt;"",IF(AND(B2251&gt;=_TM1,B2251&lt;=_TM2,OR(TH!L2251="1111",TH!M2251="1111")),TH!D2251,""),"")</f>
        <v/>
      </c>
      <c r="B2251" s="36">
        <f t="shared" si="316"/>
        <v>7</v>
      </c>
      <c r="C2251" s="190">
        <f t="shared" si="317"/>
        <v>42581</v>
      </c>
      <c r="D2251" s="190" t="s">
        <v>1587</v>
      </c>
      <c r="E2251" s="190">
        <v>42581</v>
      </c>
      <c r="F2251" s="292" t="s">
        <v>883</v>
      </c>
      <c r="G2251" s="833" t="s">
        <v>1470</v>
      </c>
      <c r="H2251" s="192" t="s">
        <v>678</v>
      </c>
      <c r="I2251" s="253">
        <v>14</v>
      </c>
      <c r="J2251" s="253">
        <v>49480</v>
      </c>
      <c r="K2251" s="584">
        <f t="shared" si="318"/>
        <v>692720</v>
      </c>
      <c r="L2251" s="193" t="s">
        <v>251</v>
      </c>
      <c r="M2251" s="193" t="s">
        <v>164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52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>x</v>
      </c>
      <c r="AA2251" s="826"/>
      <c r="AB2251" s="576" t="str">
        <f>IF(VLOOKUP(F2251,NXT!$C$12:$C$786,1,0)=F2251,"","x")</f>
        <v/>
      </c>
      <c r="AD2251" s="576"/>
    </row>
    <row r="2252" spans="1:30" ht="15.75" customHeight="1">
      <c r="A2252" s="827" t="str">
        <f>IF(B2252&lt;&gt;"",IF(AND(B2252&gt;=_TM1,B2252&lt;=_TM2,OR(TH!L2252="1111",TH!M2252="1111")),TH!D2252,""),"")</f>
        <v/>
      </c>
      <c r="B2252" s="36">
        <f t="shared" si="316"/>
        <v>7</v>
      </c>
      <c r="C2252" s="190">
        <f t="shared" si="317"/>
        <v>42581</v>
      </c>
      <c r="D2252" s="190" t="s">
        <v>1587</v>
      </c>
      <c r="E2252" s="190">
        <v>42581</v>
      </c>
      <c r="F2252" s="292" t="s">
        <v>884</v>
      </c>
      <c r="G2252" s="833" t="s">
        <v>1470</v>
      </c>
      <c r="H2252" s="192" t="s">
        <v>678</v>
      </c>
      <c r="I2252" s="253">
        <v>14</v>
      </c>
      <c r="J2252" s="253">
        <v>64474</v>
      </c>
      <c r="K2252" s="584">
        <f t="shared" si="318"/>
        <v>902636</v>
      </c>
      <c r="L2252" s="193" t="s">
        <v>251</v>
      </c>
      <c r="M2252" s="193" t="s">
        <v>164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52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>x</v>
      </c>
      <c r="AA2252" s="826"/>
      <c r="AB2252" s="576" t="str">
        <f>IF(VLOOKUP(F2252,NXT!$C$12:$C$786,1,0)=F2252,"","x")</f>
        <v/>
      </c>
    </row>
    <row r="2253" spans="1:30" ht="15.75" customHeight="1">
      <c r="A2253" s="827" t="str">
        <f>IF(B2253&lt;&gt;"",IF(AND(B2253&gt;=_TM1,B2253&lt;=_TM2,OR(TH!L2253="1111",TH!M2253="1111")),TH!D2253,""),"")</f>
        <v/>
      </c>
      <c r="B2253" s="36">
        <f t="shared" si="316"/>
        <v>7</v>
      </c>
      <c r="C2253" s="190">
        <f t="shared" si="317"/>
        <v>42581</v>
      </c>
      <c r="D2253" s="190" t="s">
        <v>1587</v>
      </c>
      <c r="E2253" s="190">
        <v>42581</v>
      </c>
      <c r="F2253" s="292" t="s">
        <v>1464</v>
      </c>
      <c r="G2253" s="833" t="s">
        <v>1470</v>
      </c>
      <c r="H2253" s="192" t="s">
        <v>678</v>
      </c>
      <c r="I2253" s="253">
        <v>5</v>
      </c>
      <c r="J2253" s="253">
        <v>103194</v>
      </c>
      <c r="K2253" s="584">
        <f t="shared" si="318"/>
        <v>515970</v>
      </c>
      <c r="L2253" s="193" t="s">
        <v>251</v>
      </c>
      <c r="M2253" s="193" t="s">
        <v>164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52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>x</v>
      </c>
      <c r="AA2253" s="826"/>
      <c r="AB2253" s="576" t="str">
        <f>IF(VLOOKUP(F2253,NXT!$C$12:$C$786,1,0)=F2253,"","x")</f>
        <v/>
      </c>
    </row>
    <row r="2254" spans="1:30" ht="15.75" customHeight="1">
      <c r="A2254" s="827" t="str">
        <f>IF(B2254&lt;&gt;"",IF(AND(B2254&gt;=_TM1,B2254&lt;=_TM2,OR(TH!L2254="1111",TH!M2254="1111")),TH!D2254,""),"")</f>
        <v/>
      </c>
      <c r="B2254" s="36">
        <f t="shared" si="316"/>
        <v>7</v>
      </c>
      <c r="C2254" s="190">
        <f t="shared" si="317"/>
        <v>42581</v>
      </c>
      <c r="D2254" s="190" t="s">
        <v>1587</v>
      </c>
      <c r="E2254" s="190">
        <v>42581</v>
      </c>
      <c r="F2254" s="292" t="s">
        <v>882</v>
      </c>
      <c r="G2254" s="833" t="s">
        <v>1470</v>
      </c>
      <c r="H2254" s="192" t="s">
        <v>678</v>
      </c>
      <c r="I2254" s="253">
        <v>16</v>
      </c>
      <c r="J2254" s="253">
        <v>69350</v>
      </c>
      <c r="K2254" s="584">
        <f t="shared" si="318"/>
        <v>1109600</v>
      </c>
      <c r="L2254" s="193" t="s">
        <v>251</v>
      </c>
      <c r="M2254" s="193" t="s">
        <v>164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52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>x</v>
      </c>
      <c r="AA2254" s="826"/>
      <c r="AB2254" s="576" t="str">
        <f>IF(VLOOKUP(F2254,NXT!$C$12:$C$786,1,0)=F2254,"","x")</f>
        <v/>
      </c>
      <c r="AD2254" s="576"/>
    </row>
    <row r="2255" spans="1:30" ht="15.75" customHeight="1">
      <c r="A2255" s="827" t="str">
        <f>IF(B2255&lt;&gt;"",IF(AND(B2255&gt;=_TM1,B2255&lt;=_TM2,OR(TH!L2255="1111",TH!M2255="1111")),TH!D2255,""),"")</f>
        <v/>
      </c>
      <c r="B2255" s="36">
        <f t="shared" si="316"/>
        <v>7</v>
      </c>
      <c r="C2255" s="190">
        <f t="shared" si="317"/>
        <v>42581</v>
      </c>
      <c r="D2255" s="190" t="s">
        <v>1587</v>
      </c>
      <c r="E2255" s="190">
        <v>42581</v>
      </c>
      <c r="F2255" s="292" t="s">
        <v>547</v>
      </c>
      <c r="G2255" s="833" t="s">
        <v>1470</v>
      </c>
      <c r="H2255" s="192" t="s">
        <v>678</v>
      </c>
      <c r="I2255" s="253">
        <v>36</v>
      </c>
      <c r="J2255" s="253">
        <v>17406</v>
      </c>
      <c r="K2255" s="584">
        <f t="shared" si="318"/>
        <v>626616</v>
      </c>
      <c r="L2255" s="193" t="s">
        <v>251</v>
      </c>
      <c r="M2255" s="193" t="s">
        <v>164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52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>x</v>
      </c>
      <c r="AA2255" s="826"/>
      <c r="AB2255" s="576" t="str">
        <f>IF(VLOOKUP(F2255,NXT!$C$12:$C$786,1,0)=F2255,"","x")</f>
        <v/>
      </c>
    </row>
    <row r="2256" spans="1:30" ht="15.75" customHeight="1">
      <c r="A2256" s="827" t="str">
        <f>IF(B2256&lt;&gt;"",IF(AND(B2256&gt;=_TM1,B2256&lt;=_TM2,OR(TH!L2256="1111",TH!M2256="1111")),TH!D2256,""),"")</f>
        <v/>
      </c>
      <c r="B2256" s="36">
        <f t="shared" si="316"/>
        <v>7</v>
      </c>
      <c r="C2256" s="190">
        <f t="shared" si="317"/>
        <v>42581</v>
      </c>
      <c r="D2256" s="190" t="s">
        <v>1587</v>
      </c>
      <c r="E2256" s="190">
        <v>42581</v>
      </c>
      <c r="F2256" s="292" t="s">
        <v>525</v>
      </c>
      <c r="G2256" s="833" t="s">
        <v>1470</v>
      </c>
      <c r="H2256" s="192" t="s">
        <v>678</v>
      </c>
      <c r="I2256" s="253">
        <v>24</v>
      </c>
      <c r="J2256" s="253">
        <v>17602</v>
      </c>
      <c r="K2256" s="584">
        <f t="shared" si="318"/>
        <v>422448</v>
      </c>
      <c r="L2256" s="193" t="s">
        <v>251</v>
      </c>
      <c r="M2256" s="193" t="s">
        <v>164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52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>x</v>
      </c>
      <c r="AA2256" s="826"/>
      <c r="AB2256" s="576" t="str">
        <f>IF(VLOOKUP(F2256,NXT!$C$12:$C$786,1,0)=F2256,"","x")</f>
        <v/>
      </c>
    </row>
    <row r="2257" spans="1:30" ht="15.75" customHeight="1">
      <c r="A2257" s="827" t="str">
        <f>IF(B2257&lt;&gt;"",IF(AND(B2257&gt;=_TM1,B2257&lt;=_TM2,OR(TH!L2257="1111",TH!M2257="1111")),TH!D2257,""),"")</f>
        <v/>
      </c>
      <c r="B2257" s="36">
        <f t="shared" si="316"/>
        <v>7</v>
      </c>
      <c r="C2257" s="190">
        <f t="shared" si="317"/>
        <v>42581</v>
      </c>
      <c r="D2257" s="190" t="s">
        <v>1587</v>
      </c>
      <c r="E2257" s="190">
        <v>42581</v>
      </c>
      <c r="F2257" s="292" t="s">
        <v>525</v>
      </c>
      <c r="G2257" s="833" t="s">
        <v>1470</v>
      </c>
      <c r="H2257" s="192" t="s">
        <v>678</v>
      </c>
      <c r="I2257" s="253">
        <v>54</v>
      </c>
      <c r="J2257" s="253">
        <v>17602</v>
      </c>
      <c r="K2257" s="584">
        <f t="shared" si="318"/>
        <v>950508</v>
      </c>
      <c r="L2257" s="193" t="s">
        <v>251</v>
      </c>
      <c r="M2257" s="193" t="s">
        <v>164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52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>x</v>
      </c>
      <c r="AA2257" s="826"/>
      <c r="AB2257" s="576" t="str">
        <f>IF(VLOOKUP(F2257,NXT!$C$12:$C$786,1,0)=F2257,"","x")</f>
        <v/>
      </c>
      <c r="AD2257" s="576"/>
    </row>
    <row r="2258" spans="1:30" ht="15.75" customHeight="1">
      <c r="A2258" s="827" t="str">
        <f>IF(B2258&lt;&gt;"",IF(AND(B2258&gt;=_TM1,B2258&lt;=_TM2,OR(TH!L2258="1111",TH!M2258="1111")),TH!D2258,""),"")</f>
        <v/>
      </c>
      <c r="B2258" s="36">
        <f t="shared" si="316"/>
        <v>7</v>
      </c>
      <c r="C2258" s="190">
        <f t="shared" si="317"/>
        <v>42581</v>
      </c>
      <c r="D2258" s="190" t="s">
        <v>1587</v>
      </c>
      <c r="E2258" s="190">
        <v>42581</v>
      </c>
      <c r="F2258" s="292" t="s">
        <v>525</v>
      </c>
      <c r="G2258" s="833" t="s">
        <v>1470</v>
      </c>
      <c r="H2258" s="192" t="s">
        <v>678</v>
      </c>
      <c r="I2258" s="253">
        <v>48</v>
      </c>
      <c r="J2258" s="253">
        <v>17602</v>
      </c>
      <c r="K2258" s="584">
        <f t="shared" si="318"/>
        <v>844896</v>
      </c>
      <c r="L2258" s="193" t="s">
        <v>251</v>
      </c>
      <c r="M2258" s="193" t="s">
        <v>164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52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>x</v>
      </c>
      <c r="AA2258" s="826"/>
      <c r="AB2258" s="576" t="str">
        <f>IF(VLOOKUP(F2258,NXT!$C$12:$C$786,1,0)=F2258,"","x")</f>
        <v/>
      </c>
    </row>
    <row r="2259" spans="1:30" ht="15.75" customHeight="1">
      <c r="A2259" s="827" t="str">
        <f>IF(B2259&lt;&gt;"",IF(AND(B2259&gt;=_TM1,B2259&lt;=_TM2,OR(TH!L2259="1111",TH!M2259="1111")),TH!D2259,""),"")</f>
        <v/>
      </c>
      <c r="B2259" s="36">
        <f t="shared" si="316"/>
        <v>7</v>
      </c>
      <c r="C2259" s="190">
        <f t="shared" si="317"/>
        <v>42581</v>
      </c>
      <c r="D2259" s="190" t="s">
        <v>1587</v>
      </c>
      <c r="E2259" s="190">
        <v>42581</v>
      </c>
      <c r="F2259" s="292" t="s">
        <v>712</v>
      </c>
      <c r="G2259" s="833" t="s">
        <v>1470</v>
      </c>
      <c r="H2259" s="192" t="s">
        <v>678</v>
      </c>
      <c r="I2259" s="253">
        <v>12</v>
      </c>
      <c r="J2259" s="253">
        <v>21702</v>
      </c>
      <c r="K2259" s="584">
        <f t="shared" si="318"/>
        <v>260424</v>
      </c>
      <c r="L2259" s="193" t="s">
        <v>251</v>
      </c>
      <c r="M2259" s="193" t="s">
        <v>164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52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>x</v>
      </c>
      <c r="AA2259" s="826"/>
      <c r="AB2259" s="576" t="str">
        <f>IF(VLOOKUP(F2259,NXT!$C$12:$C$786,1,0)=F2259,"","x")</f>
        <v/>
      </c>
    </row>
    <row r="2260" spans="1:30" ht="15.75" customHeight="1">
      <c r="A2260" s="827" t="str">
        <f>IF(B2260&lt;&gt;"",IF(AND(B2260&gt;=_TM1,B2260&lt;=_TM2,OR(TH!L2260="1111",TH!M2260="1111")),TH!D2260,""),"")</f>
        <v/>
      </c>
      <c r="B2260" s="36">
        <f t="shared" si="316"/>
        <v>7</v>
      </c>
      <c r="C2260" s="190">
        <f t="shared" si="317"/>
        <v>42581</v>
      </c>
      <c r="D2260" s="190" t="s">
        <v>1587</v>
      </c>
      <c r="E2260" s="190">
        <v>42581</v>
      </c>
      <c r="F2260" s="292" t="s">
        <v>549</v>
      </c>
      <c r="G2260" s="833" t="s">
        <v>1470</v>
      </c>
      <c r="H2260" s="192" t="s">
        <v>678</v>
      </c>
      <c r="I2260" s="253">
        <v>12</v>
      </c>
      <c r="J2260" s="253">
        <v>47628</v>
      </c>
      <c r="K2260" s="584">
        <f t="shared" si="318"/>
        <v>571536</v>
      </c>
      <c r="L2260" s="193" t="s">
        <v>251</v>
      </c>
      <c r="M2260" s="193" t="s">
        <v>164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52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>x</v>
      </c>
      <c r="AA2260" s="826"/>
      <c r="AB2260" s="576" t="str">
        <f>IF(VLOOKUP(F2260,NXT!$C$12:$C$786,1,0)=F2260,"","x")</f>
        <v/>
      </c>
      <c r="AD2260" s="576"/>
    </row>
    <row r="2261" spans="1:30" ht="15.75" customHeight="1">
      <c r="A2261" s="827" t="str">
        <f>IF(B2261&lt;&gt;"",IF(AND(B2261&gt;=_TM1,B2261&lt;=_TM2,OR(TH!L2261="1111",TH!M2261="1111")),TH!D2261,""),"")</f>
        <v/>
      </c>
      <c r="B2261" s="36">
        <f t="shared" si="316"/>
        <v>7</v>
      </c>
      <c r="C2261" s="190">
        <f t="shared" si="317"/>
        <v>42581</v>
      </c>
      <c r="D2261" s="190" t="s">
        <v>1587</v>
      </c>
      <c r="E2261" s="190">
        <v>42581</v>
      </c>
      <c r="F2261" s="191" t="s">
        <v>511</v>
      </c>
      <c r="G2261" s="833" t="s">
        <v>1470</v>
      </c>
      <c r="H2261" s="192" t="s">
        <v>678</v>
      </c>
      <c r="I2261" s="253">
        <v>36</v>
      </c>
      <c r="J2261" s="253">
        <v>30278</v>
      </c>
      <c r="K2261" s="584">
        <f t="shared" si="318"/>
        <v>1090008</v>
      </c>
      <c r="L2261" s="193" t="s">
        <v>251</v>
      </c>
      <c r="M2261" s="193" t="s">
        <v>164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52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>x</v>
      </c>
      <c r="AA2261" s="826"/>
      <c r="AB2261" s="576" t="str">
        <f>IF(VLOOKUP(F2261,NXT!$C$12:$C$786,1,0)=F2261,"","x")</f>
        <v/>
      </c>
    </row>
    <row r="2262" spans="1:30" ht="15.75" customHeight="1">
      <c r="A2262" s="827" t="str">
        <f>IF(B2262&lt;&gt;"",IF(AND(B2262&gt;=_TM1,B2262&lt;=_TM2,OR(TH!L2262="1111",TH!M2262="1111")),TH!D2262,""),"")</f>
        <v/>
      </c>
      <c r="B2262" s="36">
        <f t="shared" si="316"/>
        <v>7</v>
      </c>
      <c r="C2262" s="190">
        <f t="shared" si="317"/>
        <v>42581</v>
      </c>
      <c r="D2262" s="190" t="s">
        <v>1587</v>
      </c>
      <c r="E2262" s="190">
        <v>42581</v>
      </c>
      <c r="F2262" s="292" t="s">
        <v>699</v>
      </c>
      <c r="G2262" s="833" t="s">
        <v>1470</v>
      </c>
      <c r="H2262" s="192" t="s">
        <v>678</v>
      </c>
      <c r="I2262" s="253">
        <v>24</v>
      </c>
      <c r="J2262" s="253">
        <v>14722</v>
      </c>
      <c r="K2262" s="584">
        <f t="shared" si="318"/>
        <v>353328</v>
      </c>
      <c r="L2262" s="193" t="s">
        <v>251</v>
      </c>
      <c r="M2262" s="193" t="s">
        <v>164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52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>x</v>
      </c>
      <c r="AA2262" s="826"/>
      <c r="AB2262" s="576" t="str">
        <f>IF(VLOOKUP(F2262,NXT!$C$12:$C$786,1,0)=F2262,"","x")</f>
        <v/>
      </c>
    </row>
    <row r="2263" spans="1:30" ht="15.75" customHeight="1">
      <c r="A2263" s="827" t="str">
        <f>IF(B2263&lt;&gt;"",IF(AND(B2263&gt;=_TM1,B2263&lt;=_TM2,OR(TH!L2263="1111",TH!M2263="1111")),TH!D2263,""),"")</f>
        <v/>
      </c>
      <c r="B2263" s="36">
        <f t="shared" si="316"/>
        <v>7</v>
      </c>
      <c r="C2263" s="190">
        <f t="shared" si="317"/>
        <v>42581</v>
      </c>
      <c r="D2263" s="190" t="s">
        <v>1587</v>
      </c>
      <c r="E2263" s="190">
        <v>42581</v>
      </c>
      <c r="F2263" s="292" t="s">
        <v>525</v>
      </c>
      <c r="G2263" s="833" t="s">
        <v>1470</v>
      </c>
      <c r="H2263" s="192" t="s">
        <v>678</v>
      </c>
      <c r="I2263" s="253">
        <v>54</v>
      </c>
      <c r="J2263" s="253">
        <v>17602</v>
      </c>
      <c r="K2263" s="584">
        <f t="shared" si="318"/>
        <v>950508</v>
      </c>
      <c r="L2263" s="193" t="s">
        <v>251</v>
      </c>
      <c r="M2263" s="193" t="s">
        <v>164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52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>x</v>
      </c>
      <c r="AA2263" s="826"/>
      <c r="AB2263" s="576" t="str">
        <f>IF(VLOOKUP(F2263,NXT!$C$12:$C$786,1,0)=F2263,"","x")</f>
        <v/>
      </c>
      <c r="AD2263" s="576"/>
    </row>
    <row r="2264" spans="1:30" ht="15.75" customHeight="1">
      <c r="A2264" s="827" t="str">
        <f>IF(B2264&lt;&gt;"",IF(AND(B2264&gt;=_TM1,B2264&lt;=_TM2,OR(TH!L2264="1111",TH!M2264="1111")),TH!D2264,""),"")</f>
        <v/>
      </c>
      <c r="B2264" s="36">
        <f t="shared" si="316"/>
        <v>7</v>
      </c>
      <c r="C2264" s="190">
        <f t="shared" si="317"/>
        <v>42581</v>
      </c>
      <c r="D2264" s="190" t="s">
        <v>1587</v>
      </c>
      <c r="E2264" s="190">
        <v>42581</v>
      </c>
      <c r="F2264" s="292" t="s">
        <v>525</v>
      </c>
      <c r="G2264" s="833" t="s">
        <v>1470</v>
      </c>
      <c r="H2264" s="192" t="s">
        <v>678</v>
      </c>
      <c r="I2264" s="253">
        <v>12</v>
      </c>
      <c r="J2264" s="253">
        <v>17602</v>
      </c>
      <c r="K2264" s="584">
        <f t="shared" si="318"/>
        <v>211224</v>
      </c>
      <c r="L2264" s="193" t="s">
        <v>251</v>
      </c>
      <c r="M2264" s="193" t="s">
        <v>164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52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>x</v>
      </c>
      <c r="AA2264" s="826"/>
      <c r="AB2264" s="576" t="str">
        <f>IF(VLOOKUP(F2264,NXT!$C$12:$C$786,1,0)=F2264,"","x")</f>
        <v/>
      </c>
    </row>
    <row r="2265" spans="1:30" ht="15.75" customHeight="1">
      <c r="A2265" s="827" t="str">
        <f>IF(B2265&lt;&gt;"",IF(AND(B2265&gt;=_TM1,B2265&lt;=_TM2,OR(TH!L2265="1111",TH!M2265="1111")),TH!D2265,""),"")</f>
        <v/>
      </c>
      <c r="B2265" s="36">
        <f t="shared" si="316"/>
        <v>7</v>
      </c>
      <c r="C2265" s="190">
        <f t="shared" si="317"/>
        <v>42581</v>
      </c>
      <c r="D2265" s="190" t="s">
        <v>1587</v>
      </c>
      <c r="E2265" s="190">
        <v>42581</v>
      </c>
      <c r="F2265" s="292" t="s">
        <v>826</v>
      </c>
      <c r="G2265" s="833" t="s">
        <v>1470</v>
      </c>
      <c r="H2265" s="192" t="s">
        <v>678</v>
      </c>
      <c r="I2265" s="253">
        <v>24</v>
      </c>
      <c r="J2265" s="253">
        <v>49256</v>
      </c>
      <c r="K2265" s="584">
        <f t="shared" si="318"/>
        <v>1182144</v>
      </c>
      <c r="L2265" s="193" t="s">
        <v>251</v>
      </c>
      <c r="M2265" s="193" t="s">
        <v>164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52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>x</v>
      </c>
      <c r="AA2265" s="826"/>
      <c r="AB2265" s="576" t="str">
        <f>IF(VLOOKUP(F2265,NXT!$C$12:$C$786,1,0)=F2265,"","x")</f>
        <v/>
      </c>
    </row>
    <row r="2266" spans="1:30" ht="15.75" customHeight="1">
      <c r="A2266" s="827" t="str">
        <f>IF(B2266&lt;&gt;"",IF(AND(B2266&gt;=_TM1,B2266&lt;=_TM2,OR(TH!L2266="1111",TH!M2266="1111")),TH!D2266,""),"")</f>
        <v/>
      </c>
      <c r="B2266" s="36">
        <f t="shared" si="316"/>
        <v>7</v>
      </c>
      <c r="C2266" s="190">
        <f t="shared" si="317"/>
        <v>42581</v>
      </c>
      <c r="D2266" s="190" t="s">
        <v>1587</v>
      </c>
      <c r="E2266" s="190">
        <v>42581</v>
      </c>
      <c r="F2266" s="292" t="s">
        <v>559</v>
      </c>
      <c r="G2266" s="833" t="s">
        <v>1470</v>
      </c>
      <c r="H2266" s="192" t="s">
        <v>678</v>
      </c>
      <c r="I2266" s="253">
        <v>24</v>
      </c>
      <c r="J2266" s="253">
        <v>49208</v>
      </c>
      <c r="K2266" s="584">
        <f t="shared" si="318"/>
        <v>1180992</v>
      </c>
      <c r="L2266" s="193" t="s">
        <v>251</v>
      </c>
      <c r="M2266" s="193" t="s">
        <v>164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52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>x</v>
      </c>
      <c r="AA2266" s="826"/>
      <c r="AB2266" s="576" t="str">
        <f>IF(VLOOKUP(F2266,NXT!$C$12:$C$786,1,0)=F2266,"","x")</f>
        <v/>
      </c>
      <c r="AD2266" s="576"/>
    </row>
    <row r="2267" spans="1:30" ht="15.75" customHeight="1">
      <c r="A2267" s="827" t="str">
        <f>IF(B2267&lt;&gt;"",IF(AND(B2267&gt;=_TM1,B2267&lt;=_TM2,OR(TH!L2267="1111",TH!M2267="1111")),TH!D2267,""),"")</f>
        <v/>
      </c>
      <c r="B2267" s="36">
        <f t="shared" si="316"/>
        <v>7</v>
      </c>
      <c r="C2267" s="190">
        <f t="shared" si="317"/>
        <v>42581</v>
      </c>
      <c r="D2267" s="190" t="s">
        <v>1587</v>
      </c>
      <c r="E2267" s="190">
        <v>42581</v>
      </c>
      <c r="F2267" s="292" t="s">
        <v>1465</v>
      </c>
      <c r="G2267" s="833" t="s">
        <v>1470</v>
      </c>
      <c r="H2267" s="192" t="s">
        <v>678</v>
      </c>
      <c r="I2267" s="253">
        <v>20</v>
      </c>
      <c r="J2267" s="253">
        <v>71982</v>
      </c>
      <c r="K2267" s="584">
        <f t="shared" si="318"/>
        <v>1439640</v>
      </c>
      <c r="L2267" s="193" t="s">
        <v>251</v>
      </c>
      <c r="M2267" s="193" t="s">
        <v>164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52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>x</v>
      </c>
      <c r="AA2267" s="826"/>
      <c r="AB2267" s="576" t="str">
        <f>IF(VLOOKUP(F2267,NXT!$C$12:$C$786,1,0)=F2267,"","x")</f>
        <v/>
      </c>
    </row>
    <row r="2268" spans="1:30" ht="15.75" customHeight="1">
      <c r="A2268" s="827" t="str">
        <f>IF(B2268&lt;&gt;"",IF(AND(B2268&gt;=_TM1,B2268&lt;=_TM2,OR(TH!L2268="1111",TH!M2268="1111")),TH!D2268,""),"")</f>
        <v/>
      </c>
      <c r="B2268" s="36">
        <f t="shared" si="316"/>
        <v>7</v>
      </c>
      <c r="C2268" s="190">
        <f t="shared" si="317"/>
        <v>42581</v>
      </c>
      <c r="D2268" s="190" t="s">
        <v>1587</v>
      </c>
      <c r="E2268" s="190">
        <v>42581</v>
      </c>
      <c r="F2268" s="292" t="s">
        <v>1466</v>
      </c>
      <c r="G2268" s="833" t="s">
        <v>1470</v>
      </c>
      <c r="H2268" s="192" t="s">
        <v>678</v>
      </c>
      <c r="I2268" s="253">
        <v>50</v>
      </c>
      <c r="J2268" s="253">
        <v>33220</v>
      </c>
      <c r="K2268" s="584">
        <f t="shared" si="318"/>
        <v>1661000</v>
      </c>
      <c r="L2268" s="193" t="s">
        <v>251</v>
      </c>
      <c r="M2268" s="193" t="s">
        <v>164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52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>x</v>
      </c>
      <c r="AA2268" s="826"/>
      <c r="AB2268" s="576" t="str">
        <f>IF(VLOOKUP(F2268,NXT!$C$12:$C$786,1,0)=F2268,"","x")</f>
        <v/>
      </c>
    </row>
    <row r="2269" spans="1:30" ht="15.75" customHeight="1">
      <c r="A2269" s="827" t="str">
        <f>IF(B2269&lt;&gt;"",IF(AND(B2269&gt;=_TM1,B2269&lt;=_TM2,OR(TH!L2269="1111",TH!M2269="1111")),TH!D2269,""),"")</f>
        <v/>
      </c>
      <c r="B2269" s="36">
        <f t="shared" si="316"/>
        <v>7</v>
      </c>
      <c r="C2269" s="190">
        <f t="shared" si="317"/>
        <v>42581</v>
      </c>
      <c r="D2269" s="190" t="s">
        <v>1587</v>
      </c>
      <c r="E2269" s="190">
        <v>42581</v>
      </c>
      <c r="F2269" s="292" t="s">
        <v>813</v>
      </c>
      <c r="G2269" s="833" t="s">
        <v>1470</v>
      </c>
      <c r="H2269" s="192" t="s">
        <v>678</v>
      </c>
      <c r="I2269" s="253">
        <v>10</v>
      </c>
      <c r="J2269" s="253">
        <v>55062</v>
      </c>
      <c r="K2269" s="584">
        <f t="shared" si="318"/>
        <v>550620</v>
      </c>
      <c r="L2269" s="193" t="s">
        <v>251</v>
      </c>
      <c r="M2269" s="193" t="s">
        <v>164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52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>x</v>
      </c>
      <c r="AA2269" s="826"/>
      <c r="AB2269" s="576" t="str">
        <f>IF(VLOOKUP(F2269,NXT!$C$12:$C$786,1,0)=F2269,"","x")</f>
        <v/>
      </c>
      <c r="AD2269" s="576"/>
    </row>
    <row r="2270" spans="1:30" ht="15.75" customHeight="1">
      <c r="A2270" s="827" t="str">
        <f>IF(B2270&lt;&gt;"",IF(AND(B2270&gt;=_TM1,B2270&lt;=_TM2,OR(TH!L2270="1111",TH!M2270="1111")),TH!D2270,""),"")</f>
        <v/>
      </c>
      <c r="B2270" s="36">
        <f t="shared" si="316"/>
        <v>7</v>
      </c>
      <c r="C2270" s="190">
        <f t="shared" si="317"/>
        <v>42581</v>
      </c>
      <c r="D2270" s="190" t="s">
        <v>1587</v>
      </c>
      <c r="E2270" s="190">
        <v>42581</v>
      </c>
      <c r="F2270" s="292" t="s">
        <v>822</v>
      </c>
      <c r="G2270" s="833" t="s">
        <v>1470</v>
      </c>
      <c r="H2270" s="192" t="s">
        <v>678</v>
      </c>
      <c r="I2270" s="253">
        <v>6</v>
      </c>
      <c r="J2270" s="253">
        <v>112728</v>
      </c>
      <c r="K2270" s="584">
        <f t="shared" si="318"/>
        <v>676368</v>
      </c>
      <c r="L2270" s="193" t="s">
        <v>251</v>
      </c>
      <c r="M2270" s="193" t="s">
        <v>164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52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>x</v>
      </c>
      <c r="AA2270" s="826"/>
      <c r="AB2270" s="576" t="str">
        <f>IF(VLOOKUP(F2270,NXT!$C$12:$C$786,1,0)=F2270,"","x")</f>
        <v/>
      </c>
    </row>
    <row r="2271" spans="1:30" ht="15.75" customHeight="1">
      <c r="A2271" s="827" t="str">
        <f>IF(B2271&lt;&gt;"",IF(AND(B2271&gt;=_TM1,B2271&lt;=_TM2,OR(TH!L2271="1111",TH!M2271="1111")),TH!D2271,""),"")</f>
        <v/>
      </c>
      <c r="B2271" s="36">
        <f t="shared" si="316"/>
        <v>7</v>
      </c>
      <c r="C2271" s="190">
        <f t="shared" si="317"/>
        <v>42581</v>
      </c>
      <c r="D2271" s="190" t="s">
        <v>1587</v>
      </c>
      <c r="E2271" s="190">
        <v>42581</v>
      </c>
      <c r="F2271" s="292" t="s">
        <v>491</v>
      </c>
      <c r="G2271" s="833" t="s">
        <v>1470</v>
      </c>
      <c r="H2271" s="192" t="s">
        <v>678</v>
      </c>
      <c r="I2271" s="253">
        <v>5</v>
      </c>
      <c r="J2271" s="253">
        <v>105525</v>
      </c>
      <c r="K2271" s="584">
        <f t="shared" si="318"/>
        <v>527625</v>
      </c>
      <c r="L2271" s="193" t="s">
        <v>251</v>
      </c>
      <c r="M2271" s="193" t="s">
        <v>164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52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>x</v>
      </c>
      <c r="AA2271" s="826"/>
      <c r="AB2271" s="576" t="str">
        <f>IF(VLOOKUP(F2271,NXT!$C$12:$C$786,1,0)=F2271,"","x")</f>
        <v/>
      </c>
    </row>
    <row r="2272" spans="1:30" ht="15.75" customHeight="1">
      <c r="A2272" s="827" t="str">
        <f>IF(B2272&lt;&gt;"",IF(AND(B2272&gt;=_TM1,B2272&lt;=_TM2,OR(TH!L2272="1111",TH!M2272="1111")),TH!D2272,""),"")</f>
        <v/>
      </c>
      <c r="B2272" s="36">
        <f t="shared" si="316"/>
        <v>7</v>
      </c>
      <c r="C2272" s="190">
        <f t="shared" si="317"/>
        <v>42581</v>
      </c>
      <c r="D2272" s="190" t="s">
        <v>1587</v>
      </c>
      <c r="E2272" s="190">
        <v>42581</v>
      </c>
      <c r="F2272" s="292" t="s">
        <v>819</v>
      </c>
      <c r="G2272" s="833" t="s">
        <v>1470</v>
      </c>
      <c r="H2272" s="192" t="s">
        <v>678</v>
      </c>
      <c r="I2272" s="253">
        <v>4</v>
      </c>
      <c r="J2272" s="253">
        <v>122795</v>
      </c>
      <c r="K2272" s="584">
        <f t="shared" si="318"/>
        <v>491180</v>
      </c>
      <c r="L2272" s="193" t="s">
        <v>251</v>
      </c>
      <c r="M2272" s="193" t="s">
        <v>164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52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>x</v>
      </c>
      <c r="AA2272" s="826"/>
      <c r="AB2272" s="576" t="str">
        <f>IF(VLOOKUP(F2272,NXT!$C$12:$C$786,1,0)=F2272,"","x")</f>
        <v/>
      </c>
      <c r="AD2272" s="576"/>
    </row>
    <row r="2273" spans="1:30" ht="15.75" customHeight="1">
      <c r="A2273" s="827" t="str">
        <f>IF(B2273&lt;&gt;"",IF(AND(B2273&gt;=_TM1,B2273&lt;=_TM2,OR(TH!L2273="1111",TH!M2273="1111")),TH!D2273,""),"")</f>
        <v/>
      </c>
      <c r="B2273" s="36">
        <f t="shared" si="316"/>
        <v>7</v>
      </c>
      <c r="C2273" s="190">
        <f t="shared" si="317"/>
        <v>42581</v>
      </c>
      <c r="D2273" s="190" t="s">
        <v>1587</v>
      </c>
      <c r="E2273" s="190">
        <v>42581</v>
      </c>
      <c r="F2273" s="292" t="s">
        <v>809</v>
      </c>
      <c r="G2273" s="833" t="s">
        <v>1470</v>
      </c>
      <c r="H2273" s="192" t="s">
        <v>678</v>
      </c>
      <c r="I2273" s="253">
        <v>12</v>
      </c>
      <c r="J2273" s="253">
        <v>44814</v>
      </c>
      <c r="K2273" s="584">
        <f t="shared" si="318"/>
        <v>537768</v>
      </c>
      <c r="L2273" s="193" t="s">
        <v>251</v>
      </c>
      <c r="M2273" s="193" t="s">
        <v>164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52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>x</v>
      </c>
      <c r="AA2273" s="826"/>
      <c r="AB2273" s="576" t="str">
        <f>IF(VLOOKUP(F2273,NXT!$C$12:$C$786,1,0)=F2273,"","x")</f>
        <v/>
      </c>
    </row>
    <row r="2274" spans="1:30" ht="15.75" customHeight="1">
      <c r="A2274" s="827" t="str">
        <f>IF(B2274&lt;&gt;"",IF(AND(B2274&gt;=_TM1,B2274&lt;=_TM2,OR(TH!L2274="1111",TH!M2274="1111")),TH!D2274,""),"")</f>
        <v/>
      </c>
      <c r="B2274" s="36">
        <f t="shared" si="316"/>
        <v>7</v>
      </c>
      <c r="C2274" s="190">
        <f t="shared" si="317"/>
        <v>42581</v>
      </c>
      <c r="D2274" s="190" t="s">
        <v>1587</v>
      </c>
      <c r="E2274" s="190">
        <v>42581</v>
      </c>
      <c r="F2274" s="292" t="s">
        <v>874</v>
      </c>
      <c r="G2274" s="833" t="s">
        <v>1470</v>
      </c>
      <c r="H2274" s="192" t="s">
        <v>678</v>
      </c>
      <c r="I2274" s="253">
        <v>12</v>
      </c>
      <c r="J2274" s="253">
        <v>34507</v>
      </c>
      <c r="K2274" s="584">
        <f t="shared" si="318"/>
        <v>414084</v>
      </c>
      <c r="L2274" s="193" t="s">
        <v>251</v>
      </c>
      <c r="M2274" s="193" t="s">
        <v>164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52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>x</v>
      </c>
      <c r="AA2274" s="826"/>
      <c r="AB2274" s="576" t="str">
        <f>IF(VLOOKUP(F2274,NXT!$C$12:$C$786,1,0)=F2274,"","x")</f>
        <v/>
      </c>
    </row>
    <row r="2275" spans="1:30" ht="15.75" customHeight="1">
      <c r="A2275" s="827" t="str">
        <f>IF(B2275&lt;&gt;"",IF(AND(B2275&gt;=_TM1,B2275&lt;=_TM2,OR(TH!L2275="1111",TH!M2275="1111")),TH!D2275,""),"")</f>
        <v/>
      </c>
      <c r="B2275" s="36">
        <f t="shared" si="316"/>
        <v>7</v>
      </c>
      <c r="C2275" s="190">
        <f t="shared" si="317"/>
        <v>42581</v>
      </c>
      <c r="D2275" s="190" t="s">
        <v>1587</v>
      </c>
      <c r="E2275" s="190">
        <v>42581</v>
      </c>
      <c r="F2275" s="292" t="s">
        <v>823</v>
      </c>
      <c r="G2275" s="833" t="s">
        <v>1470</v>
      </c>
      <c r="H2275" s="192" t="s">
        <v>678</v>
      </c>
      <c r="I2275" s="253">
        <v>3</v>
      </c>
      <c r="J2275" s="253">
        <v>186837</v>
      </c>
      <c r="K2275" s="584">
        <f t="shared" si="318"/>
        <v>560511</v>
      </c>
      <c r="L2275" s="193" t="s">
        <v>251</v>
      </c>
      <c r="M2275" s="193" t="s">
        <v>164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52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>x</v>
      </c>
      <c r="AA2275" s="826"/>
      <c r="AB2275" s="576" t="str">
        <f>IF(VLOOKUP(F2275,NXT!$C$12:$C$786,1,0)=F2275,"","x")</f>
        <v/>
      </c>
      <c r="AD2275" s="576"/>
    </row>
    <row r="2276" spans="1:30" ht="15.75" customHeight="1">
      <c r="A2276" s="827" t="str">
        <f>IF(B2276&lt;&gt;"",IF(AND(B2276&gt;=_TM1,B2276&lt;=_TM2,OR(TH!L2276="1111",TH!M2276="1111")),TH!D2276,""),"")</f>
        <v/>
      </c>
      <c r="B2276" s="36">
        <f t="shared" si="316"/>
        <v>7</v>
      </c>
      <c r="C2276" s="190">
        <f t="shared" si="317"/>
        <v>42581</v>
      </c>
      <c r="D2276" s="190" t="s">
        <v>1587</v>
      </c>
      <c r="E2276" s="190">
        <v>42581</v>
      </c>
      <c r="F2276" s="292" t="s">
        <v>1467</v>
      </c>
      <c r="G2276" s="833" t="s">
        <v>1470</v>
      </c>
      <c r="H2276" s="192" t="s">
        <v>678</v>
      </c>
      <c r="I2276" s="253">
        <v>20</v>
      </c>
      <c r="J2276" s="253">
        <v>38790</v>
      </c>
      <c r="K2276" s="584">
        <f t="shared" si="318"/>
        <v>775800</v>
      </c>
      <c r="L2276" s="193" t="s">
        <v>251</v>
      </c>
      <c r="M2276" s="193" t="s">
        <v>164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52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>x</v>
      </c>
      <c r="AA2276" s="826"/>
      <c r="AB2276" s="576" t="str">
        <f>IF(VLOOKUP(F2276,NXT!$C$12:$C$786,1,0)=F2276,"","x")</f>
        <v/>
      </c>
    </row>
    <row r="2277" spans="1:30" ht="15.75" customHeight="1">
      <c r="A2277" s="827" t="str">
        <f>IF(B2277&lt;&gt;"",IF(AND(B2277&gt;=_TM1,B2277&lt;=_TM2,OR(TH!L2277="1111",TH!M2277="1111")),TH!D2277,""),"")</f>
        <v/>
      </c>
      <c r="B2277" s="36">
        <f t="shared" si="316"/>
        <v>7</v>
      </c>
      <c r="C2277" s="190">
        <f t="shared" si="317"/>
        <v>42581</v>
      </c>
      <c r="D2277" s="190" t="s">
        <v>1587</v>
      </c>
      <c r="E2277" s="190">
        <v>42581</v>
      </c>
      <c r="F2277" s="292" t="s">
        <v>504</v>
      </c>
      <c r="G2277" s="833" t="s">
        <v>1470</v>
      </c>
      <c r="H2277" s="192" t="s">
        <v>678</v>
      </c>
      <c r="I2277" s="253">
        <v>6</v>
      </c>
      <c r="J2277" s="253">
        <v>107419</v>
      </c>
      <c r="K2277" s="584">
        <f t="shared" si="318"/>
        <v>644514</v>
      </c>
      <c r="L2277" s="193" t="s">
        <v>251</v>
      </c>
      <c r="M2277" s="193" t="s">
        <v>164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52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>x</v>
      </c>
      <c r="AA2277" s="826"/>
      <c r="AB2277" s="576" t="str">
        <f>IF(VLOOKUP(F2277,NXT!$C$12:$C$786,1,0)=F2277,"","x")</f>
        <v/>
      </c>
    </row>
    <row r="2278" spans="1:30" ht="15.75" customHeight="1">
      <c r="A2278" s="827" t="str">
        <f>IF(B2278&lt;&gt;"",IF(AND(B2278&gt;=_TM1,B2278&lt;=_TM2,OR(TH!L2278="1111",TH!M2278="1111")),TH!D2278,""),"")</f>
        <v/>
      </c>
      <c r="B2278" s="36">
        <f t="shared" si="316"/>
        <v>7</v>
      </c>
      <c r="C2278" s="190">
        <f t="shared" si="317"/>
        <v>42581</v>
      </c>
      <c r="D2278" s="190" t="s">
        <v>1587</v>
      </c>
      <c r="E2278" s="190">
        <v>42581</v>
      </c>
      <c r="F2278" s="191" t="s">
        <v>511</v>
      </c>
      <c r="G2278" s="833" t="s">
        <v>1470</v>
      </c>
      <c r="H2278" s="192" t="s">
        <v>678</v>
      </c>
      <c r="I2278" s="253">
        <v>25</v>
      </c>
      <c r="J2278" s="253">
        <v>31867</v>
      </c>
      <c r="K2278" s="584">
        <f t="shared" si="318"/>
        <v>796675</v>
      </c>
      <c r="L2278" s="193" t="s">
        <v>251</v>
      </c>
      <c r="M2278" s="193" t="s">
        <v>164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52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>x</v>
      </c>
      <c r="AA2278" s="826"/>
      <c r="AB2278" s="576" t="str">
        <f>IF(VLOOKUP(F2278,NXT!$C$12:$C$786,1,0)=F2278,"","x")</f>
        <v/>
      </c>
      <c r="AD2278" s="576"/>
    </row>
    <row r="2279" spans="1:30" ht="15.75" customHeight="1">
      <c r="A2279" s="827" t="str">
        <f>IF(B2279&lt;&gt;"",IF(AND(B2279&gt;=_TM1,B2279&lt;=_TM2,OR(TH!L2279="1111",TH!M2279="1111")),TH!D2279,""),"")</f>
        <v/>
      </c>
      <c r="B2279" s="36">
        <f t="shared" si="316"/>
        <v>7</v>
      </c>
      <c r="C2279" s="190">
        <f t="shared" si="317"/>
        <v>42581</v>
      </c>
      <c r="D2279" s="190" t="s">
        <v>1587</v>
      </c>
      <c r="E2279" s="190">
        <v>42581</v>
      </c>
      <c r="F2279" s="292" t="s">
        <v>485</v>
      </c>
      <c r="G2279" s="833" t="s">
        <v>1470</v>
      </c>
      <c r="H2279" s="192" t="s">
        <v>678</v>
      </c>
      <c r="I2279" s="253">
        <v>24</v>
      </c>
      <c r="J2279" s="253">
        <v>44609</v>
      </c>
      <c r="K2279" s="584">
        <f t="shared" si="318"/>
        <v>1070616</v>
      </c>
      <c r="L2279" s="193" t="s">
        <v>251</v>
      </c>
      <c r="M2279" s="193" t="s">
        <v>164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52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>x</v>
      </c>
      <c r="AA2279" s="826"/>
      <c r="AB2279" s="576" t="str">
        <f>IF(VLOOKUP(F2279,NXT!$C$12:$C$786,1,0)=F2279,"","x")</f>
        <v/>
      </c>
    </row>
    <row r="2280" spans="1:30" ht="15.75" customHeight="1">
      <c r="A2280" s="827" t="str">
        <f>IF(B2280&lt;&gt;"",IF(AND(B2280&gt;=_TM1,B2280&lt;=_TM2,OR(TH!L2280="1111",TH!M2280="1111")),TH!D2280,""),"")</f>
        <v/>
      </c>
      <c r="B2280" s="36">
        <f t="shared" si="316"/>
        <v>7</v>
      </c>
      <c r="C2280" s="190">
        <f t="shared" si="317"/>
        <v>42581</v>
      </c>
      <c r="D2280" s="190" t="s">
        <v>1587</v>
      </c>
      <c r="E2280" s="190">
        <v>42581</v>
      </c>
      <c r="F2280" s="292" t="s">
        <v>720</v>
      </c>
      <c r="G2280" s="833" t="s">
        <v>1470</v>
      </c>
      <c r="H2280" s="192" t="s">
        <v>678</v>
      </c>
      <c r="I2280" s="253">
        <v>6</v>
      </c>
      <c r="J2280" s="253">
        <v>84672</v>
      </c>
      <c r="K2280" s="584">
        <f t="shared" si="318"/>
        <v>508032</v>
      </c>
      <c r="L2280" s="193" t="s">
        <v>251</v>
      </c>
      <c r="M2280" s="193" t="s">
        <v>164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52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>x</v>
      </c>
      <c r="AA2280" s="826"/>
      <c r="AB2280" s="576" t="str">
        <f>IF(VLOOKUP(F2280,NXT!$C$12:$C$786,1,0)=F2280,"","x")</f>
        <v/>
      </c>
    </row>
    <row r="2281" spans="1:30" ht="15.75" customHeight="1">
      <c r="A2281" s="827" t="str">
        <f>IF(B2281&lt;&gt;"",IF(AND(B2281&gt;=_TM1,B2281&lt;=_TM2,OR(TH!L2281="1111",TH!M2281="1111")),TH!D2281,""),"")</f>
        <v/>
      </c>
      <c r="B2281" s="36">
        <f t="shared" si="316"/>
        <v>7</v>
      </c>
      <c r="C2281" s="190">
        <f t="shared" si="317"/>
        <v>42581</v>
      </c>
      <c r="D2281" s="190" t="s">
        <v>1587</v>
      </c>
      <c r="E2281" s="190">
        <v>42581</v>
      </c>
      <c r="F2281" s="292" t="s">
        <v>469</v>
      </c>
      <c r="G2281" s="833" t="s">
        <v>1470</v>
      </c>
      <c r="H2281" s="192" t="s">
        <v>678</v>
      </c>
      <c r="I2281" s="253">
        <v>4</v>
      </c>
      <c r="J2281" s="253">
        <v>62408</v>
      </c>
      <c r="K2281" s="584">
        <f t="shared" si="318"/>
        <v>249632</v>
      </c>
      <c r="L2281" s="193" t="s">
        <v>251</v>
      </c>
      <c r="M2281" s="193" t="s">
        <v>164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52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>x</v>
      </c>
      <c r="AA2281" s="826"/>
      <c r="AB2281" s="576" t="str">
        <f>IF(VLOOKUP(F2281,NXT!$C$12:$C$786,1,0)=F2281,"","x")</f>
        <v/>
      </c>
      <c r="AD2281" s="576"/>
    </row>
    <row r="2282" spans="1:30" ht="15.75" customHeight="1">
      <c r="A2282" s="827" t="str">
        <f>IF(B2282&lt;&gt;"",IF(AND(B2282&gt;=_TM1,B2282&lt;=_TM2,OR(TH!L2282="1111",TH!M2282="1111")),TH!D2282,""),"")</f>
        <v/>
      </c>
      <c r="B2282" s="36">
        <f t="shared" si="316"/>
        <v>7</v>
      </c>
      <c r="C2282" s="190">
        <f t="shared" si="317"/>
        <v>42581</v>
      </c>
      <c r="D2282" s="190" t="s">
        <v>1587</v>
      </c>
      <c r="E2282" s="190">
        <v>42581</v>
      </c>
      <c r="F2282" s="292" t="s">
        <v>471</v>
      </c>
      <c r="G2282" s="833" t="s">
        <v>1470</v>
      </c>
      <c r="H2282" s="192" t="s">
        <v>678</v>
      </c>
      <c r="I2282" s="253">
        <v>12</v>
      </c>
      <c r="J2282" s="253">
        <v>56007</v>
      </c>
      <c r="K2282" s="584">
        <f t="shared" si="318"/>
        <v>672084</v>
      </c>
      <c r="L2282" s="193" t="s">
        <v>251</v>
      </c>
      <c r="M2282" s="193" t="s">
        <v>164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52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>x</v>
      </c>
      <c r="AA2282" s="826"/>
      <c r="AB2282" s="576" t="str">
        <f>IF(VLOOKUP(F2282,NXT!$C$12:$C$786,1,0)=F2282,"","x")</f>
        <v/>
      </c>
    </row>
    <row r="2283" spans="1:30" ht="15.75" customHeight="1">
      <c r="A2283" s="827" t="str">
        <f>IF(B2283&lt;&gt;"",IF(AND(B2283&gt;=_TM1,B2283&lt;=_TM2,OR(TH!L2283="1111",TH!M2283="1111")),TH!D2283,""),"")</f>
        <v/>
      </c>
      <c r="B2283" s="36">
        <f t="shared" si="316"/>
        <v>7</v>
      </c>
      <c r="C2283" s="190">
        <f t="shared" si="317"/>
        <v>42581</v>
      </c>
      <c r="D2283" s="190" t="s">
        <v>1587</v>
      </c>
      <c r="E2283" s="190">
        <v>42581</v>
      </c>
      <c r="F2283" s="292" t="s">
        <v>470</v>
      </c>
      <c r="G2283" s="833" t="s">
        <v>1470</v>
      </c>
      <c r="H2283" s="192" t="s">
        <v>678</v>
      </c>
      <c r="I2283" s="253">
        <v>12</v>
      </c>
      <c r="J2283" s="253">
        <v>99037</v>
      </c>
      <c r="K2283" s="584">
        <f t="shared" si="318"/>
        <v>1188444</v>
      </c>
      <c r="L2283" s="193" t="s">
        <v>251</v>
      </c>
      <c r="M2283" s="193" t="s">
        <v>164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52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>x</v>
      </c>
      <c r="AA2283" s="826"/>
      <c r="AB2283" s="576" t="str">
        <f>IF(VLOOKUP(F2283,NXT!$C$12:$C$786,1,0)=F2283,"","x")</f>
        <v/>
      </c>
    </row>
    <row r="2284" spans="1:30" ht="15.75" customHeight="1">
      <c r="A2284" s="827" t="str">
        <f>IF(B2284&lt;&gt;"",IF(AND(B2284&gt;=_TM1,B2284&lt;=_TM2,OR(TH!L2284="1111",TH!M2284="1111")),TH!D2284,""),"")</f>
        <v/>
      </c>
      <c r="B2284" s="36">
        <f t="shared" si="316"/>
        <v>7</v>
      </c>
      <c r="C2284" s="190">
        <f t="shared" si="317"/>
        <v>42581</v>
      </c>
      <c r="D2284" s="190" t="s">
        <v>1587</v>
      </c>
      <c r="E2284" s="190">
        <v>42581</v>
      </c>
      <c r="F2284" s="292" t="s">
        <v>725</v>
      </c>
      <c r="G2284" s="833" t="s">
        <v>1470</v>
      </c>
      <c r="H2284" s="192" t="s">
        <v>678</v>
      </c>
      <c r="I2284" s="253">
        <v>40</v>
      </c>
      <c r="J2284" s="253">
        <v>19606</v>
      </c>
      <c r="K2284" s="584">
        <f t="shared" si="318"/>
        <v>784240</v>
      </c>
      <c r="L2284" s="193" t="s">
        <v>251</v>
      </c>
      <c r="M2284" s="193" t="s">
        <v>164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52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>x</v>
      </c>
      <c r="AA2284" s="826"/>
      <c r="AB2284" s="576" t="str">
        <f>IF(VLOOKUP(F2284,NXT!$C$12:$C$786,1,0)=F2284,"","x")</f>
        <v/>
      </c>
      <c r="AD2284" s="576"/>
    </row>
    <row r="2285" spans="1:30" ht="15.75" customHeight="1">
      <c r="A2285" s="827" t="str">
        <f>IF(B2285&lt;&gt;"",IF(AND(B2285&gt;=_TM1,B2285&lt;=_TM2,OR(TH!L2285="1111",TH!M2285="1111")),TH!D2285,""),"")</f>
        <v/>
      </c>
      <c r="B2285" s="36">
        <f t="shared" si="316"/>
        <v>7</v>
      </c>
      <c r="C2285" s="190">
        <f t="shared" si="317"/>
        <v>42581</v>
      </c>
      <c r="D2285" s="190" t="s">
        <v>1587</v>
      </c>
      <c r="E2285" s="190">
        <v>42581</v>
      </c>
      <c r="F2285" s="292" t="s">
        <v>863</v>
      </c>
      <c r="G2285" s="833" t="s">
        <v>1470</v>
      </c>
      <c r="H2285" s="192" t="s">
        <v>678</v>
      </c>
      <c r="I2285" s="253">
        <v>40</v>
      </c>
      <c r="J2285" s="253">
        <v>20295</v>
      </c>
      <c r="K2285" s="584">
        <f t="shared" si="318"/>
        <v>811800</v>
      </c>
      <c r="L2285" s="193" t="s">
        <v>251</v>
      </c>
      <c r="M2285" s="193" t="s">
        <v>164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52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>x</v>
      </c>
      <c r="AA2285" s="826"/>
      <c r="AB2285" s="576" t="str">
        <f>IF(VLOOKUP(F2285,NXT!$C$12:$C$786,1,0)=F2285,"","x")</f>
        <v/>
      </c>
    </row>
    <row r="2286" spans="1:30" ht="15.75" customHeight="1">
      <c r="A2286" s="827" t="str">
        <f>IF(B2286&lt;&gt;"",IF(AND(B2286&gt;=_TM1,B2286&lt;=_TM2,OR(TH!L2286="1111",TH!M2286="1111")),TH!D2286,""),"")</f>
        <v/>
      </c>
      <c r="B2286" s="36">
        <f t="shared" si="316"/>
        <v>7</v>
      </c>
      <c r="C2286" s="190">
        <f t="shared" si="317"/>
        <v>42581</v>
      </c>
      <c r="D2286" s="190" t="s">
        <v>1587</v>
      </c>
      <c r="E2286" s="190">
        <v>42581</v>
      </c>
      <c r="F2286" s="292" t="s">
        <v>474</v>
      </c>
      <c r="G2286" s="833" t="s">
        <v>1470</v>
      </c>
      <c r="H2286" s="192" t="s">
        <v>678</v>
      </c>
      <c r="I2286" s="253">
        <v>12</v>
      </c>
      <c r="J2286" s="253">
        <v>29566</v>
      </c>
      <c r="K2286" s="584">
        <f t="shared" si="318"/>
        <v>354792</v>
      </c>
      <c r="L2286" s="193" t="s">
        <v>251</v>
      </c>
      <c r="M2286" s="193" t="s">
        <v>164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52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>x</v>
      </c>
      <c r="AA2286" s="826"/>
      <c r="AB2286" s="576" t="str">
        <f>IF(VLOOKUP(F2286,NXT!$C$12:$C$786,1,0)=F2286,"","x")</f>
        <v/>
      </c>
    </row>
    <row r="2287" spans="1:30" ht="15.75" customHeight="1">
      <c r="A2287" s="827" t="str">
        <f>IF(B2287&lt;&gt;"",IF(AND(B2287&gt;=_TM1,B2287&lt;=_TM2,OR(TH!L2287="1111",TH!M2287="1111")),TH!D2287,""),"")</f>
        <v/>
      </c>
      <c r="B2287" s="36">
        <f t="shared" si="316"/>
        <v>7</v>
      </c>
      <c r="C2287" s="190">
        <f t="shared" si="317"/>
        <v>42581</v>
      </c>
      <c r="D2287" s="190" t="s">
        <v>1587</v>
      </c>
      <c r="E2287" s="190">
        <v>42581</v>
      </c>
      <c r="F2287" s="292" t="s">
        <v>552</v>
      </c>
      <c r="G2287" s="833" t="s">
        <v>1470</v>
      </c>
      <c r="H2287" s="192" t="s">
        <v>678</v>
      </c>
      <c r="I2287" s="253">
        <v>24</v>
      </c>
      <c r="J2287" s="253">
        <v>36391</v>
      </c>
      <c r="K2287" s="584">
        <f t="shared" si="318"/>
        <v>873384</v>
      </c>
      <c r="L2287" s="193" t="s">
        <v>251</v>
      </c>
      <c r="M2287" s="193" t="s">
        <v>164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52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>x</v>
      </c>
      <c r="AA2287" s="826"/>
      <c r="AB2287" s="576" t="str">
        <f>IF(VLOOKUP(F2287,NXT!$C$12:$C$786,1,0)=F2287,"","x")</f>
        <v/>
      </c>
      <c r="AD2287" s="576"/>
    </row>
    <row r="2288" spans="1:30" ht="15.75" customHeight="1">
      <c r="A2288" s="827" t="str">
        <f>IF(B2288&lt;&gt;"",IF(AND(B2288&gt;=_TM1,B2288&lt;=_TM2,OR(TH!L2288="1111",TH!M2288="1111")),TH!D2288,""),"")</f>
        <v/>
      </c>
      <c r="B2288" s="36">
        <f t="shared" si="316"/>
        <v>7</v>
      </c>
      <c r="C2288" s="190">
        <f t="shared" si="317"/>
        <v>42581</v>
      </c>
      <c r="D2288" s="190" t="s">
        <v>1587</v>
      </c>
      <c r="E2288" s="190">
        <v>42581</v>
      </c>
      <c r="F2288" s="292" t="s">
        <v>1468</v>
      </c>
      <c r="G2288" s="833" t="s">
        <v>1470</v>
      </c>
      <c r="H2288" s="192" t="s">
        <v>678</v>
      </c>
      <c r="I2288" s="253">
        <v>12</v>
      </c>
      <c r="J2288" s="253">
        <v>21496</v>
      </c>
      <c r="K2288" s="584">
        <f t="shared" si="318"/>
        <v>257952</v>
      </c>
      <c r="L2288" s="193" t="s">
        <v>251</v>
      </c>
      <c r="M2288" s="193" t="s">
        <v>164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52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>x</v>
      </c>
      <c r="AA2288" s="826"/>
      <c r="AB2288" s="576" t="str">
        <f>IF(VLOOKUP(F2288,NXT!$C$12:$C$786,1,0)=F2288,"","x")</f>
        <v/>
      </c>
    </row>
    <row r="2289" spans="1:30" ht="15.75" customHeight="1">
      <c r="A2289" s="827" t="str">
        <f>IF(B2289&lt;&gt;"",IF(AND(B2289&gt;=_TM1,B2289&lt;=_TM2,OR(TH!L2289="1111",TH!M2289="1111")),TH!D2289,""),"")</f>
        <v/>
      </c>
      <c r="B2289" s="36">
        <f t="shared" si="316"/>
        <v>7</v>
      </c>
      <c r="C2289" s="190">
        <f t="shared" si="317"/>
        <v>42581</v>
      </c>
      <c r="D2289" s="190" t="s">
        <v>1587</v>
      </c>
      <c r="E2289" s="190">
        <v>42581</v>
      </c>
      <c r="F2289" s="292" t="s">
        <v>562</v>
      </c>
      <c r="G2289" s="833" t="s">
        <v>1470</v>
      </c>
      <c r="H2289" s="192" t="s">
        <v>678</v>
      </c>
      <c r="I2289" s="253">
        <v>48</v>
      </c>
      <c r="J2289" s="253">
        <v>13487</v>
      </c>
      <c r="K2289" s="584">
        <f t="shared" si="318"/>
        <v>647376</v>
      </c>
      <c r="L2289" s="193" t="s">
        <v>251</v>
      </c>
      <c r="M2289" s="193" t="s">
        <v>164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52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>x</v>
      </c>
      <c r="AA2289" s="826"/>
      <c r="AB2289" s="576" t="str">
        <f>IF(VLOOKUP(F2289,NXT!$C$12:$C$786,1,0)=F2289,"","x")</f>
        <v/>
      </c>
    </row>
    <row r="2290" spans="1:30" ht="15.75" customHeight="1">
      <c r="A2290" s="827" t="str">
        <f>IF(B2290&lt;&gt;"",IF(AND(B2290&gt;=_TM1,B2290&lt;=_TM2,OR(TH!L2290="1111",TH!M2290="1111")),TH!D2290,""),"")</f>
        <v/>
      </c>
      <c r="B2290" s="36">
        <f t="shared" si="316"/>
        <v>7</v>
      </c>
      <c r="C2290" s="190">
        <f t="shared" si="317"/>
        <v>42581</v>
      </c>
      <c r="D2290" s="190" t="s">
        <v>1587</v>
      </c>
      <c r="E2290" s="190">
        <v>42581</v>
      </c>
      <c r="F2290" s="292" t="s">
        <v>564</v>
      </c>
      <c r="G2290" s="833" t="s">
        <v>1470</v>
      </c>
      <c r="H2290" s="192" t="s">
        <v>678</v>
      </c>
      <c r="I2290" s="253">
        <v>48</v>
      </c>
      <c r="J2290" s="253">
        <v>8397</v>
      </c>
      <c r="K2290" s="584">
        <f t="shared" si="318"/>
        <v>403056</v>
      </c>
      <c r="L2290" s="193" t="s">
        <v>251</v>
      </c>
      <c r="M2290" s="193" t="s">
        <v>164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52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>x</v>
      </c>
      <c r="AA2290" s="826"/>
      <c r="AB2290" s="576" t="str">
        <f>IF(VLOOKUP(F2290,NXT!$C$12:$C$786,1,0)=F2290,"","x")</f>
        <v/>
      </c>
      <c r="AD2290" s="576"/>
    </row>
    <row r="2291" spans="1:30" ht="15.75" customHeight="1">
      <c r="A2291" s="827" t="str">
        <f>IF(B2291&lt;&gt;"",IF(AND(B2291&gt;=_TM1,B2291&lt;=_TM2,OR(TH!L2291="1111",TH!M2291="1111")),TH!D2291,""),"")</f>
        <v/>
      </c>
      <c r="B2291" s="36">
        <f t="shared" si="316"/>
        <v>7</v>
      </c>
      <c r="C2291" s="190">
        <f t="shared" si="317"/>
        <v>42581</v>
      </c>
      <c r="D2291" s="190" t="s">
        <v>1587</v>
      </c>
      <c r="E2291" s="190">
        <v>42581</v>
      </c>
      <c r="F2291" s="292" t="s">
        <v>808</v>
      </c>
      <c r="G2291" s="833" t="s">
        <v>1470</v>
      </c>
      <c r="H2291" s="192" t="s">
        <v>678</v>
      </c>
      <c r="I2291" s="253">
        <v>18</v>
      </c>
      <c r="J2291" s="253">
        <v>11572</v>
      </c>
      <c r="K2291" s="584">
        <f t="shared" si="318"/>
        <v>208296</v>
      </c>
      <c r="L2291" s="193" t="s">
        <v>251</v>
      </c>
      <c r="M2291" s="193" t="s">
        <v>164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52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>x</v>
      </c>
      <c r="AA2291" s="826"/>
      <c r="AB2291" s="576" t="str">
        <f>IF(VLOOKUP(F2291,NXT!$C$12:$C$786,1,0)=F2291,"","x")</f>
        <v/>
      </c>
    </row>
    <row r="2292" spans="1:30" ht="15.75" customHeight="1">
      <c r="A2292" s="827" t="str">
        <f>IF(B2292&lt;&gt;"",IF(AND(B2292&gt;=_TM1,B2292&lt;=_TM2,OR(TH!L2292="1111",TH!M2292="1111")),TH!D2292,""),"")</f>
        <v/>
      </c>
      <c r="B2292" s="36">
        <f t="shared" si="316"/>
        <v>7</v>
      </c>
      <c r="C2292" s="190">
        <f t="shared" si="317"/>
        <v>42581</v>
      </c>
      <c r="D2292" s="190" t="s">
        <v>1587</v>
      </c>
      <c r="E2292" s="190">
        <v>42581</v>
      </c>
      <c r="F2292" s="292" t="s">
        <v>1469</v>
      </c>
      <c r="G2292" s="833" t="s">
        <v>1470</v>
      </c>
      <c r="H2292" s="192" t="s">
        <v>678</v>
      </c>
      <c r="I2292" s="253">
        <v>9</v>
      </c>
      <c r="J2292" s="253">
        <v>12192</v>
      </c>
      <c r="K2292" s="584">
        <f t="shared" si="318"/>
        <v>109728</v>
      </c>
      <c r="L2292" s="193" t="s">
        <v>251</v>
      </c>
      <c r="M2292" s="193" t="s">
        <v>164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52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>x</v>
      </c>
      <c r="AA2292" s="826"/>
      <c r="AB2292" s="576" t="str">
        <f>IF(VLOOKUP(F2292,NXT!$C$12:$C$786,1,0)=F2292,"","x")</f>
        <v/>
      </c>
    </row>
    <row r="2293" spans="1:30" ht="15.75" customHeight="1">
      <c r="A2293" s="827" t="str">
        <f>IF(B2293&lt;&gt;"",IF(AND(B2293&gt;=_TM1,B2293&lt;=_TM2,OR(TH!L2293="1111",TH!M2293="1111")),TH!D2293,""),"")</f>
        <v/>
      </c>
      <c r="B2293" s="36">
        <f t="shared" si="316"/>
        <v>7</v>
      </c>
      <c r="C2293" s="190">
        <f t="shared" si="317"/>
        <v>42581</v>
      </c>
      <c r="D2293" s="190" t="s">
        <v>1587</v>
      </c>
      <c r="E2293" s="190">
        <v>42581</v>
      </c>
      <c r="F2293" s="292" t="s">
        <v>538</v>
      </c>
      <c r="G2293" s="833" t="s">
        <v>1470</v>
      </c>
      <c r="H2293" s="192" t="s">
        <v>678</v>
      </c>
      <c r="I2293" s="253">
        <v>24</v>
      </c>
      <c r="J2293" s="253">
        <v>72641</v>
      </c>
      <c r="K2293" s="584">
        <f t="shared" si="318"/>
        <v>1743384</v>
      </c>
      <c r="L2293" s="193" t="s">
        <v>251</v>
      </c>
      <c r="M2293" s="193" t="s">
        <v>164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52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>x</v>
      </c>
      <c r="AA2293" s="826"/>
      <c r="AB2293" s="576" t="str">
        <f>IF(VLOOKUP(F2293,NXT!$C$12:$C$786,1,0)=F2293,"","x")</f>
        <v/>
      </c>
      <c r="AD2293" s="576"/>
    </row>
    <row r="2294" spans="1:30" ht="15.75" customHeight="1">
      <c r="A2294" s="827" t="str">
        <f>IF(B2294&lt;&gt;"",IF(AND(B2294&gt;=_TM1,B2294&lt;=_TM2,OR(TH!L2294="1111",TH!M2294="1111")),TH!D2294,""),"")</f>
        <v/>
      </c>
      <c r="B2294" s="36">
        <f t="shared" si="316"/>
        <v>7</v>
      </c>
      <c r="C2294" s="190">
        <f t="shared" si="317"/>
        <v>42581</v>
      </c>
      <c r="D2294" s="190" t="s">
        <v>1587</v>
      </c>
      <c r="E2294" s="190">
        <v>42581</v>
      </c>
      <c r="F2294" s="191" t="s">
        <v>461</v>
      </c>
      <c r="G2294" s="833" t="s">
        <v>1470</v>
      </c>
      <c r="H2294" s="192" t="s">
        <v>678</v>
      </c>
      <c r="I2294" s="253"/>
      <c r="J2294" s="253"/>
      <c r="K2294" s="584">
        <v>13052878.199999999</v>
      </c>
      <c r="L2294" s="193" t="s">
        <v>251</v>
      </c>
      <c r="M2294" s="193" t="s">
        <v>354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52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>x</v>
      </c>
      <c r="AA2294" s="826"/>
      <c r="AB2294" s="576"/>
    </row>
    <row r="2295" spans="1:30" ht="15.75" customHeight="1">
      <c r="A2295" s="827" t="str">
        <f>IF(B2295&lt;&gt;"",IF(AND(B2295&gt;=_TM1,B2295&lt;=_TM2,OR(TH!L2295="1111",TH!M2295="1111")),TH!D2295,""),"")</f>
        <v/>
      </c>
      <c r="B2295" s="36">
        <f t="shared" si="316"/>
        <v>7</v>
      </c>
      <c r="C2295" s="190">
        <f t="shared" si="317"/>
        <v>42581</v>
      </c>
      <c r="D2295" s="190" t="s">
        <v>1588</v>
      </c>
      <c r="E2295" s="190">
        <v>42581</v>
      </c>
      <c r="F2295" s="292" t="s">
        <v>1455</v>
      </c>
      <c r="G2295" s="833" t="s">
        <v>1474</v>
      </c>
      <c r="H2295" s="192" t="s">
        <v>1454</v>
      </c>
      <c r="I2295" s="253">
        <v>2000</v>
      </c>
      <c r="J2295" s="253">
        <v>8500</v>
      </c>
      <c r="K2295" s="584">
        <f t="shared" ref="K2295" si="319">ROUND(I2295*J2295,0)</f>
        <v>17000000</v>
      </c>
      <c r="L2295" s="193" t="s">
        <v>251</v>
      </c>
      <c r="M2295" s="193" t="s">
        <v>164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52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>x</v>
      </c>
      <c r="AA2295" s="826"/>
      <c r="AB2295" s="576" t="str">
        <f>IF(VLOOKUP(F2295,NXT!$C$12:$C$786,1,0)=F2295,"","x")</f>
        <v/>
      </c>
    </row>
    <row r="2296" spans="1:30" ht="15.75" customHeight="1">
      <c r="A2296" s="827" t="str">
        <f>IF(B2296&lt;&gt;"",IF(AND(B2296&gt;=_TM1,B2296&lt;=_TM2,OR(TH!L2296="1111",TH!M2296="1111")),TH!D2296,""),"")</f>
        <v/>
      </c>
      <c r="B2296" s="36">
        <f t="shared" si="316"/>
        <v>7</v>
      </c>
      <c r="C2296" s="190">
        <f t="shared" si="317"/>
        <v>42581</v>
      </c>
      <c r="D2296" s="190" t="s">
        <v>1588</v>
      </c>
      <c r="E2296" s="190">
        <v>42581</v>
      </c>
      <c r="F2296" s="191" t="s">
        <v>461</v>
      </c>
      <c r="G2296" s="833" t="s">
        <v>1474</v>
      </c>
      <c r="H2296" s="192" t="s">
        <v>1454</v>
      </c>
      <c r="I2296" s="253"/>
      <c r="J2296" s="253"/>
      <c r="K2296" s="584">
        <v>1785000</v>
      </c>
      <c r="L2296" s="193" t="s">
        <v>251</v>
      </c>
      <c r="M2296" s="193" t="s">
        <v>354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52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>x</v>
      </c>
      <c r="AA2296" s="826"/>
      <c r="AB2296" s="576"/>
      <c r="AD2296" s="576"/>
    </row>
    <row r="2297" spans="1:30" ht="15.75" customHeight="1">
      <c r="A2297" s="827" t="str">
        <f>IF(B2297&lt;&gt;"",IF(AND(B2297&gt;=_TM1,B2297&lt;=_TM2,OR(TH!L2297="1111",TH!M2297="1111")),TH!D2297,""),"")</f>
        <v/>
      </c>
      <c r="B2297" s="36">
        <f t="shared" si="316"/>
        <v>8</v>
      </c>
      <c r="C2297" s="190">
        <f t="shared" si="317"/>
        <v>42584</v>
      </c>
      <c r="D2297" s="190" t="s">
        <v>1589</v>
      </c>
      <c r="E2297" s="190">
        <v>42584</v>
      </c>
      <c r="F2297" s="292" t="s">
        <v>1475</v>
      </c>
      <c r="G2297" s="833" t="s">
        <v>1487</v>
      </c>
      <c r="H2297" s="192" t="s">
        <v>1052</v>
      </c>
      <c r="I2297" s="253">
        <v>200</v>
      </c>
      <c r="J2297" s="253">
        <v>6950</v>
      </c>
      <c r="K2297" s="584">
        <f t="shared" si="318"/>
        <v>1390000</v>
      </c>
      <c r="L2297" s="193" t="s">
        <v>251</v>
      </c>
      <c r="M2297" s="193" t="s">
        <v>164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52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>x</v>
      </c>
      <c r="AA2297" s="826"/>
      <c r="AB2297" s="576" t="str">
        <f>IF(VLOOKUP(F2297,NXT!$C$12:$C$786,1,0)=F2297,"","x")</f>
        <v/>
      </c>
    </row>
    <row r="2298" spans="1:30" ht="15.75" customHeight="1">
      <c r="A2298" s="827" t="str">
        <f>IF(B2298&lt;&gt;"",IF(AND(B2298&gt;=_TM1,B2298&lt;=_TM2,OR(TH!L2298="1111",TH!M2298="1111")),TH!D2298,""),"")</f>
        <v/>
      </c>
      <c r="B2298" s="36">
        <f t="shared" si="316"/>
        <v>8</v>
      </c>
      <c r="C2298" s="190">
        <f t="shared" si="317"/>
        <v>42584</v>
      </c>
      <c r="D2298" s="190" t="s">
        <v>1589</v>
      </c>
      <c r="E2298" s="190">
        <v>42584</v>
      </c>
      <c r="F2298" s="292" t="s">
        <v>1476</v>
      </c>
      <c r="G2298" s="833" t="s">
        <v>1487</v>
      </c>
      <c r="H2298" s="192" t="s">
        <v>1052</v>
      </c>
      <c r="I2298" s="253">
        <v>300</v>
      </c>
      <c r="J2298" s="253">
        <v>7300</v>
      </c>
      <c r="K2298" s="584">
        <f t="shared" si="318"/>
        <v>2190000</v>
      </c>
      <c r="L2298" s="193" t="s">
        <v>251</v>
      </c>
      <c r="M2298" s="193" t="s">
        <v>164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52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>x</v>
      </c>
      <c r="AA2298" s="826"/>
      <c r="AB2298" s="576" t="str">
        <f>IF(VLOOKUP(F2298,NXT!$C$12:$C$786,1,0)=F2298,"","x")</f>
        <v/>
      </c>
    </row>
    <row r="2299" spans="1:30" ht="15.75" customHeight="1">
      <c r="A2299" s="827" t="str">
        <f>IF(B2299&lt;&gt;"",IF(AND(B2299&gt;=_TM1,B2299&lt;=_TM2,OR(TH!L2299="1111",TH!M2299="1111")),TH!D2299,""),"")</f>
        <v/>
      </c>
      <c r="B2299" s="36">
        <f t="shared" si="316"/>
        <v>8</v>
      </c>
      <c r="C2299" s="190">
        <f t="shared" si="317"/>
        <v>42584</v>
      </c>
      <c r="D2299" s="190" t="s">
        <v>1589</v>
      </c>
      <c r="E2299" s="190">
        <v>42584</v>
      </c>
      <c r="F2299" s="191" t="s">
        <v>461</v>
      </c>
      <c r="G2299" s="833" t="s">
        <v>1487</v>
      </c>
      <c r="H2299" s="192" t="s">
        <v>1052</v>
      </c>
      <c r="I2299" s="253"/>
      <c r="J2299" s="253"/>
      <c r="K2299" s="584">
        <v>358000</v>
      </c>
      <c r="L2299" s="193" t="s">
        <v>251</v>
      </c>
      <c r="M2299" s="193" t="s">
        <v>354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52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>x</v>
      </c>
      <c r="AA2299" s="826"/>
      <c r="AB2299" s="576"/>
      <c r="AD2299" s="576"/>
    </row>
    <row r="2300" spans="1:30" ht="15.75" customHeight="1">
      <c r="A2300" s="827" t="str">
        <f>IF(B2300&lt;&gt;"",IF(AND(B2300&gt;=_TM1,B2300&lt;=_TM2,OR(TH!L2300="1111",TH!M2300="1111")),TH!D2300,""),"")</f>
        <v/>
      </c>
      <c r="B2300" s="36">
        <f t="shared" si="316"/>
        <v>8</v>
      </c>
      <c r="C2300" s="190">
        <f t="shared" si="317"/>
        <v>42587</v>
      </c>
      <c r="D2300" s="190" t="s">
        <v>1590</v>
      </c>
      <c r="E2300" s="190">
        <v>42587</v>
      </c>
      <c r="F2300" s="292" t="s">
        <v>1479</v>
      </c>
      <c r="G2300" s="833" t="s">
        <v>1488</v>
      </c>
      <c r="H2300" s="192" t="s">
        <v>636</v>
      </c>
      <c r="I2300" s="253">
        <v>200</v>
      </c>
      <c r="J2300" s="253">
        <v>12825</v>
      </c>
      <c r="K2300" s="584">
        <f t="shared" si="318"/>
        <v>2565000</v>
      </c>
      <c r="L2300" s="193" t="s">
        <v>251</v>
      </c>
      <c r="M2300" s="193" t="s">
        <v>164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52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>x</v>
      </c>
      <c r="AA2300" s="826"/>
      <c r="AB2300" s="576" t="str">
        <f>IF(VLOOKUP(F2300,NXT!$C$12:$C$786,1,0)=F2300,"","x")</f>
        <v/>
      </c>
    </row>
    <row r="2301" spans="1:30" ht="15.75" customHeight="1">
      <c r="A2301" s="827" t="str">
        <f>IF(B2301&lt;&gt;"",IF(AND(B2301&gt;=_TM1,B2301&lt;=_TM2,OR(TH!L2301="1111",TH!M2301="1111")),TH!D2301,""),"")</f>
        <v/>
      </c>
      <c r="B2301" s="36">
        <f t="shared" ref="B2301" si="320">IF(C2301&lt;&gt;"",MONTH(C2301),"")</f>
        <v>8</v>
      </c>
      <c r="C2301" s="190">
        <f t="shared" ref="C2301" si="321">E2301</f>
        <v>42587</v>
      </c>
      <c r="D2301" s="190" t="s">
        <v>320</v>
      </c>
      <c r="E2301" s="190">
        <v>42587</v>
      </c>
      <c r="F2301" s="292" t="s">
        <v>621</v>
      </c>
      <c r="G2301" s="833" t="s">
        <v>1488</v>
      </c>
      <c r="H2301" s="192" t="s">
        <v>636</v>
      </c>
      <c r="I2301" s="253"/>
      <c r="J2301" s="253"/>
      <c r="K2301" s="584">
        <v>500000</v>
      </c>
      <c r="L2301" s="193" t="s">
        <v>251</v>
      </c>
      <c r="M2301" s="193" t="s">
        <v>623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52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>x</v>
      </c>
      <c r="AA2301" s="826"/>
      <c r="AB2301" s="576"/>
    </row>
    <row r="2302" spans="1:30" ht="15.75" customHeight="1">
      <c r="A2302" s="827" t="str">
        <f>IF(B2302&lt;&gt;"",IF(AND(B2302&gt;=_TM1,B2302&lt;=_TM2,OR(TH!L2302="1111",TH!M2302="1111")),TH!D2302,""),"")</f>
        <v/>
      </c>
      <c r="B2302" s="36">
        <f t="shared" si="316"/>
        <v>8</v>
      </c>
      <c r="C2302" s="190">
        <f t="shared" si="317"/>
        <v>42587</v>
      </c>
      <c r="D2302" s="190" t="s">
        <v>1590</v>
      </c>
      <c r="E2302" s="190">
        <v>42587</v>
      </c>
      <c r="F2302" s="191" t="s">
        <v>461</v>
      </c>
      <c r="G2302" s="833" t="s">
        <v>1488</v>
      </c>
      <c r="H2302" s="192" t="s">
        <v>636</v>
      </c>
      <c r="I2302" s="253"/>
      <c r="J2302" s="253"/>
      <c r="K2302" s="584">
        <v>306500</v>
      </c>
      <c r="L2302" s="193" t="s">
        <v>251</v>
      </c>
      <c r="M2302" s="193" t="s">
        <v>354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52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>x</v>
      </c>
      <c r="AA2302" s="826"/>
      <c r="AB2302" s="576"/>
    </row>
    <row r="2303" spans="1:30" ht="15.75" customHeight="1">
      <c r="A2303" s="827" t="str">
        <f>IF(B2303&lt;&gt;"",IF(AND(B2303&gt;=_TM1,B2303&lt;=_TM2,OR(TH!L2303="1111",TH!M2303="1111")),TH!D2303,""),"")</f>
        <v/>
      </c>
      <c r="B2303" s="36">
        <f t="shared" si="316"/>
        <v>8</v>
      </c>
      <c r="C2303" s="190">
        <f t="shared" si="317"/>
        <v>42588</v>
      </c>
      <c r="D2303" s="190" t="s">
        <v>1591</v>
      </c>
      <c r="E2303" s="190">
        <v>42588</v>
      </c>
      <c r="F2303" s="292" t="s">
        <v>1477</v>
      </c>
      <c r="G2303" s="833" t="s">
        <v>1489</v>
      </c>
      <c r="H2303" s="7" t="s">
        <v>1023</v>
      </c>
      <c r="I2303" s="253">
        <v>300</v>
      </c>
      <c r="J2303" s="253">
        <v>13900</v>
      </c>
      <c r="K2303" s="584">
        <f t="shared" si="318"/>
        <v>4170000</v>
      </c>
      <c r="L2303" s="193" t="s">
        <v>251</v>
      </c>
      <c r="M2303" s="193" t="s">
        <v>164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52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>x</v>
      </c>
      <c r="AA2303" s="826"/>
      <c r="AB2303" s="576" t="str">
        <f>IF(VLOOKUP(F2303,NXT!$C$12:$C$786,1,0)=F2303,"","x")</f>
        <v/>
      </c>
      <c r="AD2303" s="576"/>
    </row>
    <row r="2304" spans="1:30" ht="15.75" customHeight="1">
      <c r="A2304" s="827" t="str">
        <f>IF(B2304&lt;&gt;"",IF(AND(B2304&gt;=_TM1,B2304&lt;=_TM2,OR(TH!L2304="1111",TH!M2304="1111")),TH!D2304,""),"")</f>
        <v/>
      </c>
      <c r="B2304" s="36">
        <f t="shared" si="316"/>
        <v>8</v>
      </c>
      <c r="C2304" s="190">
        <f t="shared" si="317"/>
        <v>42588</v>
      </c>
      <c r="D2304" s="190" t="s">
        <v>1591</v>
      </c>
      <c r="E2304" s="190">
        <v>42588</v>
      </c>
      <c r="F2304" s="292" t="s">
        <v>1478</v>
      </c>
      <c r="G2304" s="833" t="s">
        <v>1489</v>
      </c>
      <c r="H2304" s="7" t="s">
        <v>1023</v>
      </c>
      <c r="I2304" s="253">
        <v>400</v>
      </c>
      <c r="J2304" s="253">
        <v>14266</v>
      </c>
      <c r="K2304" s="584">
        <f t="shared" si="318"/>
        <v>5706400</v>
      </c>
      <c r="L2304" s="193" t="s">
        <v>251</v>
      </c>
      <c r="M2304" s="193" t="s">
        <v>164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52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>x</v>
      </c>
      <c r="AA2304" s="826"/>
      <c r="AB2304" s="576" t="str">
        <f>IF(VLOOKUP(F2304,NXT!$C$12:$C$786,1,0)=F2304,"","x")</f>
        <v/>
      </c>
    </row>
    <row r="2305" spans="1:30" ht="15.75" customHeight="1">
      <c r="A2305" s="827" t="str">
        <f>IF(B2305&lt;&gt;"",IF(AND(B2305&gt;=_TM1,B2305&lt;=_TM2,OR(TH!L2305="1111",TH!M2305="1111")),TH!D2305,""),"")</f>
        <v/>
      </c>
      <c r="B2305" s="36">
        <f t="shared" si="316"/>
        <v>8</v>
      </c>
      <c r="C2305" s="190">
        <f t="shared" si="317"/>
        <v>42588</v>
      </c>
      <c r="D2305" s="190" t="s">
        <v>1591</v>
      </c>
      <c r="E2305" s="190">
        <v>42588</v>
      </c>
      <c r="F2305" s="191" t="s">
        <v>461</v>
      </c>
      <c r="G2305" s="833" t="s">
        <v>1489</v>
      </c>
      <c r="H2305" s="7" t="s">
        <v>1023</v>
      </c>
      <c r="I2305" s="253"/>
      <c r="J2305" s="253"/>
      <c r="K2305" s="584">
        <v>987640</v>
      </c>
      <c r="L2305" s="193" t="s">
        <v>251</v>
      </c>
      <c r="M2305" s="193" t="s">
        <v>354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52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>x</v>
      </c>
      <c r="AA2305" s="826"/>
      <c r="AB2305" s="576"/>
    </row>
    <row r="2306" spans="1:30" ht="15.75" customHeight="1">
      <c r="A2306" s="827" t="str">
        <f>IF(B2306&lt;&gt;"",IF(AND(B2306&gt;=_TM1,B2306&lt;=_TM2,OR(TH!L2306="1111",TH!M2306="1111")),TH!D2306,""),"")</f>
        <v/>
      </c>
      <c r="B2306" s="36">
        <f t="shared" si="316"/>
        <v>8</v>
      </c>
      <c r="C2306" s="190">
        <f t="shared" si="317"/>
        <v>42588</v>
      </c>
      <c r="D2306" s="190" t="s">
        <v>1592</v>
      </c>
      <c r="E2306" s="190">
        <v>42588</v>
      </c>
      <c r="F2306" s="292" t="s">
        <v>1491</v>
      </c>
      <c r="G2306" s="833" t="s">
        <v>1490</v>
      </c>
      <c r="H2306" s="192" t="s">
        <v>1437</v>
      </c>
      <c r="I2306" s="253">
        <v>20</v>
      </c>
      <c r="J2306" s="253">
        <v>71612</v>
      </c>
      <c r="K2306" s="584">
        <f t="shared" si="318"/>
        <v>1432240</v>
      </c>
      <c r="L2306" s="193" t="s">
        <v>251</v>
      </c>
      <c r="M2306" s="193" t="s">
        <v>164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52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>x</v>
      </c>
      <c r="AA2306" s="826"/>
      <c r="AB2306" s="576" t="str">
        <f>IF(VLOOKUP(F2306,NXT!$C$12:$C$786,1,0)=F2306,"","x")</f>
        <v/>
      </c>
      <c r="AD2306" s="576"/>
    </row>
    <row r="2307" spans="1:30" ht="15.75" customHeight="1">
      <c r="A2307" s="827" t="str">
        <f>IF(B2307&lt;&gt;"",IF(AND(B2307&gt;=_TM1,B2307&lt;=_TM2,OR(TH!L2307="1111",TH!M2307="1111")),TH!D2307,""),"")</f>
        <v/>
      </c>
      <c r="B2307" s="36">
        <f t="shared" si="313"/>
        <v>8</v>
      </c>
      <c r="C2307" s="190">
        <f t="shared" si="314"/>
        <v>42588</v>
      </c>
      <c r="D2307" s="190" t="s">
        <v>1592</v>
      </c>
      <c r="E2307" s="190">
        <v>42588</v>
      </c>
      <c r="F2307" s="292" t="s">
        <v>1492</v>
      </c>
      <c r="G2307" s="833" t="s">
        <v>1490</v>
      </c>
      <c r="H2307" s="192" t="s">
        <v>1437</v>
      </c>
      <c r="I2307" s="253">
        <v>8</v>
      </c>
      <c r="J2307" s="253">
        <v>82765</v>
      </c>
      <c r="K2307" s="584">
        <f t="shared" si="315"/>
        <v>662120</v>
      </c>
      <c r="L2307" s="193" t="s">
        <v>251</v>
      </c>
      <c r="M2307" s="193" t="s">
        <v>164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52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>x</v>
      </c>
      <c r="AA2307" s="826"/>
      <c r="AB2307" s="576" t="str">
        <f>IF(VLOOKUP(F2307,NXT!$C$12:$C$786,1,0)=F2307,"","x")</f>
        <v/>
      </c>
    </row>
    <row r="2308" spans="1:30" ht="15.75" customHeight="1">
      <c r="A2308" s="827" t="str">
        <f>IF(B2308&lt;&gt;"",IF(AND(B2308&gt;=_TM1,B2308&lt;=_TM2,OR(TH!L2308="1111",TH!M2308="1111")),TH!D2308,""),"")</f>
        <v/>
      </c>
      <c r="B2308" s="36">
        <f t="shared" si="313"/>
        <v>8</v>
      </c>
      <c r="C2308" s="190">
        <f t="shared" si="314"/>
        <v>42588</v>
      </c>
      <c r="D2308" s="190" t="s">
        <v>1592</v>
      </c>
      <c r="E2308" s="190">
        <v>42588</v>
      </c>
      <c r="F2308" s="292" t="s">
        <v>1493</v>
      </c>
      <c r="G2308" s="833" t="s">
        <v>1490</v>
      </c>
      <c r="H2308" s="192" t="s">
        <v>1437</v>
      </c>
      <c r="I2308" s="253">
        <v>9</v>
      </c>
      <c r="J2308" s="253">
        <v>79944</v>
      </c>
      <c r="K2308" s="584">
        <f t="shared" si="315"/>
        <v>719496</v>
      </c>
      <c r="L2308" s="193" t="s">
        <v>251</v>
      </c>
      <c r="M2308" s="193" t="s">
        <v>164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52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>x</v>
      </c>
      <c r="AA2308" s="826"/>
      <c r="AB2308" s="576" t="str">
        <f>IF(VLOOKUP(F2308,NXT!$C$12:$C$786,1,0)=F2308,"","x")</f>
        <v/>
      </c>
    </row>
    <row r="2309" spans="1:30" ht="15.75" customHeight="1">
      <c r="A2309" s="827" t="str">
        <f>IF(B2309&lt;&gt;"",IF(AND(B2309&gt;=_TM1,B2309&lt;=_TM2,OR(TH!L2309="1111",TH!M2309="1111")),TH!D2309,""),"")</f>
        <v/>
      </c>
      <c r="B2309" s="36">
        <f t="shared" si="304"/>
        <v>8</v>
      </c>
      <c r="C2309" s="190">
        <f t="shared" si="305"/>
        <v>42588</v>
      </c>
      <c r="D2309" s="190" t="s">
        <v>1592</v>
      </c>
      <c r="E2309" s="190">
        <v>42588</v>
      </c>
      <c r="F2309" s="191" t="s">
        <v>461</v>
      </c>
      <c r="G2309" s="833" t="s">
        <v>1490</v>
      </c>
      <c r="H2309" s="192" t="s">
        <v>1437</v>
      </c>
      <c r="I2309" s="253"/>
      <c r="J2309" s="253"/>
      <c r="K2309" s="584">
        <v>278686</v>
      </c>
      <c r="L2309" s="193" t="s">
        <v>251</v>
      </c>
      <c r="M2309" s="193" t="s">
        <v>354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52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>x</v>
      </c>
      <c r="AA2309" s="826"/>
      <c r="AB2309" s="576"/>
      <c r="AD2309" s="576"/>
    </row>
    <row r="2310" spans="1:30" ht="15.75" customHeight="1">
      <c r="A2310" s="827" t="str">
        <f>IF(B2310&lt;&gt;"",IF(AND(B2310&gt;=_TM1,B2310&lt;=_TM2,OR(TH!L2310="1111",TH!M2310="1111")),TH!D2310,""),"")</f>
        <v/>
      </c>
      <c r="B2310" s="36">
        <f t="shared" si="304"/>
        <v>8</v>
      </c>
      <c r="C2310" s="190">
        <f t="shared" si="305"/>
        <v>42589</v>
      </c>
      <c r="D2310" s="190" t="s">
        <v>1593</v>
      </c>
      <c r="E2310" s="190">
        <v>42589</v>
      </c>
      <c r="F2310" s="292" t="s">
        <v>1496</v>
      </c>
      <c r="G2310" s="833" t="s">
        <v>1494</v>
      </c>
      <c r="H2310" s="192" t="s">
        <v>1454</v>
      </c>
      <c r="I2310" s="253">
        <v>172</v>
      </c>
      <c r="J2310" s="253">
        <v>9490</v>
      </c>
      <c r="K2310" s="584">
        <f t="shared" ref="K2310:K2326" si="322">ROUND(I2310*J2310,0)</f>
        <v>1632280</v>
      </c>
      <c r="L2310" s="193" t="s">
        <v>251</v>
      </c>
      <c r="M2310" s="193" t="s">
        <v>164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52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>x</v>
      </c>
      <c r="AA2310" s="826"/>
      <c r="AB2310" s="576" t="str">
        <f>IF(VLOOKUP(F2310,NXT!$C$12:$C$786,1,0)=F2310,"","x")</f>
        <v/>
      </c>
    </row>
    <row r="2311" spans="1:30" ht="15.75" customHeight="1">
      <c r="A2311" s="827" t="str">
        <f>IF(B2311&lt;&gt;"",IF(AND(B2311&gt;=_TM1,B2311&lt;=_TM2,OR(TH!L2311="1111",TH!M2311="1111")),TH!D2311,""),"")</f>
        <v/>
      </c>
      <c r="B2311" s="36">
        <f t="shared" si="304"/>
        <v>8</v>
      </c>
      <c r="C2311" s="190">
        <f t="shared" si="305"/>
        <v>42589</v>
      </c>
      <c r="D2311" s="190" t="s">
        <v>1593</v>
      </c>
      <c r="E2311" s="190">
        <v>42589</v>
      </c>
      <c r="F2311" s="292" t="s">
        <v>1497</v>
      </c>
      <c r="G2311" s="833" t="s">
        <v>1494</v>
      </c>
      <c r="H2311" s="192" t="s">
        <v>1454</v>
      </c>
      <c r="I2311" s="253">
        <v>172</v>
      </c>
      <c r="J2311" s="253">
        <v>5670</v>
      </c>
      <c r="K2311" s="584">
        <f t="shared" si="322"/>
        <v>975240</v>
      </c>
      <c r="L2311" s="193" t="s">
        <v>251</v>
      </c>
      <c r="M2311" s="193" t="s">
        <v>164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52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>x</v>
      </c>
      <c r="AA2311" s="826"/>
      <c r="AB2311" s="576" t="str">
        <f>IF(VLOOKUP(F2311,NXT!$C$12:$C$786,1,0)=F2311,"","x")</f>
        <v/>
      </c>
    </row>
    <row r="2312" spans="1:30" ht="15.75" customHeight="1">
      <c r="A2312" s="827" t="str">
        <f>IF(B2312&lt;&gt;"",IF(AND(B2312&gt;=_TM1,B2312&lt;=_TM2,OR(TH!L2312="1111",TH!M2312="1111")),TH!D2312,""),"")</f>
        <v/>
      </c>
      <c r="B2312" s="36">
        <f t="shared" si="304"/>
        <v>8</v>
      </c>
      <c r="C2312" s="190">
        <f t="shared" si="305"/>
        <v>42589</v>
      </c>
      <c r="D2312" s="190" t="s">
        <v>1593</v>
      </c>
      <c r="E2312" s="190">
        <v>42589</v>
      </c>
      <c r="F2312" s="292" t="s">
        <v>1498</v>
      </c>
      <c r="G2312" s="833" t="s">
        <v>1494</v>
      </c>
      <c r="H2312" s="192" t="s">
        <v>1454</v>
      </c>
      <c r="I2312" s="253">
        <v>172</v>
      </c>
      <c r="J2312" s="253">
        <v>8250</v>
      </c>
      <c r="K2312" s="584">
        <f t="shared" si="322"/>
        <v>1419000</v>
      </c>
      <c r="L2312" s="193" t="s">
        <v>251</v>
      </c>
      <c r="M2312" s="193" t="s">
        <v>164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52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>x</v>
      </c>
      <c r="AA2312" s="826"/>
      <c r="AB2312" s="576" t="str">
        <f>IF(VLOOKUP(F2312,NXT!$C$12:$C$786,1,0)=F2312,"","x")</f>
        <v/>
      </c>
      <c r="AD2312" s="576"/>
    </row>
    <row r="2313" spans="1:30" ht="15.75" customHeight="1">
      <c r="A2313" s="827" t="str">
        <f>IF(B2313&lt;&gt;"",IF(AND(B2313&gt;=_TM1,B2313&lt;=_TM2,OR(TH!L2313="1111",TH!M2313="1111")),TH!D2313,""),"")</f>
        <v/>
      </c>
      <c r="B2313" s="36">
        <f t="shared" si="304"/>
        <v>8</v>
      </c>
      <c r="C2313" s="190">
        <f t="shared" si="305"/>
        <v>42589</v>
      </c>
      <c r="D2313" s="190" t="s">
        <v>1593</v>
      </c>
      <c r="E2313" s="190">
        <v>42589</v>
      </c>
      <c r="F2313" s="292" t="s">
        <v>1499</v>
      </c>
      <c r="G2313" s="833" t="s">
        <v>1494</v>
      </c>
      <c r="H2313" s="192" t="s">
        <v>1454</v>
      </c>
      <c r="I2313" s="253">
        <v>172</v>
      </c>
      <c r="J2313" s="253">
        <v>6500</v>
      </c>
      <c r="K2313" s="584">
        <f t="shared" si="322"/>
        <v>1118000</v>
      </c>
      <c r="L2313" s="193" t="s">
        <v>251</v>
      </c>
      <c r="M2313" s="193" t="s">
        <v>164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52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>x</v>
      </c>
      <c r="AA2313" s="826"/>
      <c r="AB2313" s="576" t="str">
        <f>IF(VLOOKUP(F2313,NXT!$C$12:$C$786,1,0)=F2313,"","x")</f>
        <v/>
      </c>
    </row>
    <row r="2314" spans="1:30" ht="15.75" customHeight="1">
      <c r="A2314" s="827" t="str">
        <f>IF(B2314&lt;&gt;"",IF(AND(B2314&gt;=_TM1,B2314&lt;=_TM2,OR(TH!L2314="1111",TH!M2314="1111")),TH!D2314,""),"")</f>
        <v/>
      </c>
      <c r="B2314" s="36">
        <f t="shared" si="304"/>
        <v>8</v>
      </c>
      <c r="C2314" s="190">
        <f t="shared" si="305"/>
        <v>42589</v>
      </c>
      <c r="D2314" s="190" t="s">
        <v>1593</v>
      </c>
      <c r="E2314" s="190">
        <v>42589</v>
      </c>
      <c r="F2314" s="292" t="s">
        <v>1500</v>
      </c>
      <c r="G2314" s="833" t="s">
        <v>1494</v>
      </c>
      <c r="H2314" s="192" t="s">
        <v>1454</v>
      </c>
      <c r="I2314" s="253">
        <v>200</v>
      </c>
      <c r="J2314" s="253">
        <v>8150</v>
      </c>
      <c r="K2314" s="584">
        <f t="shared" si="322"/>
        <v>1630000</v>
      </c>
      <c r="L2314" s="193" t="s">
        <v>251</v>
      </c>
      <c r="M2314" s="193" t="s">
        <v>164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52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>x</v>
      </c>
      <c r="AA2314" s="826"/>
      <c r="AB2314" s="576" t="str">
        <f>IF(VLOOKUP(F2314,NXT!$C$12:$C$786,1,0)=F2314,"","x")</f>
        <v/>
      </c>
    </row>
    <row r="2315" spans="1:30" ht="15.75" customHeight="1">
      <c r="A2315" s="827" t="str">
        <f>IF(B2315&lt;&gt;"",IF(AND(B2315&gt;=_TM1,B2315&lt;=_TM2,OR(TH!L2315="1111",TH!M2315="1111")),TH!D2315,""),"")</f>
        <v/>
      </c>
      <c r="B2315" s="36">
        <f t="shared" si="304"/>
        <v>8</v>
      </c>
      <c r="C2315" s="190">
        <f t="shared" si="305"/>
        <v>42589</v>
      </c>
      <c r="D2315" s="190" t="s">
        <v>1593</v>
      </c>
      <c r="E2315" s="190">
        <v>42589</v>
      </c>
      <c r="F2315" s="292" t="s">
        <v>1501</v>
      </c>
      <c r="G2315" s="833" t="s">
        <v>1494</v>
      </c>
      <c r="H2315" s="192" t="s">
        <v>1454</v>
      </c>
      <c r="I2315" s="253">
        <v>200</v>
      </c>
      <c r="J2315" s="253">
        <v>5880</v>
      </c>
      <c r="K2315" s="584">
        <f t="shared" si="322"/>
        <v>1176000</v>
      </c>
      <c r="L2315" s="193" t="s">
        <v>251</v>
      </c>
      <c r="M2315" s="193" t="s">
        <v>164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52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>x</v>
      </c>
      <c r="AA2315" s="826"/>
      <c r="AB2315" s="576" t="str">
        <f>IF(VLOOKUP(F2315,NXT!$C$12:$C$786,1,0)=F2315,"","x")</f>
        <v/>
      </c>
      <c r="AD2315" s="576"/>
    </row>
    <row r="2316" spans="1:30" ht="15.75" customHeight="1">
      <c r="A2316" s="827" t="str">
        <f>IF(B2316&lt;&gt;"",IF(AND(B2316&gt;=_TM1,B2316&lt;=_TM2,OR(TH!L2316="1111",TH!M2316="1111")),TH!D2316,""),"")</f>
        <v/>
      </c>
      <c r="B2316" s="36">
        <f t="shared" si="304"/>
        <v>8</v>
      </c>
      <c r="C2316" s="190">
        <f t="shared" si="305"/>
        <v>42589</v>
      </c>
      <c r="D2316" s="190" t="s">
        <v>1593</v>
      </c>
      <c r="E2316" s="190">
        <v>42589</v>
      </c>
      <c r="F2316" s="292" t="s">
        <v>1495</v>
      </c>
      <c r="G2316" s="833" t="s">
        <v>1494</v>
      </c>
      <c r="H2316" s="192" t="s">
        <v>1454</v>
      </c>
      <c r="I2316" s="253"/>
      <c r="J2316" s="253"/>
      <c r="K2316" s="584">
        <v>795052</v>
      </c>
      <c r="L2316" s="193" t="s">
        <v>251</v>
      </c>
      <c r="M2316" s="193" t="s">
        <v>354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52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>x</v>
      </c>
      <c r="AA2316" s="826"/>
      <c r="AB2316" s="576"/>
    </row>
    <row r="2317" spans="1:30" ht="15.75" customHeight="1">
      <c r="A2317" s="827" t="str">
        <f>IF(B2317&lt;&gt;"",IF(AND(B2317&gt;=_TM1,B2317&lt;=_TM2,OR(TH!L2317="1111",TH!M2317="1111")),TH!D2317,""),"")</f>
        <v/>
      </c>
      <c r="B2317" s="36">
        <f t="shared" si="304"/>
        <v>8</v>
      </c>
      <c r="C2317" s="190">
        <f t="shared" si="305"/>
        <v>42595</v>
      </c>
      <c r="D2317" s="190" t="s">
        <v>1594</v>
      </c>
      <c r="E2317" s="190">
        <v>42595</v>
      </c>
      <c r="F2317" s="292" t="s">
        <v>696</v>
      </c>
      <c r="G2317" s="833" t="s">
        <v>1502</v>
      </c>
      <c r="H2317" s="7" t="s">
        <v>727</v>
      </c>
      <c r="I2317" s="253">
        <v>1100</v>
      </c>
      <c r="J2317" s="253">
        <v>11700</v>
      </c>
      <c r="K2317" s="584">
        <f t="shared" si="322"/>
        <v>12870000</v>
      </c>
      <c r="L2317" s="193" t="s">
        <v>251</v>
      </c>
      <c r="M2317" s="193" t="s">
        <v>164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52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>x</v>
      </c>
      <c r="AA2317" s="826"/>
      <c r="AB2317" s="576" t="str">
        <f>IF(VLOOKUP(F2317,NXT!$C$12:$C$786,1,0)=F2317,"","x")</f>
        <v/>
      </c>
    </row>
    <row r="2318" spans="1:30" ht="15.75" customHeight="1">
      <c r="A2318" s="827" t="str">
        <f>IF(B2318&lt;&gt;"",IF(AND(B2318&gt;=_TM1,B2318&lt;=_TM2,OR(TH!L2318="1111",TH!M2318="1111")),TH!D2318,""),"")</f>
        <v/>
      </c>
      <c r="B2318" s="36">
        <f t="shared" si="304"/>
        <v>8</v>
      </c>
      <c r="C2318" s="190">
        <f t="shared" si="305"/>
        <v>42595</v>
      </c>
      <c r="D2318" s="190" t="s">
        <v>1594</v>
      </c>
      <c r="E2318" s="190">
        <v>42595</v>
      </c>
      <c r="F2318" s="191" t="s">
        <v>1301</v>
      </c>
      <c r="G2318" s="833" t="s">
        <v>1502</v>
      </c>
      <c r="H2318" s="7" t="s">
        <v>727</v>
      </c>
      <c r="I2318" s="253">
        <v>1100</v>
      </c>
      <c r="J2318" s="253">
        <v>534</v>
      </c>
      <c r="K2318" s="584">
        <f t="shared" si="322"/>
        <v>587400</v>
      </c>
      <c r="L2318" s="193" t="s">
        <v>251</v>
      </c>
      <c r="M2318" s="193" t="s">
        <v>164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52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>x</v>
      </c>
      <c r="AA2318" s="826"/>
      <c r="AB2318" s="576" t="str">
        <f>IF(VLOOKUP(F2318,NXT!$C$12:$C$786,1,0)=F2318,"","x")</f>
        <v/>
      </c>
      <c r="AD2318" s="576"/>
    </row>
    <row r="2319" spans="1:30" ht="15.75" customHeight="1">
      <c r="A2319" s="827" t="str">
        <f>IF(B2319&lt;&gt;"",IF(AND(B2319&gt;=_TM1,B2319&lt;=_TM2,OR(TH!L2319="1111",TH!M2319="1111")),TH!D2319,""),"")</f>
        <v/>
      </c>
      <c r="B2319" s="36">
        <f t="shared" si="304"/>
        <v>8</v>
      </c>
      <c r="C2319" s="190">
        <f t="shared" si="305"/>
        <v>42595</v>
      </c>
      <c r="D2319" s="190" t="s">
        <v>1594</v>
      </c>
      <c r="E2319" s="190">
        <v>42595</v>
      </c>
      <c r="F2319" s="191" t="s">
        <v>461</v>
      </c>
      <c r="G2319" s="833" t="s">
        <v>1502</v>
      </c>
      <c r="H2319" s="7" t="s">
        <v>727</v>
      </c>
      <c r="I2319" s="253"/>
      <c r="J2319" s="253"/>
      <c r="K2319" s="584">
        <v>1345740</v>
      </c>
      <c r="L2319" s="193" t="s">
        <v>251</v>
      </c>
      <c r="M2319" s="193" t="s">
        <v>354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52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>x</v>
      </c>
      <c r="AA2319" s="826"/>
      <c r="AB2319" s="576"/>
    </row>
    <row r="2320" spans="1:30" ht="15.75" customHeight="1">
      <c r="A2320" s="827" t="str">
        <f>IF(B2320&lt;&gt;"",IF(AND(B2320&gt;=_TM1,B2320&lt;=_TM2,OR(TH!L2320="1111",TH!M2320="1111")),TH!D2320,""),"")</f>
        <v/>
      </c>
      <c r="B2320" s="36">
        <f t="shared" si="304"/>
        <v>8</v>
      </c>
      <c r="C2320" s="190">
        <f t="shared" si="305"/>
        <v>42597</v>
      </c>
      <c r="D2320" s="190" t="s">
        <v>1595</v>
      </c>
      <c r="E2320" s="190">
        <v>42597</v>
      </c>
      <c r="F2320" s="292" t="s">
        <v>1504</v>
      </c>
      <c r="G2320" s="833" t="s">
        <v>1503</v>
      </c>
      <c r="H2320" s="192" t="s">
        <v>1454</v>
      </c>
      <c r="I2320" s="253">
        <v>172</v>
      </c>
      <c r="J2320" s="253">
        <v>10500</v>
      </c>
      <c r="K2320" s="584">
        <f t="shared" si="322"/>
        <v>1806000</v>
      </c>
      <c r="L2320" s="193" t="s">
        <v>251</v>
      </c>
      <c r="M2320" s="193" t="s">
        <v>164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52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>x</v>
      </c>
      <c r="AA2320" s="826"/>
      <c r="AB2320" s="576" t="str">
        <f>IF(VLOOKUP(F2320,NXT!$C$12:$C$786,1,0)=F2320,"","x")</f>
        <v/>
      </c>
    </row>
    <row r="2321" spans="1:30" ht="15.75" customHeight="1">
      <c r="A2321" s="827" t="str">
        <f>IF(B2321&lt;&gt;"",IF(AND(B2321&gt;=_TM1,B2321&lt;=_TM2,OR(TH!L2321="1111",TH!M2321="1111")),TH!D2321,""),"")</f>
        <v/>
      </c>
      <c r="B2321" s="36">
        <f t="shared" si="304"/>
        <v>8</v>
      </c>
      <c r="C2321" s="190">
        <f t="shared" si="305"/>
        <v>42597</v>
      </c>
      <c r="D2321" s="190" t="s">
        <v>1595</v>
      </c>
      <c r="E2321" s="190">
        <v>42597</v>
      </c>
      <c r="F2321" s="292" t="s">
        <v>1505</v>
      </c>
      <c r="G2321" s="833" t="s">
        <v>1503</v>
      </c>
      <c r="H2321" s="192" t="s">
        <v>1454</v>
      </c>
      <c r="I2321" s="253">
        <v>172</v>
      </c>
      <c r="J2321" s="253">
        <v>12700</v>
      </c>
      <c r="K2321" s="584">
        <f t="shared" si="322"/>
        <v>2184400</v>
      </c>
      <c r="L2321" s="193" t="s">
        <v>251</v>
      </c>
      <c r="M2321" s="193" t="s">
        <v>164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52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>x</v>
      </c>
      <c r="AA2321" s="826"/>
      <c r="AB2321" s="576" t="str">
        <f>IF(VLOOKUP(F2321,NXT!$C$12:$C$786,1,0)=F2321,"","x")</f>
        <v/>
      </c>
      <c r="AD2321" s="576"/>
    </row>
    <row r="2322" spans="1:30" ht="15.75" customHeight="1">
      <c r="A2322" s="827" t="str">
        <f>IF(B2322&lt;&gt;"",IF(AND(B2322&gt;=_TM1,B2322&lt;=_TM2,OR(TH!L2322="1111",TH!M2322="1111")),TH!D2322,""),"")</f>
        <v/>
      </c>
      <c r="B2322" s="36">
        <f t="shared" si="304"/>
        <v>8</v>
      </c>
      <c r="C2322" s="190">
        <f t="shared" si="305"/>
        <v>42597</v>
      </c>
      <c r="D2322" s="190" t="s">
        <v>1595</v>
      </c>
      <c r="E2322" s="190">
        <v>42597</v>
      </c>
      <c r="F2322" s="292" t="s">
        <v>1507</v>
      </c>
      <c r="G2322" s="833" t="s">
        <v>1503</v>
      </c>
      <c r="H2322" s="192" t="s">
        <v>1454</v>
      </c>
      <c r="I2322" s="253">
        <v>172</v>
      </c>
      <c r="J2322" s="253">
        <v>6090</v>
      </c>
      <c r="K2322" s="584">
        <f t="shared" si="322"/>
        <v>1047480</v>
      </c>
      <c r="L2322" s="193" t="s">
        <v>251</v>
      </c>
      <c r="M2322" s="193" t="s">
        <v>164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52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>x</v>
      </c>
      <c r="AA2322" s="826"/>
      <c r="AB2322" s="576" t="str">
        <f>IF(VLOOKUP(F2322,NXT!$C$12:$C$786,1,0)=F2322,"","x")</f>
        <v/>
      </c>
    </row>
    <row r="2323" spans="1:30" ht="15.75" customHeight="1">
      <c r="A2323" s="827" t="str">
        <f>IF(B2323&lt;&gt;"",IF(AND(B2323&gt;=_TM1,B2323&lt;=_TM2,OR(TH!L2323="1111",TH!M2323="1111")),TH!D2323,""),"")</f>
        <v/>
      </c>
      <c r="B2323" s="36">
        <f t="shared" si="304"/>
        <v>8</v>
      </c>
      <c r="C2323" s="190">
        <f t="shared" si="305"/>
        <v>42597</v>
      </c>
      <c r="D2323" s="190" t="s">
        <v>1595</v>
      </c>
      <c r="E2323" s="190">
        <v>42597</v>
      </c>
      <c r="F2323" s="292" t="s">
        <v>1506</v>
      </c>
      <c r="G2323" s="833" t="s">
        <v>1503</v>
      </c>
      <c r="H2323" s="192" t="s">
        <v>1454</v>
      </c>
      <c r="I2323" s="253">
        <v>172</v>
      </c>
      <c r="J2323" s="253">
        <v>10400</v>
      </c>
      <c r="K2323" s="584">
        <f t="shared" si="322"/>
        <v>1788800</v>
      </c>
      <c r="L2323" s="193" t="s">
        <v>251</v>
      </c>
      <c r="M2323" s="193" t="s">
        <v>164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52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>x</v>
      </c>
      <c r="AA2323" s="826"/>
      <c r="AB2323" s="576" t="str">
        <f>IF(VLOOKUP(F2323,NXT!$C$12:$C$786,1,0)=F2323,"","x")</f>
        <v/>
      </c>
    </row>
    <row r="2324" spans="1:30" ht="15.75" customHeight="1">
      <c r="A2324" s="827" t="str">
        <f>IF(B2324&lt;&gt;"",IF(AND(B2324&gt;=_TM1,B2324&lt;=_TM2,OR(TH!L2324="1111",TH!M2324="1111")),TH!D2324,""),"")</f>
        <v/>
      </c>
      <c r="B2324" s="36">
        <f t="shared" si="304"/>
        <v>8</v>
      </c>
      <c r="C2324" s="190">
        <f t="shared" si="305"/>
        <v>42597</v>
      </c>
      <c r="D2324" s="190" t="s">
        <v>1595</v>
      </c>
      <c r="E2324" s="190">
        <v>42597</v>
      </c>
      <c r="F2324" s="292" t="s">
        <v>1508</v>
      </c>
      <c r="G2324" s="833" t="s">
        <v>1503</v>
      </c>
      <c r="H2324" s="192" t="s">
        <v>1454</v>
      </c>
      <c r="I2324" s="253">
        <v>172</v>
      </c>
      <c r="J2324" s="253">
        <v>11390</v>
      </c>
      <c r="K2324" s="584">
        <f t="shared" si="322"/>
        <v>1959080</v>
      </c>
      <c r="L2324" s="193" t="s">
        <v>251</v>
      </c>
      <c r="M2324" s="193" t="s">
        <v>164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52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>x</v>
      </c>
      <c r="AA2324" s="826"/>
      <c r="AB2324" s="576" t="str">
        <f>IF(VLOOKUP(F2324,NXT!$C$12:$C$786,1,0)=F2324,"","x")</f>
        <v/>
      </c>
      <c r="AD2324" s="576"/>
    </row>
    <row r="2325" spans="1:30" ht="15.75" customHeight="1">
      <c r="A2325" s="827" t="str">
        <f>IF(B2325&lt;&gt;"",IF(AND(B2325&gt;=_TM1,B2325&lt;=_TM2,OR(TH!L2325="1111",TH!M2325="1111")),TH!D2325,""),"")</f>
        <v/>
      </c>
      <c r="B2325" s="36">
        <f t="shared" si="304"/>
        <v>8</v>
      </c>
      <c r="C2325" s="190">
        <f t="shared" si="305"/>
        <v>42597</v>
      </c>
      <c r="D2325" s="190" t="s">
        <v>1595</v>
      </c>
      <c r="E2325" s="190">
        <v>42597</v>
      </c>
      <c r="F2325" s="292" t="s">
        <v>1509</v>
      </c>
      <c r="G2325" s="833" t="s">
        <v>1503</v>
      </c>
      <c r="H2325" s="192" t="s">
        <v>1454</v>
      </c>
      <c r="I2325" s="253">
        <v>172</v>
      </c>
      <c r="J2325" s="253">
        <v>6990</v>
      </c>
      <c r="K2325" s="584">
        <f t="shared" si="322"/>
        <v>1202280</v>
      </c>
      <c r="L2325" s="193" t="s">
        <v>251</v>
      </c>
      <c r="M2325" s="193" t="s">
        <v>164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52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>x</v>
      </c>
      <c r="AA2325" s="826"/>
      <c r="AB2325" s="576" t="str">
        <f>IF(VLOOKUP(F2325,NXT!$C$12:$C$786,1,0)=F2325,"","x")</f>
        <v/>
      </c>
    </row>
    <row r="2326" spans="1:30" ht="15.75" customHeight="1">
      <c r="A2326" s="827" t="str">
        <f>IF(B2326&lt;&gt;"",IF(AND(B2326&gt;=_TM1,B2326&lt;=_TM2,OR(TH!L2326="1111",TH!M2326="1111")),TH!D2326,""),"")</f>
        <v/>
      </c>
      <c r="B2326" s="36">
        <f t="shared" si="304"/>
        <v>8</v>
      </c>
      <c r="C2326" s="190">
        <f t="shared" si="305"/>
        <v>42597</v>
      </c>
      <c r="D2326" s="190" t="s">
        <v>1595</v>
      </c>
      <c r="E2326" s="190">
        <v>42597</v>
      </c>
      <c r="F2326" s="292" t="s">
        <v>1510</v>
      </c>
      <c r="G2326" s="833" t="s">
        <v>1503</v>
      </c>
      <c r="H2326" s="192" t="s">
        <v>1454</v>
      </c>
      <c r="I2326" s="253">
        <v>200</v>
      </c>
      <c r="J2326" s="253">
        <v>9570</v>
      </c>
      <c r="K2326" s="584">
        <f t="shared" si="322"/>
        <v>1914000</v>
      </c>
      <c r="L2326" s="193" t="s">
        <v>251</v>
      </c>
      <c r="M2326" s="193" t="s">
        <v>164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52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>x</v>
      </c>
      <c r="AA2326" s="826"/>
      <c r="AB2326" s="576" t="str">
        <f>IF(VLOOKUP(F2326,NXT!$C$12:$C$786,1,0)=F2326,"","x")</f>
        <v/>
      </c>
    </row>
    <row r="2327" spans="1:30" ht="15.75" customHeight="1">
      <c r="A2327" s="827" t="str">
        <f>IF(B2327&lt;&gt;"",IF(AND(B2327&gt;=_TM1,B2327&lt;=_TM2,OR(TH!L2327="1111",TH!M2327="1111")),TH!D2327,""),"")</f>
        <v/>
      </c>
      <c r="B2327" s="36">
        <f t="shared" ref="B2327:B2343" si="323">IF(C2327&lt;&gt;"",MONTH(C2327),"")</f>
        <v>8</v>
      </c>
      <c r="C2327" s="190">
        <f t="shared" ref="C2327:C2343" si="324">E2327</f>
        <v>42597</v>
      </c>
      <c r="D2327" s="190" t="s">
        <v>1595</v>
      </c>
      <c r="E2327" s="190">
        <v>42597</v>
      </c>
      <c r="F2327" s="292" t="s">
        <v>1511</v>
      </c>
      <c r="G2327" s="833" t="s">
        <v>1503</v>
      </c>
      <c r="H2327" s="192" t="s">
        <v>1454</v>
      </c>
      <c r="I2327" s="253">
        <v>200</v>
      </c>
      <c r="J2327" s="253">
        <v>11280</v>
      </c>
      <c r="K2327" s="584">
        <f t="shared" ref="K2327:K2343" si="325">ROUND(I2327*J2327,0)</f>
        <v>2256000</v>
      </c>
      <c r="L2327" s="193" t="s">
        <v>251</v>
      </c>
      <c r="M2327" s="193" t="s">
        <v>164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52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>x</v>
      </c>
      <c r="AA2327" s="826"/>
      <c r="AB2327" s="576" t="str">
        <f>IF(VLOOKUP(F2327,NXT!$C$12:$C$786,1,0)=F2327,"","x")</f>
        <v/>
      </c>
      <c r="AD2327" s="576"/>
    </row>
    <row r="2328" spans="1:30" ht="15.75" customHeight="1">
      <c r="A2328" s="827" t="str">
        <f>IF(B2328&lt;&gt;"",IF(AND(B2328&gt;=_TM1,B2328&lt;=_TM2,OR(TH!L2328="1111",TH!M2328="1111")),TH!D2328,""),"")</f>
        <v/>
      </c>
      <c r="B2328" s="36">
        <f t="shared" si="323"/>
        <v>8</v>
      </c>
      <c r="C2328" s="190">
        <f t="shared" si="324"/>
        <v>42597</v>
      </c>
      <c r="D2328" s="190" t="s">
        <v>1595</v>
      </c>
      <c r="E2328" s="190">
        <v>42597</v>
      </c>
      <c r="F2328" s="292" t="s">
        <v>1512</v>
      </c>
      <c r="G2328" s="833" t="s">
        <v>1503</v>
      </c>
      <c r="H2328" s="192" t="s">
        <v>1454</v>
      </c>
      <c r="I2328" s="253">
        <v>200</v>
      </c>
      <c r="J2328" s="253">
        <v>6310</v>
      </c>
      <c r="K2328" s="584">
        <f t="shared" si="325"/>
        <v>1262000</v>
      </c>
      <c r="L2328" s="193" t="s">
        <v>251</v>
      </c>
      <c r="M2328" s="193" t="s">
        <v>164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52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>x</v>
      </c>
      <c r="AA2328" s="826"/>
      <c r="AB2328" s="576" t="str">
        <f>IF(VLOOKUP(F2328,NXT!$C$12:$C$786,1,0)=F2328,"","x")</f>
        <v/>
      </c>
    </row>
    <row r="2329" spans="1:30" ht="15.75" customHeight="1">
      <c r="A2329" s="827" t="str">
        <f>IF(B2329&lt;&gt;"",IF(AND(B2329&gt;=_TM1,B2329&lt;=_TM2,OR(TH!L2329="1111",TH!M2329="1111")),TH!D2329,""),"")</f>
        <v/>
      </c>
      <c r="B2329" s="36">
        <f t="shared" si="323"/>
        <v>8</v>
      </c>
      <c r="C2329" s="190">
        <f t="shared" si="324"/>
        <v>42597</v>
      </c>
      <c r="D2329" s="190" t="s">
        <v>1595</v>
      </c>
      <c r="E2329" s="190">
        <v>42597</v>
      </c>
      <c r="F2329" s="292" t="s">
        <v>1495</v>
      </c>
      <c r="G2329" s="833" t="s">
        <v>1503</v>
      </c>
      <c r="H2329" s="192" t="s">
        <v>1454</v>
      </c>
      <c r="I2329" s="253"/>
      <c r="J2329" s="253"/>
      <c r="K2329" s="584">
        <v>1542004</v>
      </c>
      <c r="L2329" s="193" t="s">
        <v>251</v>
      </c>
      <c r="M2329" s="193" t="s">
        <v>354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52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>x</v>
      </c>
      <c r="AA2329" s="826"/>
      <c r="AB2329" s="576"/>
    </row>
    <row r="2330" spans="1:30" ht="15.75" customHeight="1">
      <c r="A2330" s="827" t="str">
        <f>IF(B2330&lt;&gt;"",IF(AND(B2330&gt;=_TM1,B2330&lt;=_TM2,OR(TH!L2330="1111",TH!M2330="1111")),TH!D2330,""),"")</f>
        <v/>
      </c>
      <c r="B2330" s="36">
        <f t="shared" si="323"/>
        <v>8</v>
      </c>
      <c r="C2330" s="190">
        <f t="shared" si="324"/>
        <v>42598</v>
      </c>
      <c r="D2330" s="190" t="s">
        <v>1596</v>
      </c>
      <c r="E2330" s="190">
        <v>42598</v>
      </c>
      <c r="F2330" s="290" t="s">
        <v>451</v>
      </c>
      <c r="G2330" s="833" t="s">
        <v>1513</v>
      </c>
      <c r="H2330" s="192" t="s">
        <v>630</v>
      </c>
      <c r="I2330" s="253">
        <v>460</v>
      </c>
      <c r="J2330" s="253">
        <v>11000</v>
      </c>
      <c r="K2330" s="584">
        <f t="shared" si="325"/>
        <v>5060000</v>
      </c>
      <c r="L2330" s="193" t="s">
        <v>251</v>
      </c>
      <c r="M2330" s="193" t="s">
        <v>164</v>
      </c>
      <c r="N2330" s="52" t="str">
        <f>IF(AND('331-CT'!$E$7=TH!H2330,OR(L2330="331",M2330="331")),"331",IF(AND(OR(L2330="131",M2330="131"),H2330='131-CT'!$E$7),"131",""))</f>
        <v>131</v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52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>x</v>
      </c>
      <c r="AA2330" s="826"/>
      <c r="AB2330" s="576" t="str">
        <f>IF(VLOOKUP(F2330,NXT!$C$12:$C$786,1,0)=F2330,"","x")</f>
        <v/>
      </c>
    </row>
    <row r="2331" spans="1:30" ht="15.75" customHeight="1">
      <c r="A2331" s="827" t="str">
        <f>IF(B2331&lt;&gt;"",IF(AND(B2331&gt;=_TM1,B2331&lt;=_TM2,OR(TH!L2331="1111",TH!M2331="1111")),TH!D2331,""),"")</f>
        <v/>
      </c>
      <c r="B2331" s="36">
        <f t="shared" si="323"/>
        <v>8</v>
      </c>
      <c r="C2331" s="190">
        <f t="shared" si="324"/>
        <v>42598</v>
      </c>
      <c r="D2331" s="190" t="s">
        <v>1596</v>
      </c>
      <c r="E2331" s="190">
        <v>42598</v>
      </c>
      <c r="F2331" s="292" t="s">
        <v>1495</v>
      </c>
      <c r="G2331" s="833" t="s">
        <v>1513</v>
      </c>
      <c r="H2331" s="192" t="s">
        <v>630</v>
      </c>
      <c r="I2331" s="253"/>
      <c r="J2331" s="253"/>
      <c r="K2331" s="584">
        <v>506000</v>
      </c>
      <c r="L2331" s="193" t="s">
        <v>251</v>
      </c>
      <c r="M2331" s="193" t="s">
        <v>354</v>
      </c>
      <c r="N2331" s="52" t="str">
        <f>IF(AND('331-CT'!$E$7=TH!H2331,OR(L2331="331",M2331="331")),"331",IF(AND(OR(L2331="131",M2331="131"),H2331='131-CT'!$E$7),"131",""))</f>
        <v>131</v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52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>x</v>
      </c>
      <c r="AA2331" s="826"/>
      <c r="AB2331" s="576"/>
    </row>
    <row r="2332" spans="1:30" ht="15.75" customHeight="1">
      <c r="A2332" s="827" t="str">
        <f>IF(B2332&lt;&gt;"",IF(AND(B2332&gt;=_TM1,B2332&lt;=_TM2,OR(TH!L2332="1111",TH!M2332="1111")),TH!D2332,""),"")</f>
        <v/>
      </c>
      <c r="B2332" s="36">
        <f t="shared" si="323"/>
        <v>8</v>
      </c>
      <c r="C2332" s="190">
        <f t="shared" si="324"/>
        <v>42598</v>
      </c>
      <c r="D2332" s="190" t="s">
        <v>1597</v>
      </c>
      <c r="E2332" s="190">
        <v>42598</v>
      </c>
      <c r="F2332" s="292" t="s">
        <v>1482</v>
      </c>
      <c r="G2332" s="833" t="s">
        <v>1514</v>
      </c>
      <c r="H2332" s="7" t="s">
        <v>743</v>
      </c>
      <c r="I2332" s="253">
        <v>70</v>
      </c>
      <c r="J2332" s="253">
        <v>28118</v>
      </c>
      <c r="K2332" s="584">
        <f t="shared" si="325"/>
        <v>1968260</v>
      </c>
      <c r="L2332" s="193" t="s">
        <v>251</v>
      </c>
      <c r="M2332" s="193" t="s">
        <v>164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52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>x</v>
      </c>
      <c r="AA2332" s="826"/>
      <c r="AB2332" s="576" t="str">
        <f>IF(VLOOKUP(F2332,NXT!$C$12:$C$786,1,0)=F2332,"","x")</f>
        <v/>
      </c>
      <c r="AD2332" s="576"/>
    </row>
    <row r="2333" spans="1:30" ht="15.75" customHeight="1">
      <c r="A2333" s="827" t="str">
        <f>IF(B2333&lt;&gt;"",IF(AND(B2333&gt;=_TM1,B2333&lt;=_TM2,OR(TH!L2333="1111",TH!M2333="1111")),TH!D2333,""),"")</f>
        <v/>
      </c>
      <c r="B2333" s="36">
        <f t="shared" si="323"/>
        <v>8</v>
      </c>
      <c r="C2333" s="190">
        <f t="shared" si="324"/>
        <v>42598</v>
      </c>
      <c r="D2333" s="190" t="s">
        <v>1597</v>
      </c>
      <c r="E2333" s="190">
        <v>42598</v>
      </c>
      <c r="F2333" s="292" t="s">
        <v>1483</v>
      </c>
      <c r="G2333" s="833" t="s">
        <v>1514</v>
      </c>
      <c r="H2333" s="7" t="s">
        <v>743</v>
      </c>
      <c r="I2333" s="253">
        <v>90</v>
      </c>
      <c r="J2333" s="253">
        <v>34280</v>
      </c>
      <c r="K2333" s="584">
        <f t="shared" si="325"/>
        <v>3085200</v>
      </c>
      <c r="L2333" s="193" t="s">
        <v>251</v>
      </c>
      <c r="M2333" s="193" t="s">
        <v>164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52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>x</v>
      </c>
      <c r="AA2333" s="826"/>
      <c r="AB2333" s="576" t="str">
        <f>IF(VLOOKUP(F2333,NXT!$C$12:$C$786,1,0)=F2333,"","x")</f>
        <v/>
      </c>
    </row>
    <row r="2334" spans="1:30" ht="15.75" customHeight="1">
      <c r="A2334" s="827" t="str">
        <f>IF(B2334&lt;&gt;"",IF(AND(B2334&gt;=_TM1,B2334&lt;=_TM2,OR(TH!L2334="1111",TH!M2334="1111")),TH!D2334,""),"")</f>
        <v/>
      </c>
      <c r="B2334" s="36">
        <f t="shared" si="323"/>
        <v>8</v>
      </c>
      <c r="C2334" s="190">
        <f t="shared" si="324"/>
        <v>42598</v>
      </c>
      <c r="D2334" s="190" t="s">
        <v>1597</v>
      </c>
      <c r="E2334" s="190">
        <v>42598</v>
      </c>
      <c r="F2334" s="292" t="s">
        <v>1484</v>
      </c>
      <c r="G2334" s="833" t="s">
        <v>1514</v>
      </c>
      <c r="H2334" s="7" t="s">
        <v>743</v>
      </c>
      <c r="I2334" s="253">
        <v>150</v>
      </c>
      <c r="J2334" s="253">
        <v>50000</v>
      </c>
      <c r="K2334" s="584">
        <f t="shared" si="325"/>
        <v>7500000</v>
      </c>
      <c r="L2334" s="193" t="s">
        <v>251</v>
      </c>
      <c r="M2334" s="193" t="s">
        <v>164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52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>x</v>
      </c>
      <c r="AA2334" s="826"/>
      <c r="AB2334" s="576" t="str">
        <f>IF(VLOOKUP(F2334,NXT!$C$12:$C$786,1,0)=F2334,"","x")</f>
        <v/>
      </c>
    </row>
    <row r="2335" spans="1:30" ht="15.75" customHeight="1">
      <c r="A2335" s="827" t="str">
        <f>IF(B2335&lt;&gt;"",IF(AND(B2335&gt;=_TM1,B2335&lt;=_TM2,OR(TH!L2335="1111",TH!M2335="1111")),TH!D2335,""),"")</f>
        <v/>
      </c>
      <c r="B2335" s="36">
        <f t="shared" si="323"/>
        <v>8</v>
      </c>
      <c r="C2335" s="190">
        <f t="shared" si="324"/>
        <v>42598</v>
      </c>
      <c r="D2335" s="190" t="s">
        <v>1597</v>
      </c>
      <c r="E2335" s="190">
        <v>42598</v>
      </c>
      <c r="F2335" s="292" t="s">
        <v>1485</v>
      </c>
      <c r="G2335" s="833" t="s">
        <v>1514</v>
      </c>
      <c r="H2335" s="7" t="s">
        <v>743</v>
      </c>
      <c r="I2335" s="253">
        <v>210</v>
      </c>
      <c r="J2335" s="253">
        <v>40000</v>
      </c>
      <c r="K2335" s="584">
        <f t="shared" si="325"/>
        <v>8400000</v>
      </c>
      <c r="L2335" s="193" t="s">
        <v>251</v>
      </c>
      <c r="M2335" s="193" t="s">
        <v>164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52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>x</v>
      </c>
      <c r="AA2335" s="826"/>
      <c r="AB2335" s="576" t="str">
        <f>IF(VLOOKUP(F2335,NXT!$C$12:$C$786,1,0)=F2335,"","x")</f>
        <v/>
      </c>
      <c r="AD2335" s="576"/>
    </row>
    <row r="2336" spans="1:30" ht="15.75" customHeight="1">
      <c r="A2336" s="827" t="str">
        <f>IF(B2336&lt;&gt;"",IF(AND(B2336&gt;=_TM1,B2336&lt;=_TM2,OR(TH!L2336="1111",TH!M2336="1111")),TH!D2336,""),"")</f>
        <v/>
      </c>
      <c r="B2336" s="36">
        <f t="shared" si="323"/>
        <v>8</v>
      </c>
      <c r="C2336" s="190">
        <f t="shared" si="324"/>
        <v>42598</v>
      </c>
      <c r="D2336" s="190" t="s">
        <v>1597</v>
      </c>
      <c r="E2336" s="190">
        <v>42598</v>
      </c>
      <c r="F2336" s="191" t="s">
        <v>461</v>
      </c>
      <c r="G2336" s="833" t="s">
        <v>1514</v>
      </c>
      <c r="H2336" s="7" t="s">
        <v>743</v>
      </c>
      <c r="I2336" s="253"/>
      <c r="J2336" s="253"/>
      <c r="K2336" s="584">
        <v>2095346</v>
      </c>
      <c r="L2336" s="193" t="s">
        <v>251</v>
      </c>
      <c r="M2336" s="193" t="s">
        <v>354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52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>x</v>
      </c>
      <c r="AA2336" s="826"/>
      <c r="AB2336" s="576"/>
    </row>
    <row r="2337" spans="1:30" ht="15.75" customHeight="1">
      <c r="A2337" s="827" t="str">
        <f>IF(B2337&lt;&gt;"",IF(AND(B2337&gt;=_TM1,B2337&lt;=_TM2,OR(TH!L2337="1111",TH!M2337="1111")),TH!D2337,""),"")</f>
        <v/>
      </c>
      <c r="B2337" s="36">
        <f t="shared" si="323"/>
        <v>8</v>
      </c>
      <c r="C2337" s="190">
        <f t="shared" si="324"/>
        <v>42598</v>
      </c>
      <c r="D2337" s="190" t="s">
        <v>1598</v>
      </c>
      <c r="E2337" s="190">
        <v>42598</v>
      </c>
      <c r="F2337" s="292" t="s">
        <v>1517</v>
      </c>
      <c r="G2337" s="833" t="s">
        <v>1516</v>
      </c>
      <c r="H2337" s="192" t="s">
        <v>1515</v>
      </c>
      <c r="I2337" s="253">
        <v>700</v>
      </c>
      <c r="J2337" s="253">
        <v>4655</v>
      </c>
      <c r="K2337" s="584">
        <f t="shared" si="325"/>
        <v>3258500</v>
      </c>
      <c r="L2337" s="193" t="s">
        <v>251</v>
      </c>
      <c r="M2337" s="193" t="s">
        <v>164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52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>x</v>
      </c>
      <c r="AA2337" s="826"/>
      <c r="AB2337" s="576" t="str">
        <f>IF(VLOOKUP(F2337,NXT!$C$12:$C$786,1,0)=F2337,"","x")</f>
        <v/>
      </c>
    </row>
    <row r="2338" spans="1:30" ht="15.75" customHeight="1">
      <c r="A2338" s="827" t="str">
        <f>IF(B2338&lt;&gt;"",IF(AND(B2338&gt;=_TM1,B2338&lt;=_TM2,OR(TH!L2338="1111",TH!M2338="1111")),TH!D2338,""),"")</f>
        <v/>
      </c>
      <c r="B2338" s="36">
        <f t="shared" si="323"/>
        <v>8</v>
      </c>
      <c r="C2338" s="190">
        <f t="shared" si="324"/>
        <v>42598</v>
      </c>
      <c r="D2338" s="190" t="s">
        <v>1598</v>
      </c>
      <c r="E2338" s="190">
        <v>42598</v>
      </c>
      <c r="F2338" s="292" t="s">
        <v>1518</v>
      </c>
      <c r="G2338" s="833" t="s">
        <v>1516</v>
      </c>
      <c r="H2338" s="192" t="s">
        <v>1515</v>
      </c>
      <c r="I2338" s="253">
        <v>700</v>
      </c>
      <c r="J2338" s="253">
        <v>405</v>
      </c>
      <c r="K2338" s="584">
        <f t="shared" si="325"/>
        <v>283500</v>
      </c>
      <c r="L2338" s="193" t="s">
        <v>251</v>
      </c>
      <c r="M2338" s="193" t="s">
        <v>164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52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>x</v>
      </c>
      <c r="AA2338" s="826"/>
      <c r="AB2338" s="576" t="str">
        <f>IF(VLOOKUP(F2338,NXT!$C$12:$C$786,1,0)=F2338,"","x")</f>
        <v/>
      </c>
      <c r="AD2338" s="576"/>
    </row>
    <row r="2339" spans="1:30" ht="15.75" customHeight="1">
      <c r="A2339" s="827" t="str">
        <f>IF(B2339&lt;&gt;"",IF(AND(B2339&gt;=_TM1,B2339&lt;=_TM2,OR(TH!L2339="1111",TH!M2339="1111")),TH!D2339,""),"")</f>
        <v/>
      </c>
      <c r="B2339" s="36">
        <f t="shared" si="323"/>
        <v>8</v>
      </c>
      <c r="C2339" s="190">
        <f t="shared" si="324"/>
        <v>42598</v>
      </c>
      <c r="D2339" s="190" t="s">
        <v>1598</v>
      </c>
      <c r="E2339" s="190">
        <v>42598</v>
      </c>
      <c r="F2339" s="292" t="s">
        <v>1519</v>
      </c>
      <c r="G2339" s="833" t="s">
        <v>1516</v>
      </c>
      <c r="H2339" s="192" t="s">
        <v>1515</v>
      </c>
      <c r="I2339" s="253">
        <v>3500</v>
      </c>
      <c r="J2339" s="253">
        <v>321</v>
      </c>
      <c r="K2339" s="584">
        <f t="shared" si="325"/>
        <v>1123500</v>
      </c>
      <c r="L2339" s="193" t="s">
        <v>251</v>
      </c>
      <c r="M2339" s="193" t="s">
        <v>164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52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>x</v>
      </c>
      <c r="AA2339" s="826"/>
      <c r="AB2339" s="576" t="str">
        <f>IF(VLOOKUP(F2339,NXT!$C$12:$C$786,1,0)=F2339,"","x")</f>
        <v/>
      </c>
    </row>
    <row r="2340" spans="1:30" ht="15.75" customHeight="1">
      <c r="A2340" s="827" t="str">
        <f>IF(B2340&lt;&gt;"",IF(AND(B2340&gt;=_TM1,B2340&lt;=_TM2,OR(TH!L2340="1111",TH!M2340="1111")),TH!D2340,""),"")</f>
        <v/>
      </c>
      <c r="B2340" s="36">
        <f t="shared" si="323"/>
        <v>8</v>
      </c>
      <c r="C2340" s="190">
        <f t="shared" si="324"/>
        <v>42598</v>
      </c>
      <c r="D2340" s="190" t="s">
        <v>1598</v>
      </c>
      <c r="E2340" s="190">
        <v>42598</v>
      </c>
      <c r="F2340" s="191" t="s">
        <v>461</v>
      </c>
      <c r="G2340" s="833" t="s">
        <v>1516</v>
      </c>
      <c r="H2340" s="192" t="s">
        <v>1515</v>
      </c>
      <c r="I2340" s="253"/>
      <c r="J2340" s="253"/>
      <c r="K2340" s="584">
        <v>466550</v>
      </c>
      <c r="L2340" s="193" t="s">
        <v>251</v>
      </c>
      <c r="M2340" s="193" t="s">
        <v>354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52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>x</v>
      </c>
      <c r="AA2340" s="826"/>
      <c r="AB2340" s="576"/>
    </row>
    <row r="2341" spans="1:30" ht="15.75" customHeight="1">
      <c r="A2341" s="827" t="str">
        <f>IF(B2341&lt;&gt;"",IF(AND(B2341&gt;=_TM1,B2341&lt;=_TM2,OR(TH!L2341="1111",TH!M2341="1111")),TH!D2341,""),"")</f>
        <v/>
      </c>
      <c r="B2341" s="36">
        <f t="shared" si="323"/>
        <v>8</v>
      </c>
      <c r="C2341" s="190">
        <f t="shared" si="324"/>
        <v>42601</v>
      </c>
      <c r="D2341" s="190" t="s">
        <v>1599</v>
      </c>
      <c r="E2341" s="190">
        <v>42601</v>
      </c>
      <c r="F2341" s="292" t="s">
        <v>1521</v>
      </c>
      <c r="G2341" s="833" t="s">
        <v>1520</v>
      </c>
      <c r="H2341" s="192" t="s">
        <v>658</v>
      </c>
      <c r="I2341" s="253">
        <v>400</v>
      </c>
      <c r="J2341" s="253">
        <v>9800</v>
      </c>
      <c r="K2341" s="584">
        <f t="shared" si="325"/>
        <v>3920000</v>
      </c>
      <c r="L2341" s="193" t="s">
        <v>251</v>
      </c>
      <c r="M2341" s="193" t="s">
        <v>164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52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>x</v>
      </c>
      <c r="AA2341" s="826"/>
      <c r="AB2341" s="576" t="str">
        <f>IF(VLOOKUP(F2341,NXT!$C$12:$C$786,1,0)=F2341,"","x")</f>
        <v/>
      </c>
      <c r="AD2341" s="576"/>
    </row>
    <row r="2342" spans="1:30" ht="15.75" customHeight="1">
      <c r="A2342" s="827" t="str">
        <f>IF(B2342&lt;&gt;"",IF(AND(B2342&gt;=_TM1,B2342&lt;=_TM2,OR(TH!L2342="1111",TH!M2342="1111")),TH!D2342,""),"")</f>
        <v/>
      </c>
      <c r="B2342" s="36">
        <f t="shared" si="323"/>
        <v>8</v>
      </c>
      <c r="C2342" s="190">
        <f t="shared" si="324"/>
        <v>42601</v>
      </c>
      <c r="D2342" s="190" t="s">
        <v>1599</v>
      </c>
      <c r="E2342" s="190">
        <v>42601</v>
      </c>
      <c r="F2342" s="191" t="s">
        <v>461</v>
      </c>
      <c r="G2342" s="833" t="s">
        <v>1520</v>
      </c>
      <c r="H2342" s="192" t="s">
        <v>658</v>
      </c>
      <c r="I2342" s="253"/>
      <c r="J2342" s="253"/>
      <c r="K2342" s="584">
        <v>392000</v>
      </c>
      <c r="L2342" s="193" t="s">
        <v>251</v>
      </c>
      <c r="M2342" s="193" t="s">
        <v>354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52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>x</v>
      </c>
      <c r="AA2342" s="826"/>
      <c r="AB2342" s="576"/>
    </row>
    <row r="2343" spans="1:30" ht="15.75" customHeight="1">
      <c r="A2343" s="827" t="str">
        <f>IF(B2343&lt;&gt;"",IF(AND(B2343&gt;=_TM1,B2343&lt;=_TM2,OR(TH!L2343="1111",TH!M2343="1111")),TH!D2343,""),"")</f>
        <v/>
      </c>
      <c r="B2343" s="36">
        <f t="shared" si="323"/>
        <v>8</v>
      </c>
      <c r="C2343" s="190">
        <f t="shared" si="324"/>
        <v>42601</v>
      </c>
      <c r="D2343" s="190" t="s">
        <v>1600</v>
      </c>
      <c r="E2343" s="190">
        <v>42601</v>
      </c>
      <c r="F2343" s="292" t="s">
        <v>812</v>
      </c>
      <c r="G2343" s="833" t="s">
        <v>1522</v>
      </c>
      <c r="H2343" s="192" t="s">
        <v>1523</v>
      </c>
      <c r="I2343" s="253">
        <v>1990</v>
      </c>
      <c r="J2343" s="253">
        <v>25000</v>
      </c>
      <c r="K2343" s="584">
        <f t="shared" si="325"/>
        <v>49750000</v>
      </c>
      <c r="L2343" s="193" t="s">
        <v>251</v>
      </c>
      <c r="M2343" s="193" t="s">
        <v>164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52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>x</v>
      </c>
      <c r="AA2343" s="826"/>
      <c r="AB2343" s="576" t="str">
        <f>IF(VLOOKUP(F2343,NXT!$C$12:$C$786,1,0)=F2343,"","x")</f>
        <v/>
      </c>
    </row>
    <row r="2344" spans="1:30" ht="15.75" customHeight="1">
      <c r="A2344" s="827" t="str">
        <f>IF(B2344&lt;&gt;"",IF(AND(B2344&gt;=_TM1,B2344&lt;=_TM2,OR(TH!L2344="1111",TH!M2344="1111")),TH!D2344,""),"")</f>
        <v/>
      </c>
      <c r="B2344" s="36">
        <f t="shared" si="304"/>
        <v>8</v>
      </c>
      <c r="C2344" s="190">
        <f t="shared" si="305"/>
        <v>42601</v>
      </c>
      <c r="D2344" s="190" t="s">
        <v>1600</v>
      </c>
      <c r="E2344" s="190">
        <v>42601</v>
      </c>
      <c r="F2344" s="191" t="s">
        <v>461</v>
      </c>
      <c r="G2344" s="833" t="s">
        <v>1522</v>
      </c>
      <c r="H2344" s="192" t="s">
        <v>1523</v>
      </c>
      <c r="I2344" s="253"/>
      <c r="J2344" s="253"/>
      <c r="K2344" s="584">
        <v>4975000</v>
      </c>
      <c r="L2344" s="193" t="s">
        <v>251</v>
      </c>
      <c r="M2344" s="193" t="s">
        <v>354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52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>x</v>
      </c>
      <c r="AA2344" s="826"/>
      <c r="AB2344" s="576"/>
      <c r="AD2344" s="576"/>
    </row>
    <row r="2345" spans="1:30" ht="15.75" customHeight="1">
      <c r="A2345" s="827" t="str">
        <f>IF(B2345&lt;&gt;"",IF(AND(B2345&gt;=_TM1,B2345&lt;=_TM2,OR(TH!L2345="1111",TH!M2345="1111")),TH!D2345,""),"")</f>
        <v/>
      </c>
      <c r="B2345" s="36">
        <f t="shared" si="304"/>
        <v>8</v>
      </c>
      <c r="C2345" s="190">
        <f t="shared" si="305"/>
        <v>42601</v>
      </c>
      <c r="D2345" s="190" t="s">
        <v>1601</v>
      </c>
      <c r="E2345" s="190">
        <v>42601</v>
      </c>
      <c r="F2345" s="292" t="s">
        <v>479</v>
      </c>
      <c r="G2345" s="833" t="s">
        <v>1524</v>
      </c>
      <c r="H2345" s="764" t="s">
        <v>639</v>
      </c>
      <c r="I2345" s="253">
        <v>210</v>
      </c>
      <c r="J2345" s="253">
        <v>8030</v>
      </c>
      <c r="K2345" s="584">
        <f t="shared" ref="K2345:K2360" si="326">ROUND(I2345*J2345,0)</f>
        <v>1686300</v>
      </c>
      <c r="L2345" s="193" t="s">
        <v>251</v>
      </c>
      <c r="M2345" s="193" t="s">
        <v>164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52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>x</v>
      </c>
      <c r="AA2345" s="826"/>
      <c r="AB2345" s="576" t="str">
        <f>IF(VLOOKUP(F2345,NXT!$C$12:$C$786,1,0)=F2345,"","x")</f>
        <v/>
      </c>
    </row>
    <row r="2346" spans="1:30" ht="15.75" customHeight="1">
      <c r="A2346" s="827" t="str">
        <f>IF(B2346&lt;&gt;"",IF(AND(B2346&gt;=_TM1,B2346&lt;=_TM2,OR(TH!L2346="1111",TH!M2346="1111")),TH!D2346,""),"")</f>
        <v/>
      </c>
      <c r="B2346" s="36">
        <f t="shared" si="304"/>
        <v>8</v>
      </c>
      <c r="C2346" s="190">
        <f t="shared" si="305"/>
        <v>42601</v>
      </c>
      <c r="D2346" s="190" t="s">
        <v>1601</v>
      </c>
      <c r="E2346" s="190">
        <v>42601</v>
      </c>
      <c r="F2346" s="191" t="s">
        <v>461</v>
      </c>
      <c r="G2346" s="833" t="s">
        <v>1524</v>
      </c>
      <c r="H2346" s="764" t="s">
        <v>639</v>
      </c>
      <c r="I2346" s="253"/>
      <c r="J2346" s="253"/>
      <c r="K2346" s="584">
        <v>168630</v>
      </c>
      <c r="L2346" s="193" t="s">
        <v>251</v>
      </c>
      <c r="M2346" s="193" t="s">
        <v>354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52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>x</v>
      </c>
      <c r="AA2346" s="826"/>
      <c r="AB2346" s="576"/>
    </row>
    <row r="2347" spans="1:30" ht="15.75" customHeight="1">
      <c r="A2347" s="827" t="str">
        <f>IF(B2347&lt;&gt;"",IF(AND(B2347&gt;=_TM1,B2347&lt;=_TM2,OR(TH!L2347="1111",TH!M2347="1111")),TH!D2347,""),"")</f>
        <v/>
      </c>
      <c r="B2347" s="36">
        <f t="shared" si="304"/>
        <v>8</v>
      </c>
      <c r="C2347" s="190">
        <f t="shared" si="305"/>
        <v>42602</v>
      </c>
      <c r="D2347" s="190" t="s">
        <v>1602</v>
      </c>
      <c r="E2347" s="190">
        <v>42602</v>
      </c>
      <c r="F2347" s="292" t="s">
        <v>1481</v>
      </c>
      <c r="G2347" s="833" t="s">
        <v>1525</v>
      </c>
      <c r="H2347" s="7" t="s">
        <v>734</v>
      </c>
      <c r="I2347" s="253">
        <v>5000</v>
      </c>
      <c r="J2347" s="253">
        <v>9000</v>
      </c>
      <c r="K2347" s="584">
        <f t="shared" si="326"/>
        <v>45000000</v>
      </c>
      <c r="L2347" s="193" t="s">
        <v>251</v>
      </c>
      <c r="M2347" s="193" t="s">
        <v>164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52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>x</v>
      </c>
      <c r="AA2347" s="826"/>
      <c r="AB2347" s="576" t="str">
        <f>IF(VLOOKUP(F2347,NXT!$C$12:$C$786,1,0)=F2347,"","x")</f>
        <v/>
      </c>
      <c r="AD2347" s="576"/>
    </row>
    <row r="2348" spans="1:30" ht="15.75" customHeight="1">
      <c r="A2348" s="827" t="str">
        <f>IF(B2348&lt;&gt;"",IF(AND(B2348&gt;=_TM1,B2348&lt;=_TM2,OR(TH!L2348="1111",TH!M2348="1111")),TH!D2348,""),"")</f>
        <v/>
      </c>
      <c r="B2348" s="36">
        <f t="shared" si="304"/>
        <v>8</v>
      </c>
      <c r="C2348" s="190">
        <f t="shared" si="305"/>
        <v>42602</v>
      </c>
      <c r="D2348" s="190" t="s">
        <v>1602</v>
      </c>
      <c r="E2348" s="190">
        <v>42602</v>
      </c>
      <c r="F2348" s="191" t="s">
        <v>461</v>
      </c>
      <c r="G2348" s="833" t="s">
        <v>1525</v>
      </c>
      <c r="H2348" s="7" t="s">
        <v>734</v>
      </c>
      <c r="I2348" s="253"/>
      <c r="J2348" s="253"/>
      <c r="K2348" s="584">
        <v>4500000</v>
      </c>
      <c r="L2348" s="193" t="s">
        <v>251</v>
      </c>
      <c r="M2348" s="193" t="s">
        <v>354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52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>x</v>
      </c>
      <c r="AA2348" s="826"/>
      <c r="AB2348" s="576"/>
    </row>
    <row r="2349" spans="1:30" ht="15.75" customHeight="1">
      <c r="A2349" s="827" t="str">
        <f>IF(B2349&lt;&gt;"",IF(AND(B2349&gt;=_TM1,B2349&lt;=_TM2,OR(TH!L2349="1111",TH!M2349="1111")),TH!D2349,""),"")</f>
        <v/>
      </c>
      <c r="B2349" s="36">
        <f t="shared" si="304"/>
        <v>8</v>
      </c>
      <c r="C2349" s="190">
        <f t="shared" si="305"/>
        <v>42604</v>
      </c>
      <c r="D2349" s="190" t="s">
        <v>1603</v>
      </c>
      <c r="E2349" s="190">
        <v>42604</v>
      </c>
      <c r="F2349" s="292" t="s">
        <v>1178</v>
      </c>
      <c r="G2349" s="833" t="s">
        <v>1526</v>
      </c>
      <c r="H2349" s="192" t="s">
        <v>662</v>
      </c>
      <c r="I2349" s="253">
        <v>1500</v>
      </c>
      <c r="J2349" s="253">
        <v>35000</v>
      </c>
      <c r="K2349" s="584">
        <f t="shared" si="326"/>
        <v>52500000</v>
      </c>
      <c r="L2349" s="193" t="s">
        <v>251</v>
      </c>
      <c r="M2349" s="193" t="s">
        <v>164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52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>x</v>
      </c>
      <c r="AA2349" s="826"/>
      <c r="AB2349" s="576" t="str">
        <f>IF(VLOOKUP(F2349,NXT!$C$12:$C$786,1,0)=F2349,"","x")</f>
        <v/>
      </c>
    </row>
    <row r="2350" spans="1:30" ht="15.75" customHeight="1">
      <c r="A2350" s="827" t="str">
        <f>IF(B2350&lt;&gt;"",IF(AND(B2350&gt;=_TM1,B2350&lt;=_TM2,OR(TH!L2350="1111",TH!M2350="1111")),TH!D2350,""),"")</f>
        <v/>
      </c>
      <c r="B2350" s="36">
        <f t="shared" ref="B2350:B2375" si="327">IF(C2350&lt;&gt;"",MONTH(C2350),"")</f>
        <v>8</v>
      </c>
      <c r="C2350" s="190">
        <f t="shared" ref="C2350:C2375" si="328">E2350</f>
        <v>42604</v>
      </c>
      <c r="D2350" s="190" t="s">
        <v>1603</v>
      </c>
      <c r="E2350" s="190">
        <v>42604</v>
      </c>
      <c r="F2350" s="292" t="s">
        <v>1179</v>
      </c>
      <c r="G2350" s="833" t="s">
        <v>1526</v>
      </c>
      <c r="H2350" s="192" t="s">
        <v>662</v>
      </c>
      <c r="I2350" s="253">
        <v>1500</v>
      </c>
      <c r="J2350" s="253">
        <v>32500</v>
      </c>
      <c r="K2350" s="584">
        <f t="shared" si="326"/>
        <v>48750000</v>
      </c>
      <c r="L2350" s="193" t="s">
        <v>251</v>
      </c>
      <c r="M2350" s="193" t="s">
        <v>164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52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>x</v>
      </c>
      <c r="AA2350" s="826"/>
      <c r="AB2350" s="576" t="str">
        <f>IF(VLOOKUP(F2350,NXT!$C$12:$C$786,1,0)=F2350,"","x")</f>
        <v/>
      </c>
      <c r="AD2350" s="576"/>
    </row>
    <row r="2351" spans="1:30" ht="15.75" customHeight="1">
      <c r="A2351" s="827" t="str">
        <f>IF(B2351&lt;&gt;"",IF(AND(B2351&gt;=_TM1,B2351&lt;=_TM2,OR(TH!L2351="1111",TH!M2351="1111")),TH!D2351,""),"")</f>
        <v/>
      </c>
      <c r="B2351" s="36">
        <f t="shared" si="327"/>
        <v>8</v>
      </c>
      <c r="C2351" s="190">
        <f t="shared" si="328"/>
        <v>42604</v>
      </c>
      <c r="D2351" s="190" t="s">
        <v>1603</v>
      </c>
      <c r="E2351" s="190">
        <v>42604</v>
      </c>
      <c r="F2351" s="290" t="s">
        <v>451</v>
      </c>
      <c r="G2351" s="833" t="s">
        <v>1526</v>
      </c>
      <c r="H2351" s="192" t="s">
        <v>662</v>
      </c>
      <c r="I2351" s="253">
        <v>4400</v>
      </c>
      <c r="J2351" s="253">
        <v>18500</v>
      </c>
      <c r="K2351" s="584">
        <f t="shared" si="326"/>
        <v>81400000</v>
      </c>
      <c r="L2351" s="193" t="s">
        <v>251</v>
      </c>
      <c r="M2351" s="193" t="s">
        <v>164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52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>x</v>
      </c>
      <c r="AA2351" s="826"/>
      <c r="AB2351" s="576" t="str">
        <f>IF(VLOOKUP(F2351,NXT!$C$12:$C$786,1,0)=F2351,"","x")</f>
        <v/>
      </c>
    </row>
    <row r="2352" spans="1:30" ht="15.75" customHeight="1">
      <c r="A2352" s="827" t="str">
        <f>IF(B2352&lt;&gt;"",IF(AND(B2352&gt;=_TM1,B2352&lt;=_TM2,OR(TH!L2352="1111",TH!M2352="1111")),TH!D2352,""),"")</f>
        <v/>
      </c>
      <c r="B2352" s="36">
        <f t="shared" si="327"/>
        <v>8</v>
      </c>
      <c r="C2352" s="190">
        <f t="shared" si="328"/>
        <v>42604</v>
      </c>
      <c r="D2352" s="190" t="s">
        <v>1603</v>
      </c>
      <c r="E2352" s="190">
        <v>42604</v>
      </c>
      <c r="F2352" s="290" t="s">
        <v>450</v>
      </c>
      <c r="G2352" s="833" t="s">
        <v>1526</v>
      </c>
      <c r="H2352" s="192" t="s">
        <v>662</v>
      </c>
      <c r="I2352" s="253">
        <v>4100</v>
      </c>
      <c r="J2352" s="253">
        <v>18500</v>
      </c>
      <c r="K2352" s="584">
        <f t="shared" si="326"/>
        <v>75850000</v>
      </c>
      <c r="L2352" s="193" t="s">
        <v>251</v>
      </c>
      <c r="M2352" s="193" t="s">
        <v>164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52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>x</v>
      </c>
      <c r="AA2352" s="826"/>
      <c r="AB2352" s="576" t="str">
        <f>IF(VLOOKUP(F2352,NXT!$C$12:$C$786,1,0)=F2352,"","x")</f>
        <v/>
      </c>
    </row>
    <row r="2353" spans="1:30" ht="15.75" customHeight="1">
      <c r="A2353" s="827" t="str">
        <f>IF(B2353&lt;&gt;"",IF(AND(B2353&gt;=_TM1,B2353&lt;=_TM2,OR(TH!L2353="1111",TH!M2353="1111")),TH!D2353,""),"")</f>
        <v/>
      </c>
      <c r="B2353" s="36">
        <f t="shared" si="327"/>
        <v>8</v>
      </c>
      <c r="C2353" s="190">
        <f t="shared" si="328"/>
        <v>42604</v>
      </c>
      <c r="D2353" s="190" t="s">
        <v>1603</v>
      </c>
      <c r="E2353" s="190">
        <v>42604</v>
      </c>
      <c r="F2353" s="191" t="s">
        <v>461</v>
      </c>
      <c r="G2353" s="833" t="s">
        <v>1526</v>
      </c>
      <c r="H2353" s="192" t="s">
        <v>662</v>
      </c>
      <c r="I2353" s="253"/>
      <c r="J2353" s="253"/>
      <c r="K2353" s="584">
        <v>25850000</v>
      </c>
      <c r="L2353" s="193" t="s">
        <v>251</v>
      </c>
      <c r="M2353" s="193" t="s">
        <v>354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52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>x</v>
      </c>
      <c r="AA2353" s="826"/>
      <c r="AB2353" s="576"/>
      <c r="AD2353" s="576"/>
    </row>
    <row r="2354" spans="1:30" ht="15.75" customHeight="1">
      <c r="A2354" s="827" t="str">
        <f>IF(B2354&lt;&gt;"",IF(AND(B2354&gt;=_TM1,B2354&lt;=_TM2,OR(TH!L2354="1111",TH!M2354="1111")),TH!D2354,""),"")</f>
        <v/>
      </c>
      <c r="B2354" s="36">
        <f t="shared" si="327"/>
        <v>8</v>
      </c>
      <c r="C2354" s="190">
        <f t="shared" si="328"/>
        <v>42605</v>
      </c>
      <c r="D2354" s="190" t="s">
        <v>1604</v>
      </c>
      <c r="E2354" s="190">
        <v>42605</v>
      </c>
      <c r="F2354" s="292" t="s">
        <v>1529</v>
      </c>
      <c r="G2354" s="833" t="s">
        <v>1527</v>
      </c>
      <c r="H2354" s="192" t="s">
        <v>1528</v>
      </c>
      <c r="I2354" s="253">
        <v>300</v>
      </c>
      <c r="J2354" s="253">
        <v>11000</v>
      </c>
      <c r="K2354" s="584">
        <f t="shared" si="326"/>
        <v>3300000</v>
      </c>
      <c r="L2354" s="193" t="s">
        <v>251</v>
      </c>
      <c r="M2354" s="193" t="s">
        <v>164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52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>x</v>
      </c>
      <c r="AA2354" s="826"/>
      <c r="AB2354" s="576" t="str">
        <f>IF(VLOOKUP(F2354,NXT!$C$12:$C$786,1,0)=F2354,"","x")</f>
        <v/>
      </c>
    </row>
    <row r="2355" spans="1:30" ht="15.75" customHeight="1">
      <c r="A2355" s="827" t="str">
        <f>IF(B2355&lt;&gt;"",IF(AND(B2355&gt;=_TM1,B2355&lt;=_TM2,OR(TH!L2355="1111",TH!M2355="1111")),TH!D2355,""),"")</f>
        <v/>
      </c>
      <c r="B2355" s="36">
        <f t="shared" si="327"/>
        <v>8</v>
      </c>
      <c r="C2355" s="190">
        <f t="shared" si="328"/>
        <v>42605</v>
      </c>
      <c r="D2355" s="190" t="s">
        <v>1604</v>
      </c>
      <c r="E2355" s="190">
        <v>42605</v>
      </c>
      <c r="F2355" s="191" t="s">
        <v>461</v>
      </c>
      <c r="G2355" s="833" t="s">
        <v>1527</v>
      </c>
      <c r="H2355" s="192" t="s">
        <v>1528</v>
      </c>
      <c r="I2355" s="253"/>
      <c r="J2355" s="253"/>
      <c r="K2355" s="584">
        <v>330000</v>
      </c>
      <c r="L2355" s="193" t="s">
        <v>251</v>
      </c>
      <c r="M2355" s="193" t="s">
        <v>354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52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>x</v>
      </c>
      <c r="AA2355" s="826"/>
      <c r="AB2355" s="576"/>
    </row>
    <row r="2356" spans="1:30" ht="15.75" customHeight="1">
      <c r="A2356" s="827" t="str">
        <f>IF(B2356&lt;&gt;"",IF(AND(B2356&gt;=_TM1,B2356&lt;=_TM2,OR(TH!L2356="1111",TH!M2356="1111")),TH!D2356,""),"")</f>
        <v/>
      </c>
      <c r="B2356" s="36">
        <f t="shared" si="327"/>
        <v>8</v>
      </c>
      <c r="C2356" s="190">
        <f t="shared" si="328"/>
        <v>42607</v>
      </c>
      <c r="D2356" s="190" t="s">
        <v>1605</v>
      </c>
      <c r="E2356" s="190">
        <v>42607</v>
      </c>
      <c r="F2356" s="292" t="s">
        <v>1532</v>
      </c>
      <c r="G2356" s="833" t="s">
        <v>1530</v>
      </c>
      <c r="H2356" s="192" t="s">
        <v>1531</v>
      </c>
      <c r="I2356" s="253">
        <v>60</v>
      </c>
      <c r="J2356" s="253">
        <v>8623</v>
      </c>
      <c r="K2356" s="584">
        <f t="shared" si="326"/>
        <v>517380</v>
      </c>
      <c r="L2356" s="193" t="s">
        <v>251</v>
      </c>
      <c r="M2356" s="193" t="s">
        <v>164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52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>x</v>
      </c>
      <c r="AA2356" s="826"/>
      <c r="AB2356" s="576" t="str">
        <f>IF(VLOOKUP(F2356,NXT!$C$12:$C$786,1,0)=F2356,"","x")</f>
        <v/>
      </c>
      <c r="AD2356" s="576"/>
    </row>
    <row r="2357" spans="1:30" ht="15.75" customHeight="1">
      <c r="A2357" s="827" t="str">
        <f>IF(B2357&lt;&gt;"",IF(AND(B2357&gt;=_TM1,B2357&lt;=_TM2,OR(TH!L2357="1111",TH!M2357="1111")),TH!D2357,""),"")</f>
        <v/>
      </c>
      <c r="B2357" s="36">
        <f t="shared" si="327"/>
        <v>8</v>
      </c>
      <c r="C2357" s="190">
        <f t="shared" si="328"/>
        <v>42607</v>
      </c>
      <c r="D2357" s="190" t="s">
        <v>1605</v>
      </c>
      <c r="E2357" s="190">
        <v>42607</v>
      </c>
      <c r="F2357" s="191" t="s">
        <v>461</v>
      </c>
      <c r="G2357" s="833" t="s">
        <v>1530</v>
      </c>
      <c r="H2357" s="192" t="s">
        <v>1531</v>
      </c>
      <c r="I2357" s="253"/>
      <c r="J2357" s="253"/>
      <c r="K2357" s="584">
        <v>51738</v>
      </c>
      <c r="L2357" s="193" t="s">
        <v>251</v>
      </c>
      <c r="M2357" s="193" t="s">
        <v>354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52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>x</v>
      </c>
      <c r="AA2357" s="826"/>
      <c r="AB2357" s="576"/>
    </row>
    <row r="2358" spans="1:30" ht="15.75" customHeight="1">
      <c r="A2358" s="827" t="str">
        <f>IF(B2358&lt;&gt;"",IF(AND(B2358&gt;=_TM1,B2358&lt;=_TM2,OR(TH!L2358="1111",TH!M2358="1111")),TH!D2358,""),"")</f>
        <v/>
      </c>
      <c r="B2358" s="36">
        <f t="shared" si="327"/>
        <v>8</v>
      </c>
      <c r="C2358" s="190">
        <f t="shared" si="328"/>
        <v>42608</v>
      </c>
      <c r="D2358" s="190"/>
      <c r="E2358" s="190">
        <v>42608</v>
      </c>
      <c r="F2358" s="191" t="s">
        <v>621</v>
      </c>
      <c r="G2358" s="833" t="s">
        <v>1533</v>
      </c>
      <c r="H2358" s="192" t="s">
        <v>679</v>
      </c>
      <c r="I2358" s="253"/>
      <c r="J2358" s="253"/>
      <c r="K2358" s="584">
        <v>4700000</v>
      </c>
      <c r="L2358" s="193" t="s">
        <v>47</v>
      </c>
      <c r="M2358" s="193" t="s">
        <v>623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52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>x</v>
      </c>
      <c r="AA2358" s="826"/>
      <c r="AB2358" s="576"/>
    </row>
    <row r="2359" spans="1:30" ht="15.75" customHeight="1">
      <c r="A2359" s="827" t="str">
        <f>IF(B2359&lt;&gt;"",IF(AND(B2359&gt;=_TM1,B2359&lt;=_TM2,OR(TH!L2359="1111",TH!M2359="1111")),TH!D2359,""),"")</f>
        <v/>
      </c>
      <c r="B2359" s="36">
        <f t="shared" si="327"/>
        <v>8</v>
      </c>
      <c r="C2359" s="190">
        <f t="shared" si="328"/>
        <v>42608</v>
      </c>
      <c r="D2359" s="190"/>
      <c r="E2359" s="190">
        <v>42608</v>
      </c>
      <c r="F2359" s="191" t="s">
        <v>622</v>
      </c>
      <c r="G2359" s="833" t="s">
        <v>1533</v>
      </c>
      <c r="H2359" s="192" t="s">
        <v>679</v>
      </c>
      <c r="I2359" s="253"/>
      <c r="J2359" s="253"/>
      <c r="K2359" s="584">
        <v>470000</v>
      </c>
      <c r="L2359" s="193" t="s">
        <v>47</v>
      </c>
      <c r="M2359" s="193" t="s">
        <v>354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52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>x</v>
      </c>
      <c r="AA2359" s="826"/>
      <c r="AB2359" s="576"/>
      <c r="AD2359" s="576"/>
    </row>
    <row r="2360" spans="1:30" ht="15.75" customHeight="1">
      <c r="A2360" s="827" t="str">
        <f>IF(B2360&lt;&gt;"",IF(AND(B2360&gt;=_TM1,B2360&lt;=_TM2,OR(TH!L2360="1111",TH!M2360="1111")),TH!D2360,""),"")</f>
        <v/>
      </c>
      <c r="B2360" s="36">
        <f t="shared" si="327"/>
        <v>8</v>
      </c>
      <c r="C2360" s="190">
        <f t="shared" si="328"/>
        <v>42609</v>
      </c>
      <c r="D2360" s="190" t="s">
        <v>1606</v>
      </c>
      <c r="E2360" s="190">
        <v>42609</v>
      </c>
      <c r="F2360" s="292" t="s">
        <v>1535</v>
      </c>
      <c r="G2360" s="833" t="s">
        <v>1534</v>
      </c>
      <c r="H2360" s="7" t="s">
        <v>743</v>
      </c>
      <c r="I2360" s="253">
        <v>10</v>
      </c>
      <c r="J2360" s="253">
        <v>18630</v>
      </c>
      <c r="K2360" s="584">
        <f t="shared" si="326"/>
        <v>186300</v>
      </c>
      <c r="L2360" s="193" t="s">
        <v>251</v>
      </c>
      <c r="M2360" s="193" t="s">
        <v>164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52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>x</v>
      </c>
      <c r="AA2360" s="826"/>
      <c r="AB2360" s="576" t="str">
        <f>IF(VLOOKUP(F2360,NXT!$C$12:$C$786,1,0)=F2360,"","x")</f>
        <v/>
      </c>
    </row>
    <row r="2361" spans="1:30" ht="15.75" customHeight="1">
      <c r="A2361" s="827" t="str">
        <f>IF(B2361&lt;&gt;"",IF(AND(B2361&gt;=_TM1,B2361&lt;=_TM2,OR(TH!L2361="1111",TH!M2361="1111")),TH!D2361,""),"")</f>
        <v/>
      </c>
      <c r="B2361" s="36">
        <f t="shared" si="327"/>
        <v>8</v>
      </c>
      <c r="C2361" s="190">
        <f t="shared" si="328"/>
        <v>42609</v>
      </c>
      <c r="D2361" s="190" t="s">
        <v>1606</v>
      </c>
      <c r="E2361" s="190">
        <v>42609</v>
      </c>
      <c r="F2361" s="191" t="s">
        <v>461</v>
      </c>
      <c r="G2361" s="833" t="s">
        <v>1534</v>
      </c>
      <c r="H2361" s="7" t="s">
        <v>743</v>
      </c>
      <c r="I2361" s="253"/>
      <c r="J2361" s="253"/>
      <c r="K2361" s="584">
        <v>18630</v>
      </c>
      <c r="L2361" s="193" t="s">
        <v>251</v>
      </c>
      <c r="M2361" s="193" t="s">
        <v>354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52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>x</v>
      </c>
      <c r="AA2361" s="826"/>
      <c r="AB2361" s="576"/>
    </row>
    <row r="2362" spans="1:30" ht="15.75" customHeight="1">
      <c r="A2362" s="827" t="str">
        <f>IF(B2362&lt;&gt;"",IF(AND(B2362&gt;=_TM1,B2362&lt;=_TM2,OR(TH!L2362="1111",TH!M2362="1111")),TH!D2362,""),"")</f>
        <v/>
      </c>
      <c r="B2362" s="36">
        <f t="shared" si="327"/>
        <v>8</v>
      </c>
      <c r="C2362" s="190">
        <f t="shared" si="328"/>
        <v>42611</v>
      </c>
      <c r="D2362" s="190" t="s">
        <v>1607</v>
      </c>
      <c r="E2362" s="190">
        <v>42611</v>
      </c>
      <c r="F2362" s="292" t="s">
        <v>1539</v>
      </c>
      <c r="G2362" s="833" t="s">
        <v>1536</v>
      </c>
      <c r="H2362" s="192" t="s">
        <v>1437</v>
      </c>
      <c r="I2362" s="253">
        <v>26</v>
      </c>
      <c r="J2362" s="253">
        <v>115858</v>
      </c>
      <c r="K2362" s="584">
        <f t="shared" ref="K2362:K2375" si="329">ROUND(I2362*J2362,0)</f>
        <v>3012308</v>
      </c>
      <c r="L2362" s="193" t="s">
        <v>251</v>
      </c>
      <c r="M2362" s="193" t="s">
        <v>164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52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>x</v>
      </c>
      <c r="AA2362" s="826"/>
      <c r="AB2362" s="576" t="str">
        <f>IF(VLOOKUP(F2362,NXT!$C$12:$C$786,1,0)=F2362,"","x")</f>
        <v/>
      </c>
      <c r="AD2362" s="576"/>
    </row>
    <row r="2363" spans="1:30" ht="15.75" customHeight="1">
      <c r="A2363" s="827" t="str">
        <f>IF(B2363&lt;&gt;"",IF(AND(B2363&gt;=_TM1,B2363&lt;=_TM2,OR(TH!L2363="1111",TH!M2363="1111")),TH!D2363,""),"")</f>
        <v/>
      </c>
      <c r="B2363" s="36">
        <f t="shared" si="327"/>
        <v>8</v>
      </c>
      <c r="C2363" s="190">
        <f t="shared" si="328"/>
        <v>42611</v>
      </c>
      <c r="D2363" s="190" t="s">
        <v>1607</v>
      </c>
      <c r="E2363" s="190">
        <v>42611</v>
      </c>
      <c r="F2363" s="292" t="s">
        <v>1538</v>
      </c>
      <c r="G2363" s="833" t="s">
        <v>1537</v>
      </c>
      <c r="H2363" s="192" t="s">
        <v>1437</v>
      </c>
      <c r="I2363" s="253">
        <v>26</v>
      </c>
      <c r="J2363" s="253">
        <v>8265</v>
      </c>
      <c r="K2363" s="584">
        <f t="shared" si="329"/>
        <v>214890</v>
      </c>
      <c r="L2363" s="193" t="s">
        <v>251</v>
      </c>
      <c r="M2363" s="193" t="s">
        <v>164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52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>x</v>
      </c>
      <c r="AA2363" s="826"/>
      <c r="AB2363" s="576" t="str">
        <f>IF(VLOOKUP(F2363,NXT!$C$12:$C$786,1,0)=F2363,"","x")</f>
        <v/>
      </c>
    </row>
    <row r="2364" spans="1:30" ht="15.75" customHeight="1">
      <c r="A2364" s="827" t="str">
        <f>IF(B2364&lt;&gt;"",IF(AND(B2364&gt;=_TM1,B2364&lt;=_TM2,OR(TH!L2364="1111",TH!M2364="1111")),TH!D2364,""),"")</f>
        <v/>
      </c>
      <c r="B2364" s="36">
        <f t="shared" si="327"/>
        <v>8</v>
      </c>
      <c r="C2364" s="190">
        <f t="shared" si="328"/>
        <v>42611</v>
      </c>
      <c r="D2364" s="190" t="s">
        <v>1607</v>
      </c>
      <c r="E2364" s="190">
        <v>42611</v>
      </c>
      <c r="F2364" s="292" t="s">
        <v>1540</v>
      </c>
      <c r="G2364" s="833" t="s">
        <v>1537</v>
      </c>
      <c r="H2364" s="192" t="s">
        <v>1437</v>
      </c>
      <c r="I2364" s="253">
        <v>35</v>
      </c>
      <c r="J2364" s="253">
        <v>51433</v>
      </c>
      <c r="K2364" s="584">
        <f t="shared" si="329"/>
        <v>1800155</v>
      </c>
      <c r="L2364" s="193" t="s">
        <v>251</v>
      </c>
      <c r="M2364" s="193" t="s">
        <v>164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52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>x</v>
      </c>
      <c r="AA2364" s="826"/>
      <c r="AB2364" s="576" t="str">
        <f>IF(VLOOKUP(F2364,NXT!$C$12:$C$786,1,0)=F2364,"","x")</f>
        <v/>
      </c>
      <c r="AD2364" s="576"/>
    </row>
    <row r="2365" spans="1:30" ht="15.75" customHeight="1">
      <c r="A2365" s="827" t="str">
        <f>IF(B2365&lt;&gt;"",IF(AND(B2365&gt;=_TM1,B2365&lt;=_TM2,OR(TH!L2365="1111",TH!M2365="1111")),TH!D2365,""),"")</f>
        <v/>
      </c>
      <c r="B2365" s="36">
        <f t="shared" si="327"/>
        <v>8</v>
      </c>
      <c r="C2365" s="190">
        <f t="shared" si="328"/>
        <v>42611</v>
      </c>
      <c r="D2365" s="190" t="s">
        <v>1607</v>
      </c>
      <c r="E2365" s="190">
        <v>42611</v>
      </c>
      <c r="F2365" s="292" t="s">
        <v>1541</v>
      </c>
      <c r="G2365" s="833" t="s">
        <v>1537</v>
      </c>
      <c r="H2365" s="192" t="s">
        <v>1437</v>
      </c>
      <c r="I2365" s="253">
        <v>5</v>
      </c>
      <c r="J2365" s="253">
        <v>107276</v>
      </c>
      <c r="K2365" s="584">
        <f t="shared" si="329"/>
        <v>536380</v>
      </c>
      <c r="L2365" s="193" t="s">
        <v>251</v>
      </c>
      <c r="M2365" s="193" t="s">
        <v>164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52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>x</v>
      </c>
      <c r="AA2365" s="826"/>
      <c r="AB2365" s="576" t="str">
        <f>IF(VLOOKUP(F2365,NXT!$C$12:$C$786,1,0)=F2365,"","x")</f>
        <v/>
      </c>
    </row>
    <row r="2366" spans="1:30" ht="15.75" customHeight="1">
      <c r="A2366" s="827" t="str">
        <f>IF(B2366&lt;&gt;"",IF(AND(B2366&gt;=_TM1,B2366&lt;=_TM2,OR(TH!L2366="1111",TH!M2366="1111")),TH!D2366,""),"")</f>
        <v/>
      </c>
      <c r="B2366" s="36">
        <f t="shared" si="327"/>
        <v>8</v>
      </c>
      <c r="C2366" s="190">
        <f t="shared" si="328"/>
        <v>42611</v>
      </c>
      <c r="D2366" s="190" t="s">
        <v>1607</v>
      </c>
      <c r="E2366" s="190">
        <v>42611</v>
      </c>
      <c r="F2366" s="292" t="s">
        <v>1542</v>
      </c>
      <c r="G2366" s="833" t="s">
        <v>1537</v>
      </c>
      <c r="H2366" s="192" t="s">
        <v>1437</v>
      </c>
      <c r="I2366" s="253">
        <v>26</v>
      </c>
      <c r="J2366" s="253">
        <v>60452</v>
      </c>
      <c r="K2366" s="584">
        <f t="shared" si="329"/>
        <v>1571752</v>
      </c>
      <c r="L2366" s="193" t="s">
        <v>251</v>
      </c>
      <c r="M2366" s="193" t="s">
        <v>164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52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>x</v>
      </c>
      <c r="AA2366" s="826"/>
      <c r="AB2366" s="576" t="str">
        <f>IF(VLOOKUP(F2366,NXT!$C$12:$C$786,1,0)=F2366,"","x")</f>
        <v/>
      </c>
    </row>
    <row r="2367" spans="1:30" ht="15.75" customHeight="1">
      <c r="A2367" s="827" t="str">
        <f>IF(B2367&lt;&gt;"",IF(AND(B2367&gt;=_TM1,B2367&lt;=_TM2,OR(TH!L2367="1111",TH!M2367="1111")),TH!D2367,""),"")</f>
        <v/>
      </c>
      <c r="B2367" s="36">
        <f t="shared" si="327"/>
        <v>8</v>
      </c>
      <c r="C2367" s="190">
        <f t="shared" si="328"/>
        <v>42611</v>
      </c>
      <c r="D2367" s="190" t="s">
        <v>1607</v>
      </c>
      <c r="E2367" s="190">
        <v>42611</v>
      </c>
      <c r="F2367" s="292" t="s">
        <v>1543</v>
      </c>
      <c r="G2367" s="833" t="s">
        <v>1537</v>
      </c>
      <c r="H2367" s="192" t="s">
        <v>1437</v>
      </c>
      <c r="I2367" s="253">
        <v>20</v>
      </c>
      <c r="J2367" s="253">
        <v>31752</v>
      </c>
      <c r="K2367" s="584">
        <f t="shared" si="329"/>
        <v>635040</v>
      </c>
      <c r="L2367" s="193" t="s">
        <v>251</v>
      </c>
      <c r="M2367" s="193" t="s">
        <v>164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52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>x</v>
      </c>
      <c r="AA2367" s="826"/>
      <c r="AB2367" s="576" t="str">
        <f>IF(VLOOKUP(F2367,NXT!$C$12:$C$786,1,0)=F2367,"","x")</f>
        <v/>
      </c>
      <c r="AD2367" s="576"/>
    </row>
    <row r="2368" spans="1:30" ht="15.75" customHeight="1">
      <c r="A2368" s="827" t="str">
        <f>IF(B2368&lt;&gt;"",IF(AND(B2368&gt;=_TM1,B2368&lt;=_TM2,OR(TH!L2368="1111",TH!M2368="1111")),TH!D2368,""),"")</f>
        <v/>
      </c>
      <c r="B2368" s="36">
        <f t="shared" si="327"/>
        <v>8</v>
      </c>
      <c r="C2368" s="190">
        <f t="shared" si="328"/>
        <v>42611</v>
      </c>
      <c r="D2368" s="190" t="s">
        <v>1607</v>
      </c>
      <c r="E2368" s="190">
        <v>42611</v>
      </c>
      <c r="F2368" s="292" t="s">
        <v>1544</v>
      </c>
      <c r="G2368" s="833" t="s">
        <v>1537</v>
      </c>
      <c r="H2368" s="192" t="s">
        <v>1437</v>
      </c>
      <c r="I2368" s="253">
        <v>2</v>
      </c>
      <c r="J2368" s="253">
        <v>39866</v>
      </c>
      <c r="K2368" s="584">
        <f t="shared" si="329"/>
        <v>79732</v>
      </c>
      <c r="L2368" s="193" t="s">
        <v>251</v>
      </c>
      <c r="M2368" s="193" t="s">
        <v>164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52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>x</v>
      </c>
      <c r="AA2368" s="826"/>
      <c r="AB2368" s="576" t="str">
        <f>IF(VLOOKUP(F2368,NXT!$C$12:$C$786,1,0)=F2368,"","x")</f>
        <v/>
      </c>
    </row>
    <row r="2369" spans="1:30" ht="15.75" customHeight="1">
      <c r="A2369" s="827" t="str">
        <f>IF(B2369&lt;&gt;"",IF(AND(B2369&gt;=_TM1,B2369&lt;=_TM2,OR(TH!L2369="1111",TH!M2369="1111")),TH!D2369,""),"")</f>
        <v/>
      </c>
      <c r="B2369" s="36">
        <f t="shared" si="327"/>
        <v>8</v>
      </c>
      <c r="C2369" s="190">
        <f t="shared" si="328"/>
        <v>42611</v>
      </c>
      <c r="D2369" s="190" t="s">
        <v>1607</v>
      </c>
      <c r="E2369" s="190">
        <v>42611</v>
      </c>
      <c r="F2369" s="292" t="s">
        <v>1545</v>
      </c>
      <c r="G2369" s="833" t="s">
        <v>1537</v>
      </c>
      <c r="H2369" s="192" t="s">
        <v>1437</v>
      </c>
      <c r="I2369" s="253">
        <v>1</v>
      </c>
      <c r="J2369" s="253">
        <v>36702</v>
      </c>
      <c r="K2369" s="584">
        <f t="shared" si="329"/>
        <v>36702</v>
      </c>
      <c r="L2369" s="193" t="s">
        <v>251</v>
      </c>
      <c r="M2369" s="193" t="s">
        <v>164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52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>x</v>
      </c>
      <c r="AA2369" s="826"/>
      <c r="AB2369" s="576" t="str">
        <f>IF(VLOOKUP(F2369,NXT!$C$12:$C$786,1,0)=F2369,"","x")</f>
        <v/>
      </c>
    </row>
    <row r="2370" spans="1:30" ht="15.75" customHeight="1">
      <c r="A2370" s="827" t="str">
        <f>IF(B2370&lt;&gt;"",IF(AND(B2370&gt;=_TM1,B2370&lt;=_TM2,OR(TH!L2370="1111",TH!M2370="1111")),TH!D2370,""),"")</f>
        <v/>
      </c>
      <c r="B2370" s="36">
        <f t="shared" si="327"/>
        <v>8</v>
      </c>
      <c r="C2370" s="190">
        <f t="shared" si="328"/>
        <v>42611</v>
      </c>
      <c r="D2370" s="190" t="s">
        <v>1607</v>
      </c>
      <c r="E2370" s="190">
        <v>42611</v>
      </c>
      <c r="F2370" s="292" t="s">
        <v>1546</v>
      </c>
      <c r="G2370" s="833" t="s">
        <v>1537</v>
      </c>
      <c r="H2370" s="192" t="s">
        <v>1437</v>
      </c>
      <c r="I2370" s="253">
        <v>3</v>
      </c>
      <c r="J2370" s="253">
        <v>75272</v>
      </c>
      <c r="K2370" s="584">
        <f t="shared" si="329"/>
        <v>225816</v>
      </c>
      <c r="L2370" s="193" t="s">
        <v>251</v>
      </c>
      <c r="M2370" s="193" t="s">
        <v>164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52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>x</v>
      </c>
      <c r="AA2370" s="826"/>
      <c r="AB2370" s="576" t="str">
        <f>IF(VLOOKUP(F2370,NXT!$C$12:$C$786,1,0)=F2370,"","x")</f>
        <v/>
      </c>
      <c r="AD2370" s="576"/>
    </row>
    <row r="2371" spans="1:30" ht="15.75" customHeight="1">
      <c r="A2371" s="827" t="str">
        <f>IF(B2371&lt;&gt;"",IF(AND(B2371&gt;=_TM1,B2371&lt;=_TM2,OR(TH!L2371="1111",TH!M2371="1111")),TH!D2371,""),"")</f>
        <v/>
      </c>
      <c r="B2371" s="36">
        <f t="shared" si="327"/>
        <v>8</v>
      </c>
      <c r="C2371" s="190">
        <f t="shared" si="328"/>
        <v>42611</v>
      </c>
      <c r="D2371" s="190" t="s">
        <v>1607</v>
      </c>
      <c r="E2371" s="190">
        <v>42611</v>
      </c>
      <c r="F2371" s="292" t="s">
        <v>1547</v>
      </c>
      <c r="G2371" s="833" t="s">
        <v>1537</v>
      </c>
      <c r="H2371" s="192" t="s">
        <v>1437</v>
      </c>
      <c r="I2371" s="253">
        <v>2</v>
      </c>
      <c r="J2371" s="253">
        <v>93018</v>
      </c>
      <c r="K2371" s="584">
        <f t="shared" si="329"/>
        <v>186036</v>
      </c>
      <c r="L2371" s="193" t="s">
        <v>251</v>
      </c>
      <c r="M2371" s="193" t="s">
        <v>164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52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>x</v>
      </c>
      <c r="AA2371" s="826"/>
      <c r="AB2371" s="576" t="str">
        <f>IF(VLOOKUP(F2371,NXT!$C$12:$C$786,1,0)=F2371,"","x")</f>
        <v/>
      </c>
    </row>
    <row r="2372" spans="1:30" ht="15.75" customHeight="1">
      <c r="A2372" s="827" t="str">
        <f>IF(B2372&lt;&gt;"",IF(AND(B2372&gt;=_TM1,B2372&lt;=_TM2,OR(TH!L2372="1111",TH!M2372="1111")),TH!D2372,""),"")</f>
        <v/>
      </c>
      <c r="B2372" s="36">
        <f t="shared" si="327"/>
        <v>8</v>
      </c>
      <c r="C2372" s="190">
        <f t="shared" si="328"/>
        <v>42611</v>
      </c>
      <c r="D2372" s="190" t="s">
        <v>1607</v>
      </c>
      <c r="E2372" s="190">
        <v>42611</v>
      </c>
      <c r="F2372" s="292" t="s">
        <v>1548</v>
      </c>
      <c r="G2372" s="833" t="s">
        <v>1537</v>
      </c>
      <c r="H2372" s="192" t="s">
        <v>1437</v>
      </c>
      <c r="I2372" s="253">
        <v>5</v>
      </c>
      <c r="J2372" s="253">
        <v>60569</v>
      </c>
      <c r="K2372" s="584">
        <f t="shared" si="329"/>
        <v>302845</v>
      </c>
      <c r="L2372" s="193" t="s">
        <v>251</v>
      </c>
      <c r="M2372" s="193" t="s">
        <v>164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52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>x</v>
      </c>
      <c r="AA2372" s="826"/>
      <c r="AB2372" s="576" t="str">
        <f>IF(VLOOKUP(F2372,NXT!$C$12:$C$786,1,0)=F2372,"","x")</f>
        <v/>
      </c>
    </row>
    <row r="2373" spans="1:30" ht="15.75" customHeight="1">
      <c r="A2373" s="827" t="str">
        <f>IF(B2373&lt;&gt;"",IF(AND(B2373&gt;=_TM1,B2373&lt;=_TM2,OR(TH!L2373="1111",TH!M2373="1111")),TH!D2373,""),"")</f>
        <v/>
      </c>
      <c r="B2373" s="36">
        <f t="shared" si="327"/>
        <v>8</v>
      </c>
      <c r="C2373" s="190">
        <f t="shared" si="328"/>
        <v>42611</v>
      </c>
      <c r="D2373" s="190" t="s">
        <v>1607</v>
      </c>
      <c r="E2373" s="190">
        <v>42611</v>
      </c>
      <c r="F2373" s="292" t="s">
        <v>1549</v>
      </c>
      <c r="G2373" s="833" t="s">
        <v>1537</v>
      </c>
      <c r="H2373" s="192" t="s">
        <v>1437</v>
      </c>
      <c r="I2373" s="253">
        <v>6</v>
      </c>
      <c r="J2373" s="253">
        <v>59158</v>
      </c>
      <c r="K2373" s="584">
        <f t="shared" si="329"/>
        <v>354948</v>
      </c>
      <c r="L2373" s="193" t="s">
        <v>251</v>
      </c>
      <c r="M2373" s="193" t="s">
        <v>164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52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>x</v>
      </c>
      <c r="AA2373" s="826"/>
      <c r="AB2373" s="576" t="str">
        <f>IF(VLOOKUP(F2373,NXT!$C$12:$C$786,1,0)=F2373,"","x")</f>
        <v/>
      </c>
      <c r="AD2373" s="576"/>
    </row>
    <row r="2374" spans="1:30" ht="15.75" customHeight="1">
      <c r="A2374" s="827" t="str">
        <f>IF(B2374&lt;&gt;"",IF(AND(B2374&gt;=_TM1,B2374&lt;=_TM2,OR(TH!L2374="1111",TH!M2374="1111")),TH!D2374,""),"")</f>
        <v/>
      </c>
      <c r="B2374" s="36">
        <f t="shared" si="327"/>
        <v>8</v>
      </c>
      <c r="C2374" s="190">
        <f t="shared" si="328"/>
        <v>42611</v>
      </c>
      <c r="D2374" s="190" t="s">
        <v>1607</v>
      </c>
      <c r="E2374" s="190">
        <v>42611</v>
      </c>
      <c r="F2374" s="292" t="s">
        <v>1550</v>
      </c>
      <c r="G2374" s="833" t="s">
        <v>1537</v>
      </c>
      <c r="H2374" s="192" t="s">
        <v>1437</v>
      </c>
      <c r="I2374" s="253">
        <v>2</v>
      </c>
      <c r="J2374" s="253">
        <v>111328</v>
      </c>
      <c r="K2374" s="584">
        <f t="shared" si="329"/>
        <v>222656</v>
      </c>
      <c r="L2374" s="193" t="s">
        <v>251</v>
      </c>
      <c r="M2374" s="193" t="s">
        <v>164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52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>x</v>
      </c>
      <c r="AA2374" s="826"/>
      <c r="AB2374" s="576" t="str">
        <f>IF(VLOOKUP(F2374,NXT!$C$12:$C$786,1,0)=F2374,"","x")</f>
        <v/>
      </c>
    </row>
    <row r="2375" spans="1:30" ht="15.75" customHeight="1">
      <c r="A2375" s="827" t="str">
        <f>IF(B2375&lt;&gt;"",IF(AND(B2375&gt;=_TM1,B2375&lt;=_TM2,OR(TH!L2375="1111",TH!M2375="1111")),TH!D2375,""),"")</f>
        <v/>
      </c>
      <c r="B2375" s="36">
        <f t="shared" si="327"/>
        <v>8</v>
      </c>
      <c r="C2375" s="190">
        <f t="shared" si="328"/>
        <v>42611</v>
      </c>
      <c r="D2375" s="190" t="s">
        <v>1607</v>
      </c>
      <c r="E2375" s="190">
        <v>42611</v>
      </c>
      <c r="F2375" s="292" t="s">
        <v>1551</v>
      </c>
      <c r="G2375" s="833" t="s">
        <v>1537</v>
      </c>
      <c r="H2375" s="192" t="s">
        <v>1437</v>
      </c>
      <c r="I2375" s="253">
        <v>50</v>
      </c>
      <c r="J2375" s="253">
        <v>46446</v>
      </c>
      <c r="K2375" s="584">
        <f t="shared" si="329"/>
        <v>2322300</v>
      </c>
      <c r="L2375" s="193" t="s">
        <v>251</v>
      </c>
      <c r="M2375" s="193" t="s">
        <v>164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52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>x</v>
      </c>
      <c r="AA2375" s="826"/>
      <c r="AB2375" s="576" t="str">
        <f>IF(VLOOKUP(F2375,NXT!$C$12:$C$786,1,0)=F2375,"","x")</f>
        <v/>
      </c>
    </row>
    <row r="2376" spans="1:30" ht="15.75" customHeight="1">
      <c r="A2376" s="827" t="str">
        <f>IF(B2376&lt;&gt;"",IF(AND(B2376&gt;=_TM1,B2376&lt;=_TM2,OR(TH!L2376="1111",TH!M2376="1111")),TH!D2376,""),"")</f>
        <v/>
      </c>
      <c r="B2376" s="36">
        <f t="shared" ref="B2376:B2431" si="330">IF(C2376&lt;&gt;"",MONTH(C2376),"")</f>
        <v>8</v>
      </c>
      <c r="C2376" s="190">
        <f t="shared" ref="C2376:C2431" si="331">E2376</f>
        <v>42611</v>
      </c>
      <c r="D2376" s="190" t="s">
        <v>1607</v>
      </c>
      <c r="E2376" s="190">
        <v>42611</v>
      </c>
      <c r="F2376" s="292" t="s">
        <v>1552</v>
      </c>
      <c r="G2376" s="833" t="s">
        <v>1536</v>
      </c>
      <c r="H2376" s="192" t="s">
        <v>1437</v>
      </c>
      <c r="I2376" s="253">
        <v>3</v>
      </c>
      <c r="J2376" s="253">
        <v>17922</v>
      </c>
      <c r="K2376" s="584">
        <f t="shared" ref="K2376:K2385" si="332">ROUND(I2376*J2376,0)</f>
        <v>53766</v>
      </c>
      <c r="L2376" s="193" t="s">
        <v>251</v>
      </c>
      <c r="M2376" s="193" t="s">
        <v>164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52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>x</v>
      </c>
      <c r="AA2376" s="826"/>
      <c r="AB2376" s="576" t="str">
        <f>IF(VLOOKUP(F2376,NXT!$C$12:$C$786,1,0)=F2376,"","x")</f>
        <v/>
      </c>
      <c r="AD2376" s="576"/>
    </row>
    <row r="2377" spans="1:30" ht="15.75" customHeight="1">
      <c r="A2377" s="827" t="str">
        <f>IF(B2377&lt;&gt;"",IF(AND(B2377&gt;=_TM1,B2377&lt;=_TM2,OR(TH!L2377="1111",TH!M2377="1111")),TH!D2377,""),"")</f>
        <v/>
      </c>
      <c r="B2377" s="36">
        <f t="shared" ref="B2377:B2385" si="333">IF(C2377&lt;&gt;"",MONTH(C2377),"")</f>
        <v>8</v>
      </c>
      <c r="C2377" s="190">
        <f t="shared" ref="C2377:C2385" si="334">E2377</f>
        <v>42611</v>
      </c>
      <c r="D2377" s="190" t="s">
        <v>1607</v>
      </c>
      <c r="E2377" s="190">
        <v>42611</v>
      </c>
      <c r="F2377" s="292" t="s">
        <v>1553</v>
      </c>
      <c r="G2377" s="833" t="s">
        <v>1537</v>
      </c>
      <c r="H2377" s="192" t="s">
        <v>1437</v>
      </c>
      <c r="I2377" s="253">
        <v>3</v>
      </c>
      <c r="J2377" s="253">
        <v>86360</v>
      </c>
      <c r="K2377" s="584">
        <f t="shared" si="332"/>
        <v>259080</v>
      </c>
      <c r="L2377" s="193" t="s">
        <v>251</v>
      </c>
      <c r="M2377" s="193" t="s">
        <v>164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52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>x</v>
      </c>
      <c r="AA2377" s="826"/>
      <c r="AB2377" s="576" t="str">
        <f>IF(VLOOKUP(F2377,NXT!$C$12:$C$786,1,0)=F2377,"","x")</f>
        <v/>
      </c>
    </row>
    <row r="2378" spans="1:30" ht="15.75" customHeight="1">
      <c r="A2378" s="827" t="str">
        <f>IF(B2378&lt;&gt;"",IF(AND(B2378&gt;=_TM1,B2378&lt;=_TM2,OR(TH!L2378="1111",TH!M2378="1111")),TH!D2378,""),"")</f>
        <v/>
      </c>
      <c r="B2378" s="36">
        <f t="shared" si="333"/>
        <v>8</v>
      </c>
      <c r="C2378" s="190">
        <f t="shared" si="334"/>
        <v>42611</v>
      </c>
      <c r="D2378" s="190" t="s">
        <v>1607</v>
      </c>
      <c r="E2378" s="190">
        <v>42611</v>
      </c>
      <c r="F2378" s="292" t="s">
        <v>1554</v>
      </c>
      <c r="G2378" s="833" t="s">
        <v>1537</v>
      </c>
      <c r="H2378" s="192" t="s">
        <v>1437</v>
      </c>
      <c r="I2378" s="253">
        <v>4</v>
      </c>
      <c r="J2378" s="253">
        <v>35123</v>
      </c>
      <c r="K2378" s="584">
        <f t="shared" si="332"/>
        <v>140492</v>
      </c>
      <c r="L2378" s="193" t="s">
        <v>251</v>
      </c>
      <c r="M2378" s="193" t="s">
        <v>164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52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>x</v>
      </c>
      <c r="AA2378" s="826"/>
      <c r="AB2378" s="576" t="str">
        <f>IF(VLOOKUP(F2378,NXT!$C$12:$C$786,1,0)=F2378,"","x")</f>
        <v/>
      </c>
      <c r="AD2378" s="576"/>
    </row>
    <row r="2379" spans="1:30" ht="15.75" customHeight="1">
      <c r="A2379" s="827" t="str">
        <f>IF(B2379&lt;&gt;"",IF(AND(B2379&gt;=_TM1,B2379&lt;=_TM2,OR(TH!L2379="1111",TH!M2379="1111")),TH!D2379,""),"")</f>
        <v/>
      </c>
      <c r="B2379" s="36">
        <f t="shared" si="333"/>
        <v>8</v>
      </c>
      <c r="C2379" s="190">
        <f t="shared" si="334"/>
        <v>42611</v>
      </c>
      <c r="D2379" s="190" t="s">
        <v>1607</v>
      </c>
      <c r="E2379" s="190">
        <v>42611</v>
      </c>
      <c r="F2379" s="292" t="s">
        <v>1555</v>
      </c>
      <c r="G2379" s="833" t="s">
        <v>1537</v>
      </c>
      <c r="H2379" s="192" t="s">
        <v>1437</v>
      </c>
      <c r="I2379" s="253">
        <v>4</v>
      </c>
      <c r="J2379" s="253">
        <v>47432</v>
      </c>
      <c r="K2379" s="584">
        <f t="shared" si="332"/>
        <v>189728</v>
      </c>
      <c r="L2379" s="193" t="s">
        <v>251</v>
      </c>
      <c r="M2379" s="193" t="s">
        <v>164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52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>x</v>
      </c>
      <c r="AA2379" s="826"/>
      <c r="AB2379" s="576" t="str">
        <f>IF(VLOOKUP(F2379,NXT!$C$12:$C$786,1,0)=F2379,"","x")</f>
        <v/>
      </c>
    </row>
    <row r="2380" spans="1:30" ht="15.75" customHeight="1">
      <c r="A2380" s="827" t="str">
        <f>IF(B2380&lt;&gt;"",IF(AND(B2380&gt;=_TM1,B2380&lt;=_TM2,OR(TH!L2380="1111",TH!M2380="1111")),TH!D2380,""),"")</f>
        <v/>
      </c>
      <c r="B2380" s="36">
        <f t="shared" si="333"/>
        <v>8</v>
      </c>
      <c r="C2380" s="190">
        <f t="shared" si="334"/>
        <v>42611</v>
      </c>
      <c r="D2380" s="190" t="s">
        <v>1607</v>
      </c>
      <c r="E2380" s="190">
        <v>42611</v>
      </c>
      <c r="F2380" s="292" t="s">
        <v>1556</v>
      </c>
      <c r="G2380" s="833" t="s">
        <v>1537</v>
      </c>
      <c r="H2380" s="192" t="s">
        <v>1437</v>
      </c>
      <c r="I2380" s="253">
        <v>20</v>
      </c>
      <c r="J2380" s="253">
        <v>48081</v>
      </c>
      <c r="K2380" s="584">
        <f t="shared" si="332"/>
        <v>961620</v>
      </c>
      <c r="L2380" s="193" t="s">
        <v>251</v>
      </c>
      <c r="M2380" s="193" t="s">
        <v>164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52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>x</v>
      </c>
      <c r="AA2380" s="826"/>
      <c r="AB2380" s="576" t="str">
        <f>IF(VLOOKUP(F2380,NXT!$C$12:$C$786,1,0)=F2380,"","x")</f>
        <v/>
      </c>
    </row>
    <row r="2381" spans="1:30" ht="15.75" customHeight="1">
      <c r="A2381" s="827" t="str">
        <f>IF(B2381&lt;&gt;"",IF(AND(B2381&gt;=_TM1,B2381&lt;=_TM2,OR(TH!L2381="1111",TH!M2381="1111")),TH!D2381,""),"")</f>
        <v/>
      </c>
      <c r="B2381" s="36">
        <f t="shared" si="333"/>
        <v>8</v>
      </c>
      <c r="C2381" s="190">
        <f t="shared" si="334"/>
        <v>42611</v>
      </c>
      <c r="D2381" s="190" t="s">
        <v>1607</v>
      </c>
      <c r="E2381" s="190">
        <v>42611</v>
      </c>
      <c r="F2381" s="292" t="s">
        <v>1543</v>
      </c>
      <c r="G2381" s="833" t="s">
        <v>1537</v>
      </c>
      <c r="H2381" s="192" t="s">
        <v>1437</v>
      </c>
      <c r="I2381" s="253">
        <v>1</v>
      </c>
      <c r="J2381" s="253">
        <v>31752</v>
      </c>
      <c r="K2381" s="584">
        <f t="shared" si="332"/>
        <v>31752</v>
      </c>
      <c r="L2381" s="193" t="s">
        <v>251</v>
      </c>
      <c r="M2381" s="193" t="s">
        <v>164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52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>x</v>
      </c>
      <c r="AA2381" s="826"/>
      <c r="AB2381" s="576" t="str">
        <f>IF(VLOOKUP(F2381,NXT!$C$12:$C$786,1,0)=F2381,"","x")</f>
        <v/>
      </c>
      <c r="AD2381" s="576"/>
    </row>
    <row r="2382" spans="1:30" ht="15.75" customHeight="1">
      <c r="A2382" s="827" t="str">
        <f>IF(B2382&lt;&gt;"",IF(AND(B2382&gt;=_TM1,B2382&lt;=_TM2,OR(TH!L2382="1111",TH!M2382="1111")),TH!D2382,""),"")</f>
        <v/>
      </c>
      <c r="B2382" s="36">
        <f t="shared" si="333"/>
        <v>8</v>
      </c>
      <c r="C2382" s="190">
        <f t="shared" si="334"/>
        <v>42611</v>
      </c>
      <c r="D2382" s="190" t="s">
        <v>1607</v>
      </c>
      <c r="E2382" s="190">
        <v>42611</v>
      </c>
      <c r="F2382" s="292" t="s">
        <v>1551</v>
      </c>
      <c r="G2382" s="833" t="s">
        <v>1537</v>
      </c>
      <c r="H2382" s="192" t="s">
        <v>1437</v>
      </c>
      <c r="I2382" s="253">
        <v>2</v>
      </c>
      <c r="J2382" s="253">
        <v>46446</v>
      </c>
      <c r="K2382" s="584">
        <f t="shared" si="332"/>
        <v>92892</v>
      </c>
      <c r="L2382" s="193" t="s">
        <v>251</v>
      </c>
      <c r="M2382" s="193" t="s">
        <v>164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52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>x</v>
      </c>
      <c r="AA2382" s="826"/>
      <c r="AB2382" s="576" t="str">
        <f>IF(VLOOKUP(F2382,NXT!$C$12:$C$786,1,0)=F2382,"","x")</f>
        <v/>
      </c>
    </row>
    <row r="2383" spans="1:30" ht="15.75" customHeight="1">
      <c r="A2383" s="827" t="str">
        <f>IF(B2383&lt;&gt;"",IF(AND(B2383&gt;=_TM1,B2383&lt;=_TM2,OR(TH!L2383="1111",TH!M2383="1111")),TH!D2383,""),"")</f>
        <v/>
      </c>
      <c r="B2383" s="36">
        <f t="shared" si="333"/>
        <v>8</v>
      </c>
      <c r="C2383" s="190">
        <f t="shared" si="334"/>
        <v>42611</v>
      </c>
      <c r="D2383" s="190" t="s">
        <v>1607</v>
      </c>
      <c r="E2383" s="190">
        <v>42611</v>
      </c>
      <c r="F2383" s="292" t="s">
        <v>1557</v>
      </c>
      <c r="G2383" s="833" t="s">
        <v>1537</v>
      </c>
      <c r="H2383" s="192" t="s">
        <v>1437</v>
      </c>
      <c r="I2383" s="253">
        <v>10</v>
      </c>
      <c r="J2383" s="253">
        <v>162435</v>
      </c>
      <c r="K2383" s="584">
        <f t="shared" si="332"/>
        <v>1624350</v>
      </c>
      <c r="L2383" s="193" t="s">
        <v>251</v>
      </c>
      <c r="M2383" s="193" t="s">
        <v>164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52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>x</v>
      </c>
      <c r="AA2383" s="826"/>
      <c r="AB2383" s="576" t="str">
        <f>IF(VLOOKUP(F2383,NXT!$C$12:$C$786,1,0)=F2383,"","x")</f>
        <v/>
      </c>
    </row>
    <row r="2384" spans="1:30" ht="15.75" customHeight="1">
      <c r="A2384" s="827" t="str">
        <f>IF(B2384&lt;&gt;"",IF(AND(B2384&gt;=_TM1,B2384&lt;=_TM2,OR(TH!L2384="1111",TH!M2384="1111")),TH!D2384,""),"")</f>
        <v/>
      </c>
      <c r="B2384" s="36">
        <f t="shared" si="333"/>
        <v>8</v>
      </c>
      <c r="C2384" s="190">
        <f t="shared" si="334"/>
        <v>42611</v>
      </c>
      <c r="D2384" s="190" t="s">
        <v>1607</v>
      </c>
      <c r="E2384" s="190">
        <v>42611</v>
      </c>
      <c r="F2384" s="292" t="s">
        <v>1558</v>
      </c>
      <c r="G2384" s="833" t="s">
        <v>1537</v>
      </c>
      <c r="H2384" s="192" t="s">
        <v>1437</v>
      </c>
      <c r="I2384" s="253">
        <v>10</v>
      </c>
      <c r="J2384" s="253">
        <v>27300</v>
      </c>
      <c r="K2384" s="584">
        <f t="shared" si="332"/>
        <v>273000</v>
      </c>
      <c r="L2384" s="193" t="s">
        <v>251</v>
      </c>
      <c r="M2384" s="193" t="s">
        <v>164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52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>x</v>
      </c>
      <c r="AA2384" s="826"/>
      <c r="AB2384" s="576" t="str">
        <f>IF(VLOOKUP(F2384,NXT!$C$12:$C$786,1,0)=F2384,"","x")</f>
        <v/>
      </c>
      <c r="AD2384" s="576"/>
    </row>
    <row r="2385" spans="1:30" ht="15.75" customHeight="1">
      <c r="A2385" s="827" t="str">
        <f>IF(B2385&lt;&gt;"",IF(AND(B2385&gt;=_TM1,B2385&lt;=_TM2,OR(TH!L2385="1111",TH!M2385="1111")),TH!D2385,""),"")</f>
        <v/>
      </c>
      <c r="B2385" s="36">
        <f t="shared" si="333"/>
        <v>8</v>
      </c>
      <c r="C2385" s="190">
        <f t="shared" si="334"/>
        <v>42611</v>
      </c>
      <c r="D2385" s="190" t="s">
        <v>1607</v>
      </c>
      <c r="E2385" s="190">
        <v>42611</v>
      </c>
      <c r="F2385" s="292" t="s">
        <v>1559</v>
      </c>
      <c r="G2385" s="833" t="s">
        <v>1537</v>
      </c>
      <c r="H2385" s="192" t="s">
        <v>1437</v>
      </c>
      <c r="I2385" s="253">
        <v>1</v>
      </c>
      <c r="J2385" s="253">
        <v>60100</v>
      </c>
      <c r="K2385" s="584">
        <f t="shared" si="332"/>
        <v>60100</v>
      </c>
      <c r="L2385" s="193" t="s">
        <v>251</v>
      </c>
      <c r="M2385" s="193" t="s">
        <v>164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52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>x</v>
      </c>
      <c r="AA2385" s="826"/>
      <c r="AB2385" s="576" t="str">
        <f>IF(VLOOKUP(F2385,NXT!$C$12:$C$786,1,0)=F2385,"","x")</f>
        <v/>
      </c>
    </row>
    <row r="2386" spans="1:30" ht="15.75" customHeight="1">
      <c r="A2386" s="827" t="str">
        <f>IF(B2386&lt;&gt;"",IF(AND(B2386&gt;=_TM1,B2386&lt;=_TM2,OR(TH!L2386="1111",TH!M2386="1111")),TH!D2386,""),"")</f>
        <v/>
      </c>
      <c r="B2386" s="36">
        <f t="shared" si="330"/>
        <v>8</v>
      </c>
      <c r="C2386" s="190">
        <f t="shared" si="331"/>
        <v>42611</v>
      </c>
      <c r="D2386" s="190" t="s">
        <v>1607</v>
      </c>
      <c r="E2386" s="190">
        <v>42611</v>
      </c>
      <c r="F2386" s="191" t="s">
        <v>461</v>
      </c>
      <c r="G2386" s="833" t="s">
        <v>1536</v>
      </c>
      <c r="H2386" s="192" t="s">
        <v>1437</v>
      </c>
      <c r="I2386" s="253"/>
      <c r="J2386" s="253"/>
      <c r="K2386" s="584">
        <v>1518834</v>
      </c>
      <c r="L2386" s="193" t="s">
        <v>251</v>
      </c>
      <c r="M2386" s="193" t="s">
        <v>354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52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>x</v>
      </c>
      <c r="AA2386" s="826"/>
      <c r="AB2386" s="576"/>
    </row>
    <row r="2387" spans="1:30" ht="15.75" customHeight="1">
      <c r="A2387" s="827" t="str">
        <f>IF(B2387&lt;&gt;"",IF(AND(B2387&gt;=_TM1,B2387&lt;=_TM2,OR(TH!L2387="1111",TH!M2387="1111")),TH!D2387,""),"")</f>
        <v/>
      </c>
      <c r="B2387" s="36">
        <f t="shared" si="330"/>
        <v>8</v>
      </c>
      <c r="C2387" s="190">
        <f t="shared" si="331"/>
        <v>42612</v>
      </c>
      <c r="D2387" s="190" t="s">
        <v>1608</v>
      </c>
      <c r="E2387" s="190">
        <v>42612</v>
      </c>
      <c r="F2387" s="292" t="s">
        <v>875</v>
      </c>
      <c r="G2387" s="833" t="s">
        <v>1537</v>
      </c>
      <c r="H2387" s="192" t="s">
        <v>678</v>
      </c>
      <c r="I2387" s="253">
        <v>12</v>
      </c>
      <c r="J2387" s="253">
        <v>50190</v>
      </c>
      <c r="K2387" s="584">
        <f t="shared" ref="K2387:K2411" si="335">ROUND(I2387*J2387,0)</f>
        <v>602280</v>
      </c>
      <c r="L2387" s="193" t="s">
        <v>251</v>
      </c>
      <c r="M2387" s="193" t="s">
        <v>164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52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>x</v>
      </c>
      <c r="AA2387" s="826"/>
      <c r="AB2387" s="576" t="str">
        <f>IF(VLOOKUP(F2387,NXT!$C$12:$C$786,1,0)=F2387,"","x")</f>
        <v/>
      </c>
    </row>
    <row r="2388" spans="1:30" ht="15.75" customHeight="1">
      <c r="A2388" s="827" t="str">
        <f>IF(B2388&lt;&gt;"",IF(AND(B2388&gt;=_TM1,B2388&lt;=_TM2,OR(TH!L2388="1111",TH!M2388="1111")),TH!D2388,""),"")</f>
        <v/>
      </c>
      <c r="B2388" s="36">
        <f t="shared" si="330"/>
        <v>8</v>
      </c>
      <c r="C2388" s="190">
        <f t="shared" si="331"/>
        <v>42612</v>
      </c>
      <c r="D2388" s="190" t="s">
        <v>1608</v>
      </c>
      <c r="E2388" s="190">
        <v>42612</v>
      </c>
      <c r="F2388" s="292" t="s">
        <v>493</v>
      </c>
      <c r="G2388" s="833" t="s">
        <v>1537</v>
      </c>
      <c r="H2388" s="192" t="s">
        <v>678</v>
      </c>
      <c r="I2388" s="253">
        <v>28</v>
      </c>
      <c r="J2388" s="253">
        <v>50190</v>
      </c>
      <c r="K2388" s="584">
        <f t="shared" si="335"/>
        <v>1405320</v>
      </c>
      <c r="L2388" s="193" t="s">
        <v>251</v>
      </c>
      <c r="M2388" s="193" t="s">
        <v>164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52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>x</v>
      </c>
      <c r="AA2388" s="826"/>
      <c r="AB2388" s="576" t="str">
        <f>IF(VLOOKUP(F2388,NXT!$C$12:$C$786,1,0)=F2388,"","x")</f>
        <v/>
      </c>
      <c r="AD2388" s="576"/>
    </row>
    <row r="2389" spans="1:30" ht="15.75" customHeight="1">
      <c r="A2389" s="827" t="str">
        <f>IF(B2389&lt;&gt;"",IF(AND(B2389&gt;=_TM1,B2389&lt;=_TM2,OR(TH!L2389="1111",TH!M2389="1111")),TH!D2389,""),"")</f>
        <v/>
      </c>
      <c r="B2389" s="36">
        <f t="shared" si="330"/>
        <v>8</v>
      </c>
      <c r="C2389" s="190">
        <f t="shared" si="331"/>
        <v>42612</v>
      </c>
      <c r="D2389" s="190" t="s">
        <v>1608</v>
      </c>
      <c r="E2389" s="190">
        <v>42612</v>
      </c>
      <c r="F2389" s="292" t="s">
        <v>468</v>
      </c>
      <c r="G2389" s="833" t="s">
        <v>1537</v>
      </c>
      <c r="H2389" s="192" t="s">
        <v>678</v>
      </c>
      <c r="I2389" s="253">
        <v>75</v>
      </c>
      <c r="J2389" s="253">
        <v>69654</v>
      </c>
      <c r="K2389" s="584">
        <f t="shared" si="335"/>
        <v>5224050</v>
      </c>
      <c r="L2389" s="193" t="s">
        <v>251</v>
      </c>
      <c r="M2389" s="193" t="s">
        <v>164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52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>x</v>
      </c>
      <c r="AA2389" s="826"/>
      <c r="AB2389" s="576" t="str">
        <f>IF(VLOOKUP(F2389,NXT!$C$12:$C$786,1,0)=F2389,"","x")</f>
        <v/>
      </c>
    </row>
    <row r="2390" spans="1:30" ht="15.75" customHeight="1">
      <c r="A2390" s="827" t="str">
        <f>IF(B2390&lt;&gt;"",IF(AND(B2390&gt;=_TM1,B2390&lt;=_TM2,OR(TH!L2390="1111",TH!M2390="1111")),TH!D2390,""),"")</f>
        <v/>
      </c>
      <c r="B2390" s="36">
        <f t="shared" si="330"/>
        <v>8</v>
      </c>
      <c r="C2390" s="190">
        <f t="shared" si="331"/>
        <v>42612</v>
      </c>
      <c r="D2390" s="190" t="s">
        <v>1608</v>
      </c>
      <c r="E2390" s="190">
        <v>42612</v>
      </c>
      <c r="F2390" s="292" t="s">
        <v>705</v>
      </c>
      <c r="G2390" s="833" t="s">
        <v>1537</v>
      </c>
      <c r="H2390" s="192" t="s">
        <v>678</v>
      </c>
      <c r="I2390" s="253">
        <v>56</v>
      </c>
      <c r="J2390" s="253">
        <v>40018</v>
      </c>
      <c r="K2390" s="584">
        <f t="shared" si="335"/>
        <v>2241008</v>
      </c>
      <c r="L2390" s="193" t="s">
        <v>251</v>
      </c>
      <c r="M2390" s="193" t="s">
        <v>164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52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>x</v>
      </c>
      <c r="AA2390" s="826"/>
      <c r="AB2390" s="576" t="str">
        <f>IF(VLOOKUP(F2390,NXT!$C$12:$C$786,1,0)=F2390,"","x")</f>
        <v/>
      </c>
    </row>
    <row r="2391" spans="1:30" ht="15.75" customHeight="1">
      <c r="A2391" s="827" t="str">
        <f>IF(B2391&lt;&gt;"",IF(AND(B2391&gt;=_TM1,B2391&lt;=_TM2,OR(TH!L2391="1111",TH!M2391="1111")),TH!D2391,""),"")</f>
        <v/>
      </c>
      <c r="B2391" s="36">
        <f t="shared" si="330"/>
        <v>8</v>
      </c>
      <c r="C2391" s="190">
        <f t="shared" si="331"/>
        <v>42612</v>
      </c>
      <c r="D2391" s="190" t="s">
        <v>1608</v>
      </c>
      <c r="E2391" s="190">
        <v>42612</v>
      </c>
      <c r="F2391" s="292" t="s">
        <v>470</v>
      </c>
      <c r="G2391" s="833" t="s">
        <v>1537</v>
      </c>
      <c r="H2391" s="192" t="s">
        <v>678</v>
      </c>
      <c r="I2391" s="253">
        <v>12</v>
      </c>
      <c r="J2391" s="253">
        <v>88115</v>
      </c>
      <c r="K2391" s="584">
        <f t="shared" si="335"/>
        <v>1057380</v>
      </c>
      <c r="L2391" s="193" t="s">
        <v>251</v>
      </c>
      <c r="M2391" s="193" t="s">
        <v>164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52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>x</v>
      </c>
      <c r="AA2391" s="826"/>
      <c r="AB2391" s="576" t="str">
        <f>IF(VLOOKUP(F2391,NXT!$C$12:$C$786,1,0)=F2391,"","x")</f>
        <v/>
      </c>
      <c r="AD2391" s="576"/>
    </row>
    <row r="2392" spans="1:30" ht="15.75" customHeight="1">
      <c r="A2392" s="827" t="str">
        <f>IF(B2392&lt;&gt;"",IF(AND(B2392&gt;=_TM1,B2392&lt;=_TM2,OR(TH!L2392="1111",TH!M2392="1111")),TH!D2392,""),"")</f>
        <v/>
      </c>
      <c r="B2392" s="36">
        <f t="shared" si="330"/>
        <v>8</v>
      </c>
      <c r="C2392" s="190">
        <f t="shared" si="331"/>
        <v>42612</v>
      </c>
      <c r="D2392" s="190" t="s">
        <v>1608</v>
      </c>
      <c r="E2392" s="190">
        <v>42612</v>
      </c>
      <c r="F2392" s="292" t="s">
        <v>464</v>
      </c>
      <c r="G2392" s="833" t="s">
        <v>1537</v>
      </c>
      <c r="H2392" s="192" t="s">
        <v>678</v>
      </c>
      <c r="I2392" s="253">
        <v>24</v>
      </c>
      <c r="J2392" s="253">
        <v>140025</v>
      </c>
      <c r="K2392" s="584">
        <f t="shared" si="335"/>
        <v>3360600</v>
      </c>
      <c r="L2392" s="193" t="s">
        <v>251</v>
      </c>
      <c r="M2392" s="193" t="s">
        <v>164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52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>x</v>
      </c>
      <c r="AA2392" s="826"/>
      <c r="AB2392" s="576" t="str">
        <f>IF(VLOOKUP(F2392,NXT!$C$12:$C$786,1,0)=F2392,"","x")</f>
        <v/>
      </c>
    </row>
    <row r="2393" spans="1:30" ht="15.75" customHeight="1">
      <c r="A2393" s="827" t="str">
        <f>IF(B2393&lt;&gt;"",IF(AND(B2393&gt;=_TM1,B2393&lt;=_TM2,OR(TH!L2393="1111",TH!M2393="1111")),TH!D2393,""),"")</f>
        <v/>
      </c>
      <c r="B2393" s="36">
        <f t="shared" ref="B2393:B2401" si="336">IF(C2393&lt;&gt;"",MONTH(C2393),"")</f>
        <v>8</v>
      </c>
      <c r="C2393" s="190">
        <f t="shared" ref="C2393:C2401" si="337">E2393</f>
        <v>42612</v>
      </c>
      <c r="D2393" s="190" t="s">
        <v>1608</v>
      </c>
      <c r="E2393" s="190">
        <v>42612</v>
      </c>
      <c r="F2393" s="292" t="s">
        <v>1560</v>
      </c>
      <c r="G2393" s="833" t="s">
        <v>1537</v>
      </c>
      <c r="H2393" s="192" t="s">
        <v>678</v>
      </c>
      <c r="I2393" s="253">
        <v>40</v>
      </c>
      <c r="J2393" s="253">
        <v>54424</v>
      </c>
      <c r="K2393" s="584">
        <f t="shared" ref="K2393:K2401" si="338">ROUND(I2393*J2393,0)</f>
        <v>2176960</v>
      </c>
      <c r="L2393" s="193" t="s">
        <v>251</v>
      </c>
      <c r="M2393" s="193" t="s">
        <v>164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52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>x</v>
      </c>
      <c r="AA2393" s="826"/>
      <c r="AB2393" s="576" t="str">
        <f>IF(VLOOKUP(F2393,NXT!$C$12:$C$786,1,0)=F2393,"","x")</f>
        <v/>
      </c>
    </row>
    <row r="2394" spans="1:30" ht="15.75" customHeight="1">
      <c r="A2394" s="827" t="str">
        <f>IF(B2394&lt;&gt;"",IF(AND(B2394&gt;=_TM1,B2394&lt;=_TM2,OR(TH!L2394="1111",TH!M2394="1111")),TH!D2394,""),"")</f>
        <v/>
      </c>
      <c r="B2394" s="36">
        <f t="shared" si="336"/>
        <v>8</v>
      </c>
      <c r="C2394" s="190">
        <f t="shared" si="337"/>
        <v>42612</v>
      </c>
      <c r="D2394" s="190" t="s">
        <v>1608</v>
      </c>
      <c r="E2394" s="190">
        <v>42612</v>
      </c>
      <c r="F2394" s="292" t="s">
        <v>552</v>
      </c>
      <c r="G2394" s="833" t="s">
        <v>1537</v>
      </c>
      <c r="H2394" s="192" t="s">
        <v>678</v>
      </c>
      <c r="I2394" s="253">
        <v>24</v>
      </c>
      <c r="J2394" s="253">
        <v>36391</v>
      </c>
      <c r="K2394" s="584">
        <f t="shared" si="338"/>
        <v>873384</v>
      </c>
      <c r="L2394" s="193" t="s">
        <v>251</v>
      </c>
      <c r="M2394" s="193" t="s">
        <v>164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52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>x</v>
      </c>
      <c r="AA2394" s="826"/>
      <c r="AB2394" s="576" t="str">
        <f>IF(VLOOKUP(F2394,NXT!$C$12:$C$786,1,0)=F2394,"","x")</f>
        <v/>
      </c>
      <c r="AD2394" s="576"/>
    </row>
    <row r="2395" spans="1:30" ht="15.75" customHeight="1">
      <c r="A2395" s="827" t="str">
        <f>IF(B2395&lt;&gt;"",IF(AND(B2395&gt;=_TM1,B2395&lt;=_TM2,OR(TH!L2395="1111",TH!M2395="1111")),TH!D2395,""),"")</f>
        <v/>
      </c>
      <c r="B2395" s="36">
        <f t="shared" si="336"/>
        <v>8</v>
      </c>
      <c r="C2395" s="190">
        <f t="shared" si="337"/>
        <v>42612</v>
      </c>
      <c r="D2395" s="190" t="s">
        <v>1608</v>
      </c>
      <c r="E2395" s="190">
        <v>42612</v>
      </c>
      <c r="F2395" s="292" t="s">
        <v>553</v>
      </c>
      <c r="G2395" s="833" t="s">
        <v>1537</v>
      </c>
      <c r="H2395" s="192" t="s">
        <v>678</v>
      </c>
      <c r="I2395" s="253">
        <v>24</v>
      </c>
      <c r="J2395" s="253">
        <v>41174</v>
      </c>
      <c r="K2395" s="584">
        <f t="shared" si="338"/>
        <v>988176</v>
      </c>
      <c r="L2395" s="193" t="s">
        <v>251</v>
      </c>
      <c r="M2395" s="193" t="s">
        <v>164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52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>x</v>
      </c>
      <c r="AA2395" s="826"/>
      <c r="AB2395" s="576" t="str">
        <f>IF(VLOOKUP(F2395,NXT!$C$12:$C$786,1,0)=F2395,"","x")</f>
        <v/>
      </c>
    </row>
    <row r="2396" spans="1:30" ht="15.75" customHeight="1">
      <c r="A2396" s="827" t="str">
        <f>IF(B2396&lt;&gt;"",IF(AND(B2396&gt;=_TM1,B2396&lt;=_TM2,OR(TH!L2396="1111",TH!M2396="1111")),TH!D2396,""),"")</f>
        <v/>
      </c>
      <c r="B2396" s="36">
        <f t="shared" si="336"/>
        <v>8</v>
      </c>
      <c r="C2396" s="190">
        <f t="shared" si="337"/>
        <v>42612</v>
      </c>
      <c r="D2396" s="190" t="s">
        <v>1608</v>
      </c>
      <c r="E2396" s="190">
        <v>42612</v>
      </c>
      <c r="F2396" s="292" t="s">
        <v>700</v>
      </c>
      <c r="G2396" s="833" t="s">
        <v>1537</v>
      </c>
      <c r="H2396" s="192" t="s">
        <v>678</v>
      </c>
      <c r="I2396" s="253">
        <v>36</v>
      </c>
      <c r="J2396" s="253">
        <v>20772</v>
      </c>
      <c r="K2396" s="584">
        <f t="shared" si="338"/>
        <v>747792</v>
      </c>
      <c r="L2396" s="193" t="s">
        <v>251</v>
      </c>
      <c r="M2396" s="193" t="s">
        <v>164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52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>x</v>
      </c>
      <c r="AA2396" s="826"/>
      <c r="AB2396" s="576" t="str">
        <f>IF(VLOOKUP(F2396,NXT!$C$12:$C$786,1,0)=F2396,"","x")</f>
        <v/>
      </c>
    </row>
    <row r="2397" spans="1:30" ht="15.75" customHeight="1">
      <c r="A2397" s="827" t="str">
        <f>IF(B2397&lt;&gt;"",IF(AND(B2397&gt;=_TM1,B2397&lt;=_TM2,OR(TH!L2397="1111",TH!M2397="1111")),TH!D2397,""),"")</f>
        <v/>
      </c>
      <c r="B2397" s="36">
        <f t="shared" si="336"/>
        <v>8</v>
      </c>
      <c r="C2397" s="190">
        <f t="shared" si="337"/>
        <v>42612</v>
      </c>
      <c r="D2397" s="190" t="s">
        <v>1608</v>
      </c>
      <c r="E2397" s="190">
        <v>42612</v>
      </c>
      <c r="F2397" s="292" t="s">
        <v>1561</v>
      </c>
      <c r="G2397" s="833" t="s">
        <v>1537</v>
      </c>
      <c r="H2397" s="192" t="s">
        <v>678</v>
      </c>
      <c r="I2397" s="253">
        <v>18</v>
      </c>
      <c r="J2397" s="253">
        <v>20993</v>
      </c>
      <c r="K2397" s="584">
        <f t="shared" si="338"/>
        <v>377874</v>
      </c>
      <c r="L2397" s="193" t="s">
        <v>251</v>
      </c>
      <c r="M2397" s="193" t="s">
        <v>164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52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>x</v>
      </c>
      <c r="AA2397" s="826"/>
      <c r="AB2397" s="576" t="str">
        <f>IF(VLOOKUP(F2397,NXT!$C$12:$C$786,1,0)=F2397,"","x")</f>
        <v/>
      </c>
      <c r="AD2397" s="576"/>
    </row>
    <row r="2398" spans="1:30" ht="15.75" customHeight="1">
      <c r="A2398" s="827" t="str">
        <f>IF(B2398&lt;&gt;"",IF(AND(B2398&gt;=_TM1,B2398&lt;=_TM2,OR(TH!L2398="1111",TH!M2398="1111")),TH!D2398,""),"")</f>
        <v/>
      </c>
      <c r="B2398" s="36">
        <f t="shared" si="336"/>
        <v>8</v>
      </c>
      <c r="C2398" s="190">
        <f t="shared" si="337"/>
        <v>42612</v>
      </c>
      <c r="D2398" s="190" t="s">
        <v>1608</v>
      </c>
      <c r="E2398" s="190">
        <v>42612</v>
      </c>
      <c r="F2398" s="292" t="s">
        <v>565</v>
      </c>
      <c r="G2398" s="833" t="s">
        <v>1537</v>
      </c>
      <c r="H2398" s="192" t="s">
        <v>678</v>
      </c>
      <c r="I2398" s="253">
        <v>24</v>
      </c>
      <c r="J2398" s="253">
        <v>9919</v>
      </c>
      <c r="K2398" s="584">
        <f t="shared" si="338"/>
        <v>238056</v>
      </c>
      <c r="L2398" s="193" t="s">
        <v>251</v>
      </c>
      <c r="M2398" s="193" t="s">
        <v>164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52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>x</v>
      </c>
      <c r="AA2398" s="826"/>
      <c r="AB2398" s="576" t="str">
        <f>IF(VLOOKUP(F2398,NXT!$C$12:$C$786,1,0)=F2398,"","x")</f>
        <v/>
      </c>
    </row>
    <row r="2399" spans="1:30" ht="15.75" customHeight="1">
      <c r="A2399" s="827" t="str">
        <f>IF(B2399&lt;&gt;"",IF(AND(B2399&gt;=_TM1,B2399&lt;=_TM2,OR(TH!L2399="1111",TH!M2399="1111")),TH!D2399,""),"")</f>
        <v/>
      </c>
      <c r="B2399" s="36">
        <f t="shared" si="336"/>
        <v>8</v>
      </c>
      <c r="C2399" s="190">
        <f t="shared" si="337"/>
        <v>42612</v>
      </c>
      <c r="D2399" s="190" t="s">
        <v>1608</v>
      </c>
      <c r="E2399" s="190">
        <v>42612</v>
      </c>
      <c r="F2399" s="292" t="s">
        <v>807</v>
      </c>
      <c r="G2399" s="833" t="s">
        <v>1537</v>
      </c>
      <c r="H2399" s="192" t="s">
        <v>678</v>
      </c>
      <c r="I2399" s="253">
        <v>12</v>
      </c>
      <c r="J2399" s="253">
        <v>7963</v>
      </c>
      <c r="K2399" s="584">
        <f t="shared" si="338"/>
        <v>95556</v>
      </c>
      <c r="L2399" s="193" t="s">
        <v>251</v>
      </c>
      <c r="M2399" s="193" t="s">
        <v>164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52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>x</v>
      </c>
      <c r="AA2399" s="826"/>
      <c r="AB2399" s="576" t="str">
        <f>IF(VLOOKUP(F2399,NXT!$C$12:$C$786,1,0)=F2399,"","x")</f>
        <v/>
      </c>
    </row>
    <row r="2400" spans="1:30" ht="15.75" customHeight="1">
      <c r="A2400" s="827" t="str">
        <f>IF(B2400&lt;&gt;"",IF(AND(B2400&gt;=_TM1,B2400&lt;=_TM2,OR(TH!L2400="1111",TH!M2400="1111")),TH!D2400,""),"")</f>
        <v/>
      </c>
      <c r="B2400" s="36">
        <f t="shared" si="336"/>
        <v>8</v>
      </c>
      <c r="C2400" s="190">
        <f t="shared" si="337"/>
        <v>42612</v>
      </c>
      <c r="D2400" s="190" t="s">
        <v>1608</v>
      </c>
      <c r="E2400" s="190">
        <v>42612</v>
      </c>
      <c r="F2400" s="292" t="s">
        <v>1562</v>
      </c>
      <c r="G2400" s="833" t="s">
        <v>1537</v>
      </c>
      <c r="H2400" s="192" t="s">
        <v>678</v>
      </c>
      <c r="I2400" s="253">
        <v>12</v>
      </c>
      <c r="J2400" s="253">
        <v>10721</v>
      </c>
      <c r="K2400" s="584">
        <f t="shared" si="338"/>
        <v>128652</v>
      </c>
      <c r="L2400" s="193" t="s">
        <v>251</v>
      </c>
      <c r="M2400" s="193" t="s">
        <v>164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52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>x</v>
      </c>
      <c r="AA2400" s="826"/>
      <c r="AB2400" s="576" t="str">
        <f>IF(VLOOKUP(F2400,NXT!$C$12:$C$786,1,0)=F2400,"","x")</f>
        <v/>
      </c>
      <c r="AD2400" s="576"/>
    </row>
    <row r="2401" spans="1:30" ht="15.75" customHeight="1">
      <c r="A2401" s="827" t="str">
        <f>IF(B2401&lt;&gt;"",IF(AND(B2401&gt;=_TM1,B2401&lt;=_TM2,OR(TH!L2401="1111",TH!M2401="1111")),TH!D2401,""),"")</f>
        <v/>
      </c>
      <c r="B2401" s="36">
        <f t="shared" si="336"/>
        <v>8</v>
      </c>
      <c r="C2401" s="190">
        <f t="shared" si="337"/>
        <v>42612</v>
      </c>
      <c r="D2401" s="190" t="s">
        <v>1608</v>
      </c>
      <c r="E2401" s="190">
        <v>42612</v>
      </c>
      <c r="F2401" s="292" t="s">
        <v>1563</v>
      </c>
      <c r="G2401" s="833" t="s">
        <v>1537</v>
      </c>
      <c r="H2401" s="192" t="s">
        <v>678</v>
      </c>
      <c r="I2401" s="253">
        <v>18</v>
      </c>
      <c r="J2401" s="253">
        <v>7998</v>
      </c>
      <c r="K2401" s="584">
        <f t="shared" si="338"/>
        <v>143964</v>
      </c>
      <c r="L2401" s="193" t="s">
        <v>251</v>
      </c>
      <c r="M2401" s="193" t="s">
        <v>164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52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>x</v>
      </c>
      <c r="AA2401" s="826"/>
      <c r="AB2401" s="576" t="str">
        <f>IF(VLOOKUP(F2401,NXT!$C$12:$C$786,1,0)=F2401,"","x")</f>
        <v/>
      </c>
    </row>
    <row r="2402" spans="1:30" ht="15.75" customHeight="1">
      <c r="A2402" s="827" t="str">
        <f>IF(B2402&lt;&gt;"",IF(AND(B2402&gt;=_TM1,B2402&lt;=_TM2,OR(TH!L2402="1111",TH!M2402="1111")),TH!D2402,""),"")</f>
        <v/>
      </c>
      <c r="B2402" s="36">
        <f t="shared" si="330"/>
        <v>8</v>
      </c>
      <c r="C2402" s="190">
        <f t="shared" si="331"/>
        <v>42612</v>
      </c>
      <c r="D2402" s="190" t="s">
        <v>1608</v>
      </c>
      <c r="E2402" s="190">
        <v>42612</v>
      </c>
      <c r="F2402" s="292" t="s">
        <v>1564</v>
      </c>
      <c r="G2402" s="833" t="s">
        <v>1537</v>
      </c>
      <c r="H2402" s="192" t="s">
        <v>678</v>
      </c>
      <c r="I2402" s="253">
        <v>25</v>
      </c>
      <c r="J2402" s="253">
        <v>8656</v>
      </c>
      <c r="K2402" s="584">
        <f t="shared" si="335"/>
        <v>216400</v>
      </c>
      <c r="L2402" s="193" t="s">
        <v>251</v>
      </c>
      <c r="M2402" s="193" t="s">
        <v>164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52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>x</v>
      </c>
      <c r="AA2402" s="826"/>
      <c r="AB2402" s="576" t="str">
        <f>IF(VLOOKUP(F2402,NXT!$C$12:$C$786,1,0)=F2402,"","x")</f>
        <v/>
      </c>
    </row>
    <row r="2403" spans="1:30" ht="15.75" customHeight="1">
      <c r="A2403" s="827" t="str">
        <f>IF(B2403&lt;&gt;"",IF(AND(B2403&gt;=_TM1,B2403&lt;=_TM2,OR(TH!L2403="1111",TH!M2403="1111")),TH!D2403,""),"")</f>
        <v/>
      </c>
      <c r="B2403" s="36">
        <f t="shared" si="330"/>
        <v>8</v>
      </c>
      <c r="C2403" s="190">
        <f t="shared" si="331"/>
        <v>42612</v>
      </c>
      <c r="D2403" s="190" t="s">
        <v>1608</v>
      </c>
      <c r="E2403" s="190">
        <v>42612</v>
      </c>
      <c r="F2403" s="292" t="s">
        <v>1565</v>
      </c>
      <c r="G2403" s="833" t="s">
        <v>1537</v>
      </c>
      <c r="H2403" s="192" t="s">
        <v>678</v>
      </c>
      <c r="I2403" s="253">
        <v>10</v>
      </c>
      <c r="J2403" s="253">
        <v>75286</v>
      </c>
      <c r="K2403" s="584">
        <f t="shared" si="335"/>
        <v>752860</v>
      </c>
      <c r="L2403" s="193" t="s">
        <v>251</v>
      </c>
      <c r="M2403" s="193" t="s">
        <v>164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52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>x</v>
      </c>
      <c r="AA2403" s="826"/>
      <c r="AB2403" s="576" t="str">
        <f>IF(VLOOKUP(F2403,NXT!$C$12:$C$786,1,0)=F2403,"","x")</f>
        <v/>
      </c>
      <c r="AD2403" s="576"/>
    </row>
    <row r="2404" spans="1:30" ht="15.75" customHeight="1">
      <c r="A2404" s="827" t="str">
        <f>IF(B2404&lt;&gt;"",IF(AND(B2404&gt;=_TM1,B2404&lt;=_TM2,OR(TH!L2404="1111",TH!M2404="1111")),TH!D2404,""),"")</f>
        <v/>
      </c>
      <c r="B2404" s="36">
        <f t="shared" si="330"/>
        <v>8</v>
      </c>
      <c r="C2404" s="190">
        <f t="shared" si="331"/>
        <v>42612</v>
      </c>
      <c r="D2404" s="190" t="s">
        <v>1608</v>
      </c>
      <c r="E2404" s="190">
        <v>42612</v>
      </c>
      <c r="F2404" s="292" t="s">
        <v>503</v>
      </c>
      <c r="G2404" s="833" t="s">
        <v>1537</v>
      </c>
      <c r="H2404" s="192" t="s">
        <v>678</v>
      </c>
      <c r="I2404" s="253">
        <v>30</v>
      </c>
      <c r="J2404" s="253">
        <v>25481</v>
      </c>
      <c r="K2404" s="584">
        <f t="shared" si="335"/>
        <v>764430</v>
      </c>
      <c r="L2404" s="193" t="s">
        <v>251</v>
      </c>
      <c r="M2404" s="193" t="s">
        <v>164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52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>x</v>
      </c>
      <c r="AA2404" s="826"/>
      <c r="AB2404" s="576" t="str">
        <f>IF(VLOOKUP(F2404,NXT!$C$12:$C$786,1,0)=F2404,"","x")</f>
        <v/>
      </c>
    </row>
    <row r="2405" spans="1:30" ht="15.75" customHeight="1">
      <c r="A2405" s="827" t="str">
        <f>IF(B2405&lt;&gt;"",IF(AND(B2405&gt;=_TM1,B2405&lt;=_TM2,OR(TH!L2405="1111",TH!M2405="1111")),TH!D2405,""),"")</f>
        <v/>
      </c>
      <c r="B2405" s="36">
        <f t="shared" si="330"/>
        <v>8</v>
      </c>
      <c r="C2405" s="190">
        <f t="shared" si="331"/>
        <v>42612</v>
      </c>
      <c r="D2405" s="190" t="s">
        <v>1608</v>
      </c>
      <c r="E2405" s="190">
        <v>42612</v>
      </c>
      <c r="F2405" s="191" t="s">
        <v>511</v>
      </c>
      <c r="G2405" s="833" t="s">
        <v>1537</v>
      </c>
      <c r="H2405" s="192" t="s">
        <v>678</v>
      </c>
      <c r="I2405" s="253">
        <v>64</v>
      </c>
      <c r="J2405" s="253">
        <v>20239</v>
      </c>
      <c r="K2405" s="584">
        <f t="shared" si="335"/>
        <v>1295296</v>
      </c>
      <c r="L2405" s="193" t="s">
        <v>251</v>
      </c>
      <c r="M2405" s="193" t="s">
        <v>164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52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>x</v>
      </c>
      <c r="AA2405" s="826"/>
      <c r="AB2405" s="576" t="str">
        <f>IF(VLOOKUP(F2405,NXT!$C$12:$C$786,1,0)=F2405,"","x")</f>
        <v/>
      </c>
    </row>
    <row r="2406" spans="1:30" ht="15.75" customHeight="1">
      <c r="A2406" s="827" t="str">
        <f>IF(B2406&lt;&gt;"",IF(AND(B2406&gt;=_TM1,B2406&lt;=_TM2,OR(TH!L2406="1111",TH!M2406="1111")),TH!D2406,""),"")</f>
        <v/>
      </c>
      <c r="B2406" s="36">
        <f t="shared" si="330"/>
        <v>8</v>
      </c>
      <c r="C2406" s="190">
        <f t="shared" si="331"/>
        <v>42612</v>
      </c>
      <c r="D2406" s="190" t="s">
        <v>1608</v>
      </c>
      <c r="E2406" s="190">
        <v>42612</v>
      </c>
      <c r="F2406" s="292" t="s">
        <v>1566</v>
      </c>
      <c r="G2406" s="833" t="s">
        <v>1537</v>
      </c>
      <c r="H2406" s="192" t="s">
        <v>678</v>
      </c>
      <c r="I2406" s="253">
        <v>20</v>
      </c>
      <c r="J2406" s="253">
        <v>51595</v>
      </c>
      <c r="K2406" s="584">
        <f t="shared" si="335"/>
        <v>1031900</v>
      </c>
      <c r="L2406" s="193" t="s">
        <v>251</v>
      </c>
      <c r="M2406" s="193" t="s">
        <v>164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52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>x</v>
      </c>
      <c r="AA2406" s="826"/>
      <c r="AB2406" s="576" t="str">
        <f>IF(VLOOKUP(F2406,NXT!$C$12:$C$786,1,0)=F2406,"","x")</f>
        <v/>
      </c>
      <c r="AD2406" s="576"/>
    </row>
    <row r="2407" spans="1:30" ht="15.75" customHeight="1">
      <c r="A2407" s="827" t="str">
        <f>IF(B2407&lt;&gt;"",IF(AND(B2407&gt;=_TM1,B2407&lt;=_TM2,OR(TH!L2407="1111",TH!M2407="1111")),TH!D2407,""),"")</f>
        <v/>
      </c>
      <c r="B2407" s="36">
        <f t="shared" si="330"/>
        <v>8</v>
      </c>
      <c r="C2407" s="190">
        <f t="shared" si="331"/>
        <v>42612</v>
      </c>
      <c r="D2407" s="190" t="s">
        <v>1608</v>
      </c>
      <c r="E2407" s="190">
        <v>42612</v>
      </c>
      <c r="F2407" s="292" t="s">
        <v>1567</v>
      </c>
      <c r="G2407" s="833" t="s">
        <v>1537</v>
      </c>
      <c r="H2407" s="192" t="s">
        <v>678</v>
      </c>
      <c r="I2407" s="253">
        <v>53</v>
      </c>
      <c r="J2407" s="253">
        <v>26873</v>
      </c>
      <c r="K2407" s="584">
        <f t="shared" si="335"/>
        <v>1424269</v>
      </c>
      <c r="L2407" s="193" t="s">
        <v>251</v>
      </c>
      <c r="M2407" s="193" t="s">
        <v>164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52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>x</v>
      </c>
      <c r="AA2407" s="826"/>
      <c r="AB2407" s="576" t="str">
        <f>IF(VLOOKUP(F2407,NXT!$C$12:$C$786,1,0)=F2407,"","x")</f>
        <v/>
      </c>
    </row>
    <row r="2408" spans="1:30" ht="15.75" customHeight="1">
      <c r="A2408" s="827" t="str">
        <f>IF(B2408&lt;&gt;"",IF(AND(B2408&gt;=_TM1,B2408&lt;=_TM2,OR(TH!L2408="1111",TH!M2408="1111")),TH!D2408,""),"")</f>
        <v/>
      </c>
      <c r="B2408" s="36">
        <f t="shared" si="330"/>
        <v>8</v>
      </c>
      <c r="C2408" s="190">
        <f t="shared" si="331"/>
        <v>42612</v>
      </c>
      <c r="D2408" s="190" t="s">
        <v>1608</v>
      </c>
      <c r="E2408" s="190">
        <v>42612</v>
      </c>
      <c r="F2408" s="292" t="s">
        <v>489</v>
      </c>
      <c r="G2408" s="833" t="s">
        <v>1537</v>
      </c>
      <c r="H2408" s="192" t="s">
        <v>678</v>
      </c>
      <c r="I2408" s="253">
        <v>18</v>
      </c>
      <c r="J2408" s="253">
        <v>38130</v>
      </c>
      <c r="K2408" s="584">
        <f t="shared" si="335"/>
        <v>686340</v>
      </c>
      <c r="L2408" s="193" t="s">
        <v>251</v>
      </c>
      <c r="M2408" s="193" t="s">
        <v>164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52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>x</v>
      </c>
      <c r="AA2408" s="826"/>
      <c r="AB2408" s="576" t="str">
        <f>IF(VLOOKUP(F2408,NXT!$C$12:$C$786,1,0)=F2408,"","x")</f>
        <v/>
      </c>
    </row>
    <row r="2409" spans="1:30" ht="15.75" customHeight="1">
      <c r="A2409" s="827" t="str">
        <f>IF(B2409&lt;&gt;"",IF(AND(B2409&gt;=_TM1,B2409&lt;=_TM2,OR(TH!L2409="1111",TH!M2409="1111")),TH!D2409,""),"")</f>
        <v/>
      </c>
      <c r="B2409" s="36">
        <f t="shared" si="330"/>
        <v>8</v>
      </c>
      <c r="C2409" s="190">
        <f t="shared" si="331"/>
        <v>42612</v>
      </c>
      <c r="D2409" s="190" t="s">
        <v>1608</v>
      </c>
      <c r="E2409" s="190">
        <v>42612</v>
      </c>
      <c r="F2409" s="292" t="s">
        <v>871</v>
      </c>
      <c r="G2409" s="833" t="s">
        <v>1537</v>
      </c>
      <c r="H2409" s="192" t="s">
        <v>678</v>
      </c>
      <c r="I2409" s="253">
        <v>10</v>
      </c>
      <c r="J2409" s="253">
        <v>40602</v>
      </c>
      <c r="K2409" s="584">
        <f t="shared" si="335"/>
        <v>406020</v>
      </c>
      <c r="L2409" s="193" t="s">
        <v>251</v>
      </c>
      <c r="M2409" s="193" t="s">
        <v>164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52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>x</v>
      </c>
      <c r="AA2409" s="826"/>
      <c r="AB2409" s="576" t="str">
        <f>IF(VLOOKUP(F2409,NXT!$C$12:$C$786,1,0)=F2409,"","x")</f>
        <v/>
      </c>
      <c r="AD2409" s="576"/>
    </row>
    <row r="2410" spans="1:30" ht="15.75" customHeight="1">
      <c r="A2410" s="827" t="str">
        <f>IF(B2410&lt;&gt;"",IF(AND(B2410&gt;=_TM1,B2410&lt;=_TM2,OR(TH!L2410="1111",TH!M2410="1111")),TH!D2410,""),"")</f>
        <v/>
      </c>
      <c r="B2410" s="36">
        <f t="shared" si="330"/>
        <v>8</v>
      </c>
      <c r="C2410" s="190">
        <f t="shared" si="331"/>
        <v>42612</v>
      </c>
      <c r="D2410" s="190" t="s">
        <v>1608</v>
      </c>
      <c r="E2410" s="190">
        <v>42612</v>
      </c>
      <c r="F2410" s="292" t="s">
        <v>1004</v>
      </c>
      <c r="G2410" s="833" t="s">
        <v>1537</v>
      </c>
      <c r="H2410" s="192" t="s">
        <v>678</v>
      </c>
      <c r="I2410" s="253">
        <v>50</v>
      </c>
      <c r="J2410" s="253">
        <v>41758</v>
      </c>
      <c r="K2410" s="584">
        <f t="shared" si="335"/>
        <v>2087900</v>
      </c>
      <c r="L2410" s="193" t="s">
        <v>251</v>
      </c>
      <c r="M2410" s="193" t="s">
        <v>164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52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>x</v>
      </c>
      <c r="AA2410" s="826"/>
      <c r="AB2410" s="576" t="str">
        <f>IF(VLOOKUP(F2410,NXT!$C$12:$C$786,1,0)=F2410,"","x")</f>
        <v/>
      </c>
    </row>
    <row r="2411" spans="1:30" ht="15.75" customHeight="1">
      <c r="A2411" s="827" t="str">
        <f>IF(B2411&lt;&gt;"",IF(AND(B2411&gt;=_TM1,B2411&lt;=_TM2,OR(TH!L2411="1111",TH!M2411="1111")),TH!D2411,""),"")</f>
        <v/>
      </c>
      <c r="B2411" s="36">
        <f t="shared" si="330"/>
        <v>8</v>
      </c>
      <c r="C2411" s="190">
        <f t="shared" si="331"/>
        <v>42612</v>
      </c>
      <c r="D2411" s="190" t="s">
        <v>1608</v>
      </c>
      <c r="E2411" s="190">
        <v>42612</v>
      </c>
      <c r="F2411" s="292" t="s">
        <v>1004</v>
      </c>
      <c r="G2411" s="833" t="s">
        <v>1537</v>
      </c>
      <c r="H2411" s="192" t="s">
        <v>678</v>
      </c>
      <c r="I2411" s="253">
        <v>24</v>
      </c>
      <c r="J2411" s="253">
        <v>41758</v>
      </c>
      <c r="K2411" s="584">
        <f t="shared" si="335"/>
        <v>1002192</v>
      </c>
      <c r="L2411" s="193" t="s">
        <v>251</v>
      </c>
      <c r="M2411" s="193" t="s">
        <v>164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52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>x</v>
      </c>
      <c r="AA2411" s="826"/>
      <c r="AB2411" s="576" t="str">
        <f>IF(VLOOKUP(F2411,NXT!$C$12:$C$786,1,0)=F2411,"","x")</f>
        <v/>
      </c>
    </row>
    <row r="2412" spans="1:30" ht="15.75" customHeight="1">
      <c r="A2412" s="827" t="str">
        <f>IF(B2412&lt;&gt;"",IF(AND(B2412&gt;=_TM1,B2412&lt;=_TM2,OR(TH!L2412="1111",TH!M2412="1111")),TH!D2412,""),"")</f>
        <v/>
      </c>
      <c r="B2412" s="36">
        <f t="shared" ref="B2412:B2427" si="339">IF(C2412&lt;&gt;"",MONTH(C2412),"")</f>
        <v>8</v>
      </c>
      <c r="C2412" s="190">
        <f t="shared" ref="C2412:C2427" si="340">E2412</f>
        <v>42612</v>
      </c>
      <c r="D2412" s="190" t="s">
        <v>1608</v>
      </c>
      <c r="E2412" s="190">
        <v>42612</v>
      </c>
      <c r="F2412" s="292" t="s">
        <v>1568</v>
      </c>
      <c r="G2412" s="833" t="s">
        <v>1537</v>
      </c>
      <c r="H2412" s="192" t="s">
        <v>678</v>
      </c>
      <c r="I2412" s="253">
        <v>18</v>
      </c>
      <c r="J2412" s="253">
        <v>74012</v>
      </c>
      <c r="K2412" s="584">
        <f t="shared" ref="K2412:K2427" si="341">ROUND(I2412*J2412,0)</f>
        <v>1332216</v>
      </c>
      <c r="L2412" s="193" t="s">
        <v>251</v>
      </c>
      <c r="M2412" s="193" t="s">
        <v>164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52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>x</v>
      </c>
      <c r="AA2412" s="826"/>
      <c r="AB2412" s="576" t="str">
        <f>IF(VLOOKUP(F2412,NXT!$C$12:$C$786,1,0)=F2412,"","x")</f>
        <v/>
      </c>
    </row>
    <row r="2413" spans="1:30" ht="15.75" customHeight="1">
      <c r="A2413" s="827" t="str">
        <f>IF(B2413&lt;&gt;"",IF(AND(B2413&gt;=_TM1,B2413&lt;=_TM2,OR(TH!L2413="1111",TH!M2413="1111")),TH!D2413,""),"")</f>
        <v/>
      </c>
      <c r="B2413" s="36">
        <f t="shared" si="339"/>
        <v>8</v>
      </c>
      <c r="C2413" s="190">
        <f t="shared" si="340"/>
        <v>42612</v>
      </c>
      <c r="D2413" s="190" t="s">
        <v>1608</v>
      </c>
      <c r="E2413" s="190">
        <v>42612</v>
      </c>
      <c r="F2413" s="292" t="s">
        <v>1568</v>
      </c>
      <c r="G2413" s="833" t="s">
        <v>1537</v>
      </c>
      <c r="H2413" s="192" t="s">
        <v>678</v>
      </c>
      <c r="I2413" s="253">
        <v>20</v>
      </c>
      <c r="J2413" s="253">
        <v>75012</v>
      </c>
      <c r="K2413" s="584">
        <f t="shared" si="341"/>
        <v>1500240</v>
      </c>
      <c r="L2413" s="193" t="s">
        <v>251</v>
      </c>
      <c r="M2413" s="193" t="s">
        <v>164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52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>x</v>
      </c>
      <c r="AA2413" s="826"/>
      <c r="AB2413" s="576" t="str">
        <f>IF(VLOOKUP(F2413,NXT!$C$12:$C$786,1,0)=F2413,"","x")</f>
        <v/>
      </c>
      <c r="AD2413" s="576"/>
    </row>
    <row r="2414" spans="1:30" ht="15.75" customHeight="1">
      <c r="A2414" s="827" t="str">
        <f>IF(B2414&lt;&gt;"",IF(AND(B2414&gt;=_TM1,B2414&lt;=_TM2,OR(TH!L2414="1111",TH!M2414="1111")),TH!D2414,""),"")</f>
        <v/>
      </c>
      <c r="B2414" s="36">
        <f t="shared" si="339"/>
        <v>8</v>
      </c>
      <c r="C2414" s="190">
        <f t="shared" si="340"/>
        <v>42612</v>
      </c>
      <c r="D2414" s="190" t="s">
        <v>1608</v>
      </c>
      <c r="E2414" s="190">
        <v>42612</v>
      </c>
      <c r="F2414" s="292" t="s">
        <v>1569</v>
      </c>
      <c r="G2414" s="833" t="s">
        <v>1537</v>
      </c>
      <c r="H2414" s="192" t="s">
        <v>678</v>
      </c>
      <c r="I2414" s="253">
        <v>10</v>
      </c>
      <c r="J2414" s="253">
        <v>56003</v>
      </c>
      <c r="K2414" s="584">
        <f t="shared" si="341"/>
        <v>560030</v>
      </c>
      <c r="L2414" s="193" t="s">
        <v>251</v>
      </c>
      <c r="M2414" s="193" t="s">
        <v>164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52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>x</v>
      </c>
      <c r="AA2414" s="826"/>
      <c r="AB2414" s="576" t="str">
        <f>IF(VLOOKUP(F2414,NXT!$C$12:$C$786,1,0)=F2414,"","x")</f>
        <v/>
      </c>
    </row>
    <row r="2415" spans="1:30" ht="15.75" customHeight="1">
      <c r="A2415" s="827" t="str">
        <f>IF(B2415&lt;&gt;"",IF(AND(B2415&gt;=_TM1,B2415&lt;=_TM2,OR(TH!L2415="1111",TH!M2415="1111")),TH!D2415,""),"")</f>
        <v/>
      </c>
      <c r="B2415" s="36">
        <f t="shared" si="339"/>
        <v>8</v>
      </c>
      <c r="C2415" s="190">
        <f t="shared" si="340"/>
        <v>42612</v>
      </c>
      <c r="D2415" s="190" t="s">
        <v>1608</v>
      </c>
      <c r="E2415" s="190">
        <v>42612</v>
      </c>
      <c r="F2415" s="292" t="s">
        <v>542</v>
      </c>
      <c r="G2415" s="833" t="s">
        <v>1537</v>
      </c>
      <c r="H2415" s="192" t="s">
        <v>678</v>
      </c>
      <c r="I2415" s="253">
        <v>8</v>
      </c>
      <c r="J2415" s="253">
        <v>46570</v>
      </c>
      <c r="K2415" s="584">
        <f t="shared" si="341"/>
        <v>372560</v>
      </c>
      <c r="L2415" s="193" t="s">
        <v>251</v>
      </c>
      <c r="M2415" s="193" t="s">
        <v>164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52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>x</v>
      </c>
      <c r="AA2415" s="826"/>
      <c r="AB2415" s="576" t="str">
        <f>IF(VLOOKUP(F2415,NXT!$C$12:$C$786,1,0)=F2415,"","x")</f>
        <v/>
      </c>
    </row>
    <row r="2416" spans="1:30" ht="15.75" customHeight="1">
      <c r="A2416" s="827" t="str">
        <f>IF(B2416&lt;&gt;"",IF(AND(B2416&gt;=_TM1,B2416&lt;=_TM2,OR(TH!L2416="1111",TH!M2416="1111")),TH!D2416,""),"")</f>
        <v/>
      </c>
      <c r="B2416" s="36">
        <f t="shared" si="339"/>
        <v>8</v>
      </c>
      <c r="C2416" s="190">
        <f t="shared" si="340"/>
        <v>42612</v>
      </c>
      <c r="D2416" s="190" t="s">
        <v>1608</v>
      </c>
      <c r="E2416" s="190">
        <v>42612</v>
      </c>
      <c r="F2416" s="292" t="s">
        <v>1570</v>
      </c>
      <c r="G2416" s="833" t="s">
        <v>1537</v>
      </c>
      <c r="H2416" s="192" t="s">
        <v>678</v>
      </c>
      <c r="I2416" s="253">
        <v>8</v>
      </c>
      <c r="J2416" s="253">
        <v>43924</v>
      </c>
      <c r="K2416" s="584">
        <f t="shared" si="341"/>
        <v>351392</v>
      </c>
      <c r="L2416" s="193" t="s">
        <v>251</v>
      </c>
      <c r="M2416" s="193" t="s">
        <v>164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52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>x</v>
      </c>
      <c r="AA2416" s="826"/>
      <c r="AB2416" s="576" t="str">
        <f>IF(VLOOKUP(F2416,NXT!$C$12:$C$786,1,0)=F2416,"","x")</f>
        <v/>
      </c>
      <c r="AD2416" s="576"/>
    </row>
    <row r="2417" spans="1:30" ht="15.75" customHeight="1">
      <c r="A2417" s="827" t="str">
        <f>IF(B2417&lt;&gt;"",IF(AND(B2417&gt;=_TM1,B2417&lt;=_TM2,OR(TH!L2417="1111",TH!M2417="1111")),TH!D2417,""),"")</f>
        <v/>
      </c>
      <c r="B2417" s="36">
        <f t="shared" si="339"/>
        <v>8</v>
      </c>
      <c r="C2417" s="190">
        <f t="shared" si="340"/>
        <v>42612</v>
      </c>
      <c r="D2417" s="190" t="s">
        <v>1608</v>
      </c>
      <c r="E2417" s="190">
        <v>42612</v>
      </c>
      <c r="F2417" s="292" t="s">
        <v>1571</v>
      </c>
      <c r="G2417" s="833" t="s">
        <v>1537</v>
      </c>
      <c r="H2417" s="192" t="s">
        <v>678</v>
      </c>
      <c r="I2417" s="253">
        <v>14</v>
      </c>
      <c r="J2417" s="253">
        <v>43472</v>
      </c>
      <c r="K2417" s="584">
        <f t="shared" si="341"/>
        <v>608608</v>
      </c>
      <c r="L2417" s="193" t="s">
        <v>251</v>
      </c>
      <c r="M2417" s="193" t="s">
        <v>164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52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>x</v>
      </c>
      <c r="AA2417" s="826"/>
      <c r="AB2417" s="576" t="str">
        <f>IF(VLOOKUP(F2417,NXT!$C$12:$C$786,1,0)=F2417,"","x")</f>
        <v/>
      </c>
    </row>
    <row r="2418" spans="1:30" ht="15.75" customHeight="1">
      <c r="A2418" s="827" t="str">
        <f>IF(B2418&lt;&gt;"",IF(AND(B2418&gt;=_TM1,B2418&lt;=_TM2,OR(TH!L2418="1111",TH!M2418="1111")),TH!D2418,""),"")</f>
        <v/>
      </c>
      <c r="B2418" s="36">
        <f t="shared" si="339"/>
        <v>8</v>
      </c>
      <c r="C2418" s="190">
        <f t="shared" si="340"/>
        <v>42612</v>
      </c>
      <c r="D2418" s="190" t="s">
        <v>1608</v>
      </c>
      <c r="E2418" s="190">
        <v>42612</v>
      </c>
      <c r="F2418" s="292" t="s">
        <v>1571</v>
      </c>
      <c r="G2418" s="833" t="s">
        <v>1537</v>
      </c>
      <c r="H2418" s="192" t="s">
        <v>678</v>
      </c>
      <c r="I2418" s="253">
        <v>40</v>
      </c>
      <c r="J2418" s="253">
        <v>43472</v>
      </c>
      <c r="K2418" s="584">
        <f t="shared" si="341"/>
        <v>1738880</v>
      </c>
      <c r="L2418" s="193" t="s">
        <v>251</v>
      </c>
      <c r="M2418" s="193" t="s">
        <v>164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52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>x</v>
      </c>
      <c r="AA2418" s="826"/>
      <c r="AB2418" s="576" t="str">
        <f>IF(VLOOKUP(F2418,NXT!$C$12:$C$786,1,0)=F2418,"","x")</f>
        <v/>
      </c>
    </row>
    <row r="2419" spans="1:30" ht="15.75" customHeight="1">
      <c r="A2419" s="827" t="str">
        <f>IF(B2419&lt;&gt;"",IF(AND(B2419&gt;=_TM1,B2419&lt;=_TM2,OR(TH!L2419="1111",TH!M2419="1111")),TH!D2419,""),"")</f>
        <v/>
      </c>
      <c r="B2419" s="36">
        <f t="shared" si="339"/>
        <v>8</v>
      </c>
      <c r="C2419" s="190">
        <f t="shared" si="340"/>
        <v>42612</v>
      </c>
      <c r="D2419" s="190" t="s">
        <v>1608</v>
      </c>
      <c r="E2419" s="190">
        <v>42612</v>
      </c>
      <c r="F2419" s="292" t="s">
        <v>1572</v>
      </c>
      <c r="G2419" s="833" t="s">
        <v>1537</v>
      </c>
      <c r="H2419" s="192" t="s">
        <v>678</v>
      </c>
      <c r="I2419" s="253">
        <v>4</v>
      </c>
      <c r="J2419" s="253">
        <v>72059</v>
      </c>
      <c r="K2419" s="584">
        <f t="shared" si="341"/>
        <v>288236</v>
      </c>
      <c r="L2419" s="193" t="s">
        <v>251</v>
      </c>
      <c r="M2419" s="193" t="s">
        <v>164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52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>x</v>
      </c>
      <c r="AA2419" s="826"/>
      <c r="AB2419" s="576" t="str">
        <f>IF(VLOOKUP(F2419,NXT!$C$12:$C$786,1,0)=F2419,"","x")</f>
        <v/>
      </c>
      <c r="AD2419" s="576"/>
    </row>
    <row r="2420" spans="1:30" ht="15.75" customHeight="1">
      <c r="A2420" s="827" t="str">
        <f>IF(B2420&lt;&gt;"",IF(AND(B2420&gt;=_TM1,B2420&lt;=_TM2,OR(TH!L2420="1111",TH!M2420="1111")),TH!D2420,""),"")</f>
        <v/>
      </c>
      <c r="B2420" s="36">
        <f t="shared" si="339"/>
        <v>8</v>
      </c>
      <c r="C2420" s="190">
        <f t="shared" si="340"/>
        <v>42612</v>
      </c>
      <c r="D2420" s="190" t="s">
        <v>1608</v>
      </c>
      <c r="E2420" s="190">
        <v>42612</v>
      </c>
      <c r="F2420" s="292" t="s">
        <v>1573</v>
      </c>
      <c r="G2420" s="833" t="s">
        <v>1537</v>
      </c>
      <c r="H2420" s="192" t="s">
        <v>678</v>
      </c>
      <c r="I2420" s="253">
        <v>6</v>
      </c>
      <c r="J2420" s="253">
        <v>94815</v>
      </c>
      <c r="K2420" s="584">
        <f t="shared" si="341"/>
        <v>568890</v>
      </c>
      <c r="L2420" s="193" t="s">
        <v>251</v>
      </c>
      <c r="M2420" s="193" t="s">
        <v>164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52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>x</v>
      </c>
      <c r="AA2420" s="826"/>
      <c r="AB2420" s="576" t="str">
        <f>IF(VLOOKUP(F2420,NXT!$C$12:$C$786,1,0)=F2420,"","x")</f>
        <v/>
      </c>
    </row>
    <row r="2421" spans="1:30" ht="15.75" customHeight="1">
      <c r="A2421" s="827" t="str">
        <f>IF(B2421&lt;&gt;"",IF(AND(B2421&gt;=_TM1,B2421&lt;=_TM2,OR(TH!L2421="1111",TH!M2421="1111")),TH!D2421,""),"")</f>
        <v/>
      </c>
      <c r="B2421" s="36">
        <f t="shared" si="339"/>
        <v>8</v>
      </c>
      <c r="C2421" s="190">
        <f t="shared" si="340"/>
        <v>42612</v>
      </c>
      <c r="D2421" s="190" t="s">
        <v>1608</v>
      </c>
      <c r="E2421" s="190">
        <v>42612</v>
      </c>
      <c r="F2421" s="292" t="s">
        <v>1574</v>
      </c>
      <c r="G2421" s="833" t="s">
        <v>1537</v>
      </c>
      <c r="H2421" s="192" t="s">
        <v>678</v>
      </c>
      <c r="I2421" s="253">
        <v>8</v>
      </c>
      <c r="J2421" s="253">
        <v>25194</v>
      </c>
      <c r="K2421" s="584">
        <f t="shared" si="341"/>
        <v>201552</v>
      </c>
      <c r="L2421" s="193" t="s">
        <v>251</v>
      </c>
      <c r="M2421" s="193" t="s">
        <v>164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52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>x</v>
      </c>
      <c r="AA2421" s="826"/>
      <c r="AB2421" s="576" t="str">
        <f>IF(VLOOKUP(F2421,NXT!$C$12:$C$786,1,0)=F2421,"","x")</f>
        <v/>
      </c>
    </row>
    <row r="2422" spans="1:30" ht="15.75" customHeight="1">
      <c r="A2422" s="827" t="str">
        <f>IF(B2422&lt;&gt;"",IF(AND(B2422&gt;=_TM1,B2422&lt;=_TM2,OR(TH!L2422="1111",TH!M2422="1111")),TH!D2422,""),"")</f>
        <v/>
      </c>
      <c r="B2422" s="36">
        <f t="shared" si="339"/>
        <v>8</v>
      </c>
      <c r="C2422" s="190">
        <f t="shared" si="340"/>
        <v>42612</v>
      </c>
      <c r="D2422" s="190" t="s">
        <v>1608</v>
      </c>
      <c r="E2422" s="190">
        <v>42612</v>
      </c>
      <c r="F2422" s="292" t="s">
        <v>725</v>
      </c>
      <c r="G2422" s="833" t="s">
        <v>1537</v>
      </c>
      <c r="H2422" s="192" t="s">
        <v>678</v>
      </c>
      <c r="I2422" s="253">
        <v>16</v>
      </c>
      <c r="J2422" s="253">
        <v>19606</v>
      </c>
      <c r="K2422" s="584">
        <f t="shared" si="341"/>
        <v>313696</v>
      </c>
      <c r="L2422" s="193" t="s">
        <v>251</v>
      </c>
      <c r="M2422" s="193" t="s">
        <v>164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52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>x</v>
      </c>
      <c r="AA2422" s="826"/>
      <c r="AB2422" s="576" t="str">
        <f>IF(VLOOKUP(F2422,NXT!$C$12:$C$786,1,0)=F2422,"","x")</f>
        <v/>
      </c>
      <c r="AD2422" s="576"/>
    </row>
    <row r="2423" spans="1:30" ht="15.75" customHeight="1">
      <c r="A2423" s="827" t="str">
        <f>IF(B2423&lt;&gt;"",IF(AND(B2423&gt;=_TM1,B2423&lt;=_TM2,OR(TH!L2423="1111",TH!M2423="1111")),TH!D2423,""),"")</f>
        <v/>
      </c>
      <c r="B2423" s="36">
        <f t="shared" si="339"/>
        <v>8</v>
      </c>
      <c r="C2423" s="190">
        <f t="shared" si="340"/>
        <v>42612</v>
      </c>
      <c r="D2423" s="190" t="s">
        <v>1608</v>
      </c>
      <c r="E2423" s="190">
        <v>42612</v>
      </c>
      <c r="F2423" s="292" t="s">
        <v>476</v>
      </c>
      <c r="G2423" s="833" t="s">
        <v>1537</v>
      </c>
      <c r="H2423" s="192" t="s">
        <v>678</v>
      </c>
      <c r="I2423" s="253">
        <v>13</v>
      </c>
      <c r="J2423" s="253">
        <v>40310</v>
      </c>
      <c r="K2423" s="584">
        <f t="shared" si="341"/>
        <v>524030</v>
      </c>
      <c r="L2423" s="193" t="s">
        <v>251</v>
      </c>
      <c r="M2423" s="193" t="s">
        <v>164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52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>x</v>
      </c>
      <c r="AA2423" s="826"/>
      <c r="AB2423" s="576" t="str">
        <f>IF(VLOOKUP(F2423,NXT!$C$12:$C$786,1,0)=F2423,"","x")</f>
        <v/>
      </c>
    </row>
    <row r="2424" spans="1:30" ht="15.75" customHeight="1">
      <c r="A2424" s="827" t="str">
        <f>IF(B2424&lt;&gt;"",IF(AND(B2424&gt;=_TM1,B2424&lt;=_TM2,OR(TH!L2424="1111",TH!M2424="1111")),TH!D2424,""),"")</f>
        <v/>
      </c>
      <c r="B2424" s="36">
        <f t="shared" si="339"/>
        <v>8</v>
      </c>
      <c r="C2424" s="190">
        <f t="shared" si="340"/>
        <v>42612</v>
      </c>
      <c r="D2424" s="190" t="s">
        <v>1608</v>
      </c>
      <c r="E2424" s="190">
        <v>42612</v>
      </c>
      <c r="F2424" s="292" t="s">
        <v>464</v>
      </c>
      <c r="G2424" s="833" t="s">
        <v>1537</v>
      </c>
      <c r="H2424" s="192" t="s">
        <v>678</v>
      </c>
      <c r="I2424" s="253">
        <v>10</v>
      </c>
      <c r="J2424" s="253">
        <v>147063</v>
      </c>
      <c r="K2424" s="584">
        <f t="shared" si="341"/>
        <v>1470630</v>
      </c>
      <c r="L2424" s="193" t="s">
        <v>251</v>
      </c>
      <c r="M2424" s="193" t="s">
        <v>164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52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>x</v>
      </c>
      <c r="AA2424" s="826"/>
      <c r="AB2424" s="576" t="str">
        <f>IF(VLOOKUP(F2424,NXT!$C$12:$C$786,1,0)=F2424,"","x")</f>
        <v/>
      </c>
    </row>
    <row r="2425" spans="1:30" ht="15.75" customHeight="1">
      <c r="A2425" s="827" t="str">
        <f>IF(B2425&lt;&gt;"",IF(AND(B2425&gt;=_TM1,B2425&lt;=_TM2,OR(TH!L2425="1111",TH!M2425="1111")),TH!D2425,""),"")</f>
        <v/>
      </c>
      <c r="B2425" s="36">
        <f t="shared" si="339"/>
        <v>8</v>
      </c>
      <c r="C2425" s="190">
        <f t="shared" si="340"/>
        <v>42612</v>
      </c>
      <c r="D2425" s="190" t="s">
        <v>1608</v>
      </c>
      <c r="E2425" s="190">
        <v>42612</v>
      </c>
      <c r="F2425" s="292" t="s">
        <v>485</v>
      </c>
      <c r="G2425" s="833" t="s">
        <v>1537</v>
      </c>
      <c r="H2425" s="192" t="s">
        <v>678</v>
      </c>
      <c r="I2425" s="253">
        <v>10</v>
      </c>
      <c r="J2425" s="253">
        <v>46851</v>
      </c>
      <c r="K2425" s="584">
        <f t="shared" si="341"/>
        <v>468510</v>
      </c>
      <c r="L2425" s="193" t="s">
        <v>251</v>
      </c>
      <c r="M2425" s="193" t="s">
        <v>164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52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>x</v>
      </c>
      <c r="AA2425" s="826"/>
      <c r="AB2425" s="576" t="str">
        <f>IF(VLOOKUP(F2425,NXT!$C$12:$C$786,1,0)=F2425,"","x")</f>
        <v/>
      </c>
      <c r="AD2425" s="576"/>
    </row>
    <row r="2426" spans="1:30" ht="15.75" customHeight="1">
      <c r="A2426" s="827" t="str">
        <f>IF(B2426&lt;&gt;"",IF(AND(B2426&gt;=_TM1,B2426&lt;=_TM2,OR(TH!L2426="1111",TH!M2426="1111")),TH!D2426,""),"")</f>
        <v/>
      </c>
      <c r="B2426" s="36">
        <f t="shared" si="339"/>
        <v>8</v>
      </c>
      <c r="C2426" s="190">
        <f t="shared" si="340"/>
        <v>42612</v>
      </c>
      <c r="D2426" s="190" t="s">
        <v>1608</v>
      </c>
      <c r="E2426" s="190">
        <v>42612</v>
      </c>
      <c r="F2426" s="292" t="s">
        <v>720</v>
      </c>
      <c r="G2426" s="833" t="s">
        <v>1537</v>
      </c>
      <c r="H2426" s="192" t="s">
        <v>678</v>
      </c>
      <c r="I2426" s="253">
        <v>16</v>
      </c>
      <c r="J2426" s="253">
        <v>84672</v>
      </c>
      <c r="K2426" s="584">
        <f t="shared" si="341"/>
        <v>1354752</v>
      </c>
      <c r="L2426" s="193" t="s">
        <v>251</v>
      </c>
      <c r="M2426" s="193" t="s">
        <v>164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52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>x</v>
      </c>
      <c r="AA2426" s="826"/>
      <c r="AB2426" s="576" t="str">
        <f>IF(VLOOKUP(F2426,NXT!$C$12:$C$786,1,0)=F2426,"","x")</f>
        <v/>
      </c>
    </row>
    <row r="2427" spans="1:30" ht="15.75" customHeight="1">
      <c r="A2427" s="827" t="str">
        <f>IF(B2427&lt;&gt;"",IF(AND(B2427&gt;=_TM1,B2427&lt;=_TM2,OR(TH!L2427="1111",TH!M2427="1111")),TH!D2427,""),"")</f>
        <v/>
      </c>
      <c r="B2427" s="36">
        <f t="shared" si="339"/>
        <v>8</v>
      </c>
      <c r="C2427" s="190">
        <f t="shared" si="340"/>
        <v>42612</v>
      </c>
      <c r="D2427" s="190" t="s">
        <v>1608</v>
      </c>
      <c r="E2427" s="190">
        <v>42612</v>
      </c>
      <c r="F2427" s="191" t="s">
        <v>511</v>
      </c>
      <c r="G2427" s="833" t="s">
        <v>1537</v>
      </c>
      <c r="H2427" s="192" t="s">
        <v>678</v>
      </c>
      <c r="I2427" s="253">
        <v>60</v>
      </c>
      <c r="J2427" s="253">
        <v>30278</v>
      </c>
      <c r="K2427" s="584">
        <f t="shared" si="341"/>
        <v>1816680</v>
      </c>
      <c r="L2427" s="193" t="s">
        <v>251</v>
      </c>
      <c r="M2427" s="193" t="s">
        <v>164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52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>x</v>
      </c>
      <c r="AA2427" s="826"/>
      <c r="AB2427" s="576" t="str">
        <f>IF(VLOOKUP(F2427,NXT!$C$12:$C$786,1,0)=F2427,"","x")</f>
        <v/>
      </c>
    </row>
    <row r="2428" spans="1:30" ht="15.75" customHeight="1">
      <c r="A2428" s="827" t="str">
        <f>IF(B2428&lt;&gt;"",IF(AND(B2428&gt;=_TM1,B2428&lt;=_TM2,OR(TH!L2428="1111",TH!M2428="1111")),TH!D2428,""),"")</f>
        <v/>
      </c>
      <c r="B2428" s="36">
        <f t="shared" si="330"/>
        <v>8</v>
      </c>
      <c r="C2428" s="190">
        <f t="shared" si="331"/>
        <v>42612</v>
      </c>
      <c r="D2428" s="190" t="s">
        <v>1608</v>
      </c>
      <c r="E2428" s="190">
        <v>42612</v>
      </c>
      <c r="F2428" s="292" t="s">
        <v>468</v>
      </c>
      <c r="G2428" s="833" t="s">
        <v>1537</v>
      </c>
      <c r="H2428" s="192" t="s">
        <v>678</v>
      </c>
      <c r="I2428" s="253">
        <v>25</v>
      </c>
      <c r="J2428" s="253">
        <v>73302</v>
      </c>
      <c r="K2428" s="584">
        <f t="shared" ref="K2428:K2431" si="342">ROUND(I2428*J2428,0)</f>
        <v>1832550</v>
      </c>
      <c r="L2428" s="193" t="s">
        <v>251</v>
      </c>
      <c r="M2428" s="193" t="s">
        <v>164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52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>x</v>
      </c>
      <c r="AA2428" s="826"/>
      <c r="AB2428" s="576" t="str">
        <f>IF(VLOOKUP(F2428,NXT!$C$12:$C$786,1,0)=F2428,"","x")</f>
        <v/>
      </c>
    </row>
    <row r="2429" spans="1:30" ht="15.75" customHeight="1">
      <c r="A2429" s="827" t="str">
        <f>IF(B2429&lt;&gt;"",IF(AND(B2429&gt;=_TM1,B2429&lt;=_TM2,OR(TH!L2429="1111",TH!M2429="1111")),TH!D2429,""),"")</f>
        <v/>
      </c>
      <c r="B2429" s="36">
        <f t="shared" si="330"/>
        <v>8</v>
      </c>
      <c r="C2429" s="190">
        <f t="shared" si="331"/>
        <v>42612</v>
      </c>
      <c r="D2429" s="190" t="s">
        <v>1608</v>
      </c>
      <c r="E2429" s="190">
        <v>42612</v>
      </c>
      <c r="F2429" s="292" t="s">
        <v>475</v>
      </c>
      <c r="G2429" s="833" t="s">
        <v>1537</v>
      </c>
      <c r="H2429" s="192" t="s">
        <v>678</v>
      </c>
      <c r="I2429" s="253">
        <v>8</v>
      </c>
      <c r="J2429" s="253">
        <v>88115</v>
      </c>
      <c r="K2429" s="584">
        <f t="shared" si="342"/>
        <v>704920</v>
      </c>
      <c r="L2429" s="193" t="s">
        <v>251</v>
      </c>
      <c r="M2429" s="193" t="s">
        <v>164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52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>x</v>
      </c>
      <c r="AA2429" s="826"/>
      <c r="AB2429" s="576" t="str">
        <f>IF(VLOOKUP(F2429,NXT!$C$12:$C$786,1,0)=F2429,"","x")</f>
        <v/>
      </c>
      <c r="AD2429" s="576"/>
    </row>
    <row r="2430" spans="1:30" ht="15.75" customHeight="1">
      <c r="A2430" s="827" t="str">
        <f>IF(B2430&lt;&gt;"",IF(AND(B2430&gt;=_TM1,B2430&lt;=_TM2,OR(TH!L2430="1111",TH!M2430="1111")),TH!D2430,""),"")</f>
        <v/>
      </c>
      <c r="B2430" s="36">
        <f t="shared" si="330"/>
        <v>8</v>
      </c>
      <c r="C2430" s="190">
        <f t="shared" si="331"/>
        <v>42612</v>
      </c>
      <c r="D2430" s="190" t="s">
        <v>1608</v>
      </c>
      <c r="E2430" s="190">
        <v>42612</v>
      </c>
      <c r="F2430" s="292" t="s">
        <v>869</v>
      </c>
      <c r="G2430" s="833" t="s">
        <v>1537</v>
      </c>
      <c r="H2430" s="192" t="s">
        <v>678</v>
      </c>
      <c r="I2430" s="253">
        <v>40</v>
      </c>
      <c r="J2430" s="253">
        <v>19395</v>
      </c>
      <c r="K2430" s="584">
        <f t="shared" si="342"/>
        <v>775800</v>
      </c>
      <c r="L2430" s="193" t="s">
        <v>251</v>
      </c>
      <c r="M2430" s="193" t="s">
        <v>164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52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>x</v>
      </c>
      <c r="AA2430" s="826"/>
      <c r="AB2430" s="576" t="str">
        <f>IF(VLOOKUP(F2430,NXT!$C$12:$C$786,1,0)=F2430,"","x")</f>
        <v/>
      </c>
    </row>
    <row r="2431" spans="1:30" ht="15.75" customHeight="1">
      <c r="A2431" s="827" t="str">
        <f>IF(B2431&lt;&gt;"",IF(AND(B2431&gt;=_TM1,B2431&lt;=_TM2,OR(TH!L2431="1111",TH!M2431="1111")),TH!D2431,""),"")</f>
        <v/>
      </c>
      <c r="B2431" s="36">
        <f t="shared" si="330"/>
        <v>8</v>
      </c>
      <c r="C2431" s="190">
        <f t="shared" si="331"/>
        <v>42612</v>
      </c>
      <c r="D2431" s="190" t="s">
        <v>1608</v>
      </c>
      <c r="E2431" s="190">
        <v>42612</v>
      </c>
      <c r="F2431" s="292" t="s">
        <v>863</v>
      </c>
      <c r="G2431" s="833" t="s">
        <v>1537</v>
      </c>
      <c r="H2431" s="192" t="s">
        <v>678</v>
      </c>
      <c r="I2431" s="253">
        <v>40</v>
      </c>
      <c r="J2431" s="253">
        <v>20295</v>
      </c>
      <c r="K2431" s="584">
        <f t="shared" si="342"/>
        <v>811800</v>
      </c>
      <c r="L2431" s="193" t="s">
        <v>251</v>
      </c>
      <c r="M2431" s="193" t="s">
        <v>164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52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>x</v>
      </c>
      <c r="AA2431" s="826"/>
      <c r="AB2431" s="576" t="str">
        <f>IF(VLOOKUP(F2431,NXT!$C$12:$C$786,1,0)=F2431,"","x")</f>
        <v/>
      </c>
    </row>
    <row r="2432" spans="1:30" ht="15.75" customHeight="1">
      <c r="A2432" s="827" t="str">
        <f>IF(B2432&lt;&gt;"",IF(AND(B2432&gt;=_TM1,B2432&lt;=_TM2,OR(TH!L2432="1111",TH!M2432="1111")),TH!D2432,""),"")</f>
        <v/>
      </c>
      <c r="B2432" s="36">
        <f t="shared" si="304"/>
        <v>8</v>
      </c>
      <c r="C2432" s="190">
        <f t="shared" si="305"/>
        <v>42612</v>
      </c>
      <c r="D2432" s="190" t="s">
        <v>1608</v>
      </c>
      <c r="E2432" s="190">
        <v>42612</v>
      </c>
      <c r="F2432" s="292" t="s">
        <v>514</v>
      </c>
      <c r="G2432" s="833" t="s">
        <v>1537</v>
      </c>
      <c r="H2432" s="192" t="s">
        <v>678</v>
      </c>
      <c r="I2432" s="253">
        <v>30</v>
      </c>
      <c r="J2432" s="253">
        <v>29812</v>
      </c>
      <c r="K2432" s="584">
        <f t="shared" ref="K2432:K2437" si="343">ROUND(I2432*J2432,0)</f>
        <v>894360</v>
      </c>
      <c r="L2432" s="193" t="s">
        <v>251</v>
      </c>
      <c r="M2432" s="193" t="s">
        <v>164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52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>x</v>
      </c>
      <c r="AA2432" s="826"/>
      <c r="AB2432" s="576" t="str">
        <f>IF(VLOOKUP(F2432,NXT!$C$12:$C$786,1,0)=F2432,"","x")</f>
        <v/>
      </c>
      <c r="AD2432" s="576"/>
    </row>
    <row r="2433" spans="1:30" ht="15.75" customHeight="1">
      <c r="A2433" s="827" t="str">
        <f>IF(B2433&lt;&gt;"",IF(AND(B2433&gt;=_TM1,B2433&lt;=_TM2,OR(TH!L2433="1111",TH!M2433="1111")),TH!D2433,""),"")</f>
        <v/>
      </c>
      <c r="B2433" s="36">
        <f t="shared" si="304"/>
        <v>8</v>
      </c>
      <c r="C2433" s="190">
        <f t="shared" si="305"/>
        <v>42612</v>
      </c>
      <c r="D2433" s="190" t="s">
        <v>1608</v>
      </c>
      <c r="E2433" s="190">
        <v>42612</v>
      </c>
      <c r="F2433" s="292" t="s">
        <v>813</v>
      </c>
      <c r="G2433" s="833" t="s">
        <v>1537</v>
      </c>
      <c r="H2433" s="192" t="s">
        <v>678</v>
      </c>
      <c r="I2433" s="253">
        <v>50</v>
      </c>
      <c r="J2433" s="253">
        <v>49818</v>
      </c>
      <c r="K2433" s="584">
        <f t="shared" si="343"/>
        <v>2490900</v>
      </c>
      <c r="L2433" s="193" t="s">
        <v>251</v>
      </c>
      <c r="M2433" s="193" t="s">
        <v>164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52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>x</v>
      </c>
      <c r="AA2433" s="826"/>
      <c r="AB2433" s="576" t="str">
        <f>IF(VLOOKUP(F2433,NXT!$C$12:$C$786,1,0)=F2433,"","x")</f>
        <v/>
      </c>
    </row>
    <row r="2434" spans="1:30" ht="15.75" customHeight="1">
      <c r="A2434" s="827" t="str">
        <f>IF(B2434&lt;&gt;"",IF(AND(B2434&gt;=_TM1,B2434&lt;=_TM2,OR(TH!L2434="1111",TH!M2434="1111")),TH!D2434,""),"")</f>
        <v/>
      </c>
      <c r="B2434" s="36">
        <f t="shared" si="304"/>
        <v>8</v>
      </c>
      <c r="C2434" s="190">
        <f t="shared" si="305"/>
        <v>42612</v>
      </c>
      <c r="D2434" s="190" t="s">
        <v>1608</v>
      </c>
      <c r="E2434" s="190">
        <v>42612</v>
      </c>
      <c r="F2434" s="292" t="s">
        <v>1575</v>
      </c>
      <c r="G2434" s="833" t="s">
        <v>1537</v>
      </c>
      <c r="H2434" s="192" t="s">
        <v>678</v>
      </c>
      <c r="I2434" s="253">
        <v>8</v>
      </c>
      <c r="J2434" s="253">
        <v>51773</v>
      </c>
      <c r="K2434" s="584">
        <f t="shared" si="343"/>
        <v>414184</v>
      </c>
      <c r="L2434" s="193" t="s">
        <v>251</v>
      </c>
      <c r="M2434" s="193" t="s">
        <v>164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52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>x</v>
      </c>
      <c r="AA2434" s="826"/>
      <c r="AB2434" s="576" t="str">
        <f>IF(VLOOKUP(F2434,NXT!$C$12:$C$786,1,0)=F2434,"","x")</f>
        <v/>
      </c>
    </row>
    <row r="2435" spans="1:30" ht="15.75" customHeight="1">
      <c r="A2435" s="827" t="str">
        <f>IF(B2435&lt;&gt;"",IF(AND(B2435&gt;=_TM1,B2435&lt;=_TM2,OR(TH!L2435="1111",TH!M2435="1111")),TH!D2435,""),"")</f>
        <v/>
      </c>
      <c r="B2435" s="36">
        <f t="shared" ref="B2435:B2437" si="344">IF(C2435&lt;&gt;"",MONTH(C2435),"")</f>
        <v>8</v>
      </c>
      <c r="C2435" s="190">
        <f t="shared" ref="C2435:C2437" si="345">E2435</f>
        <v>42612</v>
      </c>
      <c r="D2435" s="190" t="s">
        <v>1608</v>
      </c>
      <c r="E2435" s="190">
        <v>42612</v>
      </c>
      <c r="F2435" s="292" t="s">
        <v>1576</v>
      </c>
      <c r="G2435" s="833" t="s">
        <v>1537</v>
      </c>
      <c r="H2435" s="192" t="s">
        <v>678</v>
      </c>
      <c r="I2435" s="253">
        <v>8</v>
      </c>
      <c r="J2435" s="253">
        <v>49721</v>
      </c>
      <c r="K2435" s="584">
        <f t="shared" si="343"/>
        <v>397768</v>
      </c>
      <c r="L2435" s="193" t="s">
        <v>251</v>
      </c>
      <c r="M2435" s="193" t="s">
        <v>164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52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>x</v>
      </c>
      <c r="AA2435" s="826"/>
      <c r="AB2435" s="576" t="str">
        <f>IF(VLOOKUP(F2435,NXT!$C$12:$C$786,1,0)=F2435,"","x")</f>
        <v/>
      </c>
      <c r="AD2435" s="576"/>
    </row>
    <row r="2436" spans="1:30" ht="15.75" customHeight="1">
      <c r="A2436" s="827" t="str">
        <f>IF(B2436&lt;&gt;"",IF(AND(B2436&gt;=_TM1,B2436&lt;=_TM2,OR(TH!L2436="1111",TH!M2436="1111")),TH!D2436,""),"")</f>
        <v/>
      </c>
      <c r="B2436" s="36">
        <f t="shared" si="344"/>
        <v>8</v>
      </c>
      <c r="C2436" s="190">
        <f t="shared" si="345"/>
        <v>42612</v>
      </c>
      <c r="D2436" s="190" t="s">
        <v>1608</v>
      </c>
      <c r="E2436" s="190">
        <v>42612</v>
      </c>
      <c r="F2436" s="292" t="s">
        <v>1577</v>
      </c>
      <c r="G2436" s="833" t="s">
        <v>1537</v>
      </c>
      <c r="H2436" s="192" t="s">
        <v>678</v>
      </c>
      <c r="I2436" s="253">
        <v>8</v>
      </c>
      <c r="J2436" s="253">
        <v>131580</v>
      </c>
      <c r="K2436" s="584">
        <f t="shared" si="343"/>
        <v>1052640</v>
      </c>
      <c r="L2436" s="193" t="s">
        <v>251</v>
      </c>
      <c r="M2436" s="193" t="s">
        <v>164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52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>x</v>
      </c>
      <c r="AA2436" s="826"/>
      <c r="AB2436" s="576" t="str">
        <f>IF(VLOOKUP(F2436,NXT!$C$12:$C$786,1,0)=F2436,"","x")</f>
        <v/>
      </c>
    </row>
    <row r="2437" spans="1:30" ht="15.75" customHeight="1">
      <c r="A2437" s="827" t="str">
        <f>IF(B2437&lt;&gt;"",IF(AND(B2437&gt;=_TM1,B2437&lt;=_TM2,OR(TH!L2437="1111",TH!M2437="1111")),TH!D2437,""),"")</f>
        <v/>
      </c>
      <c r="B2437" s="36">
        <f t="shared" si="344"/>
        <v>8</v>
      </c>
      <c r="C2437" s="190">
        <f t="shared" si="345"/>
        <v>42612</v>
      </c>
      <c r="D2437" s="190" t="s">
        <v>1608</v>
      </c>
      <c r="E2437" s="190">
        <v>42612</v>
      </c>
      <c r="F2437" s="292" t="s">
        <v>863</v>
      </c>
      <c r="G2437" s="833" t="s">
        <v>1537</v>
      </c>
      <c r="H2437" s="192" t="s">
        <v>678</v>
      </c>
      <c r="I2437" s="253">
        <v>16</v>
      </c>
      <c r="J2437" s="253">
        <v>20295</v>
      </c>
      <c r="K2437" s="584">
        <f t="shared" si="343"/>
        <v>324720</v>
      </c>
      <c r="L2437" s="193" t="s">
        <v>251</v>
      </c>
      <c r="M2437" s="193" t="s">
        <v>164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52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>x</v>
      </c>
      <c r="AA2437" s="826"/>
      <c r="AB2437" s="576" t="str">
        <f>IF(VLOOKUP(F2437,NXT!$C$12:$C$786,1,0)=F2437,"","x")</f>
        <v/>
      </c>
    </row>
    <row r="2438" spans="1:30" ht="15.75" customHeight="1">
      <c r="A2438" s="827" t="str">
        <f>IF(B2438&lt;&gt;"",IF(AND(B2438&gt;=_TM1,B2438&lt;=_TM2,OR(TH!L2438="1111",TH!M2438="1111")),TH!D2438,""),"")</f>
        <v/>
      </c>
      <c r="B2438" s="36">
        <f t="shared" ref="B2438:B2440" si="346">IF(C2438&lt;&gt;"",MONTH(C2438),"")</f>
        <v>8</v>
      </c>
      <c r="C2438" s="190">
        <f t="shared" ref="C2438:C2440" si="347">E2438</f>
        <v>42612</v>
      </c>
      <c r="D2438" s="190" t="s">
        <v>1608</v>
      </c>
      <c r="E2438" s="190">
        <v>42612</v>
      </c>
      <c r="F2438" s="292" t="s">
        <v>1565</v>
      </c>
      <c r="G2438" s="833" t="s">
        <v>1537</v>
      </c>
      <c r="H2438" s="192" t="s">
        <v>678</v>
      </c>
      <c r="I2438" s="253">
        <v>10</v>
      </c>
      <c r="J2438" s="253">
        <v>75286</v>
      </c>
      <c r="K2438" s="584">
        <f t="shared" ref="K2438:K2440" si="348">ROUND(I2438*J2438,0)</f>
        <v>752860</v>
      </c>
      <c r="L2438" s="193" t="s">
        <v>251</v>
      </c>
      <c r="M2438" s="193" t="s">
        <v>164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52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>x</v>
      </c>
      <c r="AA2438" s="826"/>
      <c r="AB2438" s="576" t="str">
        <f>IF(VLOOKUP(F2438,NXT!$C$12:$C$786,1,0)=F2438,"","x")</f>
        <v/>
      </c>
      <c r="AD2438" s="576"/>
    </row>
    <row r="2439" spans="1:30" ht="15.75" customHeight="1">
      <c r="A2439" s="827" t="str">
        <f>IF(B2439&lt;&gt;"",IF(AND(B2439&gt;=_TM1,B2439&lt;=_TM2,OR(TH!L2439="1111",TH!M2439="1111")),TH!D2439,""),"")</f>
        <v/>
      </c>
      <c r="B2439" s="36">
        <f t="shared" si="346"/>
        <v>8</v>
      </c>
      <c r="C2439" s="190">
        <f t="shared" si="347"/>
        <v>42612</v>
      </c>
      <c r="D2439" s="190" t="s">
        <v>1608</v>
      </c>
      <c r="E2439" s="190">
        <v>42612</v>
      </c>
      <c r="F2439" s="292" t="s">
        <v>499</v>
      </c>
      <c r="G2439" s="833" t="s">
        <v>1537</v>
      </c>
      <c r="H2439" s="192" t="s">
        <v>678</v>
      </c>
      <c r="I2439" s="253">
        <v>24</v>
      </c>
      <c r="J2439" s="253">
        <v>35387</v>
      </c>
      <c r="K2439" s="584">
        <f t="shared" si="348"/>
        <v>849288</v>
      </c>
      <c r="L2439" s="193" t="s">
        <v>251</v>
      </c>
      <c r="M2439" s="193" t="s">
        <v>164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52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>x</v>
      </c>
      <c r="AA2439" s="826"/>
      <c r="AB2439" s="576" t="str">
        <f>IF(VLOOKUP(F2439,NXT!$C$12:$C$786,1,0)=F2439,"","x")</f>
        <v/>
      </c>
    </row>
    <row r="2440" spans="1:30" ht="15.75" customHeight="1">
      <c r="A2440" s="827" t="str">
        <f>IF(B2440&lt;&gt;"",IF(AND(B2440&gt;=_TM1,B2440&lt;=_TM2,OR(TH!L2440="1111",TH!M2440="1111")),TH!D2440,""),"")</f>
        <v/>
      </c>
      <c r="B2440" s="36">
        <f t="shared" si="346"/>
        <v>8</v>
      </c>
      <c r="C2440" s="190">
        <f t="shared" si="347"/>
        <v>42612</v>
      </c>
      <c r="D2440" s="190" t="s">
        <v>1608</v>
      </c>
      <c r="E2440" s="190">
        <v>42612</v>
      </c>
      <c r="F2440" s="292" t="s">
        <v>534</v>
      </c>
      <c r="G2440" s="833" t="s">
        <v>1537</v>
      </c>
      <c r="H2440" s="192" t="s">
        <v>678</v>
      </c>
      <c r="I2440" s="253">
        <v>16</v>
      </c>
      <c r="J2440" s="253">
        <v>90277</v>
      </c>
      <c r="K2440" s="584">
        <f t="shared" si="348"/>
        <v>1444432</v>
      </c>
      <c r="L2440" s="193" t="s">
        <v>251</v>
      </c>
      <c r="M2440" s="193" t="s">
        <v>164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52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>x</v>
      </c>
      <c r="AA2440" s="826"/>
      <c r="AB2440" s="576" t="str">
        <f>IF(VLOOKUP(F2440,NXT!$C$12:$C$786,1,0)=F2440,"","x")</f>
        <v/>
      </c>
    </row>
    <row r="2441" spans="1:30" ht="15.75" customHeight="1">
      <c r="A2441" s="827" t="str">
        <f>IF(B2441&lt;&gt;"",IF(AND(B2441&gt;=_TM1,B2441&lt;=_TM2,OR(TH!L2441="1111",TH!M2441="1111")),TH!D2441,""),"")</f>
        <v/>
      </c>
      <c r="B2441" s="36">
        <f t="shared" ref="B2441:B2458" si="349">IF(C2441&lt;&gt;"",MONTH(C2441),"")</f>
        <v>8</v>
      </c>
      <c r="C2441" s="190">
        <f t="shared" si="305"/>
        <v>42612</v>
      </c>
      <c r="D2441" s="190" t="s">
        <v>1608</v>
      </c>
      <c r="E2441" s="190">
        <v>42612</v>
      </c>
      <c r="F2441" s="191" t="s">
        <v>461</v>
      </c>
      <c r="G2441" s="833" t="s">
        <v>1537</v>
      </c>
      <c r="H2441" s="192" t="s">
        <v>678</v>
      </c>
      <c r="I2441" s="253"/>
      <c r="J2441" s="253"/>
      <c r="K2441" s="584">
        <v>5554578</v>
      </c>
      <c r="L2441" s="193" t="s">
        <v>251</v>
      </c>
      <c r="M2441" s="193" t="s">
        <v>354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52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>x</v>
      </c>
      <c r="AA2441" s="826"/>
      <c r="AB2441" s="576"/>
    </row>
    <row r="2442" spans="1:30" ht="15.75" customHeight="1">
      <c r="A2442" s="827" t="str">
        <f>IF(B2442&lt;&gt;"",IF(AND(B2442&gt;=_TM1,B2442&lt;=_TM2,OR(TH!L2442="1111",TH!M2442="1111")),TH!D2442,""),"")</f>
        <v/>
      </c>
      <c r="B2442" s="36">
        <f t="shared" si="349"/>
        <v>9</v>
      </c>
      <c r="C2442" s="190">
        <f t="shared" ref="C2442:C2458" si="350">E2442</f>
        <v>42619</v>
      </c>
      <c r="D2442" s="190" t="s">
        <v>1609</v>
      </c>
      <c r="E2442" s="190">
        <v>42619</v>
      </c>
      <c r="F2442" s="292" t="s">
        <v>1669</v>
      </c>
      <c r="G2442" s="833" t="s">
        <v>1668</v>
      </c>
      <c r="H2442" s="192" t="s">
        <v>1670</v>
      </c>
      <c r="I2442" s="253">
        <v>500</v>
      </c>
      <c r="J2442" s="253">
        <v>12960</v>
      </c>
      <c r="K2442" s="584">
        <f t="shared" ref="K2442:K2448" si="351">ROUND(I2442*J2442,0)</f>
        <v>6480000</v>
      </c>
      <c r="L2442" s="193" t="s">
        <v>251</v>
      </c>
      <c r="M2442" s="193" t="s">
        <v>164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52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>x</v>
      </c>
      <c r="AA2442" s="826"/>
      <c r="AB2442" s="576" t="str">
        <f>IF(VLOOKUP(F2442,NXT!$C$12:$C$786,1,0)=F2442,"","x")</f>
        <v/>
      </c>
    </row>
    <row r="2443" spans="1:30" ht="15.75" customHeight="1">
      <c r="A2443" s="827" t="str">
        <f>IF(B2443&lt;&gt;"",IF(AND(B2443&gt;=_TM1,B2443&lt;=_TM2,OR(TH!L2443="1111",TH!M2443="1111")),TH!D2443,""),"")</f>
        <v/>
      </c>
      <c r="B2443" s="36">
        <f t="shared" si="349"/>
        <v>9</v>
      </c>
      <c r="C2443" s="190">
        <f t="shared" si="350"/>
        <v>42619</v>
      </c>
      <c r="D2443" s="190" t="s">
        <v>1609</v>
      </c>
      <c r="E2443" s="190">
        <v>42619</v>
      </c>
      <c r="F2443" s="292" t="s">
        <v>1495</v>
      </c>
      <c r="G2443" s="833" t="s">
        <v>1668</v>
      </c>
      <c r="H2443" s="192" t="s">
        <v>1670</v>
      </c>
      <c r="I2443" s="253"/>
      <c r="J2443" s="253"/>
      <c r="K2443" s="584">
        <v>648000</v>
      </c>
      <c r="L2443" s="193" t="s">
        <v>251</v>
      </c>
      <c r="M2443" s="193" t="s">
        <v>354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52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>x</v>
      </c>
      <c r="AA2443" s="826"/>
      <c r="AB2443" s="576"/>
      <c r="AD2443" s="576"/>
    </row>
    <row r="2444" spans="1:30" ht="15.75" customHeight="1">
      <c r="A2444" s="827" t="str">
        <f>IF(B2444&lt;&gt;"",IF(AND(B2444&gt;=_TM1,B2444&lt;=_TM2,OR(TH!L2444="1111",TH!M2444="1111")),TH!D2444,""),"")</f>
        <v/>
      </c>
      <c r="B2444" s="36">
        <f t="shared" si="349"/>
        <v>9</v>
      </c>
      <c r="C2444" s="190">
        <f t="shared" si="350"/>
        <v>42622</v>
      </c>
      <c r="D2444" s="190" t="s">
        <v>1610</v>
      </c>
      <c r="E2444" s="190">
        <v>42622</v>
      </c>
      <c r="F2444" s="292" t="s">
        <v>451</v>
      </c>
      <c r="G2444" s="833" t="s">
        <v>1671</v>
      </c>
      <c r="H2444" s="192" t="s">
        <v>1672</v>
      </c>
      <c r="I2444" s="253">
        <v>1000</v>
      </c>
      <c r="J2444" s="253">
        <v>10500</v>
      </c>
      <c r="K2444" s="584">
        <f t="shared" si="351"/>
        <v>10500000</v>
      </c>
      <c r="L2444" s="193" t="s">
        <v>251</v>
      </c>
      <c r="M2444" s="193" t="s">
        <v>164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52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>x</v>
      </c>
      <c r="AA2444" s="826"/>
      <c r="AB2444" s="576" t="str">
        <f>IF(VLOOKUP(F2444,NXT!$C$12:$C$786,1,0)=F2444,"","x")</f>
        <v/>
      </c>
    </row>
    <row r="2445" spans="1:30" ht="15.75" customHeight="1">
      <c r="A2445" s="827" t="str">
        <f>IF(B2445&lt;&gt;"",IF(AND(B2445&gt;=_TM1,B2445&lt;=_TM2,OR(TH!L2445="1111",TH!M2445="1111")),TH!D2445,""),"")</f>
        <v/>
      </c>
      <c r="B2445" s="36">
        <f t="shared" si="349"/>
        <v>9</v>
      </c>
      <c r="C2445" s="190">
        <f t="shared" si="350"/>
        <v>42622</v>
      </c>
      <c r="D2445" s="190" t="s">
        <v>1610</v>
      </c>
      <c r="E2445" s="190">
        <v>42622</v>
      </c>
      <c r="F2445" s="292" t="s">
        <v>632</v>
      </c>
      <c r="G2445" s="833" t="s">
        <v>1671</v>
      </c>
      <c r="H2445" s="192" t="s">
        <v>1672</v>
      </c>
      <c r="I2445" s="253"/>
      <c r="J2445" s="253"/>
      <c r="K2445" s="584">
        <v>1050000</v>
      </c>
      <c r="L2445" s="193" t="s">
        <v>251</v>
      </c>
      <c r="M2445" s="193" t="s">
        <v>354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52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>x</v>
      </c>
      <c r="AA2445" s="826"/>
      <c r="AB2445" s="576"/>
    </row>
    <row r="2446" spans="1:30" ht="15.75" customHeight="1">
      <c r="A2446" s="827" t="str">
        <f>IF(B2446&lt;&gt;"",IF(AND(B2446&gt;=_TM1,B2446&lt;=_TM2,OR(TH!L2446="1111",TH!M2446="1111")),TH!D2446,""),"")</f>
        <v/>
      </c>
      <c r="B2446" s="36">
        <f t="shared" si="349"/>
        <v>9</v>
      </c>
      <c r="C2446" s="190">
        <f t="shared" si="350"/>
        <v>42623</v>
      </c>
      <c r="D2446" s="190" t="s">
        <v>1611</v>
      </c>
      <c r="E2446" s="190">
        <v>42623</v>
      </c>
      <c r="F2446" s="292" t="s">
        <v>1675</v>
      </c>
      <c r="G2446" s="833" t="s">
        <v>1674</v>
      </c>
      <c r="H2446" s="192" t="s">
        <v>1673</v>
      </c>
      <c r="I2446" s="253">
        <v>980</v>
      </c>
      <c r="J2446" s="253">
        <v>12450</v>
      </c>
      <c r="K2446" s="584">
        <f t="shared" si="351"/>
        <v>12201000</v>
      </c>
      <c r="L2446" s="193" t="s">
        <v>251</v>
      </c>
      <c r="M2446" s="193" t="s">
        <v>164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52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>x</v>
      </c>
      <c r="AA2446" s="826"/>
      <c r="AB2446" s="576" t="str">
        <f>IF(VLOOKUP(F2446,NXT!$C$12:$C$786,1,0)=F2446,"","x")</f>
        <v/>
      </c>
      <c r="AD2446" s="576"/>
    </row>
    <row r="2447" spans="1:30" ht="15.75" customHeight="1">
      <c r="A2447" s="827" t="str">
        <f>IF(B2447&lt;&gt;"",IF(AND(B2447&gt;=_TM1,B2447&lt;=_TM2,OR(TH!L2447="1111",TH!M2447="1111")),TH!D2447,""),"")</f>
        <v/>
      </c>
      <c r="B2447" s="36">
        <f t="shared" si="349"/>
        <v>9</v>
      </c>
      <c r="C2447" s="190">
        <f t="shared" si="350"/>
        <v>42623</v>
      </c>
      <c r="D2447" s="190" t="s">
        <v>1611</v>
      </c>
      <c r="E2447" s="190">
        <v>42623</v>
      </c>
      <c r="F2447" s="292" t="s">
        <v>461</v>
      </c>
      <c r="G2447" s="833" t="s">
        <v>1674</v>
      </c>
      <c r="H2447" s="192" t="s">
        <v>1673</v>
      </c>
      <c r="I2447" s="253"/>
      <c r="J2447" s="253"/>
      <c r="K2447" s="584">
        <v>1220100</v>
      </c>
      <c r="L2447" s="193" t="s">
        <v>251</v>
      </c>
      <c r="M2447" s="193" t="s">
        <v>354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52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>x</v>
      </c>
      <c r="AA2447" s="826"/>
      <c r="AB2447" s="576"/>
    </row>
    <row r="2448" spans="1:30" ht="15.75" customHeight="1">
      <c r="A2448" s="827" t="str">
        <f>IF(B2448&lt;&gt;"",IF(AND(B2448&gt;=_TM1,B2448&lt;=_TM2,OR(TH!L2448="1111",TH!M2448="1111")),TH!D2448,""),"")</f>
        <v/>
      </c>
      <c r="B2448" s="36">
        <f t="shared" si="349"/>
        <v>9</v>
      </c>
      <c r="C2448" s="190">
        <f t="shared" si="350"/>
        <v>42625</v>
      </c>
      <c r="D2448" s="190" t="s">
        <v>1612</v>
      </c>
      <c r="E2448" s="190">
        <v>42625</v>
      </c>
      <c r="F2448" s="292" t="s">
        <v>1677</v>
      </c>
      <c r="G2448" s="833" t="s">
        <v>1676</v>
      </c>
      <c r="H2448" s="192" t="s">
        <v>1061</v>
      </c>
      <c r="I2448" s="253">
        <v>1000</v>
      </c>
      <c r="J2448" s="253">
        <v>16950</v>
      </c>
      <c r="K2448" s="584">
        <f t="shared" si="351"/>
        <v>16950000</v>
      </c>
      <c r="L2448" s="193" t="s">
        <v>251</v>
      </c>
      <c r="M2448" s="193" t="s">
        <v>164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52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>x</v>
      </c>
      <c r="AA2448" s="826"/>
      <c r="AB2448" s="576" t="str">
        <f>IF(VLOOKUP(F2448,NXT!$C$12:$C$786,1,0)=F2448,"","x")</f>
        <v/>
      </c>
    </row>
    <row r="2449" spans="1:30" ht="15.75" customHeight="1">
      <c r="A2449" s="827" t="str">
        <f>IF(B2449&lt;&gt;"",IF(AND(B2449&gt;=_TM1,B2449&lt;=_TM2,OR(TH!L2449="1111",TH!M2449="1111")),TH!D2449,""),"")</f>
        <v/>
      </c>
      <c r="B2449" s="36">
        <f t="shared" si="349"/>
        <v>9</v>
      </c>
      <c r="C2449" s="190">
        <f t="shared" si="350"/>
        <v>42625</v>
      </c>
      <c r="D2449" s="190" t="s">
        <v>1612</v>
      </c>
      <c r="E2449" s="190">
        <v>42625</v>
      </c>
      <c r="F2449" s="292" t="s">
        <v>1495</v>
      </c>
      <c r="G2449" s="833" t="s">
        <v>1676</v>
      </c>
      <c r="H2449" s="192" t="s">
        <v>1061</v>
      </c>
      <c r="I2449" s="253"/>
      <c r="J2449" s="253"/>
      <c r="K2449" s="584">
        <v>1695000</v>
      </c>
      <c r="L2449" s="193" t="s">
        <v>251</v>
      </c>
      <c r="M2449" s="193" t="s">
        <v>354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52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>x</v>
      </c>
      <c r="AA2449" s="826"/>
      <c r="AB2449" s="576"/>
      <c r="AD2449" s="576"/>
    </row>
    <row r="2450" spans="1:30" ht="15.75" customHeight="1">
      <c r="A2450" s="827" t="str">
        <f>IF(B2450&lt;&gt;"",IF(AND(B2450&gt;=_TM1,B2450&lt;=_TM2,OR(TH!L2450="1111",TH!M2450="1111")),TH!D2450,""),"")</f>
        <v/>
      </c>
      <c r="B2450" s="36">
        <f t="shared" ref="B2450:B2455" si="352">IF(C2450&lt;&gt;"",MONTH(C2450),"")</f>
        <v>9</v>
      </c>
      <c r="C2450" s="190">
        <f t="shared" ref="C2450:C2455" si="353">E2450</f>
        <v>42626</v>
      </c>
      <c r="D2450" s="190" t="s">
        <v>1613</v>
      </c>
      <c r="E2450" s="190">
        <v>42626</v>
      </c>
      <c r="F2450" s="292" t="s">
        <v>451</v>
      </c>
      <c r="G2450" s="833" t="s">
        <v>1678</v>
      </c>
      <c r="H2450" s="192" t="s">
        <v>630</v>
      </c>
      <c r="I2450" s="253">
        <v>490</v>
      </c>
      <c r="J2450" s="253">
        <v>11000</v>
      </c>
      <c r="K2450" s="584">
        <f t="shared" ref="K2450" si="354">ROUND(I2450*J2450,0)</f>
        <v>5390000</v>
      </c>
      <c r="L2450" s="193" t="s">
        <v>251</v>
      </c>
      <c r="M2450" s="193" t="s">
        <v>164</v>
      </c>
      <c r="N2450" s="52" t="str">
        <f>IF(AND('331-CT'!$E$7=TH!H2450,OR(L2450="331",M2450="331")),"331",IF(AND(OR(L2450="131",M2450="131"),H2450='131-CT'!$E$7),"131",""))</f>
        <v>131</v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52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>x</v>
      </c>
      <c r="AA2450" s="826"/>
      <c r="AB2450" s="576" t="str">
        <f>IF(VLOOKUP(F2450,NXT!$C$12:$C$786,1,0)=F2450,"","x")</f>
        <v/>
      </c>
    </row>
    <row r="2451" spans="1:30" ht="15.75" customHeight="1">
      <c r="A2451" s="827" t="str">
        <f>IF(B2451&lt;&gt;"",IF(AND(B2451&gt;=_TM1,B2451&lt;=_TM2,OR(TH!L2451="1111",TH!M2451="1111")),TH!D2451,""),"")</f>
        <v/>
      </c>
      <c r="B2451" s="36">
        <f t="shared" si="352"/>
        <v>9</v>
      </c>
      <c r="C2451" s="190">
        <f t="shared" si="353"/>
        <v>42626</v>
      </c>
      <c r="D2451" s="190" t="s">
        <v>1613</v>
      </c>
      <c r="E2451" s="190">
        <v>42626</v>
      </c>
      <c r="F2451" s="292" t="s">
        <v>632</v>
      </c>
      <c r="G2451" s="833" t="s">
        <v>1678</v>
      </c>
      <c r="H2451" s="192" t="s">
        <v>630</v>
      </c>
      <c r="I2451" s="253"/>
      <c r="J2451" s="253"/>
      <c r="K2451" s="584">
        <v>539000</v>
      </c>
      <c r="L2451" s="193" t="s">
        <v>251</v>
      </c>
      <c r="M2451" s="193" t="s">
        <v>354</v>
      </c>
      <c r="N2451" s="52" t="str">
        <f>IF(AND('331-CT'!$E$7=TH!H2451,OR(L2451="331",M2451="331")),"331",IF(AND(OR(L2451="131",M2451="131"),H2451='131-CT'!$E$7),"131",""))</f>
        <v>131</v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52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>x</v>
      </c>
      <c r="AA2451" s="826"/>
      <c r="AB2451" s="576"/>
    </row>
    <row r="2452" spans="1:30" ht="15.75" customHeight="1">
      <c r="A2452" s="827" t="str">
        <f>IF(B2452&lt;&gt;"",IF(AND(B2452&gt;=_TM1,B2452&lt;=_TM2,OR(TH!L2452="1111",TH!M2452="1111")),TH!D2452,""),"")</f>
        <v/>
      </c>
      <c r="B2452" s="36">
        <f t="shared" si="352"/>
        <v>9</v>
      </c>
      <c r="C2452" s="190">
        <f t="shared" si="353"/>
        <v>42629</v>
      </c>
      <c r="D2452" s="190" t="s">
        <v>1614</v>
      </c>
      <c r="E2452" s="190">
        <v>42629</v>
      </c>
      <c r="F2452" s="292" t="s">
        <v>1682</v>
      </c>
      <c r="G2452" s="833" t="s">
        <v>1679</v>
      </c>
      <c r="H2452" s="192" t="s">
        <v>1437</v>
      </c>
      <c r="I2452" s="253">
        <v>6</v>
      </c>
      <c r="J2452" s="253">
        <v>44968</v>
      </c>
      <c r="K2452" s="584">
        <f t="shared" ref="K2452" si="355">ROUND(I2452*J2452,0)</f>
        <v>269808</v>
      </c>
      <c r="L2452" s="193" t="s">
        <v>251</v>
      </c>
      <c r="M2452" s="193" t="s">
        <v>164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52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>x</v>
      </c>
      <c r="AA2452" s="826"/>
      <c r="AB2452" s="576" t="str">
        <f>IF(VLOOKUP(F2452,NXT!$C$12:$C$786,1,0)=F2452,"","x")</f>
        <v/>
      </c>
    </row>
    <row r="2453" spans="1:30" ht="15.75" customHeight="1">
      <c r="A2453" s="827" t="str">
        <f>IF(B2453&lt;&gt;"",IF(AND(B2453&gt;=_TM1,B2453&lt;=_TM2,OR(TH!L2453="1111",TH!M2453="1111")),TH!D2453,""),"")</f>
        <v/>
      </c>
      <c r="B2453" s="36">
        <f t="shared" si="352"/>
        <v>9</v>
      </c>
      <c r="C2453" s="190">
        <f t="shared" si="353"/>
        <v>42629</v>
      </c>
      <c r="D2453" s="190" t="s">
        <v>1614</v>
      </c>
      <c r="E2453" s="190">
        <v>42629</v>
      </c>
      <c r="F2453" s="292" t="s">
        <v>1683</v>
      </c>
      <c r="G2453" s="833" t="s">
        <v>1679</v>
      </c>
      <c r="H2453" s="192" t="s">
        <v>1437</v>
      </c>
      <c r="I2453" s="253">
        <v>1</v>
      </c>
      <c r="J2453" s="253">
        <v>64691</v>
      </c>
      <c r="K2453" s="584">
        <f t="shared" ref="K2453:K2454" si="356">ROUND(I2453*J2453,0)</f>
        <v>64691</v>
      </c>
      <c r="L2453" s="193" t="s">
        <v>251</v>
      </c>
      <c r="M2453" s="193" t="s">
        <v>164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52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>x</v>
      </c>
      <c r="AA2453" s="826"/>
      <c r="AB2453" s="576" t="str">
        <f>IF(VLOOKUP(F2453,NXT!$C$12:$C$786,1,0)=F2453,"","x")</f>
        <v/>
      </c>
    </row>
    <row r="2454" spans="1:30" ht="15.75" customHeight="1">
      <c r="A2454" s="827" t="str">
        <f>IF(B2454&lt;&gt;"",IF(AND(B2454&gt;=_TM1,B2454&lt;=_TM2,OR(TH!L2454="1111",TH!M2454="1111")),TH!D2454,""),"")</f>
        <v/>
      </c>
      <c r="B2454" s="36">
        <f t="shared" si="352"/>
        <v>9</v>
      </c>
      <c r="C2454" s="190">
        <f t="shared" si="353"/>
        <v>42629</v>
      </c>
      <c r="D2454" s="190" t="s">
        <v>1614</v>
      </c>
      <c r="E2454" s="190">
        <v>42629</v>
      </c>
      <c r="F2454" s="292" t="s">
        <v>1684</v>
      </c>
      <c r="G2454" s="833" t="s">
        <v>1679</v>
      </c>
      <c r="H2454" s="192" t="s">
        <v>1437</v>
      </c>
      <c r="I2454" s="253">
        <v>1</v>
      </c>
      <c r="J2454" s="253">
        <v>97843</v>
      </c>
      <c r="K2454" s="584">
        <f t="shared" si="356"/>
        <v>97843</v>
      </c>
      <c r="L2454" s="193" t="s">
        <v>251</v>
      </c>
      <c r="M2454" s="193" t="s">
        <v>164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52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>x</v>
      </c>
      <c r="AA2454" s="826"/>
      <c r="AB2454" s="576" t="str">
        <f>IF(VLOOKUP(F2454,NXT!$C$12:$C$786,1,0)=F2454,"","x")</f>
        <v/>
      </c>
    </row>
    <row r="2455" spans="1:30" ht="15.75" customHeight="1">
      <c r="A2455" s="827" t="str">
        <f>IF(B2455&lt;&gt;"",IF(AND(B2455&gt;=_TM1,B2455&lt;=_TM2,OR(TH!L2455="1111",TH!M2455="1111")),TH!D2455,""),"")</f>
        <v/>
      </c>
      <c r="B2455" s="36">
        <f t="shared" si="352"/>
        <v>9</v>
      </c>
      <c r="C2455" s="190">
        <f t="shared" si="353"/>
        <v>42629</v>
      </c>
      <c r="D2455" s="190" t="s">
        <v>1614</v>
      </c>
      <c r="E2455" s="190">
        <v>42629</v>
      </c>
      <c r="F2455" s="292" t="s">
        <v>719</v>
      </c>
      <c r="G2455" s="833" t="s">
        <v>1679</v>
      </c>
      <c r="H2455" s="192" t="s">
        <v>1437</v>
      </c>
      <c r="I2455" s="253">
        <v>4</v>
      </c>
      <c r="J2455" s="253">
        <v>27862</v>
      </c>
      <c r="K2455" s="584">
        <f t="shared" ref="K2455:K2456" si="357">ROUND(I2455*J2455,0)</f>
        <v>111448</v>
      </c>
      <c r="L2455" s="193" t="s">
        <v>251</v>
      </c>
      <c r="M2455" s="193" t="s">
        <v>164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52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>x</v>
      </c>
      <c r="AA2455" s="826"/>
      <c r="AB2455" s="576" t="str">
        <f>IF(VLOOKUP(F2455,NXT!$C$12:$C$786,1,0)=F2455,"","x")</f>
        <v/>
      </c>
    </row>
    <row r="2456" spans="1:30" ht="15.75" customHeight="1">
      <c r="A2456" s="827" t="str">
        <f>IF(B2456&lt;&gt;"",IF(AND(B2456&gt;=_TM1,B2456&lt;=_TM2,OR(TH!L2456="1111",TH!M2456="1111")),TH!D2456,""),"")</f>
        <v/>
      </c>
      <c r="B2456" s="36">
        <f t="shared" si="349"/>
        <v>9</v>
      </c>
      <c r="C2456" s="190">
        <f t="shared" si="350"/>
        <v>42629</v>
      </c>
      <c r="D2456" s="190" t="s">
        <v>1614</v>
      </c>
      <c r="E2456" s="190">
        <v>42629</v>
      </c>
      <c r="F2456" s="292" t="s">
        <v>1685</v>
      </c>
      <c r="G2456" s="833" t="s">
        <v>1679</v>
      </c>
      <c r="H2456" s="192" t="s">
        <v>1437</v>
      </c>
      <c r="I2456" s="253">
        <v>1</v>
      </c>
      <c r="J2456" s="253">
        <v>78260</v>
      </c>
      <c r="K2456" s="584">
        <f t="shared" si="357"/>
        <v>78260</v>
      </c>
      <c r="L2456" s="193" t="s">
        <v>251</v>
      </c>
      <c r="M2456" s="193" t="s">
        <v>164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52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>x</v>
      </c>
      <c r="AA2456" s="826"/>
      <c r="AB2456" s="576" t="str">
        <f>IF(VLOOKUP(F2456,NXT!$C$12:$C$786,1,0)=F2456,"","x")</f>
        <v/>
      </c>
    </row>
    <row r="2457" spans="1:30" ht="15.75" customHeight="1">
      <c r="A2457" s="827" t="str">
        <f>IF(B2457&lt;&gt;"",IF(AND(B2457&gt;=_TM1,B2457&lt;=_TM2,OR(TH!L2457="1111",TH!M2457="1111")),TH!D2457,""),"")</f>
        <v/>
      </c>
      <c r="B2457" s="36">
        <f t="shared" si="349"/>
        <v>9</v>
      </c>
      <c r="C2457" s="190">
        <f t="shared" si="350"/>
        <v>42629</v>
      </c>
      <c r="D2457" s="190" t="s">
        <v>1614</v>
      </c>
      <c r="E2457" s="190">
        <v>42629</v>
      </c>
      <c r="F2457" s="292" t="s">
        <v>461</v>
      </c>
      <c r="G2457" s="833" t="s">
        <v>1679</v>
      </c>
      <c r="H2457" s="192" t="s">
        <v>1437</v>
      </c>
      <c r="I2457" s="253"/>
      <c r="J2457" s="253"/>
      <c r="K2457" s="584">
        <v>62205</v>
      </c>
      <c r="L2457" s="193" t="s">
        <v>251</v>
      </c>
      <c r="M2457" s="193" t="s">
        <v>354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52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>x</v>
      </c>
      <c r="AA2457" s="826"/>
      <c r="AB2457" s="576"/>
    </row>
    <row r="2458" spans="1:30" ht="15.75" customHeight="1">
      <c r="A2458" s="827" t="str">
        <f>IF(B2458&lt;&gt;"",IF(AND(B2458&gt;=_TM1,B2458&lt;=_TM2,OR(TH!L2458="1111",TH!M2458="1111")),TH!D2458,""),"")</f>
        <v/>
      </c>
      <c r="B2458" s="36">
        <f t="shared" si="349"/>
        <v>9</v>
      </c>
      <c r="C2458" s="190">
        <f t="shared" si="350"/>
        <v>42630</v>
      </c>
      <c r="D2458" s="190" t="s">
        <v>1615</v>
      </c>
      <c r="E2458" s="190">
        <v>42630</v>
      </c>
      <c r="F2458" s="292" t="s">
        <v>1681</v>
      </c>
      <c r="G2458" s="833" t="s">
        <v>1680</v>
      </c>
      <c r="H2458" s="192" t="s">
        <v>1454</v>
      </c>
      <c r="I2458" s="253">
        <v>570</v>
      </c>
      <c r="J2458" s="253">
        <v>20500</v>
      </c>
      <c r="K2458" s="584">
        <f t="shared" ref="K2458" si="358">ROUND(I2458*J2458,0)</f>
        <v>11685000</v>
      </c>
      <c r="L2458" s="193" t="s">
        <v>251</v>
      </c>
      <c r="M2458" s="193" t="s">
        <v>164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52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>x</v>
      </c>
      <c r="AA2458" s="826"/>
      <c r="AB2458" s="576" t="str">
        <f>IF(VLOOKUP(F2458,NXT!$C$12:$C$786,1,0)=F2458,"","x")</f>
        <v/>
      </c>
    </row>
    <row r="2459" spans="1:30" ht="15.75" customHeight="1">
      <c r="A2459" s="827" t="str">
        <f>IF(B2459&lt;&gt;"",IF(AND(B2459&gt;=_TM1,B2459&lt;=_TM2,OR(TH!L2459="1111",TH!M2459="1111")),TH!D2459,""),"")</f>
        <v/>
      </c>
      <c r="B2459" s="36">
        <f t="shared" ref="B2459:B2461" si="359">IF(C2459&lt;&gt;"",MONTH(C2459),"")</f>
        <v>9</v>
      </c>
      <c r="C2459" s="190">
        <f t="shared" ref="C2459:C2461" si="360">E2459</f>
        <v>42630</v>
      </c>
      <c r="D2459" s="190" t="s">
        <v>1615</v>
      </c>
      <c r="E2459" s="190">
        <v>42630</v>
      </c>
      <c r="F2459" s="292" t="s">
        <v>461</v>
      </c>
      <c r="G2459" s="833" t="s">
        <v>1680</v>
      </c>
      <c r="H2459" s="192" t="s">
        <v>1454</v>
      </c>
      <c r="I2459" s="253"/>
      <c r="J2459" s="253"/>
      <c r="K2459" s="584">
        <v>1168500</v>
      </c>
      <c r="L2459" s="193" t="s">
        <v>251</v>
      </c>
      <c r="M2459" s="193" t="s">
        <v>354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52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>x</v>
      </c>
      <c r="AA2459" s="826"/>
      <c r="AB2459" s="576"/>
    </row>
    <row r="2460" spans="1:30" ht="15.75" customHeight="1">
      <c r="A2460" s="827" t="str">
        <f>IF(B2460&lt;&gt;"",IF(AND(B2460&gt;=_TM1,B2460&lt;=_TM2,OR(TH!L2460="1111",TH!M2460="1111")),TH!D2460,""),"")</f>
        <v/>
      </c>
      <c r="B2460" s="36">
        <f t="shared" si="359"/>
        <v>9</v>
      </c>
      <c r="C2460" s="190">
        <f t="shared" si="360"/>
        <v>42633</v>
      </c>
      <c r="D2460" s="190" t="s">
        <v>1616</v>
      </c>
      <c r="E2460" s="190">
        <v>42633</v>
      </c>
      <c r="F2460" s="292" t="s">
        <v>1687</v>
      </c>
      <c r="G2460" s="833" t="s">
        <v>1686</v>
      </c>
      <c r="H2460" s="192" t="s">
        <v>785</v>
      </c>
      <c r="I2460" s="253">
        <v>4950</v>
      </c>
      <c r="J2460" s="253">
        <v>9000</v>
      </c>
      <c r="K2460" s="584">
        <f t="shared" ref="K2460" si="361">ROUND(I2460*J2460,0)</f>
        <v>44550000</v>
      </c>
      <c r="L2460" s="193" t="s">
        <v>251</v>
      </c>
      <c r="M2460" s="193" t="s">
        <v>164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52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>x</v>
      </c>
      <c r="AA2460" s="826"/>
      <c r="AB2460" s="576" t="str">
        <f>IF(VLOOKUP(F2460,NXT!$C$12:$C$786,1,0)=F2460,"","x")</f>
        <v/>
      </c>
    </row>
    <row r="2461" spans="1:30" ht="15.75" customHeight="1">
      <c r="A2461" s="827" t="str">
        <f>IF(B2461&lt;&gt;"",IF(AND(B2461&gt;=_TM1,B2461&lt;=_TM2,OR(TH!L2461="1111",TH!M2461="1111")),TH!D2461,""),"")</f>
        <v/>
      </c>
      <c r="B2461" s="36">
        <f t="shared" si="359"/>
        <v>9</v>
      </c>
      <c r="C2461" s="190">
        <f t="shared" si="360"/>
        <v>42633</v>
      </c>
      <c r="D2461" s="190" t="s">
        <v>1616</v>
      </c>
      <c r="E2461" s="190">
        <v>42633</v>
      </c>
      <c r="F2461" s="292" t="s">
        <v>461</v>
      </c>
      <c r="G2461" s="833" t="s">
        <v>1686</v>
      </c>
      <c r="H2461" s="192" t="s">
        <v>785</v>
      </c>
      <c r="I2461" s="253"/>
      <c r="J2461" s="253"/>
      <c r="K2461" s="584">
        <v>4455000</v>
      </c>
      <c r="L2461" s="193" t="s">
        <v>251</v>
      </c>
      <c r="M2461" s="193" t="s">
        <v>354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52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>x</v>
      </c>
      <c r="AA2461" s="826"/>
      <c r="AB2461" s="576"/>
    </row>
    <row r="2462" spans="1:30" ht="15.75" customHeight="1">
      <c r="A2462" s="827" t="str">
        <f>IF(B2462&lt;&gt;"",IF(AND(B2462&gt;=_TM1,B2462&lt;=_TM2,OR(TH!L2462="1111",TH!M2462="1111")),TH!D2462,""),"")</f>
        <v/>
      </c>
      <c r="B2462" s="36">
        <f t="shared" ref="B2462:B2578" si="362">IF(C2462&lt;&gt;"",MONTH(C2462),"")</f>
        <v>9</v>
      </c>
      <c r="C2462" s="190">
        <f t="shared" ref="C2462:C2578" si="363">E2462</f>
        <v>42634</v>
      </c>
      <c r="D2462" s="190" t="s">
        <v>1617</v>
      </c>
      <c r="E2462" s="190">
        <v>42634</v>
      </c>
      <c r="F2462" s="292" t="s">
        <v>1178</v>
      </c>
      <c r="G2462" s="833" t="s">
        <v>1688</v>
      </c>
      <c r="H2462" s="192" t="s">
        <v>662</v>
      </c>
      <c r="I2462" s="253">
        <v>1550</v>
      </c>
      <c r="J2462" s="253">
        <v>35000</v>
      </c>
      <c r="K2462" s="584">
        <f t="shared" ref="K2462:K2463" si="364">ROUND(I2462*J2462,0)</f>
        <v>54250000</v>
      </c>
      <c r="L2462" s="193" t="s">
        <v>251</v>
      </c>
      <c r="M2462" s="193" t="s">
        <v>164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52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>x</v>
      </c>
      <c r="AA2462" s="826"/>
      <c r="AB2462" s="576" t="str">
        <f>IF(VLOOKUP(F2462,NXT!$C$12:$C$786,1,0)=F2462,"","x")</f>
        <v/>
      </c>
    </row>
    <row r="2463" spans="1:30" ht="15.75" customHeight="1">
      <c r="A2463" s="827" t="str">
        <f>IF(B2463&lt;&gt;"",IF(AND(B2463&gt;=_TM1,B2463&lt;=_TM2,OR(TH!L2463="1111",TH!M2463="1111")),TH!D2463,""),"")</f>
        <v/>
      </c>
      <c r="B2463" s="36">
        <f t="shared" si="362"/>
        <v>9</v>
      </c>
      <c r="C2463" s="190">
        <f t="shared" si="363"/>
        <v>42634</v>
      </c>
      <c r="D2463" s="190" t="s">
        <v>1617</v>
      </c>
      <c r="E2463" s="190">
        <v>42634</v>
      </c>
      <c r="F2463" s="292" t="s">
        <v>1179</v>
      </c>
      <c r="G2463" s="833" t="s">
        <v>1688</v>
      </c>
      <c r="H2463" s="192" t="s">
        <v>662</v>
      </c>
      <c r="I2463" s="253">
        <v>1500</v>
      </c>
      <c r="J2463" s="253">
        <v>32500</v>
      </c>
      <c r="K2463" s="584">
        <f t="shared" si="364"/>
        <v>48750000</v>
      </c>
      <c r="L2463" s="193" t="s">
        <v>251</v>
      </c>
      <c r="M2463" s="193" t="s">
        <v>164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52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>x</v>
      </c>
      <c r="AA2463" s="826"/>
      <c r="AB2463" s="576" t="str">
        <f>IF(VLOOKUP(F2463,NXT!$C$12:$C$786,1,0)=F2463,"","x")</f>
        <v/>
      </c>
    </row>
    <row r="2464" spans="1:30" ht="15.75" customHeight="1">
      <c r="A2464" s="827" t="str">
        <f>IF(B2464&lt;&gt;"",IF(AND(B2464&gt;=_TM1,B2464&lt;=_TM2,OR(TH!L2464="1111",TH!M2464="1111")),TH!D2464,""),"")</f>
        <v/>
      </c>
      <c r="B2464" s="36">
        <f t="shared" si="362"/>
        <v>9</v>
      </c>
      <c r="C2464" s="190">
        <f t="shared" si="363"/>
        <v>42634</v>
      </c>
      <c r="D2464" s="190" t="s">
        <v>1617</v>
      </c>
      <c r="E2464" s="190">
        <v>42634</v>
      </c>
      <c r="F2464" s="290" t="s">
        <v>451</v>
      </c>
      <c r="G2464" s="833" t="s">
        <v>1688</v>
      </c>
      <c r="H2464" s="192" t="s">
        <v>662</v>
      </c>
      <c r="I2464" s="253">
        <v>4400</v>
      </c>
      <c r="J2464" s="253">
        <v>18500</v>
      </c>
      <c r="K2464" s="584">
        <f t="shared" ref="K2464:K2465" si="365">ROUND(I2464*J2464,0)</f>
        <v>81400000</v>
      </c>
      <c r="L2464" s="193" t="s">
        <v>251</v>
      </c>
      <c r="M2464" s="193" t="s">
        <v>164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52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>x</v>
      </c>
      <c r="AA2464" s="826"/>
      <c r="AB2464" s="576" t="str">
        <f>IF(VLOOKUP(F2464,NXT!$C$12:$C$786,1,0)=F2464,"","x")</f>
        <v/>
      </c>
    </row>
    <row r="2465" spans="1:28" ht="15.75" customHeight="1">
      <c r="A2465" s="827" t="str">
        <f>IF(B2465&lt;&gt;"",IF(AND(B2465&gt;=_TM1,B2465&lt;=_TM2,OR(TH!L2465="1111",TH!M2465="1111")),TH!D2465,""),"")</f>
        <v/>
      </c>
      <c r="B2465" s="36">
        <f t="shared" si="362"/>
        <v>9</v>
      </c>
      <c r="C2465" s="190">
        <f t="shared" si="363"/>
        <v>42634</v>
      </c>
      <c r="D2465" s="190" t="s">
        <v>1617</v>
      </c>
      <c r="E2465" s="190">
        <v>42634</v>
      </c>
      <c r="F2465" s="290" t="s">
        <v>450</v>
      </c>
      <c r="G2465" s="833" t="s">
        <v>1688</v>
      </c>
      <c r="H2465" s="192" t="s">
        <v>662</v>
      </c>
      <c r="I2465" s="253">
        <v>4200</v>
      </c>
      <c r="J2465" s="253">
        <v>18500</v>
      </c>
      <c r="K2465" s="584">
        <f t="shared" si="365"/>
        <v>77700000</v>
      </c>
      <c r="L2465" s="193" t="s">
        <v>251</v>
      </c>
      <c r="M2465" s="193" t="s">
        <v>164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52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>x</v>
      </c>
      <c r="AA2465" s="826"/>
      <c r="AB2465" s="576" t="str">
        <f>IF(VLOOKUP(F2465,NXT!$C$12:$C$786,1,0)=F2465,"","x")</f>
        <v/>
      </c>
    </row>
    <row r="2466" spans="1:28" ht="15.75" customHeight="1">
      <c r="A2466" s="827" t="str">
        <f>IF(B2466&lt;&gt;"",IF(AND(B2466&gt;=_TM1,B2466&lt;=_TM2,OR(TH!L2466="1111",TH!M2466="1111")),TH!D2466,""),"")</f>
        <v/>
      </c>
      <c r="B2466" s="36">
        <f t="shared" si="362"/>
        <v>9</v>
      </c>
      <c r="C2466" s="190">
        <f t="shared" si="363"/>
        <v>42634</v>
      </c>
      <c r="D2466" s="190" t="s">
        <v>1617</v>
      </c>
      <c r="E2466" s="190">
        <v>42634</v>
      </c>
      <c r="F2466" s="292" t="s">
        <v>461</v>
      </c>
      <c r="G2466" s="833" t="s">
        <v>1688</v>
      </c>
      <c r="H2466" s="192" t="s">
        <v>662</v>
      </c>
      <c r="I2466" s="253"/>
      <c r="J2466" s="253"/>
      <c r="K2466" s="584">
        <v>26210000</v>
      </c>
      <c r="L2466" s="193" t="s">
        <v>251</v>
      </c>
      <c r="M2466" s="193" t="s">
        <v>354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52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>x</v>
      </c>
      <c r="AA2466" s="826"/>
      <c r="AB2466" s="576"/>
    </row>
    <row r="2467" spans="1:28" ht="15.75" customHeight="1">
      <c r="A2467" s="827" t="str">
        <f>IF(B2467&lt;&gt;"",IF(AND(B2467&gt;=_TM1,B2467&lt;=_TM2,OR(TH!L2467="1111",TH!M2467="1111")),TH!D2467,""),"")</f>
        <v/>
      </c>
      <c r="B2467" s="36">
        <f t="shared" si="362"/>
        <v>9</v>
      </c>
      <c r="C2467" s="190">
        <f t="shared" si="363"/>
        <v>42636</v>
      </c>
      <c r="D2467" s="190" t="s">
        <v>1618</v>
      </c>
      <c r="E2467" s="190">
        <v>42636</v>
      </c>
      <c r="F2467" s="292" t="s">
        <v>1690</v>
      </c>
      <c r="G2467" s="833" t="s">
        <v>1689</v>
      </c>
      <c r="H2467" s="192" t="s">
        <v>1454</v>
      </c>
      <c r="I2467" s="253">
        <v>4100</v>
      </c>
      <c r="J2467" s="253">
        <v>7300</v>
      </c>
      <c r="K2467" s="584">
        <f t="shared" ref="K2467" si="366">ROUND(I2467*J2467,0)</f>
        <v>29930000</v>
      </c>
      <c r="L2467" s="193" t="s">
        <v>251</v>
      </c>
      <c r="M2467" s="193" t="s">
        <v>164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52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>x</v>
      </c>
      <c r="AA2467" s="826"/>
      <c r="AB2467" s="576" t="str">
        <f>IF(VLOOKUP(F2467,NXT!$C$12:$C$786,1,0)=F2467,"","x")</f>
        <v/>
      </c>
    </row>
    <row r="2468" spans="1:28" ht="15.75" customHeight="1">
      <c r="A2468" s="827" t="str">
        <f>IF(B2468&lt;&gt;"",IF(AND(B2468&gt;=_TM1,B2468&lt;=_TM2,OR(TH!L2468="1111",TH!M2468="1111")),TH!D2468,""),"")</f>
        <v/>
      </c>
      <c r="B2468" s="36">
        <f t="shared" si="362"/>
        <v>9</v>
      </c>
      <c r="C2468" s="190">
        <f t="shared" si="363"/>
        <v>42636</v>
      </c>
      <c r="D2468" s="190" t="s">
        <v>1618</v>
      </c>
      <c r="E2468" s="190">
        <v>42636</v>
      </c>
      <c r="F2468" s="292" t="s">
        <v>461</v>
      </c>
      <c r="G2468" s="833" t="s">
        <v>1689</v>
      </c>
      <c r="H2468" s="192" t="s">
        <v>1454</v>
      </c>
      <c r="I2468" s="253"/>
      <c r="J2468" s="253"/>
      <c r="K2468" s="584">
        <v>2993000</v>
      </c>
      <c r="L2468" s="193" t="s">
        <v>251</v>
      </c>
      <c r="M2468" s="193" t="s">
        <v>354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52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>x</v>
      </c>
      <c r="AA2468" s="826"/>
      <c r="AB2468" s="576"/>
    </row>
    <row r="2469" spans="1:28" ht="15.75" customHeight="1">
      <c r="A2469" s="827" t="str">
        <f>IF(B2469&lt;&gt;"",IF(AND(B2469&gt;=_TM1,B2469&lt;=_TM2,OR(TH!L2469="1111",TH!M2469="1111")),TH!D2469,""),"")</f>
        <v/>
      </c>
      <c r="B2469" s="36">
        <f t="shared" si="362"/>
        <v>9</v>
      </c>
      <c r="C2469" s="190">
        <f t="shared" si="363"/>
        <v>42642</v>
      </c>
      <c r="D2469" s="190" t="s">
        <v>1619</v>
      </c>
      <c r="E2469" s="190">
        <v>42642</v>
      </c>
      <c r="F2469" s="292" t="s">
        <v>1693</v>
      </c>
      <c r="G2469" s="833" t="s">
        <v>1691</v>
      </c>
      <c r="H2469" s="764" t="s">
        <v>639</v>
      </c>
      <c r="I2469" s="253">
        <v>300</v>
      </c>
      <c r="J2469" s="253">
        <v>8030</v>
      </c>
      <c r="K2469" s="584">
        <f t="shared" ref="K2469:K2471" si="367">ROUND(I2469*J2469,0)</f>
        <v>2409000</v>
      </c>
      <c r="L2469" s="193" t="s">
        <v>251</v>
      </c>
      <c r="M2469" s="193" t="s">
        <v>164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52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>x</v>
      </c>
      <c r="AA2469" s="826"/>
      <c r="AB2469" s="576" t="str">
        <f>IF(VLOOKUP(F2469,NXT!$C$12:$C$786,1,0)=F2469,"","x")</f>
        <v/>
      </c>
    </row>
    <row r="2470" spans="1:28" ht="15.75" customHeight="1">
      <c r="A2470" s="827" t="str">
        <f>IF(B2470&lt;&gt;"",IF(AND(B2470&gt;=_TM1,B2470&lt;=_TM2,OR(TH!L2470="1111",TH!M2470="1111")),TH!D2470,""),"")</f>
        <v/>
      </c>
      <c r="B2470" s="36">
        <f t="shared" si="362"/>
        <v>9</v>
      </c>
      <c r="C2470" s="190">
        <f t="shared" si="363"/>
        <v>42642</v>
      </c>
      <c r="D2470" s="190" t="s">
        <v>1619</v>
      </c>
      <c r="E2470" s="190">
        <v>42642</v>
      </c>
      <c r="F2470" s="292" t="s">
        <v>461</v>
      </c>
      <c r="G2470" s="833" t="s">
        <v>1691</v>
      </c>
      <c r="H2470" s="764" t="s">
        <v>639</v>
      </c>
      <c r="I2470" s="253"/>
      <c r="J2470" s="253"/>
      <c r="K2470" s="584">
        <v>240900</v>
      </c>
      <c r="L2470" s="193" t="s">
        <v>251</v>
      </c>
      <c r="M2470" s="193" t="s">
        <v>354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52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>x</v>
      </c>
      <c r="AA2470" s="826"/>
      <c r="AB2470" s="576"/>
    </row>
    <row r="2471" spans="1:28" ht="15.75" customHeight="1">
      <c r="A2471" s="827" t="str">
        <f>IF(B2471&lt;&gt;"",IF(AND(B2471&gt;=_TM1,B2471&lt;=_TM2,OR(TH!L2471="1111",TH!M2471="1111")),TH!D2471,""),"")</f>
        <v/>
      </c>
      <c r="B2471" s="36">
        <f t="shared" ref="B2471:B2476" si="368">IF(C2471&lt;&gt;"",MONTH(C2471),"")</f>
        <v>9</v>
      </c>
      <c r="C2471" s="190">
        <f t="shared" ref="C2471:C2476" si="369">E2471</f>
        <v>42642</v>
      </c>
      <c r="D2471" s="190" t="s">
        <v>1620</v>
      </c>
      <c r="E2471" s="190">
        <v>42642</v>
      </c>
      <c r="F2471" s="292" t="s">
        <v>1178</v>
      </c>
      <c r="G2471" s="833" t="s">
        <v>1692</v>
      </c>
      <c r="H2471" s="192" t="s">
        <v>1694</v>
      </c>
      <c r="I2471" s="253">
        <v>420</v>
      </c>
      <c r="J2471" s="253">
        <v>37500</v>
      </c>
      <c r="K2471" s="584">
        <f t="shared" si="367"/>
        <v>15750000</v>
      </c>
      <c r="L2471" s="193" t="s">
        <v>251</v>
      </c>
      <c r="M2471" s="193" t="s">
        <v>164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52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>x</v>
      </c>
      <c r="AA2471" s="826"/>
      <c r="AB2471" s="576" t="str">
        <f>IF(VLOOKUP(F2471,NXT!$C$12:$C$786,1,0)=F2471,"","x")</f>
        <v/>
      </c>
    </row>
    <row r="2472" spans="1:28" ht="15.75" customHeight="1">
      <c r="A2472" s="827" t="str">
        <f>IF(B2472&lt;&gt;"",IF(AND(B2472&gt;=_TM1,B2472&lt;=_TM2,OR(TH!L2472="1111",TH!M2472="1111")),TH!D2472,""),"")</f>
        <v/>
      </c>
      <c r="B2472" s="36">
        <f t="shared" si="368"/>
        <v>9</v>
      </c>
      <c r="C2472" s="190">
        <f t="shared" si="369"/>
        <v>42642</v>
      </c>
      <c r="D2472" s="190" t="s">
        <v>1620</v>
      </c>
      <c r="E2472" s="190">
        <v>42642</v>
      </c>
      <c r="F2472" s="290" t="s">
        <v>451</v>
      </c>
      <c r="G2472" s="833" t="s">
        <v>1692</v>
      </c>
      <c r="H2472" s="192" t="s">
        <v>1694</v>
      </c>
      <c r="I2472" s="253">
        <v>120</v>
      </c>
      <c r="J2472" s="253">
        <v>18500</v>
      </c>
      <c r="K2472" s="584">
        <f t="shared" ref="K2472" si="370">ROUND(I2472*J2472,0)</f>
        <v>2220000</v>
      </c>
      <c r="L2472" s="193" t="s">
        <v>251</v>
      </c>
      <c r="M2472" s="193" t="s">
        <v>164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52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>x</v>
      </c>
      <c r="AA2472" s="826"/>
      <c r="AB2472" s="576" t="str">
        <f>IF(VLOOKUP(F2472,NXT!$C$12:$C$786,1,0)=F2472,"","x")</f>
        <v/>
      </c>
    </row>
    <row r="2473" spans="1:28" ht="15.75" customHeight="1">
      <c r="A2473" s="827" t="str">
        <f>IF(B2473&lt;&gt;"",IF(AND(B2473&gt;=_TM1,B2473&lt;=_TM2,OR(TH!L2473="1111",TH!M2473="1111")),TH!D2473,""),"")</f>
        <v/>
      </c>
      <c r="B2473" s="36">
        <f t="shared" si="368"/>
        <v>9</v>
      </c>
      <c r="C2473" s="190">
        <f t="shared" si="369"/>
        <v>42642</v>
      </c>
      <c r="D2473" s="190" t="s">
        <v>1620</v>
      </c>
      <c r="E2473" s="190">
        <v>42642</v>
      </c>
      <c r="F2473" s="292" t="s">
        <v>461</v>
      </c>
      <c r="G2473" s="833" t="s">
        <v>1692</v>
      </c>
      <c r="H2473" s="192" t="s">
        <v>1694</v>
      </c>
      <c r="I2473" s="253"/>
      <c r="J2473" s="253"/>
      <c r="K2473" s="584">
        <v>1797000</v>
      </c>
      <c r="L2473" s="193" t="s">
        <v>251</v>
      </c>
      <c r="M2473" s="193" t="s">
        <v>354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52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>x</v>
      </c>
      <c r="AA2473" s="826"/>
      <c r="AB2473" s="576"/>
    </row>
    <row r="2474" spans="1:28" ht="15.75" customHeight="1">
      <c r="A2474" s="827" t="str">
        <f>IF(B2474&lt;&gt;"",IF(AND(B2474&gt;=_TM1,B2474&lt;=_TM2,OR(TH!L2474="1111",TH!M2474="1111")),TH!D2474,""),"")</f>
        <v/>
      </c>
      <c r="B2474" s="36">
        <f t="shared" si="368"/>
        <v>9</v>
      </c>
      <c r="C2474" s="190">
        <f t="shared" si="369"/>
        <v>42642</v>
      </c>
      <c r="D2474" s="190" t="s">
        <v>1621</v>
      </c>
      <c r="E2474" s="190">
        <v>42642</v>
      </c>
      <c r="F2474" s="292" t="s">
        <v>1696</v>
      </c>
      <c r="G2474" s="833" t="s">
        <v>1695</v>
      </c>
      <c r="H2474" s="192" t="s">
        <v>753</v>
      </c>
      <c r="I2474" s="253">
        <v>5000</v>
      </c>
      <c r="J2474" s="253">
        <v>7600</v>
      </c>
      <c r="K2474" s="584">
        <f t="shared" ref="K2474:K2475" si="371">ROUND(I2474*J2474,0)</f>
        <v>38000000</v>
      </c>
      <c r="L2474" s="193" t="s">
        <v>251</v>
      </c>
      <c r="M2474" s="193" t="s">
        <v>164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52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>x</v>
      </c>
      <c r="AA2474" s="826"/>
      <c r="AB2474" s="576" t="str">
        <f>IF(VLOOKUP(F2474,NXT!$C$12:$C$786,1,0)=F2474,"","x")</f>
        <v/>
      </c>
    </row>
    <row r="2475" spans="1:28" ht="15.75" customHeight="1">
      <c r="A2475" s="827" t="str">
        <f>IF(B2475&lt;&gt;"",IF(AND(B2475&gt;=_TM1,B2475&lt;=_TM2,OR(TH!L2475="1111",TH!M2475="1111")),TH!D2475,""),"")</f>
        <v/>
      </c>
      <c r="B2475" s="36">
        <f t="shared" si="368"/>
        <v>9</v>
      </c>
      <c r="C2475" s="190">
        <f t="shared" si="369"/>
        <v>42642</v>
      </c>
      <c r="D2475" s="190" t="s">
        <v>1621</v>
      </c>
      <c r="E2475" s="190">
        <v>42642</v>
      </c>
      <c r="F2475" s="292" t="s">
        <v>1697</v>
      </c>
      <c r="G2475" s="833" t="s">
        <v>1695</v>
      </c>
      <c r="H2475" s="192" t="s">
        <v>753</v>
      </c>
      <c r="I2475" s="253">
        <v>2300</v>
      </c>
      <c r="J2475" s="253">
        <v>5800</v>
      </c>
      <c r="K2475" s="584">
        <f t="shared" si="371"/>
        <v>13340000</v>
      </c>
      <c r="L2475" s="193" t="s">
        <v>251</v>
      </c>
      <c r="M2475" s="193" t="s">
        <v>164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52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>x</v>
      </c>
      <c r="AA2475" s="826"/>
      <c r="AB2475" s="576" t="str">
        <f>IF(VLOOKUP(F2475,NXT!$C$12:$C$786,1,0)=F2475,"","x")</f>
        <v/>
      </c>
    </row>
    <row r="2476" spans="1:28" ht="15.75" customHeight="1">
      <c r="A2476" s="827" t="str">
        <f>IF(B2476&lt;&gt;"",IF(AND(B2476&gt;=_TM1,B2476&lt;=_TM2,OR(TH!L2476="1111",TH!M2476="1111")),TH!D2476,""),"")</f>
        <v/>
      </c>
      <c r="B2476" s="36">
        <f t="shared" si="368"/>
        <v>9</v>
      </c>
      <c r="C2476" s="190">
        <f t="shared" si="369"/>
        <v>42642</v>
      </c>
      <c r="D2476" s="190" t="s">
        <v>1621</v>
      </c>
      <c r="E2476" s="190">
        <v>42642</v>
      </c>
      <c r="F2476" s="292" t="s">
        <v>1698</v>
      </c>
      <c r="G2476" s="833" t="s">
        <v>1695</v>
      </c>
      <c r="H2476" s="192" t="s">
        <v>753</v>
      </c>
      <c r="I2476" s="253">
        <v>3000</v>
      </c>
      <c r="J2476" s="253">
        <v>12500</v>
      </c>
      <c r="K2476" s="584">
        <f t="shared" ref="K2476:K2477" si="372">ROUND(I2476*J2476,0)</f>
        <v>37500000</v>
      </c>
      <c r="L2476" s="193" t="s">
        <v>251</v>
      </c>
      <c r="M2476" s="193" t="s">
        <v>164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52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>x</v>
      </c>
      <c r="AA2476" s="826"/>
      <c r="AB2476" s="576" t="str">
        <f>IF(VLOOKUP(F2476,NXT!$C$12:$C$786,1,0)=F2476,"","x")</f>
        <v/>
      </c>
    </row>
    <row r="2477" spans="1:28" ht="15.75" customHeight="1">
      <c r="A2477" s="827" t="str">
        <f>IF(B2477&lt;&gt;"",IF(AND(B2477&gt;=_TM1,B2477&lt;=_TM2,OR(TH!L2477="1111",TH!M2477="1111")),TH!D2477,""),"")</f>
        <v/>
      </c>
      <c r="B2477" s="36">
        <f t="shared" ref="B2477:B2482" si="373">IF(C2477&lt;&gt;"",MONTH(C2477),"")</f>
        <v>9</v>
      </c>
      <c r="C2477" s="190">
        <f t="shared" ref="C2477:C2482" si="374">E2477</f>
        <v>42642</v>
      </c>
      <c r="D2477" s="190" t="s">
        <v>1621</v>
      </c>
      <c r="E2477" s="190">
        <v>42642</v>
      </c>
      <c r="F2477" s="292" t="s">
        <v>1699</v>
      </c>
      <c r="G2477" s="833" t="s">
        <v>1695</v>
      </c>
      <c r="H2477" s="192" t="s">
        <v>753</v>
      </c>
      <c r="I2477" s="253">
        <v>2500</v>
      </c>
      <c r="J2477" s="253">
        <v>8500</v>
      </c>
      <c r="K2477" s="584">
        <f t="shared" si="372"/>
        <v>21250000</v>
      </c>
      <c r="L2477" s="193" t="s">
        <v>251</v>
      </c>
      <c r="M2477" s="193" t="s">
        <v>164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52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>x</v>
      </c>
      <c r="AA2477" s="826"/>
      <c r="AB2477" s="576" t="str">
        <f>IF(VLOOKUP(F2477,NXT!$C$12:$C$786,1,0)=F2477,"","x")</f>
        <v/>
      </c>
    </row>
    <row r="2478" spans="1:28" ht="15.75" customHeight="1">
      <c r="A2478" s="827" t="str">
        <f>IF(B2478&lt;&gt;"",IF(AND(B2478&gt;=_TM1,B2478&lt;=_TM2,OR(TH!L2478="1111",TH!M2478="1111")),TH!D2478,""),"")</f>
        <v/>
      </c>
      <c r="B2478" s="36">
        <f t="shared" si="373"/>
        <v>9</v>
      </c>
      <c r="C2478" s="190">
        <f t="shared" si="374"/>
        <v>42642</v>
      </c>
      <c r="D2478" s="190" t="s">
        <v>1621</v>
      </c>
      <c r="E2478" s="190">
        <v>42642</v>
      </c>
      <c r="F2478" s="292" t="s">
        <v>461</v>
      </c>
      <c r="G2478" s="833" t="s">
        <v>1695</v>
      </c>
      <c r="H2478" s="192" t="s">
        <v>753</v>
      </c>
      <c r="I2478" s="253"/>
      <c r="J2478" s="253"/>
      <c r="K2478" s="584">
        <v>11009000</v>
      </c>
      <c r="L2478" s="193" t="s">
        <v>251</v>
      </c>
      <c r="M2478" s="193" t="s">
        <v>354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52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>x</v>
      </c>
      <c r="AA2478" s="826"/>
      <c r="AB2478" s="576"/>
    </row>
    <row r="2479" spans="1:28" ht="15.75" customHeight="1">
      <c r="A2479" s="827" t="str">
        <f>IF(B2479&lt;&gt;"",IF(AND(B2479&gt;=_TM1,B2479&lt;=_TM2,OR(TH!L2479="1111",TH!M2479="1111")),TH!D2479,""),"")</f>
        <v/>
      </c>
      <c r="B2479" s="36">
        <f t="shared" si="373"/>
        <v>9</v>
      </c>
      <c r="C2479" s="190">
        <f t="shared" si="374"/>
        <v>42642</v>
      </c>
      <c r="D2479" s="190" t="s">
        <v>1622</v>
      </c>
      <c r="E2479" s="190">
        <v>42642</v>
      </c>
      <c r="F2479" s="292" t="s">
        <v>1701</v>
      </c>
      <c r="G2479" s="833" t="s">
        <v>1700</v>
      </c>
      <c r="H2479" s="192" t="s">
        <v>1454</v>
      </c>
      <c r="I2479" s="253">
        <v>1600</v>
      </c>
      <c r="J2479" s="253">
        <v>5200</v>
      </c>
      <c r="K2479" s="584">
        <f t="shared" ref="K2479" si="375">ROUND(I2479*J2479,0)</f>
        <v>8320000</v>
      </c>
      <c r="L2479" s="193" t="s">
        <v>251</v>
      </c>
      <c r="M2479" s="193" t="s">
        <v>164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52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>x</v>
      </c>
      <c r="AA2479" s="826"/>
      <c r="AB2479" s="576" t="str">
        <f>IF(VLOOKUP(F2479,NXT!$C$12:$C$786,1,0)=F2479,"","x")</f>
        <v/>
      </c>
    </row>
    <row r="2480" spans="1:28" ht="15.75" customHeight="1">
      <c r="A2480" s="827" t="str">
        <f>IF(B2480&lt;&gt;"",IF(AND(B2480&gt;=_TM1,B2480&lt;=_TM2,OR(TH!L2480="1111",TH!M2480="1111")),TH!D2480,""),"")</f>
        <v/>
      </c>
      <c r="B2480" s="36">
        <f t="shared" si="373"/>
        <v>9</v>
      </c>
      <c r="C2480" s="190">
        <f t="shared" si="374"/>
        <v>42642</v>
      </c>
      <c r="D2480" s="190" t="s">
        <v>1622</v>
      </c>
      <c r="E2480" s="190">
        <v>42642</v>
      </c>
      <c r="F2480" s="292" t="s">
        <v>1703</v>
      </c>
      <c r="G2480" s="833" t="s">
        <v>1700</v>
      </c>
      <c r="H2480" s="192" t="s">
        <v>1454</v>
      </c>
      <c r="I2480" s="253"/>
      <c r="J2480" s="253"/>
      <c r="K2480" s="584">
        <v>832000</v>
      </c>
      <c r="L2480" s="193" t="s">
        <v>251</v>
      </c>
      <c r="M2480" s="193" t="s">
        <v>354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52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>x</v>
      </c>
      <c r="AA2480" s="826"/>
      <c r="AB2480" s="576"/>
    </row>
    <row r="2481" spans="1:28" ht="15.75" customHeight="1">
      <c r="A2481" s="827" t="str">
        <f>IF(B2481&lt;&gt;"",IF(AND(B2481&gt;=_TM1,B2481&lt;=_TM2,OR(TH!L2481="1111",TH!M2481="1111")),TH!D2481,""),"")</f>
        <v/>
      </c>
      <c r="B2481" s="36">
        <f t="shared" si="373"/>
        <v>9</v>
      </c>
      <c r="C2481" s="190">
        <f t="shared" si="374"/>
        <v>42643</v>
      </c>
      <c r="D2481" s="190"/>
      <c r="E2481" s="190">
        <v>42643</v>
      </c>
      <c r="F2481" s="191" t="s">
        <v>621</v>
      </c>
      <c r="G2481" s="833" t="s">
        <v>1702</v>
      </c>
      <c r="H2481" s="192" t="s">
        <v>679</v>
      </c>
      <c r="I2481" s="253"/>
      <c r="J2481" s="253"/>
      <c r="K2481" s="584">
        <v>13160000</v>
      </c>
      <c r="L2481" s="193" t="s">
        <v>47</v>
      </c>
      <c r="M2481" s="193" t="s">
        <v>623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52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>x</v>
      </c>
      <c r="AA2481" s="826"/>
      <c r="AB2481" s="576"/>
    </row>
    <row r="2482" spans="1:28" ht="15.75" customHeight="1">
      <c r="A2482" s="827" t="str">
        <f>IF(B2482&lt;&gt;"",IF(AND(B2482&gt;=_TM1,B2482&lt;=_TM2,OR(TH!L2482="1111",TH!M2482="1111")),TH!D2482,""),"")</f>
        <v/>
      </c>
      <c r="B2482" s="36">
        <f t="shared" si="373"/>
        <v>9</v>
      </c>
      <c r="C2482" s="190">
        <f t="shared" si="374"/>
        <v>42643</v>
      </c>
      <c r="D2482" s="190"/>
      <c r="E2482" s="190">
        <v>42643</v>
      </c>
      <c r="F2482" s="191" t="s">
        <v>622</v>
      </c>
      <c r="G2482" s="833" t="s">
        <v>1702</v>
      </c>
      <c r="H2482" s="192" t="s">
        <v>679</v>
      </c>
      <c r="I2482" s="253"/>
      <c r="J2482" s="253"/>
      <c r="K2482" s="584">
        <v>1316000</v>
      </c>
      <c r="L2482" s="193" t="s">
        <v>47</v>
      </c>
      <c r="M2482" s="193" t="s">
        <v>354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52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>x</v>
      </c>
      <c r="AA2482" s="826"/>
      <c r="AB2482" s="576"/>
    </row>
    <row r="2483" spans="1:28" ht="15.75" customHeight="1">
      <c r="A2483" s="827" t="str">
        <f>IF(B2483&lt;&gt;"",IF(AND(B2483&gt;=_TM1,B2483&lt;=_TM2,OR(TH!L2483="1111",TH!M2483="1111")),TH!D2483,""),"")</f>
        <v/>
      </c>
      <c r="B2483" s="36">
        <f t="shared" si="362"/>
        <v>9</v>
      </c>
      <c r="C2483" s="190">
        <f t="shared" si="363"/>
        <v>42643</v>
      </c>
      <c r="D2483" s="190" t="s">
        <v>1623</v>
      </c>
      <c r="E2483" s="190">
        <v>42643</v>
      </c>
      <c r="F2483" s="292" t="s">
        <v>1698</v>
      </c>
      <c r="G2483" s="833" t="s">
        <v>1704</v>
      </c>
      <c r="H2483" s="192" t="s">
        <v>753</v>
      </c>
      <c r="I2483" s="253">
        <v>3200</v>
      </c>
      <c r="J2483" s="253">
        <v>12500</v>
      </c>
      <c r="K2483" s="584">
        <f t="shared" ref="K2483" si="376">ROUND(I2483*J2483,0)</f>
        <v>40000000</v>
      </c>
      <c r="L2483" s="193" t="s">
        <v>251</v>
      </c>
      <c r="M2483" s="193" t="s">
        <v>164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52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>x</v>
      </c>
      <c r="AA2483" s="826"/>
      <c r="AB2483" s="576" t="str">
        <f>IF(VLOOKUP(F2483,NXT!$C$12:$C$786,1,0)=F2483,"","x")</f>
        <v/>
      </c>
    </row>
    <row r="2484" spans="1:28" ht="15.75" customHeight="1">
      <c r="A2484" s="827" t="str">
        <f>IF(B2484&lt;&gt;"",IF(AND(B2484&gt;=_TM1,B2484&lt;=_TM2,OR(TH!L2484="1111",TH!M2484="1111")),TH!D2484,""),"")</f>
        <v/>
      </c>
      <c r="B2484" s="36">
        <f t="shared" si="362"/>
        <v>9</v>
      </c>
      <c r="C2484" s="190">
        <f t="shared" si="363"/>
        <v>42643</v>
      </c>
      <c r="D2484" s="190" t="s">
        <v>1623</v>
      </c>
      <c r="E2484" s="190">
        <v>42643</v>
      </c>
      <c r="F2484" s="292" t="s">
        <v>461</v>
      </c>
      <c r="G2484" s="833" t="s">
        <v>1704</v>
      </c>
      <c r="H2484" s="192" t="s">
        <v>753</v>
      </c>
      <c r="I2484" s="253"/>
      <c r="J2484" s="253"/>
      <c r="K2484" s="584">
        <v>4000000</v>
      </c>
      <c r="L2484" s="193" t="s">
        <v>251</v>
      </c>
      <c r="M2484" s="193" t="s">
        <v>354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52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>x</v>
      </c>
      <c r="AA2484" s="826"/>
      <c r="AB2484" s="576"/>
    </row>
    <row r="2485" spans="1:28" ht="15.75" customHeight="1">
      <c r="A2485" s="827" t="str">
        <f>IF(B2485&lt;&gt;"",IF(AND(B2485&gt;=_TM1,B2485&lt;=_TM2,OR(TH!L2485="1111",TH!M2485="1111")),TH!D2485,""),"")</f>
        <v/>
      </c>
      <c r="B2485" s="36">
        <f t="shared" ref="B2485:B2548" si="377">IF(C2485&lt;&gt;"",MONTH(C2485),"")</f>
        <v>9</v>
      </c>
      <c r="C2485" s="190">
        <f t="shared" ref="C2485:C2548" si="378">E2485</f>
        <v>42643</v>
      </c>
      <c r="D2485" s="190" t="s">
        <v>1623</v>
      </c>
      <c r="E2485" s="190">
        <v>42643</v>
      </c>
      <c r="F2485" s="292" t="s">
        <v>1776</v>
      </c>
      <c r="G2485" s="833" t="s">
        <v>1775</v>
      </c>
      <c r="H2485" s="192" t="s">
        <v>678</v>
      </c>
      <c r="I2485" s="253">
        <v>10</v>
      </c>
      <c r="J2485" s="253">
        <v>5250</v>
      </c>
      <c r="K2485" s="584">
        <f t="shared" ref="K2485:K2548" si="379">ROUND(I2485*J2485,0)</f>
        <v>52500</v>
      </c>
      <c r="L2485" s="193" t="s">
        <v>251</v>
      </c>
      <c r="M2485" s="193" t="s">
        <v>164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52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>x</v>
      </c>
      <c r="AA2485" s="826"/>
      <c r="AB2485" s="576" t="str">
        <f>IF(VLOOKUP(F2485,NXT!$C$12:$C$786,1,0)=F2485,"","x")</f>
        <v/>
      </c>
    </row>
    <row r="2486" spans="1:28" ht="15.75" customHeight="1">
      <c r="A2486" s="827" t="str">
        <f>IF(B2486&lt;&gt;"",IF(AND(B2486&gt;=_TM1,B2486&lt;=_TM2,OR(TH!L2486="1111",TH!M2486="1111")),TH!D2486,""),"")</f>
        <v/>
      </c>
      <c r="B2486" s="36">
        <f t="shared" si="377"/>
        <v>9</v>
      </c>
      <c r="C2486" s="190">
        <f t="shared" si="378"/>
        <v>42643</v>
      </c>
      <c r="D2486" s="190" t="s">
        <v>1623</v>
      </c>
      <c r="E2486" s="190">
        <v>42643</v>
      </c>
      <c r="F2486" s="292" t="s">
        <v>1777</v>
      </c>
      <c r="G2486" s="833" t="s">
        <v>1775</v>
      </c>
      <c r="H2486" s="192" t="s">
        <v>678</v>
      </c>
      <c r="I2486" s="253">
        <v>6</v>
      </c>
      <c r="J2486" s="253">
        <v>6614</v>
      </c>
      <c r="K2486" s="584">
        <f t="shared" si="379"/>
        <v>39684</v>
      </c>
      <c r="L2486" s="193" t="s">
        <v>251</v>
      </c>
      <c r="M2486" s="193" t="s">
        <v>164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52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>x</v>
      </c>
      <c r="AA2486" s="826"/>
      <c r="AB2486" s="576" t="str">
        <f>IF(VLOOKUP(F2486,NXT!$C$12:$C$786,1,0)=F2486,"","x")</f>
        <v/>
      </c>
    </row>
    <row r="2487" spans="1:28" ht="15.75" customHeight="1">
      <c r="A2487" s="827" t="str">
        <f>IF(B2487&lt;&gt;"",IF(AND(B2487&gt;=_TM1,B2487&lt;=_TM2,OR(TH!L2487="1111",TH!M2487="1111")),TH!D2487,""),"")</f>
        <v/>
      </c>
      <c r="B2487" s="36">
        <f t="shared" si="377"/>
        <v>9</v>
      </c>
      <c r="C2487" s="190">
        <f t="shared" si="378"/>
        <v>42643</v>
      </c>
      <c r="D2487" s="190" t="s">
        <v>1623</v>
      </c>
      <c r="E2487" s="190">
        <v>42643</v>
      </c>
      <c r="F2487" s="292" t="s">
        <v>1563</v>
      </c>
      <c r="G2487" s="833" t="s">
        <v>1775</v>
      </c>
      <c r="H2487" s="192" t="s">
        <v>678</v>
      </c>
      <c r="I2487" s="253">
        <v>24</v>
      </c>
      <c r="J2487" s="253">
        <v>7998</v>
      </c>
      <c r="K2487" s="584">
        <f t="shared" si="379"/>
        <v>191952</v>
      </c>
      <c r="L2487" s="193" t="s">
        <v>251</v>
      </c>
      <c r="M2487" s="193" t="s">
        <v>164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52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>x</v>
      </c>
      <c r="AA2487" s="826"/>
      <c r="AB2487" s="576" t="str">
        <f>IF(VLOOKUP(F2487,NXT!$C$12:$C$786,1,0)=F2487,"","x")</f>
        <v/>
      </c>
    </row>
    <row r="2488" spans="1:28" ht="15.75" customHeight="1">
      <c r="A2488" s="827" t="str">
        <f>IF(B2488&lt;&gt;"",IF(AND(B2488&gt;=_TM1,B2488&lt;=_TM2,OR(TH!L2488="1111",TH!M2488="1111")),TH!D2488,""),"")</f>
        <v/>
      </c>
      <c r="B2488" s="36">
        <f t="shared" si="377"/>
        <v>9</v>
      </c>
      <c r="C2488" s="190">
        <f t="shared" si="378"/>
        <v>42643</v>
      </c>
      <c r="D2488" s="190" t="s">
        <v>1623</v>
      </c>
      <c r="E2488" s="190">
        <v>42643</v>
      </c>
      <c r="F2488" s="292" t="s">
        <v>495</v>
      </c>
      <c r="G2488" s="833" t="s">
        <v>1775</v>
      </c>
      <c r="H2488" s="192" t="s">
        <v>678</v>
      </c>
      <c r="I2488" s="253">
        <v>110</v>
      </c>
      <c r="J2488" s="253">
        <v>8242</v>
      </c>
      <c r="K2488" s="584">
        <f t="shared" si="379"/>
        <v>906620</v>
      </c>
      <c r="L2488" s="193" t="s">
        <v>251</v>
      </c>
      <c r="M2488" s="193" t="s">
        <v>164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52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>x</v>
      </c>
      <c r="AA2488" s="826"/>
      <c r="AB2488" s="576" t="str">
        <f>IF(VLOOKUP(F2488,NXT!$C$12:$C$786,1,0)=F2488,"","x")</f>
        <v/>
      </c>
    </row>
    <row r="2489" spans="1:28" ht="15.75" customHeight="1">
      <c r="A2489" s="827" t="str">
        <f>IF(B2489&lt;&gt;"",IF(AND(B2489&gt;=_TM1,B2489&lt;=_TM2,OR(TH!L2489="1111",TH!M2489="1111")),TH!D2489,""),"")</f>
        <v/>
      </c>
      <c r="B2489" s="36">
        <f t="shared" si="377"/>
        <v>9</v>
      </c>
      <c r="C2489" s="190">
        <f t="shared" si="378"/>
        <v>42643</v>
      </c>
      <c r="D2489" s="190" t="s">
        <v>1623</v>
      </c>
      <c r="E2489" s="190">
        <v>42643</v>
      </c>
      <c r="F2489" s="292" t="s">
        <v>1778</v>
      </c>
      <c r="G2489" s="833" t="s">
        <v>1775</v>
      </c>
      <c r="H2489" s="192" t="s">
        <v>678</v>
      </c>
      <c r="I2489" s="253">
        <v>4</v>
      </c>
      <c r="J2489" s="253">
        <v>9558</v>
      </c>
      <c r="K2489" s="584">
        <f t="shared" si="379"/>
        <v>38232</v>
      </c>
      <c r="L2489" s="193" t="s">
        <v>251</v>
      </c>
      <c r="M2489" s="193" t="s">
        <v>164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52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>x</v>
      </c>
      <c r="AA2489" s="826"/>
      <c r="AB2489" s="576" t="str">
        <f>IF(VLOOKUP(F2489,NXT!$C$12:$C$786,1,0)=F2489,"","x")</f>
        <v/>
      </c>
    </row>
    <row r="2490" spans="1:28" ht="15.75" customHeight="1">
      <c r="A2490" s="827" t="str">
        <f>IF(B2490&lt;&gt;"",IF(AND(B2490&gt;=_TM1,B2490&lt;=_TM2,OR(TH!L2490="1111",TH!M2490="1111")),TH!D2490,""),"")</f>
        <v/>
      </c>
      <c r="B2490" s="36">
        <f t="shared" si="377"/>
        <v>9</v>
      </c>
      <c r="C2490" s="190">
        <f t="shared" si="378"/>
        <v>42643</v>
      </c>
      <c r="D2490" s="190" t="s">
        <v>1623</v>
      </c>
      <c r="E2490" s="190">
        <v>42643</v>
      </c>
      <c r="F2490" s="292" t="s">
        <v>1779</v>
      </c>
      <c r="G2490" s="833" t="s">
        <v>1775</v>
      </c>
      <c r="H2490" s="192" t="s">
        <v>678</v>
      </c>
      <c r="I2490" s="253">
        <v>4</v>
      </c>
      <c r="J2490" s="253">
        <v>9581</v>
      </c>
      <c r="K2490" s="584">
        <f t="shared" si="379"/>
        <v>38324</v>
      </c>
      <c r="L2490" s="193" t="s">
        <v>251</v>
      </c>
      <c r="M2490" s="193" t="s">
        <v>164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52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>x</v>
      </c>
      <c r="AA2490" s="826"/>
      <c r="AB2490" s="576" t="str">
        <f>IF(VLOOKUP(F2490,NXT!$C$12:$C$786,1,0)=F2490,"","x")</f>
        <v/>
      </c>
    </row>
    <row r="2491" spans="1:28" ht="15.75" customHeight="1">
      <c r="A2491" s="827" t="str">
        <f>IF(B2491&lt;&gt;"",IF(AND(B2491&gt;=_TM1,B2491&lt;=_TM2,OR(TH!L2491="1111",TH!M2491="1111")),TH!D2491,""),"")</f>
        <v/>
      </c>
      <c r="B2491" s="36">
        <f t="shared" si="377"/>
        <v>9</v>
      </c>
      <c r="C2491" s="190">
        <f t="shared" si="378"/>
        <v>42643</v>
      </c>
      <c r="D2491" s="190" t="s">
        <v>1623</v>
      </c>
      <c r="E2491" s="190">
        <v>42643</v>
      </c>
      <c r="F2491" s="292" t="s">
        <v>1780</v>
      </c>
      <c r="G2491" s="833" t="s">
        <v>1775</v>
      </c>
      <c r="H2491" s="192" t="s">
        <v>678</v>
      </c>
      <c r="I2491" s="253">
        <v>17</v>
      </c>
      <c r="J2491" s="253">
        <v>10198</v>
      </c>
      <c r="K2491" s="584">
        <f t="shared" si="379"/>
        <v>173366</v>
      </c>
      <c r="L2491" s="193" t="s">
        <v>251</v>
      </c>
      <c r="M2491" s="193" t="s">
        <v>164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52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>x</v>
      </c>
      <c r="AA2491" s="826"/>
      <c r="AB2491" s="576" t="str">
        <f>IF(VLOOKUP(F2491,NXT!$C$12:$C$786,1,0)=F2491,"","x")</f>
        <v/>
      </c>
    </row>
    <row r="2492" spans="1:28" ht="15.75" customHeight="1">
      <c r="A2492" s="827" t="str">
        <f>IF(B2492&lt;&gt;"",IF(AND(B2492&gt;=_TM1,B2492&lt;=_TM2,OR(TH!L2492="1111",TH!M2492="1111")),TH!D2492,""),"")</f>
        <v/>
      </c>
      <c r="B2492" s="36">
        <f t="shared" si="377"/>
        <v>9</v>
      </c>
      <c r="C2492" s="190">
        <f t="shared" si="378"/>
        <v>42643</v>
      </c>
      <c r="D2492" s="190" t="s">
        <v>1623</v>
      </c>
      <c r="E2492" s="190">
        <v>42643</v>
      </c>
      <c r="F2492" s="292" t="s">
        <v>1781</v>
      </c>
      <c r="G2492" s="833" t="s">
        <v>1775</v>
      </c>
      <c r="H2492" s="192" t="s">
        <v>678</v>
      </c>
      <c r="I2492" s="253">
        <v>22</v>
      </c>
      <c r="J2492" s="253">
        <v>10241</v>
      </c>
      <c r="K2492" s="584">
        <f t="shared" si="379"/>
        <v>225302</v>
      </c>
      <c r="L2492" s="193" t="s">
        <v>251</v>
      </c>
      <c r="M2492" s="193" t="s">
        <v>164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52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  <c r="AA2492" s="826"/>
      <c r="AB2492" s="576" t="str">
        <f>IF(VLOOKUP(F2492,NXT!$C$12:$C$786,1,0)=F2492,"","x")</f>
        <v/>
      </c>
    </row>
    <row r="2493" spans="1:28" ht="15.75" customHeight="1">
      <c r="A2493" s="827" t="str">
        <f>IF(B2493&lt;&gt;"",IF(AND(B2493&gt;=_TM1,B2493&lt;=_TM2,OR(TH!L2493="1111",TH!M2493="1111")),TH!D2493,""),"")</f>
        <v/>
      </c>
      <c r="B2493" s="36">
        <f t="shared" si="377"/>
        <v>9</v>
      </c>
      <c r="C2493" s="190">
        <f t="shared" si="378"/>
        <v>42643</v>
      </c>
      <c r="D2493" s="190" t="s">
        <v>1623</v>
      </c>
      <c r="E2493" s="190">
        <v>42643</v>
      </c>
      <c r="F2493" s="292" t="s">
        <v>1782</v>
      </c>
      <c r="G2493" s="833" t="s">
        <v>1775</v>
      </c>
      <c r="H2493" s="192" t="s">
        <v>678</v>
      </c>
      <c r="I2493" s="253">
        <v>42</v>
      </c>
      <c r="J2493" s="253">
        <v>10434</v>
      </c>
      <c r="K2493" s="584">
        <f t="shared" si="379"/>
        <v>438228</v>
      </c>
      <c r="L2493" s="193" t="s">
        <v>251</v>
      </c>
      <c r="M2493" s="193" t="s">
        <v>164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52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  <c r="AA2493" s="826"/>
      <c r="AB2493" s="576" t="str">
        <f>IF(VLOOKUP(F2493,NXT!$C$12:$C$786,1,0)=F2493,"","x")</f>
        <v/>
      </c>
    </row>
    <row r="2494" spans="1:28" ht="15.75" customHeight="1">
      <c r="A2494" s="827" t="str">
        <f>IF(B2494&lt;&gt;"",IF(AND(B2494&gt;=_TM1,B2494&lt;=_TM2,OR(TH!L2494="1111",TH!M2494="1111")),TH!D2494,""),"")</f>
        <v/>
      </c>
      <c r="B2494" s="36">
        <f t="shared" si="377"/>
        <v>9</v>
      </c>
      <c r="C2494" s="190">
        <f t="shared" si="378"/>
        <v>42643</v>
      </c>
      <c r="D2494" s="190" t="s">
        <v>1623</v>
      </c>
      <c r="E2494" s="190">
        <v>42643</v>
      </c>
      <c r="F2494" s="292" t="s">
        <v>1783</v>
      </c>
      <c r="G2494" s="833" t="s">
        <v>1775</v>
      </c>
      <c r="H2494" s="192" t="s">
        <v>678</v>
      </c>
      <c r="I2494" s="253">
        <v>9</v>
      </c>
      <c r="J2494" s="253">
        <v>10569</v>
      </c>
      <c r="K2494" s="584">
        <f t="shared" si="379"/>
        <v>95121</v>
      </c>
      <c r="L2494" s="193" t="s">
        <v>251</v>
      </c>
      <c r="M2494" s="193" t="s">
        <v>164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52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  <c r="AA2494" s="826"/>
      <c r="AB2494" s="576" t="str">
        <f>IF(VLOOKUP(F2494,NXT!$C$12:$C$786,1,0)=F2494,"","x")</f>
        <v/>
      </c>
    </row>
    <row r="2495" spans="1:28" ht="15.75" customHeight="1">
      <c r="A2495" s="827" t="str">
        <f>IF(B2495&lt;&gt;"",IF(AND(B2495&gt;=_TM1,B2495&lt;=_TM2,OR(TH!L2495="1111",TH!M2495="1111")),TH!D2495,""),"")</f>
        <v/>
      </c>
      <c r="B2495" s="36">
        <f t="shared" si="377"/>
        <v>9</v>
      </c>
      <c r="C2495" s="190">
        <f t="shared" si="378"/>
        <v>42643</v>
      </c>
      <c r="D2495" s="190" t="s">
        <v>1623</v>
      </c>
      <c r="E2495" s="190">
        <v>42643</v>
      </c>
      <c r="F2495" s="292" t="s">
        <v>808</v>
      </c>
      <c r="G2495" s="833" t="s">
        <v>1775</v>
      </c>
      <c r="H2495" s="192" t="s">
        <v>678</v>
      </c>
      <c r="I2495" s="253">
        <v>16</v>
      </c>
      <c r="J2495" s="253">
        <v>11572</v>
      </c>
      <c r="K2495" s="584">
        <f t="shared" si="379"/>
        <v>185152</v>
      </c>
      <c r="L2495" s="193" t="s">
        <v>251</v>
      </c>
      <c r="M2495" s="193" t="s">
        <v>164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52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  <c r="AA2495" s="826"/>
      <c r="AB2495" s="576" t="str">
        <f>IF(VLOOKUP(F2495,NXT!$C$12:$C$786,1,0)=F2495,"","x")</f>
        <v/>
      </c>
    </row>
    <row r="2496" spans="1:28" ht="15.75" customHeight="1">
      <c r="A2496" s="827" t="str">
        <f>IF(B2496&lt;&gt;"",IF(AND(B2496&gt;=_TM1,B2496&lt;=_TM2,OR(TH!L2496="1111",TH!M2496="1111")),TH!D2496,""),"")</f>
        <v/>
      </c>
      <c r="B2496" s="36">
        <f t="shared" si="377"/>
        <v>9</v>
      </c>
      <c r="C2496" s="190">
        <f t="shared" si="378"/>
        <v>42643</v>
      </c>
      <c r="D2496" s="190" t="s">
        <v>1623</v>
      </c>
      <c r="E2496" s="190">
        <v>42643</v>
      </c>
      <c r="F2496" s="292" t="s">
        <v>486</v>
      </c>
      <c r="G2496" s="833" t="s">
        <v>1775</v>
      </c>
      <c r="H2496" s="192" t="s">
        <v>678</v>
      </c>
      <c r="I2496" s="253">
        <v>45</v>
      </c>
      <c r="J2496" s="253">
        <v>12002</v>
      </c>
      <c r="K2496" s="584">
        <f t="shared" si="379"/>
        <v>540090</v>
      </c>
      <c r="L2496" s="193" t="s">
        <v>251</v>
      </c>
      <c r="M2496" s="193" t="s">
        <v>164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52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  <c r="AA2496" s="826"/>
      <c r="AB2496" s="576" t="str">
        <f>IF(VLOOKUP(F2496,NXT!$C$12:$C$786,1,0)=F2496,"","x")</f>
        <v/>
      </c>
    </row>
    <row r="2497" spans="1:28" ht="15.75" customHeight="1">
      <c r="A2497" s="827" t="str">
        <f>IF(B2497&lt;&gt;"",IF(AND(B2497&gt;=_TM1,B2497&lt;=_TM2,OR(TH!L2497="1111",TH!M2497="1111")),TH!D2497,""),"")</f>
        <v/>
      </c>
      <c r="B2497" s="36">
        <f t="shared" si="377"/>
        <v>9</v>
      </c>
      <c r="C2497" s="190">
        <f t="shared" si="378"/>
        <v>42643</v>
      </c>
      <c r="D2497" s="190" t="s">
        <v>1623</v>
      </c>
      <c r="E2497" s="190">
        <v>42643</v>
      </c>
      <c r="F2497" s="292" t="s">
        <v>1784</v>
      </c>
      <c r="G2497" s="833" t="s">
        <v>1775</v>
      </c>
      <c r="H2497" s="192" t="s">
        <v>678</v>
      </c>
      <c r="I2497" s="253">
        <v>4</v>
      </c>
      <c r="J2497" s="253">
        <v>12934</v>
      </c>
      <c r="K2497" s="584">
        <f t="shared" si="379"/>
        <v>51736</v>
      </c>
      <c r="L2497" s="193" t="s">
        <v>251</v>
      </c>
      <c r="M2497" s="193" t="s">
        <v>164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52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  <c r="AA2497" s="826"/>
      <c r="AB2497" s="576" t="str">
        <f>IF(VLOOKUP(F2497,NXT!$C$12:$C$786,1,0)=F2497,"","x")</f>
        <v/>
      </c>
    </row>
    <row r="2498" spans="1:28" ht="15.75" customHeight="1">
      <c r="A2498" s="827" t="str">
        <f>IF(B2498&lt;&gt;"",IF(AND(B2498&gt;=_TM1,B2498&lt;=_TM2,OR(TH!L2498="1111",TH!M2498="1111")),TH!D2498,""),"")</f>
        <v/>
      </c>
      <c r="B2498" s="36">
        <f t="shared" si="377"/>
        <v>9</v>
      </c>
      <c r="C2498" s="190">
        <f t="shared" si="378"/>
        <v>42643</v>
      </c>
      <c r="D2498" s="190" t="s">
        <v>1623</v>
      </c>
      <c r="E2498" s="190">
        <v>42643</v>
      </c>
      <c r="F2498" s="292" t="s">
        <v>1785</v>
      </c>
      <c r="G2498" s="833" t="s">
        <v>1775</v>
      </c>
      <c r="H2498" s="192" t="s">
        <v>678</v>
      </c>
      <c r="I2498" s="253">
        <v>6</v>
      </c>
      <c r="J2498" s="253">
        <v>13259</v>
      </c>
      <c r="K2498" s="584">
        <f t="shared" si="379"/>
        <v>79554</v>
      </c>
      <c r="L2498" s="193" t="s">
        <v>251</v>
      </c>
      <c r="M2498" s="193" t="s">
        <v>164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52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  <c r="AA2498" s="826"/>
      <c r="AB2498" s="576" t="str">
        <f>IF(VLOOKUP(F2498,NXT!$C$12:$C$786,1,0)=F2498,"","x")</f>
        <v/>
      </c>
    </row>
    <row r="2499" spans="1:28" ht="15.75" customHeight="1">
      <c r="A2499" s="827" t="str">
        <f>IF(B2499&lt;&gt;"",IF(AND(B2499&gt;=_TM1,B2499&lt;=_TM2,OR(TH!L2499="1111",TH!M2499="1111")),TH!D2499,""),"")</f>
        <v/>
      </c>
      <c r="B2499" s="36">
        <f t="shared" si="377"/>
        <v>9</v>
      </c>
      <c r="C2499" s="190">
        <f t="shared" si="378"/>
        <v>42643</v>
      </c>
      <c r="D2499" s="190" t="s">
        <v>1623</v>
      </c>
      <c r="E2499" s="190">
        <v>42643</v>
      </c>
      <c r="F2499" s="292" t="s">
        <v>1786</v>
      </c>
      <c r="G2499" s="833" t="s">
        <v>1775</v>
      </c>
      <c r="H2499" s="192" t="s">
        <v>678</v>
      </c>
      <c r="I2499" s="253">
        <v>14</v>
      </c>
      <c r="J2499" s="253">
        <v>13922</v>
      </c>
      <c r="K2499" s="584">
        <f t="shared" si="379"/>
        <v>194908</v>
      </c>
      <c r="L2499" s="193" t="s">
        <v>251</v>
      </c>
      <c r="M2499" s="193" t="s">
        <v>164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52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  <c r="AA2499" s="826"/>
      <c r="AB2499" s="576" t="str">
        <f>IF(VLOOKUP(F2499,NXT!$C$12:$C$786,1,0)=F2499,"","x")</f>
        <v/>
      </c>
    </row>
    <row r="2500" spans="1:28" ht="15.75" customHeight="1">
      <c r="A2500" s="827" t="str">
        <f>IF(B2500&lt;&gt;"",IF(AND(B2500&gt;=_TM1,B2500&lt;=_TM2,OR(TH!L2500="1111",TH!M2500="1111")),TH!D2500,""),"")</f>
        <v/>
      </c>
      <c r="B2500" s="36">
        <f t="shared" si="377"/>
        <v>9</v>
      </c>
      <c r="C2500" s="190">
        <f t="shared" si="378"/>
        <v>42643</v>
      </c>
      <c r="D2500" s="190" t="s">
        <v>1623</v>
      </c>
      <c r="E2500" s="190">
        <v>42643</v>
      </c>
      <c r="F2500" s="292" t="s">
        <v>1787</v>
      </c>
      <c r="G2500" s="833" t="s">
        <v>1775</v>
      </c>
      <c r="H2500" s="192" t="s">
        <v>678</v>
      </c>
      <c r="I2500" s="253">
        <v>4</v>
      </c>
      <c r="J2500" s="253">
        <v>14224</v>
      </c>
      <c r="K2500" s="584">
        <f t="shared" si="379"/>
        <v>56896</v>
      </c>
      <c r="L2500" s="193" t="s">
        <v>251</v>
      </c>
      <c r="M2500" s="193" t="s">
        <v>164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52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  <c r="AA2500" s="826"/>
      <c r="AB2500" s="576" t="str">
        <f>IF(VLOOKUP(F2500,NXT!$C$12:$C$786,1,0)=F2500,"","x")</f>
        <v/>
      </c>
    </row>
    <row r="2501" spans="1:28" ht="15.75" customHeight="1">
      <c r="A2501" s="827" t="str">
        <f>IF(B2501&lt;&gt;"",IF(AND(B2501&gt;=_TM1,B2501&lt;=_TM2,OR(TH!L2501="1111",TH!M2501="1111")),TH!D2501,""),"")</f>
        <v/>
      </c>
      <c r="B2501" s="36">
        <f t="shared" si="377"/>
        <v>9</v>
      </c>
      <c r="C2501" s="190">
        <f t="shared" si="378"/>
        <v>42643</v>
      </c>
      <c r="D2501" s="190" t="s">
        <v>1623</v>
      </c>
      <c r="E2501" s="190">
        <v>42643</v>
      </c>
      <c r="F2501" s="292" t="s">
        <v>699</v>
      </c>
      <c r="G2501" s="833" t="s">
        <v>1775</v>
      </c>
      <c r="H2501" s="192" t="s">
        <v>678</v>
      </c>
      <c r="I2501" s="253">
        <v>86</v>
      </c>
      <c r="J2501" s="253">
        <v>14722</v>
      </c>
      <c r="K2501" s="584">
        <f t="shared" si="379"/>
        <v>1266092</v>
      </c>
      <c r="L2501" s="193" t="s">
        <v>251</v>
      </c>
      <c r="M2501" s="193" t="s">
        <v>164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52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  <c r="AA2501" s="826"/>
      <c r="AB2501" s="576" t="str">
        <f>IF(VLOOKUP(F2501,NXT!$C$12:$C$786,1,0)=F2501,"","x")</f>
        <v/>
      </c>
    </row>
    <row r="2502" spans="1:28" ht="15.75" customHeight="1">
      <c r="A2502" s="827" t="str">
        <f>IF(B2502&lt;&gt;"",IF(AND(B2502&gt;=_TM1,B2502&lt;=_TM2,OR(TH!L2502="1111",TH!M2502="1111")),TH!D2502,""),"")</f>
        <v/>
      </c>
      <c r="B2502" s="36">
        <f t="shared" si="377"/>
        <v>9</v>
      </c>
      <c r="C2502" s="190">
        <f t="shared" si="378"/>
        <v>42643</v>
      </c>
      <c r="D2502" s="190" t="s">
        <v>1623</v>
      </c>
      <c r="E2502" s="190">
        <v>42643</v>
      </c>
      <c r="F2502" s="292" t="s">
        <v>1788</v>
      </c>
      <c r="G2502" s="833" t="s">
        <v>1775</v>
      </c>
      <c r="H2502" s="192" t="s">
        <v>678</v>
      </c>
      <c r="I2502" s="253">
        <v>12</v>
      </c>
      <c r="J2502" s="253">
        <v>15504</v>
      </c>
      <c r="K2502" s="584">
        <f t="shared" si="379"/>
        <v>186048</v>
      </c>
      <c r="L2502" s="193" t="s">
        <v>251</v>
      </c>
      <c r="M2502" s="193" t="s">
        <v>164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52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  <c r="AA2502" s="826"/>
      <c r="AB2502" s="576" t="str">
        <f>IF(VLOOKUP(F2502,NXT!$C$12:$C$786,1,0)=F2502,"","x")</f>
        <v/>
      </c>
    </row>
    <row r="2503" spans="1:28" ht="15.75" customHeight="1">
      <c r="A2503" s="827" t="str">
        <f>IF(B2503&lt;&gt;"",IF(AND(B2503&gt;=_TM1,B2503&lt;=_TM2,OR(TH!L2503="1111",TH!M2503="1111")),TH!D2503,""),"")</f>
        <v/>
      </c>
      <c r="B2503" s="36">
        <f t="shared" si="377"/>
        <v>9</v>
      </c>
      <c r="C2503" s="190">
        <f t="shared" si="378"/>
        <v>42643</v>
      </c>
      <c r="D2503" s="190" t="s">
        <v>1623</v>
      </c>
      <c r="E2503" s="190">
        <v>42643</v>
      </c>
      <c r="F2503" s="292" t="s">
        <v>524</v>
      </c>
      <c r="G2503" s="833" t="s">
        <v>1775</v>
      </c>
      <c r="H2503" s="192" t="s">
        <v>678</v>
      </c>
      <c r="I2503" s="253">
        <v>4</v>
      </c>
      <c r="J2503" s="253">
        <v>15504</v>
      </c>
      <c r="K2503" s="584">
        <f t="shared" si="379"/>
        <v>62016</v>
      </c>
      <c r="L2503" s="193" t="s">
        <v>251</v>
      </c>
      <c r="M2503" s="193" t="s">
        <v>164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52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  <c r="AA2503" s="826"/>
      <c r="AB2503" s="576" t="str">
        <f>IF(VLOOKUP(F2503,NXT!$C$12:$C$786,1,0)=F2503,"","x")</f>
        <v/>
      </c>
    </row>
    <row r="2504" spans="1:28" ht="15.75" customHeight="1">
      <c r="A2504" s="827" t="str">
        <f>IF(B2504&lt;&gt;"",IF(AND(B2504&gt;=_TM1,B2504&lt;=_TM2,OR(TH!L2504="1111",TH!M2504="1111")),TH!D2504,""),"")</f>
        <v/>
      </c>
      <c r="B2504" s="36">
        <f t="shared" si="377"/>
        <v>9</v>
      </c>
      <c r="C2504" s="190">
        <f t="shared" si="378"/>
        <v>42643</v>
      </c>
      <c r="D2504" s="190" t="s">
        <v>1623</v>
      </c>
      <c r="E2504" s="190">
        <v>42643</v>
      </c>
      <c r="F2504" s="292" t="s">
        <v>1789</v>
      </c>
      <c r="G2504" s="833" t="s">
        <v>1775</v>
      </c>
      <c r="H2504" s="192" t="s">
        <v>678</v>
      </c>
      <c r="I2504" s="253">
        <v>3</v>
      </c>
      <c r="J2504" s="253">
        <v>15598</v>
      </c>
      <c r="K2504" s="584">
        <f t="shared" si="379"/>
        <v>46794</v>
      </c>
      <c r="L2504" s="193" t="s">
        <v>251</v>
      </c>
      <c r="M2504" s="193" t="s">
        <v>164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52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  <c r="AA2504" s="826"/>
      <c r="AB2504" s="576" t="str">
        <f>IF(VLOOKUP(F2504,NXT!$C$12:$C$786,1,0)=F2504,"","x")</f>
        <v/>
      </c>
    </row>
    <row r="2505" spans="1:28" ht="15.75" customHeight="1">
      <c r="A2505" s="827" t="str">
        <f>IF(B2505&lt;&gt;"",IF(AND(B2505&gt;=_TM1,B2505&lt;=_TM2,OR(TH!L2505="1111",TH!M2505="1111")),TH!D2505,""),"")</f>
        <v/>
      </c>
      <c r="B2505" s="36">
        <f t="shared" si="377"/>
        <v>9</v>
      </c>
      <c r="C2505" s="190">
        <f t="shared" si="378"/>
        <v>42643</v>
      </c>
      <c r="D2505" s="190" t="s">
        <v>1623</v>
      </c>
      <c r="E2505" s="190">
        <v>42643</v>
      </c>
      <c r="F2505" s="292" t="s">
        <v>1790</v>
      </c>
      <c r="G2505" s="833" t="s">
        <v>1775</v>
      </c>
      <c r="H2505" s="192" t="s">
        <v>678</v>
      </c>
      <c r="I2505" s="253">
        <v>9</v>
      </c>
      <c r="J2505" s="253">
        <v>17217</v>
      </c>
      <c r="K2505" s="584">
        <f t="shared" si="379"/>
        <v>154953</v>
      </c>
      <c r="L2505" s="193" t="s">
        <v>251</v>
      </c>
      <c r="M2505" s="193" t="s">
        <v>164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52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  <c r="AA2505" s="826"/>
      <c r="AB2505" s="576" t="str">
        <f>IF(VLOOKUP(F2505,NXT!$C$12:$C$786,1,0)=F2505,"","x")</f>
        <v/>
      </c>
    </row>
    <row r="2506" spans="1:28" ht="15.75" customHeight="1">
      <c r="A2506" s="827" t="str">
        <f>IF(B2506&lt;&gt;"",IF(AND(B2506&gt;=_TM1,B2506&lt;=_TM2,OR(TH!L2506="1111",TH!M2506="1111")),TH!D2506,""),"")</f>
        <v/>
      </c>
      <c r="B2506" s="36">
        <f t="shared" si="377"/>
        <v>9</v>
      </c>
      <c r="C2506" s="190">
        <f t="shared" si="378"/>
        <v>42643</v>
      </c>
      <c r="D2506" s="190" t="s">
        <v>1623</v>
      </c>
      <c r="E2506" s="190">
        <v>42643</v>
      </c>
      <c r="F2506" s="292" t="s">
        <v>1791</v>
      </c>
      <c r="G2506" s="833" t="s">
        <v>1775</v>
      </c>
      <c r="H2506" s="192" t="s">
        <v>678</v>
      </c>
      <c r="I2506" s="253">
        <v>6</v>
      </c>
      <c r="J2506" s="253">
        <v>17526</v>
      </c>
      <c r="K2506" s="584">
        <f t="shared" si="379"/>
        <v>105156</v>
      </c>
      <c r="L2506" s="193" t="s">
        <v>251</v>
      </c>
      <c r="M2506" s="193" t="s">
        <v>164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52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  <c r="AA2506" s="826"/>
      <c r="AB2506" s="576" t="str">
        <f>IF(VLOOKUP(F2506,NXT!$C$12:$C$786,1,0)=F2506,"","x")</f>
        <v/>
      </c>
    </row>
    <row r="2507" spans="1:28" ht="15.75" customHeight="1">
      <c r="A2507" s="827" t="str">
        <f>IF(B2507&lt;&gt;"",IF(AND(B2507&gt;=_TM1,B2507&lt;=_TM2,OR(TH!L2507="1111",TH!M2507="1111")),TH!D2507,""),"")</f>
        <v/>
      </c>
      <c r="B2507" s="36">
        <f t="shared" si="377"/>
        <v>9</v>
      </c>
      <c r="C2507" s="190">
        <f t="shared" si="378"/>
        <v>42643</v>
      </c>
      <c r="D2507" s="190" t="s">
        <v>1623</v>
      </c>
      <c r="E2507" s="190">
        <v>42643</v>
      </c>
      <c r="F2507" s="292" t="s">
        <v>525</v>
      </c>
      <c r="G2507" s="833" t="s">
        <v>1775</v>
      </c>
      <c r="H2507" s="192" t="s">
        <v>678</v>
      </c>
      <c r="I2507" s="253">
        <v>239</v>
      </c>
      <c r="J2507" s="253">
        <v>17602</v>
      </c>
      <c r="K2507" s="584">
        <f t="shared" si="379"/>
        <v>4206878</v>
      </c>
      <c r="L2507" s="193" t="s">
        <v>251</v>
      </c>
      <c r="M2507" s="193" t="s">
        <v>164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52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  <c r="AA2507" s="826"/>
      <c r="AB2507" s="576" t="str">
        <f>IF(VLOOKUP(F2507,NXT!$C$12:$C$786,1,0)=F2507,"","x")</f>
        <v/>
      </c>
    </row>
    <row r="2508" spans="1:28" ht="15.75" customHeight="1">
      <c r="A2508" s="827" t="str">
        <f>IF(B2508&lt;&gt;"",IF(AND(B2508&gt;=_TM1,B2508&lt;=_TM2,OR(TH!L2508="1111",TH!M2508="1111")),TH!D2508,""),"")</f>
        <v/>
      </c>
      <c r="B2508" s="36">
        <f t="shared" si="377"/>
        <v>9</v>
      </c>
      <c r="C2508" s="190">
        <f t="shared" si="378"/>
        <v>42643</v>
      </c>
      <c r="D2508" s="190" t="s">
        <v>1623</v>
      </c>
      <c r="E2508" s="190">
        <v>42643</v>
      </c>
      <c r="F2508" s="292" t="s">
        <v>496</v>
      </c>
      <c r="G2508" s="833" t="s">
        <v>1775</v>
      </c>
      <c r="H2508" s="192" t="s">
        <v>678</v>
      </c>
      <c r="I2508" s="253">
        <v>140</v>
      </c>
      <c r="J2508" s="253">
        <v>17678</v>
      </c>
      <c r="K2508" s="584">
        <f t="shared" si="379"/>
        <v>2474920</v>
      </c>
      <c r="L2508" s="193" t="s">
        <v>251</v>
      </c>
      <c r="M2508" s="193" t="s">
        <v>164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52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  <c r="AA2508" s="826"/>
      <c r="AB2508" s="576" t="str">
        <f>IF(VLOOKUP(F2508,NXT!$C$12:$C$786,1,0)=F2508,"","x")</f>
        <v/>
      </c>
    </row>
    <row r="2509" spans="1:28" ht="15.75" customHeight="1">
      <c r="A2509" s="827" t="str">
        <f>IF(B2509&lt;&gt;"",IF(AND(B2509&gt;=_TM1,B2509&lt;=_TM2,OR(TH!L2509="1111",TH!M2509="1111")),TH!D2509,""),"")</f>
        <v/>
      </c>
      <c r="B2509" s="36">
        <f t="shared" si="377"/>
        <v>9</v>
      </c>
      <c r="C2509" s="190">
        <f t="shared" si="378"/>
        <v>42643</v>
      </c>
      <c r="D2509" s="190" t="s">
        <v>1623</v>
      </c>
      <c r="E2509" s="190">
        <v>42643</v>
      </c>
      <c r="F2509" s="292" t="s">
        <v>1729</v>
      </c>
      <c r="G2509" s="833" t="s">
        <v>1775</v>
      </c>
      <c r="H2509" s="192" t="s">
        <v>678</v>
      </c>
      <c r="I2509" s="253">
        <v>54</v>
      </c>
      <c r="J2509" s="253">
        <v>19284</v>
      </c>
      <c r="K2509" s="584">
        <f t="shared" si="379"/>
        <v>1041336</v>
      </c>
      <c r="L2509" s="193" t="s">
        <v>251</v>
      </c>
      <c r="M2509" s="193" t="s">
        <v>164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52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  <c r="AA2509" s="826"/>
      <c r="AB2509" s="576" t="str">
        <f>IF(VLOOKUP(F2509,NXT!$C$12:$C$786,1,0)=F2509,"","x")</f>
        <v/>
      </c>
    </row>
    <row r="2510" spans="1:28" ht="15.75" customHeight="1">
      <c r="A2510" s="827" t="str">
        <f>IF(B2510&lt;&gt;"",IF(AND(B2510&gt;=_TM1,B2510&lt;=_TM2,OR(TH!L2510="1111",TH!M2510="1111")),TH!D2510,""),"")</f>
        <v/>
      </c>
      <c r="B2510" s="36">
        <f t="shared" si="377"/>
        <v>9</v>
      </c>
      <c r="C2510" s="190">
        <f t="shared" si="378"/>
        <v>42643</v>
      </c>
      <c r="D2510" s="190" t="s">
        <v>1623</v>
      </c>
      <c r="E2510" s="190">
        <v>42643</v>
      </c>
      <c r="F2510" s="292" t="s">
        <v>1730</v>
      </c>
      <c r="G2510" s="833" t="s">
        <v>1775</v>
      </c>
      <c r="H2510" s="192" t="s">
        <v>678</v>
      </c>
      <c r="I2510" s="253">
        <v>14</v>
      </c>
      <c r="J2510" s="253">
        <v>19446</v>
      </c>
      <c r="K2510" s="584">
        <f t="shared" si="379"/>
        <v>272244</v>
      </c>
      <c r="L2510" s="193" t="s">
        <v>251</v>
      </c>
      <c r="M2510" s="193" t="s">
        <v>164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52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  <c r="AA2510" s="826"/>
      <c r="AB2510" s="576" t="str">
        <f>IF(VLOOKUP(F2510,NXT!$C$12:$C$786,1,0)=F2510,"","x")</f>
        <v/>
      </c>
    </row>
    <row r="2511" spans="1:28" ht="15.75" customHeight="1">
      <c r="A2511" s="827" t="str">
        <f>IF(B2511&lt;&gt;"",IF(AND(B2511&gt;=_TM1,B2511&lt;=_TM2,OR(TH!L2511="1111",TH!M2511="1111")),TH!D2511,""),"")</f>
        <v/>
      </c>
      <c r="B2511" s="36">
        <f t="shared" si="377"/>
        <v>9</v>
      </c>
      <c r="C2511" s="190">
        <f t="shared" si="378"/>
        <v>42643</v>
      </c>
      <c r="D2511" s="190" t="s">
        <v>1623</v>
      </c>
      <c r="E2511" s="190">
        <v>42643</v>
      </c>
      <c r="F2511" s="292" t="s">
        <v>1731</v>
      </c>
      <c r="G2511" s="833" t="s">
        <v>1775</v>
      </c>
      <c r="H2511" s="192" t="s">
        <v>678</v>
      </c>
      <c r="I2511" s="253">
        <v>280</v>
      </c>
      <c r="J2511" s="253">
        <v>20239</v>
      </c>
      <c r="K2511" s="584">
        <f t="shared" si="379"/>
        <v>5666920</v>
      </c>
      <c r="L2511" s="193" t="s">
        <v>251</v>
      </c>
      <c r="M2511" s="193" t="s">
        <v>164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52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  <c r="AA2511" s="826"/>
      <c r="AB2511" s="576" t="str">
        <f>IF(VLOOKUP(F2511,NXT!$C$12:$C$786,1,0)=F2511,"","x")</f>
        <v/>
      </c>
    </row>
    <row r="2512" spans="1:28" ht="15.75" customHeight="1">
      <c r="A2512" s="827" t="str">
        <f>IF(B2512&lt;&gt;"",IF(AND(B2512&gt;=_TM1,B2512&lt;=_TM2,OR(TH!L2512="1111",TH!M2512="1111")),TH!D2512,""),"")</f>
        <v/>
      </c>
      <c r="B2512" s="36">
        <f t="shared" si="377"/>
        <v>9</v>
      </c>
      <c r="C2512" s="190">
        <f t="shared" si="378"/>
        <v>42643</v>
      </c>
      <c r="D2512" s="190" t="s">
        <v>1623</v>
      </c>
      <c r="E2512" s="190">
        <v>42643</v>
      </c>
      <c r="F2512" s="292" t="s">
        <v>511</v>
      </c>
      <c r="G2512" s="833" t="s">
        <v>1775</v>
      </c>
      <c r="H2512" s="192" t="s">
        <v>678</v>
      </c>
      <c r="I2512" s="253">
        <v>115</v>
      </c>
      <c r="J2512" s="253">
        <v>20239</v>
      </c>
      <c r="K2512" s="584">
        <f t="shared" si="379"/>
        <v>2327485</v>
      </c>
      <c r="L2512" s="193" t="s">
        <v>251</v>
      </c>
      <c r="M2512" s="193" t="s">
        <v>164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52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  <c r="AA2512" s="826"/>
      <c r="AB2512" s="576" t="str">
        <f>IF(VLOOKUP(F2512,NXT!$C$12:$C$786,1,0)=F2512,"","x")</f>
        <v/>
      </c>
    </row>
    <row r="2513" spans="1:28" ht="15.75" customHeight="1">
      <c r="A2513" s="827" t="str">
        <f>IF(B2513&lt;&gt;"",IF(AND(B2513&gt;=_TM1,B2513&lt;=_TM2,OR(TH!L2513="1111",TH!M2513="1111")),TH!D2513,""),"")</f>
        <v/>
      </c>
      <c r="B2513" s="36">
        <f t="shared" si="377"/>
        <v>9</v>
      </c>
      <c r="C2513" s="190">
        <f t="shared" si="378"/>
        <v>42643</v>
      </c>
      <c r="D2513" s="190" t="s">
        <v>1623</v>
      </c>
      <c r="E2513" s="190">
        <v>42643</v>
      </c>
      <c r="F2513" s="292" t="s">
        <v>863</v>
      </c>
      <c r="G2513" s="833" t="s">
        <v>1775</v>
      </c>
      <c r="H2513" s="192" t="s">
        <v>678</v>
      </c>
      <c r="I2513" s="253">
        <v>72</v>
      </c>
      <c r="J2513" s="253">
        <v>20295</v>
      </c>
      <c r="K2513" s="584">
        <f t="shared" si="379"/>
        <v>1461240</v>
      </c>
      <c r="L2513" s="193" t="s">
        <v>251</v>
      </c>
      <c r="M2513" s="193" t="s">
        <v>164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52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  <c r="AA2513" s="826"/>
      <c r="AB2513" s="576" t="str">
        <f>IF(VLOOKUP(F2513,NXT!$C$12:$C$786,1,0)=F2513,"","x")</f>
        <v/>
      </c>
    </row>
    <row r="2514" spans="1:28" ht="15.75" customHeight="1">
      <c r="A2514" s="827" t="str">
        <f>IF(B2514&lt;&gt;"",IF(AND(B2514&gt;=_TM1,B2514&lt;=_TM2,OR(TH!L2514="1111",TH!M2514="1111")),TH!D2514,""),"")</f>
        <v/>
      </c>
      <c r="B2514" s="36">
        <f t="shared" si="377"/>
        <v>9</v>
      </c>
      <c r="C2514" s="190">
        <f t="shared" si="378"/>
        <v>42643</v>
      </c>
      <c r="D2514" s="190" t="s">
        <v>1623</v>
      </c>
      <c r="E2514" s="190">
        <v>42643</v>
      </c>
      <c r="F2514" s="292" t="s">
        <v>1732</v>
      </c>
      <c r="G2514" s="833" t="s">
        <v>1775</v>
      </c>
      <c r="H2514" s="192" t="s">
        <v>678</v>
      </c>
      <c r="I2514" s="253">
        <v>4</v>
      </c>
      <c r="J2514" s="253">
        <v>20559</v>
      </c>
      <c r="K2514" s="584">
        <f t="shared" si="379"/>
        <v>82236</v>
      </c>
      <c r="L2514" s="193" t="s">
        <v>251</v>
      </c>
      <c r="M2514" s="193" t="s">
        <v>164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52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  <c r="AA2514" s="826"/>
      <c r="AB2514" s="576" t="str">
        <f>IF(VLOOKUP(F2514,NXT!$C$12:$C$786,1,0)=F2514,"","x")</f>
        <v/>
      </c>
    </row>
    <row r="2515" spans="1:28" ht="15.75" customHeight="1">
      <c r="A2515" s="827" t="str">
        <f>IF(B2515&lt;&gt;"",IF(AND(B2515&gt;=_TM1,B2515&lt;=_TM2,OR(TH!L2515="1111",TH!M2515="1111")),TH!D2515,""),"")</f>
        <v/>
      </c>
      <c r="B2515" s="36">
        <f t="shared" si="377"/>
        <v>9</v>
      </c>
      <c r="C2515" s="190">
        <f t="shared" si="378"/>
        <v>42643</v>
      </c>
      <c r="D2515" s="190" t="s">
        <v>1623</v>
      </c>
      <c r="E2515" s="190">
        <v>42643</v>
      </c>
      <c r="F2515" s="292" t="s">
        <v>700</v>
      </c>
      <c r="G2515" s="833" t="s">
        <v>1775</v>
      </c>
      <c r="H2515" s="192" t="s">
        <v>678</v>
      </c>
      <c r="I2515" s="253">
        <v>48</v>
      </c>
      <c r="J2515" s="253">
        <v>20772</v>
      </c>
      <c r="K2515" s="584">
        <f t="shared" si="379"/>
        <v>997056</v>
      </c>
      <c r="L2515" s="193" t="s">
        <v>251</v>
      </c>
      <c r="M2515" s="193" t="s">
        <v>164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52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  <c r="AA2515" s="826"/>
      <c r="AB2515" s="576" t="str">
        <f>IF(VLOOKUP(F2515,NXT!$C$12:$C$786,1,0)=F2515,"","x")</f>
        <v/>
      </c>
    </row>
    <row r="2516" spans="1:28" ht="15.75" customHeight="1">
      <c r="A2516" s="827" t="str">
        <f>IF(B2516&lt;&gt;"",IF(AND(B2516&gt;=_TM1,B2516&lt;=_TM2,OR(TH!L2516="1111",TH!M2516="1111")),TH!D2516,""),"")</f>
        <v/>
      </c>
      <c r="B2516" s="36">
        <f t="shared" si="377"/>
        <v>9</v>
      </c>
      <c r="C2516" s="190">
        <f t="shared" si="378"/>
        <v>42643</v>
      </c>
      <c r="D2516" s="190" t="s">
        <v>1623</v>
      </c>
      <c r="E2516" s="190">
        <v>42643</v>
      </c>
      <c r="F2516" s="292" t="s">
        <v>1733</v>
      </c>
      <c r="G2516" s="833" t="s">
        <v>1775</v>
      </c>
      <c r="H2516" s="192" t="s">
        <v>678</v>
      </c>
      <c r="I2516" s="253">
        <v>30</v>
      </c>
      <c r="J2516" s="253">
        <v>20798</v>
      </c>
      <c r="K2516" s="584">
        <f t="shared" si="379"/>
        <v>623940</v>
      </c>
      <c r="L2516" s="193" t="s">
        <v>251</v>
      </c>
      <c r="M2516" s="193" t="s">
        <v>164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52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  <c r="AA2516" s="826"/>
      <c r="AB2516" s="576" t="str">
        <f>IF(VLOOKUP(F2516,NXT!$C$12:$C$786,1,0)=F2516,"","x")</f>
        <v/>
      </c>
    </row>
    <row r="2517" spans="1:28" ht="15.75" customHeight="1">
      <c r="A2517" s="827" t="str">
        <f>IF(B2517&lt;&gt;"",IF(AND(B2517&gt;=_TM1,B2517&lt;=_TM2,OR(TH!L2517="1111",TH!M2517="1111")),TH!D2517,""),"")</f>
        <v/>
      </c>
      <c r="B2517" s="36">
        <f t="shared" si="377"/>
        <v>9</v>
      </c>
      <c r="C2517" s="190">
        <f t="shared" si="378"/>
        <v>42643</v>
      </c>
      <c r="D2517" s="190" t="s">
        <v>1623</v>
      </c>
      <c r="E2517" s="190">
        <v>42643</v>
      </c>
      <c r="F2517" s="292" t="s">
        <v>1734</v>
      </c>
      <c r="G2517" s="833" t="s">
        <v>1775</v>
      </c>
      <c r="H2517" s="192" t="s">
        <v>678</v>
      </c>
      <c r="I2517" s="253">
        <v>12</v>
      </c>
      <c r="J2517" s="253">
        <v>21031</v>
      </c>
      <c r="K2517" s="584">
        <f t="shared" si="379"/>
        <v>252372</v>
      </c>
      <c r="L2517" s="193" t="s">
        <v>251</v>
      </c>
      <c r="M2517" s="193" t="s">
        <v>164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52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  <c r="AA2517" s="826"/>
      <c r="AB2517" s="576" t="str">
        <f>IF(VLOOKUP(F2517,NXT!$C$12:$C$786,1,0)=F2517,"","x")</f>
        <v/>
      </c>
    </row>
    <row r="2518" spans="1:28" ht="15.75" customHeight="1">
      <c r="A2518" s="827" t="str">
        <f>IF(B2518&lt;&gt;"",IF(AND(B2518&gt;=_TM1,B2518&lt;=_TM2,OR(TH!L2518="1111",TH!M2518="1111")),TH!D2518,""),"")</f>
        <v/>
      </c>
      <c r="B2518" s="36">
        <f t="shared" si="377"/>
        <v>9</v>
      </c>
      <c r="C2518" s="190">
        <f t="shared" si="378"/>
        <v>42643</v>
      </c>
      <c r="D2518" s="190" t="s">
        <v>1623</v>
      </c>
      <c r="E2518" s="190">
        <v>42643</v>
      </c>
      <c r="F2518" s="292" t="s">
        <v>1735</v>
      </c>
      <c r="G2518" s="833" t="s">
        <v>1775</v>
      </c>
      <c r="H2518" s="192" t="s">
        <v>678</v>
      </c>
      <c r="I2518" s="253">
        <v>14</v>
      </c>
      <c r="J2518" s="253">
        <v>21146</v>
      </c>
      <c r="K2518" s="584">
        <f t="shared" si="379"/>
        <v>296044</v>
      </c>
      <c r="L2518" s="193" t="s">
        <v>251</v>
      </c>
      <c r="M2518" s="193" t="s">
        <v>164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52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  <c r="AA2518" s="826"/>
      <c r="AB2518" s="576" t="str">
        <f>IF(VLOOKUP(F2518,NXT!$C$12:$C$786,1,0)=F2518,"","x")</f>
        <v/>
      </c>
    </row>
    <row r="2519" spans="1:28" ht="15.75" customHeight="1">
      <c r="A2519" s="827" t="str">
        <f>IF(B2519&lt;&gt;"",IF(AND(B2519&gt;=_TM1,B2519&lt;=_TM2,OR(TH!L2519="1111",TH!M2519="1111")),TH!D2519,""),"")</f>
        <v/>
      </c>
      <c r="B2519" s="36">
        <f t="shared" si="377"/>
        <v>9</v>
      </c>
      <c r="C2519" s="190">
        <f t="shared" si="378"/>
        <v>42643</v>
      </c>
      <c r="D2519" s="190" t="s">
        <v>1623</v>
      </c>
      <c r="E2519" s="190">
        <v>42643</v>
      </c>
      <c r="F2519" s="292" t="s">
        <v>1736</v>
      </c>
      <c r="G2519" s="833" t="s">
        <v>1775</v>
      </c>
      <c r="H2519" s="192" t="s">
        <v>678</v>
      </c>
      <c r="I2519" s="253">
        <v>14</v>
      </c>
      <c r="J2519" s="253">
        <v>21458</v>
      </c>
      <c r="K2519" s="584">
        <f t="shared" si="379"/>
        <v>300412</v>
      </c>
      <c r="L2519" s="193" t="s">
        <v>251</v>
      </c>
      <c r="M2519" s="193" t="s">
        <v>164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52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  <c r="AA2519" s="826"/>
      <c r="AB2519" s="576" t="str">
        <f>IF(VLOOKUP(F2519,NXT!$C$12:$C$786,1,0)=F2519,"","x")</f>
        <v/>
      </c>
    </row>
    <row r="2520" spans="1:28" ht="15.75" customHeight="1">
      <c r="A2520" s="827" t="str">
        <f>IF(B2520&lt;&gt;"",IF(AND(B2520&gt;=_TM1,B2520&lt;=_TM2,OR(TH!L2520="1111",TH!M2520="1111")),TH!D2520,""),"")</f>
        <v/>
      </c>
      <c r="B2520" s="36">
        <f t="shared" si="377"/>
        <v>9</v>
      </c>
      <c r="C2520" s="190">
        <f t="shared" si="378"/>
        <v>42643</v>
      </c>
      <c r="D2520" s="190" t="s">
        <v>1623</v>
      </c>
      <c r="E2520" s="190">
        <v>42643</v>
      </c>
      <c r="F2520" s="292" t="s">
        <v>1737</v>
      </c>
      <c r="G2520" s="833" t="s">
        <v>1775</v>
      </c>
      <c r="H2520" s="192" t="s">
        <v>678</v>
      </c>
      <c r="I2520" s="253">
        <v>12</v>
      </c>
      <c r="J2520" s="253">
        <v>21476</v>
      </c>
      <c r="K2520" s="584">
        <f t="shared" si="379"/>
        <v>257712</v>
      </c>
      <c r="L2520" s="193" t="s">
        <v>251</v>
      </c>
      <c r="M2520" s="193" t="s">
        <v>164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52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  <c r="AA2520" s="826"/>
      <c r="AB2520" s="576" t="str">
        <f>IF(VLOOKUP(F2520,NXT!$C$12:$C$786,1,0)=F2520,"","x")</f>
        <v/>
      </c>
    </row>
    <row r="2521" spans="1:28" ht="15.75" customHeight="1">
      <c r="A2521" s="827" t="str">
        <f>IF(B2521&lt;&gt;"",IF(AND(B2521&gt;=_TM1,B2521&lt;=_TM2,OR(TH!L2521="1111",TH!M2521="1111")),TH!D2521,""),"")</f>
        <v/>
      </c>
      <c r="B2521" s="36">
        <f t="shared" si="377"/>
        <v>9</v>
      </c>
      <c r="C2521" s="190">
        <f t="shared" si="378"/>
        <v>42643</v>
      </c>
      <c r="D2521" s="190" t="s">
        <v>1623</v>
      </c>
      <c r="E2521" s="190">
        <v>42643</v>
      </c>
      <c r="F2521" s="292" t="s">
        <v>1737</v>
      </c>
      <c r="G2521" s="833" t="s">
        <v>1775</v>
      </c>
      <c r="H2521" s="192" t="s">
        <v>678</v>
      </c>
      <c r="I2521" s="253">
        <v>60</v>
      </c>
      <c r="J2521" s="253">
        <v>21486</v>
      </c>
      <c r="K2521" s="584">
        <f t="shared" si="379"/>
        <v>1289160</v>
      </c>
      <c r="L2521" s="193" t="s">
        <v>251</v>
      </c>
      <c r="M2521" s="193" t="s">
        <v>164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52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  <c r="AA2521" s="826"/>
      <c r="AB2521" s="576" t="str">
        <f>IF(VLOOKUP(F2521,NXT!$C$12:$C$786,1,0)=F2521,"","x")</f>
        <v/>
      </c>
    </row>
    <row r="2522" spans="1:28" ht="15.75" customHeight="1">
      <c r="A2522" s="827" t="str">
        <f>IF(B2522&lt;&gt;"",IF(AND(B2522&gt;=_TM1,B2522&lt;=_TM2,OR(TH!L2522="1111",TH!M2522="1111")),TH!D2522,""),"")</f>
        <v/>
      </c>
      <c r="B2522" s="36">
        <f t="shared" si="377"/>
        <v>9</v>
      </c>
      <c r="C2522" s="190">
        <f t="shared" si="378"/>
        <v>42643</v>
      </c>
      <c r="D2522" s="190" t="s">
        <v>1623</v>
      </c>
      <c r="E2522" s="190">
        <v>42643</v>
      </c>
      <c r="F2522" s="292" t="s">
        <v>1738</v>
      </c>
      <c r="G2522" s="833" t="s">
        <v>1775</v>
      </c>
      <c r="H2522" s="192" t="s">
        <v>678</v>
      </c>
      <c r="I2522" s="253">
        <v>60</v>
      </c>
      <c r="J2522" s="253">
        <v>22150</v>
      </c>
      <c r="K2522" s="584">
        <f t="shared" si="379"/>
        <v>1329000</v>
      </c>
      <c r="L2522" s="193" t="s">
        <v>251</v>
      </c>
      <c r="M2522" s="193" t="s">
        <v>164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52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  <c r="AA2522" s="826"/>
      <c r="AB2522" s="576" t="str">
        <f>IF(VLOOKUP(F2522,NXT!$C$12:$C$786,1,0)=F2522,"","x")</f>
        <v/>
      </c>
    </row>
    <row r="2523" spans="1:28" ht="15.75" customHeight="1">
      <c r="A2523" s="827" t="str">
        <f>IF(B2523&lt;&gt;"",IF(AND(B2523&gt;=_TM1,B2523&lt;=_TM2,OR(TH!L2523="1111",TH!M2523="1111")),TH!D2523,""),"")</f>
        <v/>
      </c>
      <c r="B2523" s="36">
        <f t="shared" si="377"/>
        <v>9</v>
      </c>
      <c r="C2523" s="190">
        <f t="shared" si="378"/>
        <v>42643</v>
      </c>
      <c r="D2523" s="190" t="s">
        <v>1623</v>
      </c>
      <c r="E2523" s="190">
        <v>42643</v>
      </c>
      <c r="F2523" s="292" t="s">
        <v>1738</v>
      </c>
      <c r="G2523" s="833" t="s">
        <v>1775</v>
      </c>
      <c r="H2523" s="192" t="s">
        <v>678</v>
      </c>
      <c r="I2523" s="253">
        <v>60</v>
      </c>
      <c r="J2523" s="253">
        <v>22287</v>
      </c>
      <c r="K2523" s="584">
        <f t="shared" si="379"/>
        <v>1337220</v>
      </c>
      <c r="L2523" s="193" t="s">
        <v>251</v>
      </c>
      <c r="M2523" s="193" t="s">
        <v>164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52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  <c r="AA2523" s="826"/>
      <c r="AB2523" s="576" t="str">
        <f>IF(VLOOKUP(F2523,NXT!$C$12:$C$786,1,0)=F2523,"","x")</f>
        <v/>
      </c>
    </row>
    <row r="2524" spans="1:28" ht="15.75" customHeight="1">
      <c r="A2524" s="827" t="str">
        <f>IF(B2524&lt;&gt;"",IF(AND(B2524&gt;=_TM1,B2524&lt;=_TM2,OR(TH!L2524="1111",TH!M2524="1111")),TH!D2524,""),"")</f>
        <v/>
      </c>
      <c r="B2524" s="36">
        <f t="shared" si="377"/>
        <v>9</v>
      </c>
      <c r="C2524" s="190">
        <f t="shared" si="378"/>
        <v>42643</v>
      </c>
      <c r="D2524" s="190" t="s">
        <v>1623</v>
      </c>
      <c r="E2524" s="190">
        <v>42643</v>
      </c>
      <c r="F2524" s="292" t="s">
        <v>498</v>
      </c>
      <c r="G2524" s="833" t="s">
        <v>1775</v>
      </c>
      <c r="H2524" s="192" t="s">
        <v>678</v>
      </c>
      <c r="I2524" s="253">
        <v>85</v>
      </c>
      <c r="J2524" s="253">
        <v>22540</v>
      </c>
      <c r="K2524" s="584">
        <f t="shared" si="379"/>
        <v>1915900</v>
      </c>
      <c r="L2524" s="193" t="s">
        <v>251</v>
      </c>
      <c r="M2524" s="193" t="s">
        <v>164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52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  <c r="AA2524" s="826"/>
      <c r="AB2524" s="576" t="str">
        <f>IF(VLOOKUP(F2524,NXT!$C$12:$C$786,1,0)=F2524,"","x")</f>
        <v/>
      </c>
    </row>
    <row r="2525" spans="1:28" ht="15.75" customHeight="1">
      <c r="A2525" s="827" t="str">
        <f>IF(B2525&lt;&gt;"",IF(AND(B2525&gt;=_TM1,B2525&lt;=_TM2,OR(TH!L2525="1111",TH!M2525="1111")),TH!D2525,""),"")</f>
        <v/>
      </c>
      <c r="B2525" s="36">
        <f t="shared" si="377"/>
        <v>9</v>
      </c>
      <c r="C2525" s="190">
        <f t="shared" si="378"/>
        <v>42643</v>
      </c>
      <c r="D2525" s="190" t="s">
        <v>1623</v>
      </c>
      <c r="E2525" s="190">
        <v>42643</v>
      </c>
      <c r="F2525" s="292" t="s">
        <v>552</v>
      </c>
      <c r="G2525" s="833" t="s">
        <v>1775</v>
      </c>
      <c r="H2525" s="192" t="s">
        <v>678</v>
      </c>
      <c r="I2525" s="253">
        <v>40</v>
      </c>
      <c r="J2525" s="253">
        <v>23114</v>
      </c>
      <c r="K2525" s="584">
        <f t="shared" si="379"/>
        <v>924560</v>
      </c>
      <c r="L2525" s="193" t="s">
        <v>251</v>
      </c>
      <c r="M2525" s="193" t="s">
        <v>164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52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  <c r="AA2525" s="826"/>
      <c r="AB2525" s="576" t="str">
        <f>IF(VLOOKUP(F2525,NXT!$C$12:$C$786,1,0)=F2525,"","x")</f>
        <v/>
      </c>
    </row>
    <row r="2526" spans="1:28" ht="15.75" customHeight="1">
      <c r="A2526" s="827" t="str">
        <f>IF(B2526&lt;&gt;"",IF(AND(B2526&gt;=_TM1,B2526&lt;=_TM2,OR(TH!L2526="1111",TH!M2526="1111")),TH!D2526,""),"")</f>
        <v/>
      </c>
      <c r="B2526" s="36">
        <f t="shared" si="377"/>
        <v>9</v>
      </c>
      <c r="C2526" s="190">
        <f t="shared" si="378"/>
        <v>42643</v>
      </c>
      <c r="D2526" s="190" t="s">
        <v>1623</v>
      </c>
      <c r="E2526" s="190">
        <v>42643</v>
      </c>
      <c r="F2526" s="292" t="s">
        <v>1739</v>
      </c>
      <c r="G2526" s="833" t="s">
        <v>1775</v>
      </c>
      <c r="H2526" s="192" t="s">
        <v>678</v>
      </c>
      <c r="I2526" s="253">
        <v>46</v>
      </c>
      <c r="J2526" s="253">
        <v>23150</v>
      </c>
      <c r="K2526" s="584">
        <f t="shared" si="379"/>
        <v>1064900</v>
      </c>
      <c r="L2526" s="193" t="s">
        <v>251</v>
      </c>
      <c r="M2526" s="193" t="s">
        <v>164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52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  <c r="AA2526" s="826"/>
      <c r="AB2526" s="576" t="str">
        <f>IF(VLOOKUP(F2526,NXT!$C$12:$C$786,1,0)=F2526,"","x")</f>
        <v/>
      </c>
    </row>
    <row r="2527" spans="1:28" ht="15.75" customHeight="1">
      <c r="A2527" s="827" t="str">
        <f>IF(B2527&lt;&gt;"",IF(AND(B2527&gt;=_TM1,B2527&lt;=_TM2,OR(TH!L2527="1111",TH!M2527="1111")),TH!D2527,""),"")</f>
        <v/>
      </c>
      <c r="B2527" s="36">
        <f t="shared" si="377"/>
        <v>9</v>
      </c>
      <c r="C2527" s="190">
        <f t="shared" si="378"/>
        <v>42643</v>
      </c>
      <c r="D2527" s="190" t="s">
        <v>1623</v>
      </c>
      <c r="E2527" s="190">
        <v>42643</v>
      </c>
      <c r="F2527" s="292" t="s">
        <v>1740</v>
      </c>
      <c r="G2527" s="833" t="s">
        <v>1775</v>
      </c>
      <c r="H2527" s="192" t="s">
        <v>678</v>
      </c>
      <c r="I2527" s="253">
        <v>6</v>
      </c>
      <c r="J2527" s="253">
        <v>23256</v>
      </c>
      <c r="K2527" s="584">
        <f t="shared" si="379"/>
        <v>139536</v>
      </c>
      <c r="L2527" s="193" t="s">
        <v>251</v>
      </c>
      <c r="M2527" s="193" t="s">
        <v>164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52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  <c r="AA2527" s="826"/>
      <c r="AB2527" s="576" t="str">
        <f>IF(VLOOKUP(F2527,NXT!$C$12:$C$786,1,0)=F2527,"","x")</f>
        <v/>
      </c>
    </row>
    <row r="2528" spans="1:28" ht="15.75" customHeight="1">
      <c r="A2528" s="827" t="str">
        <f>IF(B2528&lt;&gt;"",IF(AND(B2528&gt;=_TM1,B2528&lt;=_TM2,OR(TH!L2528="1111",TH!M2528="1111")),TH!D2528,""),"")</f>
        <v/>
      </c>
      <c r="B2528" s="36">
        <f t="shared" si="377"/>
        <v>9</v>
      </c>
      <c r="C2528" s="190">
        <f t="shared" si="378"/>
        <v>42643</v>
      </c>
      <c r="D2528" s="190" t="s">
        <v>1623</v>
      </c>
      <c r="E2528" s="190">
        <v>42643</v>
      </c>
      <c r="F2528" s="292" t="s">
        <v>484</v>
      </c>
      <c r="G2528" s="833" t="s">
        <v>1775</v>
      </c>
      <c r="H2528" s="192" t="s">
        <v>678</v>
      </c>
      <c r="I2528" s="253">
        <v>6</v>
      </c>
      <c r="J2528" s="253">
        <v>23736</v>
      </c>
      <c r="K2528" s="584">
        <f t="shared" si="379"/>
        <v>142416</v>
      </c>
      <c r="L2528" s="193" t="s">
        <v>251</v>
      </c>
      <c r="M2528" s="193" t="s">
        <v>164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52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  <c r="AA2528" s="826"/>
      <c r="AB2528" s="576" t="str">
        <f>IF(VLOOKUP(F2528,NXT!$C$12:$C$786,1,0)=F2528,"","x")</f>
        <v/>
      </c>
    </row>
    <row r="2529" spans="1:28" ht="15.75" customHeight="1">
      <c r="A2529" s="827" t="str">
        <f>IF(B2529&lt;&gt;"",IF(AND(B2529&gt;=_TM1,B2529&lt;=_TM2,OR(TH!L2529="1111",TH!M2529="1111")),TH!D2529,""),"")</f>
        <v/>
      </c>
      <c r="B2529" s="36">
        <f t="shared" si="377"/>
        <v>9</v>
      </c>
      <c r="C2529" s="190">
        <f t="shared" si="378"/>
        <v>42643</v>
      </c>
      <c r="D2529" s="190" t="s">
        <v>1623</v>
      </c>
      <c r="E2529" s="190">
        <v>42643</v>
      </c>
      <c r="F2529" s="292" t="s">
        <v>1741</v>
      </c>
      <c r="G2529" s="833" t="s">
        <v>1775</v>
      </c>
      <c r="H2529" s="192" t="s">
        <v>678</v>
      </c>
      <c r="I2529" s="253">
        <v>12</v>
      </c>
      <c r="J2529" s="253">
        <v>24902</v>
      </c>
      <c r="K2529" s="584">
        <f t="shared" si="379"/>
        <v>298824</v>
      </c>
      <c r="L2529" s="193" t="s">
        <v>251</v>
      </c>
      <c r="M2529" s="193" t="s">
        <v>164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52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  <c r="AA2529" s="826"/>
      <c r="AB2529" s="576" t="str">
        <f>IF(VLOOKUP(F2529,NXT!$C$12:$C$786,1,0)=F2529,"","x")</f>
        <v/>
      </c>
    </row>
    <row r="2530" spans="1:28" ht="15.75" customHeight="1">
      <c r="A2530" s="827" t="str">
        <f>IF(B2530&lt;&gt;"",IF(AND(B2530&gt;=_TM1,B2530&lt;=_TM2,OR(TH!L2530="1111",TH!M2530="1111")),TH!D2530,""),"")</f>
        <v/>
      </c>
      <c r="B2530" s="36">
        <f t="shared" si="377"/>
        <v>9</v>
      </c>
      <c r="C2530" s="190">
        <f t="shared" si="378"/>
        <v>42643</v>
      </c>
      <c r="D2530" s="190" t="s">
        <v>1623</v>
      </c>
      <c r="E2530" s="190">
        <v>42643</v>
      </c>
      <c r="F2530" s="292" t="s">
        <v>503</v>
      </c>
      <c r="G2530" s="833" t="s">
        <v>1775</v>
      </c>
      <c r="H2530" s="192" t="s">
        <v>678</v>
      </c>
      <c r="I2530" s="253">
        <v>50</v>
      </c>
      <c r="J2530" s="253">
        <v>25481</v>
      </c>
      <c r="K2530" s="584">
        <f t="shared" si="379"/>
        <v>1274050</v>
      </c>
      <c r="L2530" s="193" t="s">
        <v>251</v>
      </c>
      <c r="M2530" s="193" t="s">
        <v>164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52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  <c r="AA2530" s="826"/>
      <c r="AB2530" s="576" t="str">
        <f>IF(VLOOKUP(F2530,NXT!$C$12:$C$786,1,0)=F2530,"","x")</f>
        <v/>
      </c>
    </row>
    <row r="2531" spans="1:28" ht="15.75" customHeight="1">
      <c r="A2531" s="827" t="str">
        <f>IF(B2531&lt;&gt;"",IF(AND(B2531&gt;=_TM1,B2531&lt;=_TM2,OR(TH!L2531="1111",TH!M2531="1111")),TH!D2531,""),"")</f>
        <v/>
      </c>
      <c r="B2531" s="36">
        <f t="shared" si="377"/>
        <v>9</v>
      </c>
      <c r="C2531" s="190">
        <f t="shared" si="378"/>
        <v>42643</v>
      </c>
      <c r="D2531" s="190" t="s">
        <v>1623</v>
      </c>
      <c r="E2531" s="190">
        <v>42643</v>
      </c>
      <c r="F2531" s="292" t="s">
        <v>1742</v>
      </c>
      <c r="G2531" s="833" t="s">
        <v>1775</v>
      </c>
      <c r="H2531" s="192" t="s">
        <v>678</v>
      </c>
      <c r="I2531" s="253">
        <v>4</v>
      </c>
      <c r="J2531" s="253">
        <v>25885</v>
      </c>
      <c r="K2531" s="584">
        <f t="shared" si="379"/>
        <v>103540</v>
      </c>
      <c r="L2531" s="193" t="s">
        <v>251</v>
      </c>
      <c r="M2531" s="193" t="s">
        <v>164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52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  <c r="AA2531" s="826"/>
      <c r="AB2531" s="576" t="str">
        <f>IF(VLOOKUP(F2531,NXT!$C$12:$C$786,1,0)=F2531,"","x")</f>
        <v/>
      </c>
    </row>
    <row r="2532" spans="1:28" ht="15.75" customHeight="1">
      <c r="A2532" s="827" t="str">
        <f>IF(B2532&lt;&gt;"",IF(AND(B2532&gt;=_TM1,B2532&lt;=_TM2,OR(TH!L2532="1111",TH!M2532="1111")),TH!D2532,""),"")</f>
        <v/>
      </c>
      <c r="B2532" s="36">
        <f t="shared" si="377"/>
        <v>9</v>
      </c>
      <c r="C2532" s="190">
        <f t="shared" si="378"/>
        <v>42643</v>
      </c>
      <c r="D2532" s="190" t="s">
        <v>1623</v>
      </c>
      <c r="E2532" s="190">
        <v>42643</v>
      </c>
      <c r="F2532" s="292" t="s">
        <v>485</v>
      </c>
      <c r="G2532" s="833" t="s">
        <v>1775</v>
      </c>
      <c r="H2532" s="192" t="s">
        <v>678</v>
      </c>
      <c r="I2532" s="253">
        <v>12</v>
      </c>
      <c r="J2532" s="253">
        <v>27750</v>
      </c>
      <c r="K2532" s="584">
        <f t="shared" si="379"/>
        <v>333000</v>
      </c>
      <c r="L2532" s="193" t="s">
        <v>251</v>
      </c>
      <c r="M2532" s="193" t="s">
        <v>164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52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  <c r="AA2532" s="826"/>
      <c r="AB2532" s="576" t="str">
        <f>IF(VLOOKUP(F2532,NXT!$C$12:$C$786,1,0)=F2532,"","x")</f>
        <v/>
      </c>
    </row>
    <row r="2533" spans="1:28" ht="15.75" customHeight="1">
      <c r="A2533" s="827" t="str">
        <f>IF(B2533&lt;&gt;"",IF(AND(B2533&gt;=_TM1,B2533&lt;=_TM2,OR(TH!L2533="1111",TH!M2533="1111")),TH!D2533,""),"")</f>
        <v/>
      </c>
      <c r="B2533" s="36">
        <f t="shared" si="377"/>
        <v>9</v>
      </c>
      <c r="C2533" s="190">
        <f t="shared" si="378"/>
        <v>42643</v>
      </c>
      <c r="D2533" s="190" t="s">
        <v>1623</v>
      </c>
      <c r="E2533" s="190">
        <v>42643</v>
      </c>
      <c r="F2533" s="292" t="s">
        <v>1743</v>
      </c>
      <c r="G2533" s="833" t="s">
        <v>1775</v>
      </c>
      <c r="H2533" s="192" t="s">
        <v>678</v>
      </c>
      <c r="I2533" s="253">
        <v>24</v>
      </c>
      <c r="J2533" s="253">
        <v>29845</v>
      </c>
      <c r="K2533" s="584">
        <f t="shared" si="379"/>
        <v>716280</v>
      </c>
      <c r="L2533" s="193" t="s">
        <v>251</v>
      </c>
      <c r="M2533" s="193" t="s">
        <v>164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52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  <c r="AA2533" s="826"/>
      <c r="AB2533" s="576" t="str">
        <f>IF(VLOOKUP(F2533,NXT!$C$12:$C$786,1,0)=F2533,"","x")</f>
        <v/>
      </c>
    </row>
    <row r="2534" spans="1:28" ht="15.75" customHeight="1">
      <c r="A2534" s="827" t="str">
        <f>IF(B2534&lt;&gt;"",IF(AND(B2534&gt;=_TM1,B2534&lt;=_TM2,OR(TH!L2534="1111",TH!M2534="1111")),TH!D2534,""),"")</f>
        <v/>
      </c>
      <c r="B2534" s="36">
        <f t="shared" si="377"/>
        <v>9</v>
      </c>
      <c r="C2534" s="190">
        <f t="shared" si="378"/>
        <v>42643</v>
      </c>
      <c r="D2534" s="190" t="s">
        <v>1623</v>
      </c>
      <c r="E2534" s="190">
        <v>42643</v>
      </c>
      <c r="F2534" s="292" t="s">
        <v>1744</v>
      </c>
      <c r="G2534" s="833" t="s">
        <v>1775</v>
      </c>
      <c r="H2534" s="192" t="s">
        <v>678</v>
      </c>
      <c r="I2534" s="253">
        <v>40</v>
      </c>
      <c r="J2534" s="253">
        <v>31653</v>
      </c>
      <c r="K2534" s="584">
        <f t="shared" si="379"/>
        <v>1266120</v>
      </c>
      <c r="L2534" s="193" t="s">
        <v>251</v>
      </c>
      <c r="M2534" s="193" t="s">
        <v>164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52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  <c r="AA2534" s="826"/>
      <c r="AB2534" s="576" t="str">
        <f>IF(VLOOKUP(F2534,NXT!$C$12:$C$786,1,0)=F2534,"","x")</f>
        <v/>
      </c>
    </row>
    <row r="2535" spans="1:28" ht="15.75" customHeight="1">
      <c r="A2535" s="827" t="str">
        <f>IF(B2535&lt;&gt;"",IF(AND(B2535&gt;=_TM1,B2535&lt;=_TM2,OR(TH!L2535="1111",TH!M2535="1111")),TH!D2535,""),"")</f>
        <v/>
      </c>
      <c r="B2535" s="36">
        <f t="shared" si="377"/>
        <v>9</v>
      </c>
      <c r="C2535" s="190">
        <f t="shared" si="378"/>
        <v>42643</v>
      </c>
      <c r="D2535" s="190" t="s">
        <v>1623</v>
      </c>
      <c r="E2535" s="190">
        <v>42643</v>
      </c>
      <c r="F2535" s="292" t="s">
        <v>1745</v>
      </c>
      <c r="G2535" s="833" t="s">
        <v>1775</v>
      </c>
      <c r="H2535" s="192" t="s">
        <v>678</v>
      </c>
      <c r="I2535" s="253">
        <v>24</v>
      </c>
      <c r="J2535" s="253">
        <v>32111</v>
      </c>
      <c r="K2535" s="584">
        <f t="shared" si="379"/>
        <v>770664</v>
      </c>
      <c r="L2535" s="193" t="s">
        <v>251</v>
      </c>
      <c r="M2535" s="193" t="s">
        <v>164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52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  <c r="AA2535" s="826"/>
      <c r="AB2535" s="576" t="str">
        <f>IF(VLOOKUP(F2535,NXT!$C$12:$C$786,1,0)=F2535,"","x")</f>
        <v/>
      </c>
    </row>
    <row r="2536" spans="1:28" ht="15.75" customHeight="1">
      <c r="A2536" s="827" t="str">
        <f>IF(B2536&lt;&gt;"",IF(AND(B2536&gt;=_TM1,B2536&lt;=_TM2,OR(TH!L2536="1111",TH!M2536="1111")),TH!D2536,""),"")</f>
        <v/>
      </c>
      <c r="B2536" s="36">
        <f t="shared" si="377"/>
        <v>9</v>
      </c>
      <c r="C2536" s="190">
        <f t="shared" si="378"/>
        <v>42643</v>
      </c>
      <c r="D2536" s="190" t="s">
        <v>1623</v>
      </c>
      <c r="E2536" s="190">
        <v>42643</v>
      </c>
      <c r="F2536" s="292" t="s">
        <v>1746</v>
      </c>
      <c r="G2536" s="833" t="s">
        <v>1775</v>
      </c>
      <c r="H2536" s="192" t="s">
        <v>678</v>
      </c>
      <c r="I2536" s="253">
        <v>40</v>
      </c>
      <c r="J2536" s="253">
        <v>32131</v>
      </c>
      <c r="K2536" s="584">
        <f t="shared" si="379"/>
        <v>1285240</v>
      </c>
      <c r="L2536" s="193" t="s">
        <v>251</v>
      </c>
      <c r="M2536" s="193" t="s">
        <v>164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52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  <c r="AA2536" s="826"/>
      <c r="AB2536" s="576" t="str">
        <f>IF(VLOOKUP(F2536,NXT!$C$12:$C$786,1,0)=F2536,"","x")</f>
        <v/>
      </c>
    </row>
    <row r="2537" spans="1:28" ht="15.75" customHeight="1">
      <c r="A2537" s="827" t="str">
        <f>IF(B2537&lt;&gt;"",IF(AND(B2537&gt;=_TM1,B2537&lt;=_TM2,OR(TH!L2537="1111",TH!M2537="1111")),TH!D2537,""),"")</f>
        <v/>
      </c>
      <c r="B2537" s="36">
        <f t="shared" si="377"/>
        <v>9</v>
      </c>
      <c r="C2537" s="190">
        <f t="shared" si="378"/>
        <v>42643</v>
      </c>
      <c r="D2537" s="190" t="s">
        <v>1623</v>
      </c>
      <c r="E2537" s="190">
        <v>42643</v>
      </c>
      <c r="F2537" s="292" t="s">
        <v>1747</v>
      </c>
      <c r="G2537" s="833" t="s">
        <v>1775</v>
      </c>
      <c r="H2537" s="192" t="s">
        <v>678</v>
      </c>
      <c r="I2537" s="253">
        <v>8</v>
      </c>
      <c r="J2537" s="253">
        <v>34769</v>
      </c>
      <c r="K2537" s="584">
        <f t="shared" si="379"/>
        <v>278152</v>
      </c>
      <c r="L2537" s="193" t="s">
        <v>251</v>
      </c>
      <c r="M2537" s="193" t="s">
        <v>164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52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  <c r="AA2537" s="826"/>
      <c r="AB2537" s="576" t="str">
        <f>IF(VLOOKUP(F2537,NXT!$C$12:$C$786,1,0)=F2537,"","x")</f>
        <v/>
      </c>
    </row>
    <row r="2538" spans="1:28" ht="15.75" customHeight="1">
      <c r="A2538" s="827" t="str">
        <f>IF(B2538&lt;&gt;"",IF(AND(B2538&gt;=_TM1,B2538&lt;=_TM2,OR(TH!L2538="1111",TH!M2538="1111")),TH!D2538,""),"")</f>
        <v/>
      </c>
      <c r="B2538" s="36">
        <f t="shared" si="377"/>
        <v>9</v>
      </c>
      <c r="C2538" s="190">
        <f t="shared" si="378"/>
        <v>42643</v>
      </c>
      <c r="D2538" s="190" t="s">
        <v>1623</v>
      </c>
      <c r="E2538" s="190">
        <v>42643</v>
      </c>
      <c r="F2538" s="292" t="s">
        <v>499</v>
      </c>
      <c r="G2538" s="833" t="s">
        <v>1775</v>
      </c>
      <c r="H2538" s="192" t="s">
        <v>678</v>
      </c>
      <c r="I2538" s="253">
        <v>26</v>
      </c>
      <c r="J2538" s="253">
        <v>35387</v>
      </c>
      <c r="K2538" s="584">
        <f t="shared" si="379"/>
        <v>920062</v>
      </c>
      <c r="L2538" s="193" t="s">
        <v>251</v>
      </c>
      <c r="M2538" s="193" t="s">
        <v>164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52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  <c r="AA2538" s="826"/>
      <c r="AB2538" s="576" t="str">
        <f>IF(VLOOKUP(F2538,NXT!$C$12:$C$786,1,0)=F2538,"","x")</f>
        <v/>
      </c>
    </row>
    <row r="2539" spans="1:28" ht="15.75" customHeight="1">
      <c r="A2539" s="827" t="str">
        <f>IF(B2539&lt;&gt;"",IF(AND(B2539&gt;=_TM1,B2539&lt;=_TM2,OR(TH!L2539="1111",TH!M2539="1111")),TH!D2539,""),"")</f>
        <v/>
      </c>
      <c r="B2539" s="36">
        <f t="shared" si="377"/>
        <v>9</v>
      </c>
      <c r="C2539" s="190">
        <f t="shared" si="378"/>
        <v>42643</v>
      </c>
      <c r="D2539" s="190" t="s">
        <v>1623</v>
      </c>
      <c r="E2539" s="190">
        <v>42643</v>
      </c>
      <c r="F2539" s="292" t="s">
        <v>1747</v>
      </c>
      <c r="G2539" s="833" t="s">
        <v>1775</v>
      </c>
      <c r="H2539" s="192" t="s">
        <v>678</v>
      </c>
      <c r="I2539" s="253">
        <v>40</v>
      </c>
      <c r="J2539" s="253">
        <v>35662</v>
      </c>
      <c r="K2539" s="584">
        <f t="shared" si="379"/>
        <v>1426480</v>
      </c>
      <c r="L2539" s="193" t="s">
        <v>251</v>
      </c>
      <c r="M2539" s="193" t="s">
        <v>164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52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  <c r="AA2539" s="826"/>
      <c r="AB2539" s="576" t="str">
        <f>IF(VLOOKUP(F2539,NXT!$C$12:$C$786,1,0)=F2539,"","x")</f>
        <v/>
      </c>
    </row>
    <row r="2540" spans="1:28" ht="15.75" customHeight="1">
      <c r="A2540" s="827" t="str">
        <f>IF(B2540&lt;&gt;"",IF(AND(B2540&gt;=_TM1,B2540&lt;=_TM2,OR(TH!L2540="1111",TH!M2540="1111")),TH!D2540,""),"")</f>
        <v/>
      </c>
      <c r="B2540" s="36">
        <f t="shared" si="377"/>
        <v>9</v>
      </c>
      <c r="C2540" s="190">
        <f t="shared" si="378"/>
        <v>42643</v>
      </c>
      <c r="D2540" s="190" t="s">
        <v>1623</v>
      </c>
      <c r="E2540" s="190">
        <v>42643</v>
      </c>
      <c r="F2540" s="292" t="s">
        <v>497</v>
      </c>
      <c r="G2540" s="833" t="s">
        <v>1775</v>
      </c>
      <c r="H2540" s="192" t="s">
        <v>678</v>
      </c>
      <c r="I2540" s="253">
        <v>80</v>
      </c>
      <c r="J2540" s="253">
        <v>35806</v>
      </c>
      <c r="K2540" s="584">
        <f t="shared" si="379"/>
        <v>2864480</v>
      </c>
      <c r="L2540" s="193" t="s">
        <v>251</v>
      </c>
      <c r="M2540" s="193" t="s">
        <v>164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52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  <c r="AA2540" s="826"/>
      <c r="AB2540" s="576" t="str">
        <f>IF(VLOOKUP(F2540,NXT!$C$12:$C$786,1,0)=F2540,"","x")</f>
        <v/>
      </c>
    </row>
    <row r="2541" spans="1:28" ht="15.75" customHeight="1">
      <c r="A2541" s="827" t="str">
        <f>IF(B2541&lt;&gt;"",IF(AND(B2541&gt;=_TM1,B2541&lt;=_TM2,OR(TH!L2541="1111",TH!M2541="1111")),TH!D2541,""),"")</f>
        <v/>
      </c>
      <c r="B2541" s="36">
        <f t="shared" si="377"/>
        <v>9</v>
      </c>
      <c r="C2541" s="190">
        <f t="shared" si="378"/>
        <v>42643</v>
      </c>
      <c r="D2541" s="190" t="s">
        <v>1623</v>
      </c>
      <c r="E2541" s="190">
        <v>42643</v>
      </c>
      <c r="F2541" s="292" t="s">
        <v>1748</v>
      </c>
      <c r="G2541" s="833" t="s">
        <v>1775</v>
      </c>
      <c r="H2541" s="192" t="s">
        <v>678</v>
      </c>
      <c r="I2541" s="253">
        <v>75</v>
      </c>
      <c r="J2541" s="253">
        <v>38019</v>
      </c>
      <c r="K2541" s="584">
        <f t="shared" si="379"/>
        <v>2851425</v>
      </c>
      <c r="L2541" s="193" t="s">
        <v>251</v>
      </c>
      <c r="M2541" s="193" t="s">
        <v>164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52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  <c r="AA2541" s="826"/>
      <c r="AB2541" s="576" t="str">
        <f>IF(VLOOKUP(F2541,NXT!$C$12:$C$786,1,0)=F2541,"","x")</f>
        <v/>
      </c>
    </row>
    <row r="2542" spans="1:28" ht="15.75" customHeight="1">
      <c r="A2542" s="827" t="str">
        <f>IF(B2542&lt;&gt;"",IF(AND(B2542&gt;=_TM1,B2542&lt;=_TM2,OR(TH!L2542="1111",TH!M2542="1111")),TH!D2542,""),"")</f>
        <v/>
      </c>
      <c r="B2542" s="36">
        <f t="shared" si="377"/>
        <v>9</v>
      </c>
      <c r="C2542" s="190">
        <f t="shared" si="378"/>
        <v>42643</v>
      </c>
      <c r="D2542" s="190" t="s">
        <v>1623</v>
      </c>
      <c r="E2542" s="190">
        <v>42643</v>
      </c>
      <c r="F2542" s="292" t="s">
        <v>489</v>
      </c>
      <c r="G2542" s="833" t="s">
        <v>1775</v>
      </c>
      <c r="H2542" s="192" t="s">
        <v>678</v>
      </c>
      <c r="I2542" s="253">
        <v>50</v>
      </c>
      <c r="J2542" s="253">
        <v>38130</v>
      </c>
      <c r="K2542" s="584">
        <f t="shared" si="379"/>
        <v>1906500</v>
      </c>
      <c r="L2542" s="193" t="s">
        <v>251</v>
      </c>
      <c r="M2542" s="193" t="s">
        <v>164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52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  <c r="AA2542" s="826"/>
      <c r="AB2542" s="576" t="str">
        <f>IF(VLOOKUP(F2542,NXT!$C$12:$C$786,1,0)=F2542,"","x")</f>
        <v/>
      </c>
    </row>
    <row r="2543" spans="1:28" ht="15.75" customHeight="1">
      <c r="A2543" s="827" t="str">
        <f>IF(B2543&lt;&gt;"",IF(AND(B2543&gt;=_TM1,B2543&lt;=_TM2,OR(TH!L2543="1111",TH!M2543="1111")),TH!D2543,""),"")</f>
        <v/>
      </c>
      <c r="B2543" s="36">
        <f t="shared" si="377"/>
        <v>9</v>
      </c>
      <c r="C2543" s="190">
        <f t="shared" si="378"/>
        <v>42643</v>
      </c>
      <c r="D2543" s="190" t="s">
        <v>1623</v>
      </c>
      <c r="E2543" s="190">
        <v>42643</v>
      </c>
      <c r="F2543" s="292" t="s">
        <v>489</v>
      </c>
      <c r="G2543" s="833" t="s">
        <v>1775</v>
      </c>
      <c r="H2543" s="192" t="s">
        <v>678</v>
      </c>
      <c r="I2543" s="253">
        <v>24</v>
      </c>
      <c r="J2543" s="253">
        <v>38139</v>
      </c>
      <c r="K2543" s="584">
        <f t="shared" si="379"/>
        <v>915336</v>
      </c>
      <c r="L2543" s="193" t="s">
        <v>251</v>
      </c>
      <c r="M2543" s="193" t="s">
        <v>164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52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  <c r="AA2543" s="826"/>
      <c r="AB2543" s="576" t="str">
        <f>IF(VLOOKUP(F2543,NXT!$C$12:$C$786,1,0)=F2543,"","x")</f>
        <v/>
      </c>
    </row>
    <row r="2544" spans="1:28" ht="15.75" customHeight="1">
      <c r="A2544" s="827" t="str">
        <f>IF(B2544&lt;&gt;"",IF(AND(B2544&gt;=_TM1,B2544&lt;=_TM2,OR(TH!L2544="1111",TH!M2544="1111")),TH!D2544,""),"")</f>
        <v/>
      </c>
      <c r="B2544" s="36">
        <f t="shared" si="377"/>
        <v>9</v>
      </c>
      <c r="C2544" s="190">
        <f t="shared" si="378"/>
        <v>42643</v>
      </c>
      <c r="D2544" s="190" t="s">
        <v>1623</v>
      </c>
      <c r="E2544" s="190">
        <v>42643</v>
      </c>
      <c r="F2544" s="292" t="s">
        <v>1749</v>
      </c>
      <c r="G2544" s="833" t="s">
        <v>1775</v>
      </c>
      <c r="H2544" s="192" t="s">
        <v>678</v>
      </c>
      <c r="I2544" s="253">
        <v>40</v>
      </c>
      <c r="J2544" s="253">
        <v>38456</v>
      </c>
      <c r="K2544" s="584">
        <f t="shared" si="379"/>
        <v>1538240</v>
      </c>
      <c r="L2544" s="193" t="s">
        <v>251</v>
      </c>
      <c r="M2544" s="193" t="s">
        <v>164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52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  <c r="AA2544" s="826"/>
      <c r="AB2544" s="576" t="str">
        <f>IF(VLOOKUP(F2544,NXT!$C$12:$C$786,1,0)=F2544,"","x")</f>
        <v/>
      </c>
    </row>
    <row r="2545" spans="1:28" ht="15.75" customHeight="1">
      <c r="A2545" s="827" t="str">
        <f>IF(B2545&lt;&gt;"",IF(AND(B2545&gt;=_TM1,B2545&lt;=_TM2,OR(TH!L2545="1111",TH!M2545="1111")),TH!D2545,""),"")</f>
        <v/>
      </c>
      <c r="B2545" s="36">
        <f t="shared" si="377"/>
        <v>9</v>
      </c>
      <c r="C2545" s="190">
        <f t="shared" si="378"/>
        <v>42643</v>
      </c>
      <c r="D2545" s="190" t="s">
        <v>1623</v>
      </c>
      <c r="E2545" s="190">
        <v>42643</v>
      </c>
      <c r="F2545" s="292" t="s">
        <v>871</v>
      </c>
      <c r="G2545" s="833" t="s">
        <v>1775</v>
      </c>
      <c r="H2545" s="192" t="s">
        <v>678</v>
      </c>
      <c r="I2545" s="253">
        <v>7</v>
      </c>
      <c r="J2545" s="253">
        <v>40602</v>
      </c>
      <c r="K2545" s="584">
        <f t="shared" si="379"/>
        <v>284214</v>
      </c>
      <c r="L2545" s="193" t="s">
        <v>251</v>
      </c>
      <c r="M2545" s="193" t="s">
        <v>164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52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  <c r="AA2545" s="826"/>
      <c r="AB2545" s="576" t="str">
        <f>IF(VLOOKUP(F2545,NXT!$C$12:$C$786,1,0)=F2545,"","x")</f>
        <v/>
      </c>
    </row>
    <row r="2546" spans="1:28" ht="15.75" customHeight="1">
      <c r="A2546" s="827" t="str">
        <f>IF(B2546&lt;&gt;"",IF(AND(B2546&gt;=_TM1,B2546&lt;=_TM2,OR(TH!L2546="1111",TH!M2546="1111")),TH!D2546,""),"")</f>
        <v/>
      </c>
      <c r="B2546" s="36">
        <f t="shared" si="377"/>
        <v>9</v>
      </c>
      <c r="C2546" s="190">
        <f t="shared" si="378"/>
        <v>42643</v>
      </c>
      <c r="D2546" s="190" t="s">
        <v>1623</v>
      </c>
      <c r="E2546" s="190">
        <v>42643</v>
      </c>
      <c r="F2546" s="292" t="s">
        <v>1750</v>
      </c>
      <c r="G2546" s="833" t="s">
        <v>1775</v>
      </c>
      <c r="H2546" s="192" t="s">
        <v>678</v>
      </c>
      <c r="I2546" s="253">
        <v>12</v>
      </c>
      <c r="J2546" s="253">
        <v>40780</v>
      </c>
      <c r="K2546" s="584">
        <f t="shared" si="379"/>
        <v>489360</v>
      </c>
      <c r="L2546" s="193" t="s">
        <v>251</v>
      </c>
      <c r="M2546" s="193" t="s">
        <v>164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52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  <c r="AA2546" s="826"/>
      <c r="AB2546" s="576" t="str">
        <f>IF(VLOOKUP(F2546,NXT!$C$12:$C$786,1,0)=F2546,"","x")</f>
        <v/>
      </c>
    </row>
    <row r="2547" spans="1:28" ht="15.75" customHeight="1">
      <c r="A2547" s="827" t="str">
        <f>IF(B2547&lt;&gt;"",IF(AND(B2547&gt;=_TM1,B2547&lt;=_TM2,OR(TH!L2547="1111",TH!M2547="1111")),TH!D2547,""),"")</f>
        <v/>
      </c>
      <c r="B2547" s="36">
        <f t="shared" si="377"/>
        <v>9</v>
      </c>
      <c r="C2547" s="190">
        <f t="shared" si="378"/>
        <v>42643</v>
      </c>
      <c r="D2547" s="190" t="s">
        <v>1623</v>
      </c>
      <c r="E2547" s="190">
        <v>42643</v>
      </c>
      <c r="F2547" s="292" t="s">
        <v>1751</v>
      </c>
      <c r="G2547" s="833" t="s">
        <v>1775</v>
      </c>
      <c r="H2547" s="192" t="s">
        <v>678</v>
      </c>
      <c r="I2547" s="253">
        <v>6</v>
      </c>
      <c r="J2547" s="253">
        <v>43205</v>
      </c>
      <c r="K2547" s="584">
        <f t="shared" si="379"/>
        <v>259230</v>
      </c>
      <c r="L2547" s="193" t="s">
        <v>251</v>
      </c>
      <c r="M2547" s="193" t="s">
        <v>164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52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  <c r="AA2547" s="826"/>
      <c r="AB2547" s="576" t="str">
        <f>IF(VLOOKUP(F2547,NXT!$C$12:$C$786,1,0)=F2547,"","x")</f>
        <v/>
      </c>
    </row>
    <row r="2548" spans="1:28" ht="15.75" customHeight="1">
      <c r="A2548" s="827" t="str">
        <f>IF(B2548&lt;&gt;"",IF(AND(B2548&gt;=_TM1,B2548&lt;=_TM2,OR(TH!L2548="1111",TH!M2548="1111")),TH!D2548,""),"")</f>
        <v/>
      </c>
      <c r="B2548" s="36">
        <f t="shared" si="377"/>
        <v>9</v>
      </c>
      <c r="C2548" s="190">
        <f t="shared" si="378"/>
        <v>42643</v>
      </c>
      <c r="D2548" s="190" t="s">
        <v>1623</v>
      </c>
      <c r="E2548" s="190">
        <v>42643</v>
      </c>
      <c r="F2548" s="292" t="s">
        <v>1751</v>
      </c>
      <c r="G2548" s="833" t="s">
        <v>1775</v>
      </c>
      <c r="H2548" s="192" t="s">
        <v>678</v>
      </c>
      <c r="I2548" s="253">
        <v>24</v>
      </c>
      <c r="J2548" s="253">
        <v>43891</v>
      </c>
      <c r="K2548" s="584">
        <f t="shared" si="379"/>
        <v>1053384</v>
      </c>
      <c r="L2548" s="193" t="s">
        <v>251</v>
      </c>
      <c r="M2548" s="193" t="s">
        <v>164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52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  <c r="AA2548" s="826"/>
      <c r="AB2548" s="576" t="str">
        <f>IF(VLOOKUP(F2548,NXT!$C$12:$C$786,1,0)=F2548,"","x")</f>
        <v/>
      </c>
    </row>
    <row r="2549" spans="1:28" ht="15.75" customHeight="1">
      <c r="A2549" s="827" t="str">
        <f>IF(B2549&lt;&gt;"",IF(AND(B2549&gt;=_TM1,B2549&lt;=_TM2,OR(TH!L2549="1111",TH!M2549="1111")),TH!D2549,""),"")</f>
        <v/>
      </c>
      <c r="B2549" s="36">
        <f t="shared" si="362"/>
        <v>9</v>
      </c>
      <c r="C2549" s="190">
        <f t="shared" si="363"/>
        <v>42643</v>
      </c>
      <c r="D2549" s="190" t="s">
        <v>1623</v>
      </c>
      <c r="E2549" s="190">
        <v>42643</v>
      </c>
      <c r="F2549" s="292" t="s">
        <v>487</v>
      </c>
      <c r="G2549" s="833" t="s">
        <v>1775</v>
      </c>
      <c r="H2549" s="192" t="s">
        <v>678</v>
      </c>
      <c r="I2549" s="253">
        <v>92</v>
      </c>
      <c r="J2549" s="253">
        <v>44193</v>
      </c>
      <c r="K2549" s="584">
        <f t="shared" ref="K2549:K2577" si="380">ROUND(I2549*J2549,0)</f>
        <v>4065756</v>
      </c>
      <c r="L2549" s="193" t="s">
        <v>251</v>
      </c>
      <c r="M2549" s="193" t="s">
        <v>164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52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  <c r="AA2549" s="826"/>
      <c r="AB2549" s="576" t="str">
        <f>IF(VLOOKUP(F2549,NXT!$C$12:$C$786,1,0)=F2549,"","x")</f>
        <v/>
      </c>
    </row>
    <row r="2550" spans="1:28" ht="15.75" customHeight="1">
      <c r="A2550" s="827" t="str">
        <f>IF(B2550&lt;&gt;"",IF(AND(B2550&gt;=_TM1,B2550&lt;=_TM2,OR(TH!L2550="1111",TH!M2550="1111")),TH!D2550,""),"")</f>
        <v/>
      </c>
      <c r="B2550" s="36">
        <f t="shared" si="362"/>
        <v>9</v>
      </c>
      <c r="C2550" s="190">
        <f t="shared" si="363"/>
        <v>42643</v>
      </c>
      <c r="D2550" s="190" t="s">
        <v>1623</v>
      </c>
      <c r="E2550" s="190">
        <v>42643</v>
      </c>
      <c r="F2550" s="292" t="s">
        <v>524</v>
      </c>
      <c r="G2550" s="833" t="s">
        <v>1775</v>
      </c>
      <c r="H2550" s="192" t="s">
        <v>678</v>
      </c>
      <c r="I2550" s="253">
        <v>6</v>
      </c>
      <c r="J2550" s="253">
        <v>46360</v>
      </c>
      <c r="K2550" s="584">
        <f t="shared" si="380"/>
        <v>278160</v>
      </c>
      <c r="L2550" s="193" t="s">
        <v>251</v>
      </c>
      <c r="M2550" s="193" t="s">
        <v>164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52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  <c r="AA2550" s="826"/>
      <c r="AB2550" s="576" t="str">
        <f>IF(VLOOKUP(F2550,NXT!$C$12:$C$786,1,0)=F2550,"","x")</f>
        <v/>
      </c>
    </row>
    <row r="2551" spans="1:28" ht="15.75" customHeight="1">
      <c r="A2551" s="827" t="str">
        <f>IF(B2551&lt;&gt;"",IF(AND(B2551&gt;=_TM1,B2551&lt;=_TM2,OR(TH!L2551="1111",TH!M2551="1111")),TH!D2551,""),"")</f>
        <v/>
      </c>
      <c r="B2551" s="36">
        <f t="shared" si="362"/>
        <v>9</v>
      </c>
      <c r="C2551" s="190">
        <f t="shared" si="363"/>
        <v>42643</v>
      </c>
      <c r="D2551" s="190" t="s">
        <v>1623</v>
      </c>
      <c r="E2551" s="190">
        <v>42643</v>
      </c>
      <c r="F2551" s="292" t="s">
        <v>511</v>
      </c>
      <c r="G2551" s="833" t="s">
        <v>1775</v>
      </c>
      <c r="H2551" s="192" t="s">
        <v>678</v>
      </c>
      <c r="I2551" s="253">
        <v>8</v>
      </c>
      <c r="J2551" s="253">
        <v>47320</v>
      </c>
      <c r="K2551" s="584">
        <f t="shared" si="380"/>
        <v>378560</v>
      </c>
      <c r="L2551" s="193" t="s">
        <v>251</v>
      </c>
      <c r="M2551" s="193" t="s">
        <v>164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52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  <c r="AA2551" s="826"/>
      <c r="AB2551" s="576" t="str">
        <f>IF(VLOOKUP(F2551,NXT!$C$12:$C$786,1,0)=F2551,"","x")</f>
        <v/>
      </c>
    </row>
    <row r="2552" spans="1:28" ht="15.75" customHeight="1">
      <c r="A2552" s="827" t="str">
        <f>IF(B2552&lt;&gt;"",IF(AND(B2552&gt;=_TM1,B2552&lt;=_TM2,OR(TH!L2552="1111",TH!M2552="1111")),TH!D2552,""),"")</f>
        <v/>
      </c>
      <c r="B2552" s="36">
        <f t="shared" si="362"/>
        <v>9</v>
      </c>
      <c r="C2552" s="190">
        <f t="shared" si="363"/>
        <v>42643</v>
      </c>
      <c r="D2552" s="190" t="s">
        <v>1623</v>
      </c>
      <c r="E2552" s="190">
        <v>42643</v>
      </c>
      <c r="F2552" s="292" t="s">
        <v>1752</v>
      </c>
      <c r="G2552" s="833" t="s">
        <v>1775</v>
      </c>
      <c r="H2552" s="192" t="s">
        <v>678</v>
      </c>
      <c r="I2552" s="253">
        <v>4</v>
      </c>
      <c r="J2552" s="253">
        <v>47648</v>
      </c>
      <c r="K2552" s="584">
        <f t="shared" si="380"/>
        <v>190592</v>
      </c>
      <c r="L2552" s="193" t="s">
        <v>251</v>
      </c>
      <c r="M2552" s="193" t="s">
        <v>164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52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  <c r="AA2552" s="826"/>
      <c r="AB2552" s="576" t="str">
        <f>IF(VLOOKUP(F2552,NXT!$C$12:$C$786,1,0)=F2552,"","x")</f>
        <v/>
      </c>
    </row>
    <row r="2553" spans="1:28" ht="15.75" customHeight="1">
      <c r="A2553" s="827" t="str">
        <f>IF(B2553&lt;&gt;"",IF(AND(B2553&gt;=_TM1,B2553&lt;=_TM2,OR(TH!L2553="1111",TH!M2553="1111")),TH!D2553,""),"")</f>
        <v/>
      </c>
      <c r="B2553" s="36">
        <f t="shared" si="362"/>
        <v>9</v>
      </c>
      <c r="C2553" s="190">
        <f t="shared" si="363"/>
        <v>42643</v>
      </c>
      <c r="D2553" s="190" t="s">
        <v>1623</v>
      </c>
      <c r="E2553" s="190">
        <v>42643</v>
      </c>
      <c r="F2553" s="292" t="s">
        <v>1753</v>
      </c>
      <c r="G2553" s="833" t="s">
        <v>1775</v>
      </c>
      <c r="H2553" s="192" t="s">
        <v>678</v>
      </c>
      <c r="I2553" s="253">
        <v>24</v>
      </c>
      <c r="J2553" s="253">
        <v>47904</v>
      </c>
      <c r="K2553" s="584">
        <f t="shared" si="380"/>
        <v>1149696</v>
      </c>
      <c r="L2553" s="193" t="s">
        <v>251</v>
      </c>
      <c r="M2553" s="193" t="s">
        <v>164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52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  <c r="AA2553" s="826"/>
      <c r="AB2553" s="576" t="str">
        <f>IF(VLOOKUP(F2553,NXT!$C$12:$C$786,1,0)=F2553,"","x")</f>
        <v/>
      </c>
    </row>
    <row r="2554" spans="1:28" ht="15.75" customHeight="1">
      <c r="A2554" s="827" t="str">
        <f>IF(B2554&lt;&gt;"",IF(AND(B2554&gt;=_TM1,B2554&lt;=_TM2,OR(TH!L2554="1111",TH!M2554="1111")),TH!D2554,""),"")</f>
        <v/>
      </c>
      <c r="B2554" s="36">
        <f t="shared" si="362"/>
        <v>9</v>
      </c>
      <c r="C2554" s="190">
        <f t="shared" si="363"/>
        <v>42643</v>
      </c>
      <c r="D2554" s="190" t="s">
        <v>1623</v>
      </c>
      <c r="E2554" s="190">
        <v>42643</v>
      </c>
      <c r="F2554" s="292" t="s">
        <v>1754</v>
      </c>
      <c r="G2554" s="833" t="s">
        <v>1775</v>
      </c>
      <c r="H2554" s="192" t="s">
        <v>678</v>
      </c>
      <c r="I2554" s="253">
        <v>12</v>
      </c>
      <c r="J2554" s="253">
        <v>49103</v>
      </c>
      <c r="K2554" s="584">
        <f t="shared" si="380"/>
        <v>589236</v>
      </c>
      <c r="L2554" s="193" t="s">
        <v>251</v>
      </c>
      <c r="M2554" s="193" t="s">
        <v>164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52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  <c r="AA2554" s="826"/>
      <c r="AB2554" s="576" t="str">
        <f>IF(VLOOKUP(F2554,NXT!$C$12:$C$786,1,0)=F2554,"","x")</f>
        <v/>
      </c>
    </row>
    <row r="2555" spans="1:28" ht="15.75" customHeight="1">
      <c r="A2555" s="827" t="str">
        <f>IF(B2555&lt;&gt;"",IF(AND(B2555&gt;=_TM1,B2555&lt;=_TM2,OR(TH!L2555="1111",TH!M2555="1111")),TH!D2555,""),"")</f>
        <v/>
      </c>
      <c r="B2555" s="36">
        <f t="shared" si="362"/>
        <v>9</v>
      </c>
      <c r="C2555" s="190">
        <f t="shared" si="363"/>
        <v>42643</v>
      </c>
      <c r="D2555" s="190" t="s">
        <v>1623</v>
      </c>
      <c r="E2555" s="190">
        <v>42643</v>
      </c>
      <c r="F2555" s="292" t="s">
        <v>1755</v>
      </c>
      <c r="G2555" s="833" t="s">
        <v>1775</v>
      </c>
      <c r="H2555" s="192" t="s">
        <v>678</v>
      </c>
      <c r="I2555" s="253">
        <v>50</v>
      </c>
      <c r="J2555" s="253">
        <v>51566</v>
      </c>
      <c r="K2555" s="584">
        <f t="shared" si="380"/>
        <v>2578300</v>
      </c>
      <c r="L2555" s="193" t="s">
        <v>251</v>
      </c>
      <c r="M2555" s="193" t="s">
        <v>164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52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  <c r="AA2555" s="826"/>
      <c r="AB2555" s="576" t="str">
        <f>IF(VLOOKUP(F2555,NXT!$C$12:$C$786,1,0)=F2555,"","x")</f>
        <v/>
      </c>
    </row>
    <row r="2556" spans="1:28" ht="15.75" customHeight="1">
      <c r="A2556" s="827" t="str">
        <f>IF(B2556&lt;&gt;"",IF(AND(B2556&gt;=_TM1,B2556&lt;=_TM2,OR(TH!L2556="1111",TH!M2556="1111")),TH!D2556,""),"")</f>
        <v/>
      </c>
      <c r="B2556" s="36">
        <f t="shared" si="362"/>
        <v>9</v>
      </c>
      <c r="C2556" s="190">
        <f t="shared" si="363"/>
        <v>42643</v>
      </c>
      <c r="D2556" s="190" t="s">
        <v>1623</v>
      </c>
      <c r="E2556" s="190">
        <v>42643</v>
      </c>
      <c r="F2556" s="292" t="s">
        <v>1756</v>
      </c>
      <c r="G2556" s="833" t="s">
        <v>1775</v>
      </c>
      <c r="H2556" s="192" t="s">
        <v>678</v>
      </c>
      <c r="I2556" s="253">
        <v>16</v>
      </c>
      <c r="J2556" s="253">
        <v>52159</v>
      </c>
      <c r="K2556" s="584">
        <f t="shared" si="380"/>
        <v>834544</v>
      </c>
      <c r="L2556" s="193" t="s">
        <v>251</v>
      </c>
      <c r="M2556" s="193" t="s">
        <v>164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52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  <c r="AA2556" s="826"/>
      <c r="AB2556" s="576" t="str">
        <f>IF(VLOOKUP(F2556,NXT!$C$12:$C$786,1,0)=F2556,"","x")</f>
        <v/>
      </c>
    </row>
    <row r="2557" spans="1:28" ht="15.75" customHeight="1">
      <c r="A2557" s="827" t="str">
        <f>IF(B2557&lt;&gt;"",IF(AND(B2557&gt;=_TM1,B2557&lt;=_TM2,OR(TH!L2557="1111",TH!M2557="1111")),TH!D2557,""),"")</f>
        <v/>
      </c>
      <c r="B2557" s="36">
        <f t="shared" si="362"/>
        <v>9</v>
      </c>
      <c r="C2557" s="190">
        <f t="shared" si="363"/>
        <v>42643</v>
      </c>
      <c r="D2557" s="190" t="s">
        <v>1623</v>
      </c>
      <c r="E2557" s="190">
        <v>42643</v>
      </c>
      <c r="F2557" s="292" t="s">
        <v>483</v>
      </c>
      <c r="G2557" s="833" t="s">
        <v>1775</v>
      </c>
      <c r="H2557" s="192" t="s">
        <v>678</v>
      </c>
      <c r="I2557" s="253">
        <v>10</v>
      </c>
      <c r="J2557" s="253">
        <v>53873</v>
      </c>
      <c r="K2557" s="584">
        <f t="shared" si="380"/>
        <v>538730</v>
      </c>
      <c r="L2557" s="193" t="s">
        <v>251</v>
      </c>
      <c r="M2557" s="193" t="s">
        <v>164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52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  <c r="AA2557" s="826"/>
      <c r="AB2557" s="576" t="str">
        <f>IF(VLOOKUP(F2557,NXT!$C$12:$C$786,1,0)=F2557,"","x")</f>
        <v/>
      </c>
    </row>
    <row r="2558" spans="1:28" ht="15.75" customHeight="1">
      <c r="A2558" s="827" t="str">
        <f>IF(B2558&lt;&gt;"",IF(AND(B2558&gt;=_TM1,B2558&lt;=_TM2,OR(TH!L2558="1111",TH!M2558="1111")),TH!D2558,""),"")</f>
        <v/>
      </c>
      <c r="B2558" s="36">
        <f t="shared" si="362"/>
        <v>9</v>
      </c>
      <c r="C2558" s="190">
        <f t="shared" si="363"/>
        <v>42643</v>
      </c>
      <c r="D2558" s="190" t="s">
        <v>1623</v>
      </c>
      <c r="E2558" s="190">
        <v>42643</v>
      </c>
      <c r="F2558" s="292" t="s">
        <v>1757</v>
      </c>
      <c r="G2558" s="833" t="s">
        <v>1775</v>
      </c>
      <c r="H2558" s="192" t="s">
        <v>678</v>
      </c>
      <c r="I2558" s="253">
        <v>20</v>
      </c>
      <c r="J2558" s="253">
        <v>55358</v>
      </c>
      <c r="K2558" s="584">
        <f t="shared" si="380"/>
        <v>1107160</v>
      </c>
      <c r="L2558" s="193" t="s">
        <v>251</v>
      </c>
      <c r="M2558" s="193" t="s">
        <v>164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52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  <c r="AA2558" s="826"/>
      <c r="AB2558" s="576" t="str">
        <f>IF(VLOOKUP(F2558,NXT!$C$12:$C$786,1,0)=F2558,"","x")</f>
        <v/>
      </c>
    </row>
    <row r="2559" spans="1:28" ht="15.75" customHeight="1">
      <c r="A2559" s="827" t="str">
        <f>IF(B2559&lt;&gt;"",IF(AND(B2559&gt;=_TM1,B2559&lt;=_TM2,OR(TH!L2559="1111",TH!M2559="1111")),TH!D2559,""),"")</f>
        <v/>
      </c>
      <c r="B2559" s="36">
        <f t="shared" si="362"/>
        <v>9</v>
      </c>
      <c r="C2559" s="190">
        <f t="shared" si="363"/>
        <v>42643</v>
      </c>
      <c r="D2559" s="190" t="s">
        <v>1623</v>
      </c>
      <c r="E2559" s="190">
        <v>42643</v>
      </c>
      <c r="F2559" s="292" t="s">
        <v>488</v>
      </c>
      <c r="G2559" s="833" t="s">
        <v>1775</v>
      </c>
      <c r="H2559" s="192" t="s">
        <v>678</v>
      </c>
      <c r="I2559" s="253">
        <v>24</v>
      </c>
      <c r="J2559" s="253">
        <v>56030</v>
      </c>
      <c r="K2559" s="584">
        <f t="shared" si="380"/>
        <v>1344720</v>
      </c>
      <c r="L2559" s="193" t="s">
        <v>251</v>
      </c>
      <c r="M2559" s="193" t="s">
        <v>164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52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  <c r="AA2559" s="826"/>
      <c r="AB2559" s="576" t="str">
        <f>IF(VLOOKUP(F2559,NXT!$C$12:$C$786,1,0)=F2559,"","x")</f>
        <v/>
      </c>
    </row>
    <row r="2560" spans="1:28" ht="15.75" customHeight="1">
      <c r="A2560" s="827" t="str">
        <f>IF(B2560&lt;&gt;"",IF(AND(B2560&gt;=_TM1,B2560&lt;=_TM2,OR(TH!L2560="1111",TH!M2560="1111")),TH!D2560,""),"")</f>
        <v/>
      </c>
      <c r="B2560" s="36">
        <f t="shared" si="362"/>
        <v>9</v>
      </c>
      <c r="C2560" s="190">
        <f t="shared" si="363"/>
        <v>42643</v>
      </c>
      <c r="D2560" s="190" t="s">
        <v>1623</v>
      </c>
      <c r="E2560" s="190">
        <v>42643</v>
      </c>
      <c r="F2560" s="292" t="s">
        <v>1758</v>
      </c>
      <c r="G2560" s="833" t="s">
        <v>1775</v>
      </c>
      <c r="H2560" s="192" t="s">
        <v>678</v>
      </c>
      <c r="I2560" s="253">
        <v>6</v>
      </c>
      <c r="J2560" s="253">
        <v>56391</v>
      </c>
      <c r="K2560" s="584">
        <f t="shared" si="380"/>
        <v>338346</v>
      </c>
      <c r="L2560" s="193" t="s">
        <v>251</v>
      </c>
      <c r="M2560" s="193" t="s">
        <v>164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52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  <c r="AA2560" s="826"/>
      <c r="AB2560" s="576" t="str">
        <f>IF(VLOOKUP(F2560,NXT!$C$12:$C$786,1,0)=F2560,"","x")</f>
        <v/>
      </c>
    </row>
    <row r="2561" spans="1:28" ht="15.75" customHeight="1">
      <c r="A2561" s="827" t="str">
        <f>IF(B2561&lt;&gt;"",IF(AND(B2561&gt;=_TM1,B2561&lt;=_TM2,OR(TH!L2561="1111",TH!M2561="1111")),TH!D2561,""),"")</f>
        <v/>
      </c>
      <c r="B2561" s="36">
        <f t="shared" si="362"/>
        <v>9</v>
      </c>
      <c r="C2561" s="190">
        <f t="shared" si="363"/>
        <v>42643</v>
      </c>
      <c r="D2561" s="190" t="s">
        <v>1623</v>
      </c>
      <c r="E2561" s="190">
        <v>42643</v>
      </c>
      <c r="F2561" s="292" t="s">
        <v>1759</v>
      </c>
      <c r="G2561" s="833" t="s">
        <v>1775</v>
      </c>
      <c r="H2561" s="192" t="s">
        <v>678</v>
      </c>
      <c r="I2561" s="253">
        <v>6</v>
      </c>
      <c r="J2561" s="253">
        <v>56794</v>
      </c>
      <c r="K2561" s="584">
        <f t="shared" si="380"/>
        <v>340764</v>
      </c>
      <c r="L2561" s="193" t="s">
        <v>251</v>
      </c>
      <c r="M2561" s="193" t="s">
        <v>164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52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  <c r="AA2561" s="826"/>
      <c r="AB2561" s="576" t="str">
        <f>IF(VLOOKUP(F2561,NXT!$C$12:$C$786,1,0)=F2561,"","x")</f>
        <v/>
      </c>
    </row>
    <row r="2562" spans="1:28" ht="15.75" customHeight="1">
      <c r="A2562" s="827" t="str">
        <f>IF(B2562&lt;&gt;"",IF(AND(B2562&gt;=_TM1,B2562&lt;=_TM2,OR(TH!L2562="1111",TH!M2562="1111")),TH!D2562,""),"")</f>
        <v/>
      </c>
      <c r="B2562" s="36">
        <f t="shared" si="362"/>
        <v>9</v>
      </c>
      <c r="C2562" s="190">
        <f t="shared" si="363"/>
        <v>42643</v>
      </c>
      <c r="D2562" s="190" t="s">
        <v>1623</v>
      </c>
      <c r="E2562" s="190">
        <v>42643</v>
      </c>
      <c r="F2562" s="292" t="s">
        <v>1760</v>
      </c>
      <c r="G2562" s="833" t="s">
        <v>1775</v>
      </c>
      <c r="H2562" s="192" t="s">
        <v>678</v>
      </c>
      <c r="I2562" s="253">
        <v>20</v>
      </c>
      <c r="J2562" s="253">
        <v>63032</v>
      </c>
      <c r="K2562" s="584">
        <f t="shared" si="380"/>
        <v>1260640</v>
      </c>
      <c r="L2562" s="193" t="s">
        <v>251</v>
      </c>
      <c r="M2562" s="193" t="s">
        <v>164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52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  <c r="AA2562" s="826"/>
      <c r="AB2562" s="576" t="str">
        <f>IF(VLOOKUP(F2562,NXT!$C$12:$C$786,1,0)=F2562,"","x")</f>
        <v/>
      </c>
    </row>
    <row r="2563" spans="1:28" ht="15.75" customHeight="1">
      <c r="A2563" s="827" t="str">
        <f>IF(B2563&lt;&gt;"",IF(AND(B2563&gt;=_TM1,B2563&lt;=_TM2,OR(TH!L2563="1111",TH!M2563="1111")),TH!D2563,""),"")</f>
        <v/>
      </c>
      <c r="B2563" s="36">
        <f t="shared" si="362"/>
        <v>9</v>
      </c>
      <c r="C2563" s="190">
        <f t="shared" si="363"/>
        <v>42643</v>
      </c>
      <c r="D2563" s="190" t="s">
        <v>1623</v>
      </c>
      <c r="E2563" s="190">
        <v>42643</v>
      </c>
      <c r="F2563" s="292" t="s">
        <v>1761</v>
      </c>
      <c r="G2563" s="833" t="s">
        <v>1775</v>
      </c>
      <c r="H2563" s="192" t="s">
        <v>678</v>
      </c>
      <c r="I2563" s="253">
        <v>58</v>
      </c>
      <c r="J2563" s="253">
        <v>63122</v>
      </c>
      <c r="K2563" s="584">
        <f t="shared" si="380"/>
        <v>3661076</v>
      </c>
      <c r="L2563" s="193" t="s">
        <v>251</v>
      </c>
      <c r="M2563" s="193" t="s">
        <v>164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52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  <c r="AA2563" s="826"/>
      <c r="AB2563" s="576" t="str">
        <f>IF(VLOOKUP(F2563,NXT!$C$12:$C$786,1,0)=F2563,"","x")</f>
        <v/>
      </c>
    </row>
    <row r="2564" spans="1:28" ht="15.75" customHeight="1">
      <c r="A2564" s="827" t="str">
        <f>IF(B2564&lt;&gt;"",IF(AND(B2564&gt;=_TM1,B2564&lt;=_TM2,OR(TH!L2564="1111",TH!M2564="1111")),TH!D2564,""),"")</f>
        <v/>
      </c>
      <c r="B2564" s="36">
        <f t="shared" si="362"/>
        <v>9</v>
      </c>
      <c r="C2564" s="190">
        <f t="shared" si="363"/>
        <v>42643</v>
      </c>
      <c r="D2564" s="190" t="s">
        <v>1623</v>
      </c>
      <c r="E2564" s="190">
        <v>42643</v>
      </c>
      <c r="F2564" s="292" t="s">
        <v>1762</v>
      </c>
      <c r="G2564" s="833" t="s">
        <v>1775</v>
      </c>
      <c r="H2564" s="192" t="s">
        <v>678</v>
      </c>
      <c r="I2564" s="253">
        <v>23</v>
      </c>
      <c r="J2564" s="253">
        <v>64512</v>
      </c>
      <c r="K2564" s="584">
        <f t="shared" si="380"/>
        <v>1483776</v>
      </c>
      <c r="L2564" s="193" t="s">
        <v>251</v>
      </c>
      <c r="M2564" s="193" t="s">
        <v>164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52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  <c r="AA2564" s="826"/>
      <c r="AB2564" s="576" t="str">
        <f>IF(VLOOKUP(F2564,NXT!$C$12:$C$786,1,0)=F2564,"","x")</f>
        <v/>
      </c>
    </row>
    <row r="2565" spans="1:28" ht="15.75" customHeight="1">
      <c r="A2565" s="827" t="str">
        <f>IF(B2565&lt;&gt;"",IF(AND(B2565&gt;=_TM1,B2565&lt;=_TM2,OR(TH!L2565="1111",TH!M2565="1111")),TH!D2565,""),"")</f>
        <v/>
      </c>
      <c r="B2565" s="36">
        <f t="shared" ref="B2565:B2577" si="381">IF(C2565&lt;&gt;"",MONTH(C2565),"")</f>
        <v>9</v>
      </c>
      <c r="C2565" s="190">
        <f t="shared" ref="C2565:C2577" si="382">E2565</f>
        <v>42643</v>
      </c>
      <c r="D2565" s="190" t="s">
        <v>1623</v>
      </c>
      <c r="E2565" s="190">
        <v>42643</v>
      </c>
      <c r="F2565" s="292" t="s">
        <v>1763</v>
      </c>
      <c r="G2565" s="833" t="s">
        <v>1775</v>
      </c>
      <c r="H2565" s="192" t="s">
        <v>678</v>
      </c>
      <c r="I2565" s="253">
        <v>20</v>
      </c>
      <c r="J2565" s="253">
        <v>68271</v>
      </c>
      <c r="K2565" s="584">
        <f t="shared" si="380"/>
        <v>1365420</v>
      </c>
      <c r="L2565" s="193" t="s">
        <v>251</v>
      </c>
      <c r="M2565" s="193" t="s">
        <v>164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52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  <c r="AA2565" s="826"/>
      <c r="AB2565" s="576" t="str">
        <f>IF(VLOOKUP(F2565,NXT!$C$12:$C$786,1,0)=F2565,"","x")</f>
        <v/>
      </c>
    </row>
    <row r="2566" spans="1:28" ht="15.75" customHeight="1">
      <c r="A2566" s="827" t="str">
        <f>IF(B2566&lt;&gt;"",IF(AND(B2566&gt;=_TM1,B2566&lt;=_TM2,OR(TH!L2566="1111",TH!M2566="1111")),TH!D2566,""),"")</f>
        <v/>
      </c>
      <c r="B2566" s="36">
        <f t="shared" si="381"/>
        <v>9</v>
      </c>
      <c r="C2566" s="190">
        <f t="shared" si="382"/>
        <v>42643</v>
      </c>
      <c r="D2566" s="190" t="s">
        <v>1623</v>
      </c>
      <c r="E2566" s="190">
        <v>42643</v>
      </c>
      <c r="F2566" s="292" t="s">
        <v>1764</v>
      </c>
      <c r="G2566" s="833" t="s">
        <v>1775</v>
      </c>
      <c r="H2566" s="192" t="s">
        <v>678</v>
      </c>
      <c r="I2566" s="253">
        <v>4</v>
      </c>
      <c r="J2566" s="253">
        <v>70391</v>
      </c>
      <c r="K2566" s="584">
        <f t="shared" si="380"/>
        <v>281564</v>
      </c>
      <c r="L2566" s="193" t="s">
        <v>251</v>
      </c>
      <c r="M2566" s="193" t="s">
        <v>164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52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  <c r="AA2566" s="826"/>
      <c r="AB2566" s="576" t="str">
        <f>IF(VLOOKUP(F2566,NXT!$C$12:$C$786,1,0)=F2566,"","x")</f>
        <v/>
      </c>
    </row>
    <row r="2567" spans="1:28" ht="15.75" customHeight="1">
      <c r="A2567" s="827" t="str">
        <f>IF(B2567&lt;&gt;"",IF(AND(B2567&gt;=_TM1,B2567&lt;=_TM2,OR(TH!L2567="1111",TH!M2567="1111")),TH!D2567,""),"")</f>
        <v/>
      </c>
      <c r="B2567" s="36">
        <f t="shared" si="381"/>
        <v>9</v>
      </c>
      <c r="C2567" s="190">
        <f t="shared" si="382"/>
        <v>42643</v>
      </c>
      <c r="D2567" s="190" t="s">
        <v>1623</v>
      </c>
      <c r="E2567" s="190">
        <v>42643</v>
      </c>
      <c r="F2567" s="292" t="s">
        <v>1765</v>
      </c>
      <c r="G2567" s="833" t="s">
        <v>1775</v>
      </c>
      <c r="H2567" s="192" t="s">
        <v>678</v>
      </c>
      <c r="I2567" s="253">
        <v>6</v>
      </c>
      <c r="J2567" s="253">
        <v>72126</v>
      </c>
      <c r="K2567" s="584">
        <f t="shared" si="380"/>
        <v>432756</v>
      </c>
      <c r="L2567" s="193" t="s">
        <v>251</v>
      </c>
      <c r="M2567" s="193" t="s">
        <v>164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52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  <c r="AA2567" s="826"/>
      <c r="AB2567" s="576" t="str">
        <f>IF(VLOOKUP(F2567,NXT!$C$12:$C$786,1,0)=F2567,"","x")</f>
        <v/>
      </c>
    </row>
    <row r="2568" spans="1:28" ht="15.75" customHeight="1">
      <c r="A2568" s="827" t="str">
        <f>IF(B2568&lt;&gt;"",IF(AND(B2568&gt;=_TM1,B2568&lt;=_TM2,OR(TH!L2568="1111",TH!M2568="1111")),TH!D2568,""),"")</f>
        <v/>
      </c>
      <c r="B2568" s="36">
        <f t="shared" si="381"/>
        <v>9</v>
      </c>
      <c r="C2568" s="190">
        <f t="shared" si="382"/>
        <v>42643</v>
      </c>
      <c r="D2568" s="190" t="s">
        <v>1623</v>
      </c>
      <c r="E2568" s="190">
        <v>42643</v>
      </c>
      <c r="F2568" s="292" t="s">
        <v>1766</v>
      </c>
      <c r="G2568" s="833" t="s">
        <v>1775</v>
      </c>
      <c r="H2568" s="192" t="s">
        <v>678</v>
      </c>
      <c r="I2568" s="253">
        <v>20</v>
      </c>
      <c r="J2568" s="253">
        <v>72558</v>
      </c>
      <c r="K2568" s="584">
        <f t="shared" si="380"/>
        <v>1451160</v>
      </c>
      <c r="L2568" s="193" t="s">
        <v>251</v>
      </c>
      <c r="M2568" s="193" t="s">
        <v>164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52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  <c r="AA2568" s="826"/>
      <c r="AB2568" s="576" t="str">
        <f>IF(VLOOKUP(F2568,NXT!$C$12:$C$786,1,0)=F2568,"","x")</f>
        <v/>
      </c>
    </row>
    <row r="2569" spans="1:28" ht="15.75" customHeight="1">
      <c r="A2569" s="827" t="str">
        <f>IF(B2569&lt;&gt;"",IF(AND(B2569&gt;=_TM1,B2569&lt;=_TM2,OR(TH!L2569="1111",TH!M2569="1111")),TH!D2569,""),"")</f>
        <v/>
      </c>
      <c r="B2569" s="36">
        <f t="shared" si="381"/>
        <v>9</v>
      </c>
      <c r="C2569" s="190">
        <f t="shared" si="382"/>
        <v>42643</v>
      </c>
      <c r="D2569" s="190" t="s">
        <v>1623</v>
      </c>
      <c r="E2569" s="190">
        <v>42643</v>
      </c>
      <c r="F2569" s="292" t="s">
        <v>1767</v>
      </c>
      <c r="G2569" s="833" t="s">
        <v>1775</v>
      </c>
      <c r="H2569" s="192" t="s">
        <v>678</v>
      </c>
      <c r="I2569" s="253">
        <v>6</v>
      </c>
      <c r="J2569" s="253">
        <v>74714</v>
      </c>
      <c r="K2569" s="584">
        <f t="shared" si="380"/>
        <v>448284</v>
      </c>
      <c r="L2569" s="193" t="s">
        <v>251</v>
      </c>
      <c r="M2569" s="193" t="s">
        <v>164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52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  <c r="AA2569" s="826"/>
      <c r="AB2569" s="576" t="str">
        <f>IF(VLOOKUP(F2569,NXT!$C$12:$C$786,1,0)=F2569,"","x")</f>
        <v/>
      </c>
    </row>
    <row r="2570" spans="1:28" ht="15.75" customHeight="1">
      <c r="A2570" s="827" t="str">
        <f>IF(B2570&lt;&gt;"",IF(AND(B2570&gt;=_TM1,B2570&lt;=_TM2,OR(TH!L2570="1111",TH!M2570="1111")),TH!D2570,""),"")</f>
        <v/>
      </c>
      <c r="B2570" s="36">
        <f t="shared" si="381"/>
        <v>9</v>
      </c>
      <c r="C2570" s="190">
        <f t="shared" si="382"/>
        <v>42643</v>
      </c>
      <c r="D2570" s="190" t="s">
        <v>1623</v>
      </c>
      <c r="E2570" s="190">
        <v>42643</v>
      </c>
      <c r="F2570" s="292" t="s">
        <v>1768</v>
      </c>
      <c r="G2570" s="833" t="s">
        <v>1775</v>
      </c>
      <c r="H2570" s="192" t="s">
        <v>678</v>
      </c>
      <c r="I2570" s="253">
        <v>6</v>
      </c>
      <c r="J2570" s="253">
        <v>75387</v>
      </c>
      <c r="K2570" s="584">
        <f t="shared" si="380"/>
        <v>452322</v>
      </c>
      <c r="L2570" s="193" t="s">
        <v>251</v>
      </c>
      <c r="M2570" s="193" t="s">
        <v>164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52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  <c r="AA2570" s="826"/>
      <c r="AB2570" s="576" t="str">
        <f>IF(VLOOKUP(F2570,NXT!$C$12:$C$786,1,0)=F2570,"","x")</f>
        <v/>
      </c>
    </row>
    <row r="2571" spans="1:28" ht="15.75" customHeight="1">
      <c r="A2571" s="827" t="str">
        <f>IF(B2571&lt;&gt;"",IF(AND(B2571&gt;=_TM1,B2571&lt;=_TM2,OR(TH!L2571="1111",TH!M2571="1111")),TH!D2571,""),"")</f>
        <v/>
      </c>
      <c r="B2571" s="36">
        <f t="shared" si="381"/>
        <v>9</v>
      </c>
      <c r="C2571" s="190">
        <f t="shared" si="382"/>
        <v>42643</v>
      </c>
      <c r="D2571" s="190" t="s">
        <v>1623</v>
      </c>
      <c r="E2571" s="190">
        <v>42643</v>
      </c>
      <c r="F2571" s="292" t="s">
        <v>1769</v>
      </c>
      <c r="G2571" s="833" t="s">
        <v>1775</v>
      </c>
      <c r="H2571" s="192" t="s">
        <v>678</v>
      </c>
      <c r="I2571" s="253">
        <v>4</v>
      </c>
      <c r="J2571" s="253">
        <v>92911</v>
      </c>
      <c r="K2571" s="584">
        <f t="shared" si="380"/>
        <v>371644</v>
      </c>
      <c r="L2571" s="193" t="s">
        <v>251</v>
      </c>
      <c r="M2571" s="193" t="s">
        <v>164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52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  <c r="AA2571" s="826"/>
      <c r="AB2571" s="576" t="str">
        <f>IF(VLOOKUP(F2571,NXT!$C$12:$C$786,1,0)=F2571,"","x")</f>
        <v/>
      </c>
    </row>
    <row r="2572" spans="1:28" ht="15.75" customHeight="1">
      <c r="A2572" s="827" t="str">
        <f>IF(B2572&lt;&gt;"",IF(AND(B2572&gt;=_TM1,B2572&lt;=_TM2,OR(TH!L2572="1111",TH!M2572="1111")),TH!D2572,""),"")</f>
        <v/>
      </c>
      <c r="B2572" s="36">
        <f t="shared" si="381"/>
        <v>9</v>
      </c>
      <c r="C2572" s="190">
        <f t="shared" si="382"/>
        <v>42643</v>
      </c>
      <c r="D2572" s="190" t="s">
        <v>1623</v>
      </c>
      <c r="E2572" s="190">
        <v>42643</v>
      </c>
      <c r="F2572" s="292" t="s">
        <v>1770</v>
      </c>
      <c r="G2572" s="833" t="s">
        <v>1775</v>
      </c>
      <c r="H2572" s="192" t="s">
        <v>678</v>
      </c>
      <c r="I2572" s="253">
        <v>7</v>
      </c>
      <c r="J2572" s="253">
        <v>93260</v>
      </c>
      <c r="K2572" s="584">
        <f t="shared" si="380"/>
        <v>652820</v>
      </c>
      <c r="L2572" s="193" t="s">
        <v>251</v>
      </c>
      <c r="M2572" s="193" t="s">
        <v>164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52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  <c r="AA2572" s="826"/>
      <c r="AB2572" s="576" t="str">
        <f>IF(VLOOKUP(F2572,NXT!$C$12:$C$786,1,0)=F2572,"","x")</f>
        <v/>
      </c>
    </row>
    <row r="2573" spans="1:28" ht="15.75" customHeight="1">
      <c r="A2573" s="827" t="str">
        <f>IF(B2573&lt;&gt;"",IF(AND(B2573&gt;=_TM1,B2573&lt;=_TM2,OR(TH!L2573="1111",TH!M2573="1111")),TH!D2573,""),"")</f>
        <v/>
      </c>
      <c r="B2573" s="36">
        <f t="shared" si="381"/>
        <v>9</v>
      </c>
      <c r="C2573" s="190">
        <f t="shared" si="382"/>
        <v>42643</v>
      </c>
      <c r="D2573" s="190" t="s">
        <v>1623</v>
      </c>
      <c r="E2573" s="190">
        <v>42643</v>
      </c>
      <c r="F2573" s="292" t="s">
        <v>1771</v>
      </c>
      <c r="G2573" s="833" t="s">
        <v>1775</v>
      </c>
      <c r="H2573" s="192" t="s">
        <v>678</v>
      </c>
      <c r="I2573" s="253">
        <v>12</v>
      </c>
      <c r="J2573" s="253">
        <v>97612</v>
      </c>
      <c r="K2573" s="584">
        <f t="shared" si="380"/>
        <v>1171344</v>
      </c>
      <c r="L2573" s="193" t="s">
        <v>251</v>
      </c>
      <c r="M2573" s="193" t="s">
        <v>164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52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  <c r="AA2573" s="826"/>
      <c r="AB2573" s="576" t="str">
        <f>IF(VLOOKUP(F2573,NXT!$C$12:$C$786,1,0)=F2573,"","x")</f>
        <v/>
      </c>
    </row>
    <row r="2574" spans="1:28" ht="15.75" customHeight="1">
      <c r="A2574" s="827" t="str">
        <f>IF(B2574&lt;&gt;"",IF(AND(B2574&gt;=_TM1,B2574&lt;=_TM2,OR(TH!L2574="1111",TH!M2574="1111")),TH!D2574,""),"")</f>
        <v/>
      </c>
      <c r="B2574" s="36">
        <f t="shared" si="381"/>
        <v>9</v>
      </c>
      <c r="C2574" s="190">
        <f t="shared" si="382"/>
        <v>42643</v>
      </c>
      <c r="D2574" s="190" t="s">
        <v>1623</v>
      </c>
      <c r="E2574" s="190">
        <v>42643</v>
      </c>
      <c r="F2574" s="292" t="s">
        <v>1771</v>
      </c>
      <c r="G2574" s="833" t="s">
        <v>1775</v>
      </c>
      <c r="H2574" s="192" t="s">
        <v>678</v>
      </c>
      <c r="I2574" s="253">
        <v>36</v>
      </c>
      <c r="J2574" s="253">
        <v>99212</v>
      </c>
      <c r="K2574" s="584">
        <f t="shared" si="380"/>
        <v>3571632</v>
      </c>
      <c r="L2574" s="193" t="s">
        <v>251</v>
      </c>
      <c r="M2574" s="193" t="s">
        <v>164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52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  <c r="AA2574" s="826"/>
      <c r="AB2574" s="576" t="str">
        <f>IF(VLOOKUP(F2574,NXT!$C$12:$C$786,1,0)=F2574,"","x")</f>
        <v/>
      </c>
    </row>
    <row r="2575" spans="1:28" ht="15.75" customHeight="1">
      <c r="A2575" s="827" t="str">
        <f>IF(B2575&lt;&gt;"",IF(AND(B2575&gt;=_TM1,B2575&lt;=_TM2,OR(TH!L2575="1111",TH!M2575="1111")),TH!D2575,""),"")</f>
        <v/>
      </c>
      <c r="B2575" s="36">
        <f t="shared" si="381"/>
        <v>9</v>
      </c>
      <c r="C2575" s="190">
        <f t="shared" si="382"/>
        <v>42643</v>
      </c>
      <c r="D2575" s="190" t="s">
        <v>1623</v>
      </c>
      <c r="E2575" s="190">
        <v>42643</v>
      </c>
      <c r="F2575" s="292" t="s">
        <v>502</v>
      </c>
      <c r="G2575" s="833" t="s">
        <v>1775</v>
      </c>
      <c r="H2575" s="192" t="s">
        <v>678</v>
      </c>
      <c r="I2575" s="253">
        <v>25</v>
      </c>
      <c r="J2575" s="253">
        <v>100330</v>
      </c>
      <c r="K2575" s="584">
        <f t="shared" si="380"/>
        <v>2508250</v>
      </c>
      <c r="L2575" s="193" t="s">
        <v>251</v>
      </c>
      <c r="M2575" s="193" t="s">
        <v>164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52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  <c r="AA2575" s="826"/>
      <c r="AB2575" s="576" t="str">
        <f>IF(VLOOKUP(F2575,NXT!$C$12:$C$786,1,0)=F2575,"","x")</f>
        <v/>
      </c>
    </row>
    <row r="2576" spans="1:28" ht="15.75" customHeight="1">
      <c r="A2576" s="827" t="str">
        <f>IF(B2576&lt;&gt;"",IF(AND(B2576&gt;=_TM1,B2576&lt;=_TM2,OR(TH!L2576="1111",TH!M2576="1111")),TH!D2576,""),"")</f>
        <v/>
      </c>
      <c r="B2576" s="36">
        <f t="shared" si="381"/>
        <v>9</v>
      </c>
      <c r="C2576" s="190">
        <f t="shared" si="382"/>
        <v>42643</v>
      </c>
      <c r="D2576" s="190" t="s">
        <v>1623</v>
      </c>
      <c r="E2576" s="190">
        <v>42643</v>
      </c>
      <c r="F2576" s="292" t="s">
        <v>1753</v>
      </c>
      <c r="G2576" s="833" t="s">
        <v>1775</v>
      </c>
      <c r="H2576" s="192" t="s">
        <v>678</v>
      </c>
      <c r="I2576" s="253">
        <v>8</v>
      </c>
      <c r="J2576" s="253">
        <v>102098</v>
      </c>
      <c r="K2576" s="584">
        <f t="shared" si="380"/>
        <v>816784</v>
      </c>
      <c r="L2576" s="193" t="s">
        <v>251</v>
      </c>
      <c r="M2576" s="193" t="s">
        <v>164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52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  <c r="AA2576" s="826"/>
      <c r="AB2576" s="576" t="str">
        <f>IF(VLOOKUP(F2576,NXT!$C$12:$C$786,1,0)=F2576,"","x")</f>
        <v/>
      </c>
    </row>
    <row r="2577" spans="1:28" ht="15.75" customHeight="1">
      <c r="A2577" s="827" t="str">
        <f>IF(B2577&lt;&gt;"",IF(AND(B2577&gt;=_TM1,B2577&lt;=_TM2,OR(TH!L2577="1111",TH!M2577="1111")),TH!D2577,""),"")</f>
        <v/>
      </c>
      <c r="B2577" s="36">
        <f t="shared" si="381"/>
        <v>9</v>
      </c>
      <c r="C2577" s="190">
        <f t="shared" si="382"/>
        <v>42643</v>
      </c>
      <c r="D2577" s="190" t="s">
        <v>1623</v>
      </c>
      <c r="E2577" s="190">
        <v>42643</v>
      </c>
      <c r="F2577" s="292" t="s">
        <v>1772</v>
      </c>
      <c r="G2577" s="833" t="s">
        <v>1775</v>
      </c>
      <c r="H2577" s="192" t="s">
        <v>678</v>
      </c>
      <c r="I2577" s="253">
        <v>8</v>
      </c>
      <c r="J2577" s="253">
        <v>107747</v>
      </c>
      <c r="K2577" s="584">
        <f t="shared" si="380"/>
        <v>861976</v>
      </c>
      <c r="L2577" s="193" t="s">
        <v>251</v>
      </c>
      <c r="M2577" s="193" t="s">
        <v>164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52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  <c r="AA2577" s="826"/>
      <c r="AB2577" s="576" t="str">
        <f>IF(VLOOKUP(F2577,NXT!$C$12:$C$786,1,0)=F2577,"","x")</f>
        <v/>
      </c>
    </row>
    <row r="2578" spans="1:28" ht="15.75" customHeight="1">
      <c r="A2578" s="827" t="str">
        <f>IF(B2578&lt;&gt;"",IF(AND(B2578&gt;=_TM1,B2578&lt;=_TM2,OR(TH!L2578="1111",TH!M2578="1111")),TH!D2578,""),"")</f>
        <v/>
      </c>
      <c r="B2578" s="36">
        <f t="shared" si="362"/>
        <v>9</v>
      </c>
      <c r="C2578" s="190">
        <f t="shared" si="363"/>
        <v>42643</v>
      </c>
      <c r="D2578" s="190" t="s">
        <v>1623</v>
      </c>
      <c r="E2578" s="190">
        <v>42643</v>
      </c>
      <c r="F2578" s="292" t="s">
        <v>461</v>
      </c>
      <c r="G2578" s="833" t="s">
        <v>1775</v>
      </c>
      <c r="H2578" s="192" t="s">
        <v>678</v>
      </c>
      <c r="I2578" s="253"/>
      <c r="J2578" s="253"/>
      <c r="K2578" s="584">
        <v>8889280.4000000004</v>
      </c>
      <c r="L2578" s="193" t="s">
        <v>251</v>
      </c>
      <c r="M2578" s="193" t="s">
        <v>354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52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  <c r="AA2578" s="826"/>
      <c r="AB2578" s="576"/>
    </row>
    <row r="2579" spans="1:28" ht="15.75" customHeight="1">
      <c r="A2579" s="827" t="str">
        <f>IF(B2579&lt;&gt;"",IF(AND(B2579&gt;=_TM1,B2579&lt;=_TM2,OR(TH!L2579="1111",TH!M2579="1111")),TH!D2579,""),"")</f>
        <v/>
      </c>
      <c r="B2579" s="36">
        <f t="shared" ref="B2579:B2580" si="383">IF(C2579&lt;&gt;"",MONTH(C2579),"")</f>
        <v>9</v>
      </c>
      <c r="C2579" s="190">
        <f t="shared" ref="C2579:C2580" si="384">E2579</f>
        <v>42643</v>
      </c>
      <c r="D2579" s="190" t="s">
        <v>1623</v>
      </c>
      <c r="E2579" s="190">
        <v>42643</v>
      </c>
      <c r="F2579" s="292" t="s">
        <v>1728</v>
      </c>
      <c r="G2579" s="833" t="s">
        <v>1773</v>
      </c>
      <c r="H2579" s="192" t="s">
        <v>1774</v>
      </c>
      <c r="I2579" s="253">
        <v>38250</v>
      </c>
      <c r="J2579" s="253">
        <v>7300</v>
      </c>
      <c r="K2579" s="584">
        <f t="shared" ref="K2579" si="385">ROUND(I2579*J2579,0)</f>
        <v>279225000</v>
      </c>
      <c r="L2579" s="193" t="s">
        <v>251</v>
      </c>
      <c r="M2579" s="193" t="s">
        <v>164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52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  <c r="AA2579" s="826"/>
      <c r="AB2579" s="576" t="str">
        <f>IF(VLOOKUP(F2579,NXT!$C$12:$C$786,1,0)=F2579,"","x")</f>
        <v/>
      </c>
    </row>
    <row r="2580" spans="1:28" ht="15.75" customHeight="1">
      <c r="A2580" s="827" t="str">
        <f>IF(B2580&lt;&gt;"",IF(AND(B2580&gt;=_TM1,B2580&lt;=_TM2,OR(TH!L2580="1111",TH!M2580="1111")),TH!D2580,""),"")</f>
        <v/>
      </c>
      <c r="B2580" s="36">
        <f t="shared" si="383"/>
        <v>9</v>
      </c>
      <c r="C2580" s="190">
        <f t="shared" si="384"/>
        <v>42643</v>
      </c>
      <c r="D2580" s="190" t="s">
        <v>1623</v>
      </c>
      <c r="E2580" s="190">
        <v>42643</v>
      </c>
      <c r="F2580" s="292" t="s">
        <v>461</v>
      </c>
      <c r="G2580" s="833" t="s">
        <v>1773</v>
      </c>
      <c r="H2580" s="192" t="s">
        <v>1774</v>
      </c>
      <c r="I2580" s="253"/>
      <c r="J2580" s="253"/>
      <c r="K2580" s="584">
        <v>27925500</v>
      </c>
      <c r="L2580" s="193" t="s">
        <v>251</v>
      </c>
      <c r="M2580" s="193" t="s">
        <v>354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52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  <c r="AA2580" s="826"/>
      <c r="AB2580" s="576"/>
    </row>
    <row r="2581" spans="1:28" ht="15.75" customHeight="1">
      <c r="A2581" s="827" t="str">
        <f>IF(B2581&lt;&gt;"",IF(AND(B2581&gt;=_TM1,B2581&lt;=_TM2,OR(TH!L2581="1111",TH!M2581="1111")),TH!D2581,""),"")</f>
        <v/>
      </c>
      <c r="B2581" s="36">
        <f t="shared" ref="B2581:B2625" si="386">IF(C2581&lt;&gt;"",MONTH(C2581),"")</f>
        <v>1</v>
      </c>
      <c r="C2581" s="190">
        <f t="shared" ref="C2581:C2641" si="387">E2581</f>
        <v>42373</v>
      </c>
      <c r="D2581" s="856" t="s">
        <v>1662</v>
      </c>
      <c r="E2581" s="856">
        <v>42373</v>
      </c>
      <c r="F2581" s="857" t="s">
        <v>1179</v>
      </c>
      <c r="G2581" s="858" t="s">
        <v>1019</v>
      </c>
      <c r="H2581" s="859" t="s">
        <v>1310</v>
      </c>
      <c r="I2581" s="251">
        <v>650</v>
      </c>
      <c r="J2581" s="251">
        <v>31496.975384615384</v>
      </c>
      <c r="K2581" s="860">
        <f>ROUND(I2581*J2581,0)</f>
        <v>20473034</v>
      </c>
      <c r="L2581" s="861" t="s">
        <v>162</v>
      </c>
      <c r="M2581" s="861" t="s">
        <v>857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52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826"/>
      <c r="AB2581" s="576"/>
    </row>
    <row r="2582" spans="1:28" ht="15.75" customHeight="1">
      <c r="A2582" s="827" t="str">
        <f>IF(B2582&lt;&gt;"",IF(AND(B2582&gt;=_TM1,B2582&lt;=_TM2,OR(TH!L2582="1111",TH!M2582="1111")),TH!D2582,""),"")</f>
        <v/>
      </c>
      <c r="B2582" s="36">
        <f t="shared" si="386"/>
        <v>1</v>
      </c>
      <c r="C2582" s="190">
        <f t="shared" si="387"/>
        <v>42373</v>
      </c>
      <c r="D2582" s="856" t="s">
        <v>1662</v>
      </c>
      <c r="E2582" s="856">
        <v>42373</v>
      </c>
      <c r="F2582" s="857" t="s">
        <v>1179</v>
      </c>
      <c r="G2582" s="858" t="s">
        <v>1019</v>
      </c>
      <c r="H2582" s="859" t="s">
        <v>1310</v>
      </c>
      <c r="I2582" s="251">
        <v>200</v>
      </c>
      <c r="J2582" s="251">
        <v>31155</v>
      </c>
      <c r="K2582" s="860">
        <f t="shared" ref="K2582:K2645" si="388">ROUND(I2582*J2582,0)</f>
        <v>6231000</v>
      </c>
      <c r="L2582" s="861" t="s">
        <v>162</v>
      </c>
      <c r="M2582" s="861" t="s">
        <v>857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52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826"/>
      <c r="AB2582" s="576"/>
    </row>
    <row r="2583" spans="1:28" ht="15.75" customHeight="1">
      <c r="A2583" s="827" t="str">
        <f>IF(B2583&lt;&gt;"",IF(AND(B2583&gt;=_TM1,B2583&lt;=_TM2,OR(TH!L2583="1111",TH!M2583="1111")),TH!D2583,""),"")</f>
        <v/>
      </c>
      <c r="B2583" s="36">
        <f t="shared" si="386"/>
        <v>1</v>
      </c>
      <c r="C2583" s="190">
        <f t="shared" si="387"/>
        <v>42373</v>
      </c>
      <c r="D2583" s="856" t="s">
        <v>1662</v>
      </c>
      <c r="E2583" s="856">
        <v>42373</v>
      </c>
      <c r="F2583" s="857" t="s">
        <v>451</v>
      </c>
      <c r="G2583" s="858" t="s">
        <v>1019</v>
      </c>
      <c r="H2583" s="859" t="s">
        <v>1310</v>
      </c>
      <c r="I2583" s="251">
        <v>3000</v>
      </c>
      <c r="J2583" s="251">
        <v>14250</v>
      </c>
      <c r="K2583" s="860">
        <f t="shared" si="388"/>
        <v>42750000</v>
      </c>
      <c r="L2583" s="861" t="s">
        <v>162</v>
      </c>
      <c r="M2583" s="861" t="s">
        <v>857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52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>x</v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826"/>
      <c r="AB2583" s="576"/>
    </row>
    <row r="2584" spans="1:28" ht="15.75" customHeight="1">
      <c r="A2584" s="827" t="str">
        <f>IF(B2584&lt;&gt;"",IF(AND(B2584&gt;=_TM1,B2584&lt;=_TM2,OR(TH!L2584="1111",TH!M2584="1111")),TH!D2584,""),"")</f>
        <v/>
      </c>
      <c r="B2584" s="36">
        <f t="shared" si="386"/>
        <v>1</v>
      </c>
      <c r="C2584" s="190">
        <f t="shared" si="387"/>
        <v>42373</v>
      </c>
      <c r="D2584" s="856" t="s">
        <v>1662</v>
      </c>
      <c r="E2584" s="856">
        <v>42373</v>
      </c>
      <c r="F2584" s="857" t="s">
        <v>450</v>
      </c>
      <c r="G2584" s="858" t="s">
        <v>1019</v>
      </c>
      <c r="H2584" s="859" t="s">
        <v>1310</v>
      </c>
      <c r="I2584" s="251">
        <v>3000</v>
      </c>
      <c r="J2584" s="251">
        <v>15675</v>
      </c>
      <c r="K2584" s="860">
        <f t="shared" si="388"/>
        <v>47025000</v>
      </c>
      <c r="L2584" s="861" t="s">
        <v>162</v>
      </c>
      <c r="M2584" s="861" t="s">
        <v>857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52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826"/>
      <c r="AB2584" s="576"/>
    </row>
    <row r="2585" spans="1:28" ht="15.75" customHeight="1">
      <c r="A2585" s="827" t="str">
        <f>IF(B2585&lt;&gt;"",IF(AND(B2585&gt;=_TM1,B2585&lt;=_TM2,OR(TH!L2585="1111",TH!M2585="1111")),TH!D2585,""),"")</f>
        <v/>
      </c>
      <c r="B2585" s="36">
        <f t="shared" si="386"/>
        <v>1</v>
      </c>
      <c r="C2585" s="190">
        <f t="shared" si="387"/>
        <v>42388</v>
      </c>
      <c r="D2585" s="856" t="s">
        <v>1662</v>
      </c>
      <c r="E2585" s="856">
        <v>42388</v>
      </c>
      <c r="F2585" s="857" t="s">
        <v>939</v>
      </c>
      <c r="G2585" s="858" t="s">
        <v>1027</v>
      </c>
      <c r="H2585" s="859" t="s">
        <v>1310</v>
      </c>
      <c r="I2585" s="251">
        <v>50</v>
      </c>
      <c r="J2585" s="251">
        <v>21518</v>
      </c>
      <c r="K2585" s="860">
        <f t="shared" si="388"/>
        <v>1075900</v>
      </c>
      <c r="L2585" s="861" t="s">
        <v>162</v>
      </c>
      <c r="M2585" s="861" t="s">
        <v>857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52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826"/>
      <c r="AB2585" s="576"/>
    </row>
    <row r="2586" spans="1:28" ht="15.75" customHeight="1">
      <c r="A2586" s="827" t="str">
        <f>IF(B2586&lt;&gt;"",IF(AND(B2586&gt;=_TM1,B2586&lt;=_TM2,OR(TH!L2586="1111",TH!M2586="1111")),TH!D2586,""),"")</f>
        <v/>
      </c>
      <c r="B2586" s="36">
        <f t="shared" si="386"/>
        <v>1</v>
      </c>
      <c r="C2586" s="190">
        <f t="shared" si="387"/>
        <v>42394</v>
      </c>
      <c r="D2586" s="856" t="s">
        <v>1662</v>
      </c>
      <c r="E2586" s="856">
        <v>42394</v>
      </c>
      <c r="F2586" s="857" t="s">
        <v>690</v>
      </c>
      <c r="G2586" s="858" t="s">
        <v>1030</v>
      </c>
      <c r="H2586" s="859" t="s">
        <v>1310</v>
      </c>
      <c r="I2586" s="862">
        <v>200</v>
      </c>
      <c r="J2586" s="862">
        <v>4557</v>
      </c>
      <c r="K2586" s="860">
        <f t="shared" si="388"/>
        <v>911400</v>
      </c>
      <c r="L2586" s="861" t="s">
        <v>162</v>
      </c>
      <c r="M2586" s="861" t="s">
        <v>857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52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826"/>
      <c r="AB2586" s="576"/>
    </row>
    <row r="2587" spans="1:28" ht="15.75" customHeight="1">
      <c r="A2587" s="827" t="str">
        <f>IF(B2587&lt;&gt;"",IF(AND(B2587&gt;=_TM1,B2587&lt;=_TM2,OR(TH!L2587="1111",TH!M2587="1111")),TH!D2587,""),"")</f>
        <v/>
      </c>
      <c r="B2587" s="36">
        <f t="shared" si="386"/>
        <v>1</v>
      </c>
      <c r="C2587" s="190">
        <f t="shared" si="387"/>
        <v>42398</v>
      </c>
      <c r="D2587" s="856" t="s">
        <v>1662</v>
      </c>
      <c r="E2587" s="856">
        <v>42398</v>
      </c>
      <c r="F2587" s="857" t="s">
        <v>972</v>
      </c>
      <c r="G2587" s="858" t="s">
        <v>1031</v>
      </c>
      <c r="H2587" s="859" t="s">
        <v>1310</v>
      </c>
      <c r="I2587" s="862">
        <v>50</v>
      </c>
      <c r="J2587" s="862">
        <v>37478</v>
      </c>
      <c r="K2587" s="860">
        <f t="shared" si="388"/>
        <v>1873900</v>
      </c>
      <c r="L2587" s="861" t="s">
        <v>162</v>
      </c>
      <c r="M2587" s="861" t="s">
        <v>857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52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826"/>
      <c r="AB2587" s="576"/>
    </row>
    <row r="2588" spans="1:28" ht="15.75" customHeight="1">
      <c r="A2588" s="827" t="str">
        <f>IF(B2588&lt;&gt;"",IF(AND(B2588&gt;=_TM1,B2588&lt;=_TM2,OR(TH!L2588="1111",TH!M2588="1111")),TH!D2588,""),"")</f>
        <v/>
      </c>
      <c r="B2588" s="36">
        <f t="shared" si="386"/>
        <v>1</v>
      </c>
      <c r="C2588" s="190">
        <f t="shared" si="387"/>
        <v>42398</v>
      </c>
      <c r="D2588" s="856" t="s">
        <v>1662</v>
      </c>
      <c r="E2588" s="856">
        <v>42398</v>
      </c>
      <c r="F2588" s="857" t="s">
        <v>973</v>
      </c>
      <c r="G2588" s="858" t="s">
        <v>1031</v>
      </c>
      <c r="H2588" s="859" t="s">
        <v>1310</v>
      </c>
      <c r="I2588" s="251">
        <v>14</v>
      </c>
      <c r="J2588" s="251">
        <v>57615</v>
      </c>
      <c r="K2588" s="860">
        <f t="shared" si="388"/>
        <v>806610</v>
      </c>
      <c r="L2588" s="861" t="s">
        <v>162</v>
      </c>
      <c r="M2588" s="861" t="s">
        <v>857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52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826"/>
      <c r="AB2588" s="576"/>
    </row>
    <row r="2589" spans="1:28" ht="15.75" customHeight="1">
      <c r="A2589" s="827" t="str">
        <f>IF(B2589&lt;&gt;"",IF(AND(B2589&gt;=_TM1,B2589&lt;=_TM2,OR(TH!L2589="1111",TH!M2589="1111")),TH!D2589,""),"")</f>
        <v/>
      </c>
      <c r="B2589" s="36">
        <f t="shared" si="386"/>
        <v>1</v>
      </c>
      <c r="C2589" s="190">
        <f t="shared" si="387"/>
        <v>42398</v>
      </c>
      <c r="D2589" s="856" t="s">
        <v>1662</v>
      </c>
      <c r="E2589" s="856">
        <v>42398</v>
      </c>
      <c r="F2589" s="857" t="s">
        <v>974</v>
      </c>
      <c r="G2589" s="858" t="s">
        <v>1031</v>
      </c>
      <c r="H2589" s="859" t="s">
        <v>1310</v>
      </c>
      <c r="I2589" s="251">
        <v>12</v>
      </c>
      <c r="J2589" s="251">
        <v>65702</v>
      </c>
      <c r="K2589" s="860">
        <f t="shared" si="388"/>
        <v>788424</v>
      </c>
      <c r="L2589" s="861" t="s">
        <v>162</v>
      </c>
      <c r="M2589" s="861" t="s">
        <v>857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52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826"/>
      <c r="AB2589" s="576"/>
    </row>
    <row r="2590" spans="1:28" ht="15.75" customHeight="1">
      <c r="A2590" s="827" t="str">
        <f>IF(B2590&lt;&gt;"",IF(AND(B2590&gt;=_TM1,B2590&lt;=_TM2,OR(TH!L2590="1111",TH!M2590="1111")),TH!D2590,""),"")</f>
        <v/>
      </c>
      <c r="B2590" s="36">
        <f t="shared" si="386"/>
        <v>1</v>
      </c>
      <c r="C2590" s="190">
        <f t="shared" si="387"/>
        <v>42398</v>
      </c>
      <c r="D2590" s="856" t="s">
        <v>1662</v>
      </c>
      <c r="E2590" s="856">
        <v>42398</v>
      </c>
      <c r="F2590" s="857" t="s">
        <v>974</v>
      </c>
      <c r="G2590" s="858" t="s">
        <v>1031</v>
      </c>
      <c r="H2590" s="859" t="s">
        <v>1310</v>
      </c>
      <c r="I2590" s="251">
        <v>12</v>
      </c>
      <c r="J2590" s="251">
        <v>65702</v>
      </c>
      <c r="K2590" s="860">
        <f t="shared" si="388"/>
        <v>788424</v>
      </c>
      <c r="L2590" s="861" t="s">
        <v>162</v>
      </c>
      <c r="M2590" s="861" t="s">
        <v>857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52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826"/>
      <c r="AB2590" s="576"/>
    </row>
    <row r="2591" spans="1:28" ht="15.75" customHeight="1">
      <c r="A2591" s="827" t="str">
        <f>IF(B2591&lt;&gt;"",IF(AND(B2591&gt;=_TM1,B2591&lt;=_TM2,OR(TH!L2591="1111",TH!M2591="1111")),TH!D2591,""),"")</f>
        <v/>
      </c>
      <c r="B2591" s="36">
        <f t="shared" si="386"/>
        <v>1</v>
      </c>
      <c r="C2591" s="190">
        <f t="shared" si="387"/>
        <v>42398</v>
      </c>
      <c r="D2591" s="856" t="s">
        <v>1662</v>
      </c>
      <c r="E2591" s="856">
        <v>42398</v>
      </c>
      <c r="F2591" s="857" t="s">
        <v>975</v>
      </c>
      <c r="G2591" s="858" t="s">
        <v>1031</v>
      </c>
      <c r="H2591" s="859" t="s">
        <v>1310</v>
      </c>
      <c r="I2591" s="251">
        <v>18</v>
      </c>
      <c r="J2591" s="251">
        <v>42345</v>
      </c>
      <c r="K2591" s="860">
        <f t="shared" si="388"/>
        <v>762210</v>
      </c>
      <c r="L2591" s="861" t="s">
        <v>162</v>
      </c>
      <c r="M2591" s="861" t="s">
        <v>857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52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826"/>
      <c r="AB2591" s="576"/>
    </row>
    <row r="2592" spans="1:28" ht="15.75" customHeight="1">
      <c r="A2592" s="827" t="str">
        <f>IF(B2592&lt;&gt;"",IF(AND(B2592&gt;=_TM1,B2592&lt;=_TM2,OR(TH!L2592="1111",TH!M2592="1111")),TH!D2592,""),"")</f>
        <v/>
      </c>
      <c r="B2592" s="36">
        <f t="shared" si="386"/>
        <v>1</v>
      </c>
      <c r="C2592" s="190">
        <f t="shared" si="387"/>
        <v>42398</v>
      </c>
      <c r="D2592" s="856" t="s">
        <v>1662</v>
      </c>
      <c r="E2592" s="856">
        <v>42398</v>
      </c>
      <c r="F2592" s="857" t="s">
        <v>975</v>
      </c>
      <c r="G2592" s="858" t="s">
        <v>1031</v>
      </c>
      <c r="H2592" s="859" t="s">
        <v>1310</v>
      </c>
      <c r="I2592" s="251">
        <v>18</v>
      </c>
      <c r="J2592" s="251">
        <v>42345</v>
      </c>
      <c r="K2592" s="860">
        <f t="shared" si="388"/>
        <v>762210</v>
      </c>
      <c r="L2592" s="861" t="s">
        <v>162</v>
      </c>
      <c r="M2592" s="861" t="s">
        <v>857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52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826"/>
      <c r="AB2592" s="576"/>
    </row>
    <row r="2593" spans="1:28" ht="15.75" customHeight="1">
      <c r="A2593" s="827" t="str">
        <f>IF(B2593&lt;&gt;"",IF(AND(B2593&gt;=_TM1,B2593&lt;=_TM2,OR(TH!L2593="1111",TH!M2593="1111")),TH!D2593,""),"")</f>
        <v/>
      </c>
      <c r="B2593" s="36">
        <f t="shared" si="386"/>
        <v>1</v>
      </c>
      <c r="C2593" s="190">
        <f t="shared" si="387"/>
        <v>42398</v>
      </c>
      <c r="D2593" s="856" t="s">
        <v>1662</v>
      </c>
      <c r="E2593" s="856">
        <v>42398</v>
      </c>
      <c r="F2593" s="857" t="s">
        <v>976</v>
      </c>
      <c r="G2593" s="858" t="s">
        <v>1031</v>
      </c>
      <c r="H2593" s="859" t="s">
        <v>1310</v>
      </c>
      <c r="I2593" s="251">
        <v>5</v>
      </c>
      <c r="J2593" s="251">
        <v>137324</v>
      </c>
      <c r="K2593" s="860">
        <f t="shared" si="388"/>
        <v>686620</v>
      </c>
      <c r="L2593" s="861" t="s">
        <v>162</v>
      </c>
      <c r="M2593" s="861" t="s">
        <v>857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52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826"/>
      <c r="AB2593" s="576"/>
    </row>
    <row r="2594" spans="1:28" ht="15.75" customHeight="1">
      <c r="A2594" s="827" t="str">
        <f>IF(B2594&lt;&gt;"",IF(AND(B2594&gt;=_TM1,B2594&lt;=_TM2,OR(TH!L2594="1111",TH!M2594="1111")),TH!D2594,""),"")</f>
        <v/>
      </c>
      <c r="B2594" s="36">
        <f t="shared" si="386"/>
        <v>1</v>
      </c>
      <c r="C2594" s="190">
        <f t="shared" si="387"/>
        <v>42398</v>
      </c>
      <c r="D2594" s="856" t="s">
        <v>1662</v>
      </c>
      <c r="E2594" s="856">
        <v>42398</v>
      </c>
      <c r="F2594" s="857" t="s">
        <v>977</v>
      </c>
      <c r="G2594" s="858" t="s">
        <v>1031</v>
      </c>
      <c r="H2594" s="859" t="s">
        <v>1310</v>
      </c>
      <c r="I2594" s="251">
        <v>14</v>
      </c>
      <c r="J2594" s="251">
        <v>45847</v>
      </c>
      <c r="K2594" s="860">
        <f t="shared" si="388"/>
        <v>641858</v>
      </c>
      <c r="L2594" s="861" t="s">
        <v>162</v>
      </c>
      <c r="M2594" s="861" t="s">
        <v>857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52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826"/>
      <c r="AB2594" s="576"/>
    </row>
    <row r="2595" spans="1:28" ht="15.75" customHeight="1">
      <c r="A2595" s="827" t="str">
        <f>IF(B2595&lt;&gt;"",IF(AND(B2595&gt;=_TM1,B2595&lt;=_TM2,OR(TH!L2595="1111",TH!M2595="1111")),TH!D2595,""),"")</f>
        <v/>
      </c>
      <c r="B2595" s="36">
        <f t="shared" si="386"/>
        <v>1</v>
      </c>
      <c r="C2595" s="190">
        <f t="shared" si="387"/>
        <v>42398</v>
      </c>
      <c r="D2595" s="856" t="s">
        <v>1662</v>
      </c>
      <c r="E2595" s="856">
        <v>42398</v>
      </c>
      <c r="F2595" s="857" t="s">
        <v>977</v>
      </c>
      <c r="G2595" s="858" t="s">
        <v>1031</v>
      </c>
      <c r="H2595" s="859" t="s">
        <v>1310</v>
      </c>
      <c r="I2595" s="251">
        <v>14</v>
      </c>
      <c r="J2595" s="251">
        <v>45847</v>
      </c>
      <c r="K2595" s="860">
        <f t="shared" si="388"/>
        <v>641858</v>
      </c>
      <c r="L2595" s="861" t="s">
        <v>162</v>
      </c>
      <c r="M2595" s="861" t="s">
        <v>857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52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826"/>
      <c r="AB2595" s="576"/>
    </row>
    <row r="2596" spans="1:28" ht="15.75" customHeight="1">
      <c r="A2596" s="827" t="str">
        <f>IF(B2596&lt;&gt;"",IF(AND(B2596&gt;=_TM1,B2596&lt;=_TM2,OR(TH!L2596="1111",TH!M2596="1111")),TH!D2596,""),"")</f>
        <v/>
      </c>
      <c r="B2596" s="36">
        <f t="shared" si="386"/>
        <v>1</v>
      </c>
      <c r="C2596" s="190">
        <f t="shared" si="387"/>
        <v>42398</v>
      </c>
      <c r="D2596" s="856" t="s">
        <v>1662</v>
      </c>
      <c r="E2596" s="856">
        <v>42398</v>
      </c>
      <c r="F2596" s="857" t="s">
        <v>978</v>
      </c>
      <c r="G2596" s="858" t="s">
        <v>1031</v>
      </c>
      <c r="H2596" s="859" t="s">
        <v>1310</v>
      </c>
      <c r="I2596" s="251">
        <v>8</v>
      </c>
      <c r="J2596" s="251">
        <v>49818</v>
      </c>
      <c r="K2596" s="860">
        <f t="shared" si="388"/>
        <v>398544</v>
      </c>
      <c r="L2596" s="861" t="s">
        <v>162</v>
      </c>
      <c r="M2596" s="861" t="s">
        <v>857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52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826"/>
      <c r="AB2596" s="576"/>
    </row>
    <row r="2597" spans="1:28" ht="15.75" customHeight="1">
      <c r="A2597" s="827" t="str">
        <f>IF(B2597&lt;&gt;"",IF(AND(B2597&gt;=_TM1,B2597&lt;=_TM2,OR(TH!L2597="1111",TH!M2597="1111")),TH!D2597,""),"")</f>
        <v/>
      </c>
      <c r="B2597" s="36">
        <f t="shared" si="386"/>
        <v>1</v>
      </c>
      <c r="C2597" s="190">
        <f t="shared" si="387"/>
        <v>42398</v>
      </c>
      <c r="D2597" s="856" t="s">
        <v>1662</v>
      </c>
      <c r="E2597" s="856">
        <v>42398</v>
      </c>
      <c r="F2597" s="857" t="s">
        <v>979</v>
      </c>
      <c r="G2597" s="858" t="s">
        <v>1031</v>
      </c>
      <c r="H2597" s="859" t="s">
        <v>1310</v>
      </c>
      <c r="I2597" s="251">
        <v>8</v>
      </c>
      <c r="J2597" s="251">
        <v>69492</v>
      </c>
      <c r="K2597" s="860">
        <f t="shared" si="388"/>
        <v>555936</v>
      </c>
      <c r="L2597" s="861" t="s">
        <v>162</v>
      </c>
      <c r="M2597" s="861" t="s">
        <v>857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52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826"/>
      <c r="AB2597" s="576"/>
    </row>
    <row r="2598" spans="1:28" ht="15.75" customHeight="1">
      <c r="A2598" s="827" t="str">
        <f>IF(B2598&lt;&gt;"",IF(AND(B2598&gt;=_TM1,B2598&lt;=_TM2,OR(TH!L2598="1111",TH!M2598="1111")),TH!D2598,""),"")</f>
        <v/>
      </c>
      <c r="B2598" s="36">
        <f t="shared" si="386"/>
        <v>1</v>
      </c>
      <c r="C2598" s="190">
        <f t="shared" si="387"/>
        <v>42398</v>
      </c>
      <c r="D2598" s="856" t="s">
        <v>1662</v>
      </c>
      <c r="E2598" s="856">
        <v>42398</v>
      </c>
      <c r="F2598" s="857" t="s">
        <v>980</v>
      </c>
      <c r="G2598" s="858" t="s">
        <v>1031</v>
      </c>
      <c r="H2598" s="859" t="s">
        <v>1310</v>
      </c>
      <c r="I2598" s="251">
        <v>8</v>
      </c>
      <c r="J2598" s="251">
        <v>61370</v>
      </c>
      <c r="K2598" s="860">
        <f t="shared" si="388"/>
        <v>490960</v>
      </c>
      <c r="L2598" s="861" t="s">
        <v>162</v>
      </c>
      <c r="M2598" s="861" t="s">
        <v>857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52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826"/>
      <c r="AB2598" s="576"/>
    </row>
    <row r="2599" spans="1:28" ht="15.75" customHeight="1">
      <c r="A2599" s="827" t="str">
        <f>IF(B2599&lt;&gt;"",IF(AND(B2599&gt;=_TM1,B2599&lt;=_TM2,OR(TH!L2599="1111",TH!M2599="1111")),TH!D2599,""),"")</f>
        <v/>
      </c>
      <c r="B2599" s="36">
        <f t="shared" si="386"/>
        <v>1</v>
      </c>
      <c r="C2599" s="190">
        <f t="shared" si="387"/>
        <v>42398</v>
      </c>
      <c r="D2599" s="856" t="s">
        <v>1662</v>
      </c>
      <c r="E2599" s="856">
        <v>42398</v>
      </c>
      <c r="F2599" s="857" t="s">
        <v>981</v>
      </c>
      <c r="G2599" s="858" t="s">
        <v>1031</v>
      </c>
      <c r="H2599" s="859" t="s">
        <v>1310</v>
      </c>
      <c r="I2599" s="251">
        <v>10</v>
      </c>
      <c r="J2599" s="251">
        <v>51893</v>
      </c>
      <c r="K2599" s="860">
        <f t="shared" si="388"/>
        <v>518930</v>
      </c>
      <c r="L2599" s="861" t="s">
        <v>162</v>
      </c>
      <c r="M2599" s="861" t="s">
        <v>857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52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826"/>
      <c r="AB2599" s="576"/>
    </row>
    <row r="2600" spans="1:28" ht="15.75" customHeight="1">
      <c r="A2600" s="827" t="str">
        <f>IF(B2600&lt;&gt;"",IF(AND(B2600&gt;=_TM1,B2600&lt;=_TM2,OR(TH!L2600="1111",TH!M2600="1111")),TH!D2600,""),"")</f>
        <v/>
      </c>
      <c r="B2600" s="36">
        <f t="shared" si="386"/>
        <v>1</v>
      </c>
      <c r="C2600" s="190">
        <f t="shared" si="387"/>
        <v>42398</v>
      </c>
      <c r="D2600" s="856" t="s">
        <v>1662</v>
      </c>
      <c r="E2600" s="856">
        <v>42398</v>
      </c>
      <c r="F2600" s="857" t="s">
        <v>982</v>
      </c>
      <c r="G2600" s="858" t="s">
        <v>1031</v>
      </c>
      <c r="H2600" s="859" t="s">
        <v>1310</v>
      </c>
      <c r="I2600" s="251">
        <v>12</v>
      </c>
      <c r="J2600" s="251">
        <v>30548</v>
      </c>
      <c r="K2600" s="860">
        <f t="shared" si="388"/>
        <v>366576</v>
      </c>
      <c r="L2600" s="861" t="s">
        <v>162</v>
      </c>
      <c r="M2600" s="861" t="s">
        <v>857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52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826"/>
      <c r="AB2600" s="576"/>
    </row>
    <row r="2601" spans="1:28" ht="15.75" customHeight="1">
      <c r="A2601" s="827" t="str">
        <f>IF(B2601&lt;&gt;"",IF(AND(B2601&gt;=_TM1,B2601&lt;=_TM2,OR(TH!L2601="1111",TH!M2601="1111")),TH!D2601,""),"")</f>
        <v/>
      </c>
      <c r="B2601" s="36">
        <f t="shared" si="386"/>
        <v>1</v>
      </c>
      <c r="C2601" s="190">
        <f t="shared" si="387"/>
        <v>42398</v>
      </c>
      <c r="D2601" s="856" t="s">
        <v>1662</v>
      </c>
      <c r="E2601" s="856">
        <v>42398</v>
      </c>
      <c r="F2601" s="857" t="s">
        <v>558</v>
      </c>
      <c r="G2601" s="858" t="s">
        <v>1031</v>
      </c>
      <c r="H2601" s="859" t="s">
        <v>1310</v>
      </c>
      <c r="I2601" s="862">
        <v>12</v>
      </c>
      <c r="J2601" s="862">
        <v>32770</v>
      </c>
      <c r="K2601" s="860">
        <f t="shared" si="388"/>
        <v>393240</v>
      </c>
      <c r="L2601" s="861" t="s">
        <v>162</v>
      </c>
      <c r="M2601" s="861" t="s">
        <v>857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52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826"/>
      <c r="AB2601" s="576"/>
    </row>
    <row r="2602" spans="1:28" ht="15.75" customHeight="1">
      <c r="A2602" s="827" t="str">
        <f>IF(B2602&lt;&gt;"",IF(AND(B2602&gt;=_TM1,B2602&lt;=_TM2,OR(TH!L2602="1111",TH!M2602="1111")),TH!D2602,""),"")</f>
        <v/>
      </c>
      <c r="B2602" s="36">
        <f t="shared" si="386"/>
        <v>1</v>
      </c>
      <c r="C2602" s="190">
        <f t="shared" si="387"/>
        <v>42398</v>
      </c>
      <c r="D2602" s="856" t="s">
        <v>1662</v>
      </c>
      <c r="E2602" s="856">
        <v>42398</v>
      </c>
      <c r="F2602" s="857" t="s">
        <v>983</v>
      </c>
      <c r="G2602" s="858" t="s">
        <v>1031</v>
      </c>
      <c r="H2602" s="859" t="s">
        <v>1310</v>
      </c>
      <c r="I2602" s="251">
        <v>6</v>
      </c>
      <c r="J2602" s="251">
        <v>71080</v>
      </c>
      <c r="K2602" s="860">
        <f t="shared" si="388"/>
        <v>426480</v>
      </c>
      <c r="L2602" s="861" t="s">
        <v>162</v>
      </c>
      <c r="M2602" s="861" t="s">
        <v>857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52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826"/>
      <c r="AB2602" s="576"/>
    </row>
    <row r="2603" spans="1:28" ht="15.75" customHeight="1">
      <c r="A2603" s="827" t="str">
        <f>IF(B2603&lt;&gt;"",IF(AND(B2603&gt;=_TM1,B2603&lt;=_TM2,OR(TH!L2603="1111",TH!M2603="1111")),TH!D2603,""),"")</f>
        <v/>
      </c>
      <c r="B2603" s="36">
        <f t="shared" si="386"/>
        <v>1</v>
      </c>
      <c r="C2603" s="190">
        <f t="shared" si="387"/>
        <v>42398</v>
      </c>
      <c r="D2603" s="856" t="s">
        <v>1662</v>
      </c>
      <c r="E2603" s="856">
        <v>42398</v>
      </c>
      <c r="F2603" s="857" t="s">
        <v>1082</v>
      </c>
      <c r="G2603" s="858" t="s">
        <v>1031</v>
      </c>
      <c r="H2603" s="859" t="s">
        <v>1310</v>
      </c>
      <c r="I2603" s="251">
        <v>8</v>
      </c>
      <c r="J2603" s="251">
        <v>20995</v>
      </c>
      <c r="K2603" s="860">
        <f t="shared" si="388"/>
        <v>167960</v>
      </c>
      <c r="L2603" s="861" t="s">
        <v>162</v>
      </c>
      <c r="M2603" s="861" t="s">
        <v>857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52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826"/>
      <c r="AB2603" s="576"/>
    </row>
    <row r="2604" spans="1:28" ht="15.75" customHeight="1">
      <c r="A2604" s="827" t="str">
        <f>IF(B2604&lt;&gt;"",IF(AND(B2604&gt;=_TM1,B2604&lt;=_TM2,OR(TH!L2604="1111",TH!M2604="1111")),TH!D2604,""),"")</f>
        <v/>
      </c>
      <c r="B2604" s="36">
        <f t="shared" si="386"/>
        <v>1</v>
      </c>
      <c r="C2604" s="190">
        <f t="shared" si="387"/>
        <v>42398</v>
      </c>
      <c r="D2604" s="856" t="s">
        <v>1662</v>
      </c>
      <c r="E2604" s="856">
        <v>42398</v>
      </c>
      <c r="F2604" s="857" t="s">
        <v>1083</v>
      </c>
      <c r="G2604" s="858" t="s">
        <v>1031</v>
      </c>
      <c r="H2604" s="859" t="s">
        <v>1310</v>
      </c>
      <c r="I2604" s="251">
        <v>6</v>
      </c>
      <c r="J2604" s="251">
        <v>33820</v>
      </c>
      <c r="K2604" s="860">
        <f t="shared" si="388"/>
        <v>202920</v>
      </c>
      <c r="L2604" s="861" t="s">
        <v>162</v>
      </c>
      <c r="M2604" s="861" t="s">
        <v>857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52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826"/>
      <c r="AB2604" s="576"/>
    </row>
    <row r="2605" spans="1:28" ht="15.75" customHeight="1">
      <c r="A2605" s="827" t="str">
        <f>IF(B2605&lt;&gt;"",IF(AND(B2605&gt;=_TM1,B2605&lt;=_TM2,OR(TH!L2605="1111",TH!M2605="1111")),TH!D2605,""),"")</f>
        <v/>
      </c>
      <c r="B2605" s="36">
        <f t="shared" si="386"/>
        <v>1</v>
      </c>
      <c r="C2605" s="190">
        <f t="shared" si="387"/>
        <v>42398</v>
      </c>
      <c r="D2605" s="856" t="s">
        <v>1662</v>
      </c>
      <c r="E2605" s="856">
        <v>42398</v>
      </c>
      <c r="F2605" s="857" t="s">
        <v>1084</v>
      </c>
      <c r="G2605" s="858" t="s">
        <v>1031</v>
      </c>
      <c r="H2605" s="859" t="s">
        <v>1310</v>
      </c>
      <c r="I2605" s="251">
        <v>4</v>
      </c>
      <c r="J2605" s="251">
        <v>25251</v>
      </c>
      <c r="K2605" s="860">
        <f t="shared" si="388"/>
        <v>101004</v>
      </c>
      <c r="L2605" s="861" t="s">
        <v>162</v>
      </c>
      <c r="M2605" s="861" t="s">
        <v>857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52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826"/>
      <c r="AB2605" s="576"/>
    </row>
    <row r="2606" spans="1:28" ht="15.75" customHeight="1">
      <c r="A2606" s="827" t="str">
        <f>IF(B2606&lt;&gt;"",IF(AND(B2606&gt;=_TM1,B2606&lt;=_TM2,OR(TH!L2606="1111",TH!M2606="1111")),TH!D2606,""),"")</f>
        <v/>
      </c>
      <c r="B2606" s="36">
        <f t="shared" si="386"/>
        <v>1</v>
      </c>
      <c r="C2606" s="190">
        <f t="shared" si="387"/>
        <v>42398</v>
      </c>
      <c r="D2606" s="856" t="s">
        <v>1662</v>
      </c>
      <c r="E2606" s="856">
        <v>42398</v>
      </c>
      <c r="F2606" s="857" t="s">
        <v>986</v>
      </c>
      <c r="G2606" s="858" t="s">
        <v>1031</v>
      </c>
      <c r="H2606" s="859" t="s">
        <v>1310</v>
      </c>
      <c r="I2606" s="251">
        <v>10</v>
      </c>
      <c r="J2606" s="251">
        <v>97297</v>
      </c>
      <c r="K2606" s="860">
        <f t="shared" si="388"/>
        <v>972970</v>
      </c>
      <c r="L2606" s="861" t="s">
        <v>162</v>
      </c>
      <c r="M2606" s="861" t="s">
        <v>857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52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826"/>
      <c r="AB2606" s="576"/>
    </row>
    <row r="2607" spans="1:28" ht="15.75" customHeight="1">
      <c r="A2607" s="827" t="str">
        <f>IF(B2607&lt;&gt;"",IF(AND(B2607&gt;=_TM1,B2607&lt;=_TM2,OR(TH!L2607="1111",TH!M2607="1111")),TH!D2607,""),"")</f>
        <v/>
      </c>
      <c r="B2607" s="36">
        <f t="shared" si="386"/>
        <v>1</v>
      </c>
      <c r="C2607" s="190">
        <f t="shared" si="387"/>
        <v>42398</v>
      </c>
      <c r="D2607" s="856" t="s">
        <v>1662</v>
      </c>
      <c r="E2607" s="856">
        <v>42398</v>
      </c>
      <c r="F2607" s="857" t="s">
        <v>987</v>
      </c>
      <c r="G2607" s="858" t="s">
        <v>1031</v>
      </c>
      <c r="H2607" s="859" t="s">
        <v>1310</v>
      </c>
      <c r="I2607" s="862">
        <v>10</v>
      </c>
      <c r="J2607" s="862">
        <v>75503</v>
      </c>
      <c r="K2607" s="860">
        <f t="shared" si="388"/>
        <v>755030</v>
      </c>
      <c r="L2607" s="861" t="s">
        <v>162</v>
      </c>
      <c r="M2607" s="861" t="s">
        <v>857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52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826"/>
      <c r="AB2607" s="576"/>
    </row>
    <row r="2608" spans="1:28" ht="15.75" customHeight="1">
      <c r="A2608" s="827" t="str">
        <f>IF(B2608&lt;&gt;"",IF(AND(B2608&gt;=_TM1,B2608&lt;=_TM2,OR(TH!L2608="1111",TH!M2608="1111")),TH!D2608,""),"")</f>
        <v/>
      </c>
      <c r="B2608" s="36">
        <f t="shared" si="386"/>
        <v>1</v>
      </c>
      <c r="C2608" s="190">
        <f t="shared" si="387"/>
        <v>42398</v>
      </c>
      <c r="D2608" s="856" t="s">
        <v>1662</v>
      </c>
      <c r="E2608" s="856">
        <v>42398</v>
      </c>
      <c r="F2608" s="857" t="s">
        <v>1085</v>
      </c>
      <c r="G2608" s="858" t="s">
        <v>1031</v>
      </c>
      <c r="H2608" s="859" t="s">
        <v>1310</v>
      </c>
      <c r="I2608" s="251">
        <v>12</v>
      </c>
      <c r="J2608" s="251">
        <v>66205</v>
      </c>
      <c r="K2608" s="860">
        <f t="shared" si="388"/>
        <v>794460</v>
      </c>
      <c r="L2608" s="861" t="s">
        <v>162</v>
      </c>
      <c r="M2608" s="861" t="s">
        <v>857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52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826"/>
      <c r="AB2608" s="576"/>
    </row>
    <row r="2609" spans="1:28" ht="15.75" customHeight="1">
      <c r="A2609" s="827" t="str">
        <f>IF(B2609&lt;&gt;"",IF(AND(B2609&gt;=_TM1,B2609&lt;=_TM2,OR(TH!L2609="1111",TH!M2609="1111")),TH!D2609,""),"")</f>
        <v/>
      </c>
      <c r="B2609" s="36">
        <f t="shared" si="386"/>
        <v>1</v>
      </c>
      <c r="C2609" s="190">
        <f t="shared" si="387"/>
        <v>42398</v>
      </c>
      <c r="D2609" s="856" t="s">
        <v>1662</v>
      </c>
      <c r="E2609" s="856">
        <v>42398</v>
      </c>
      <c r="F2609" s="857" t="s">
        <v>1086</v>
      </c>
      <c r="G2609" s="858" t="s">
        <v>1031</v>
      </c>
      <c r="H2609" s="859" t="s">
        <v>1310</v>
      </c>
      <c r="I2609" s="251">
        <v>10</v>
      </c>
      <c r="J2609" s="251">
        <v>131455</v>
      </c>
      <c r="K2609" s="860">
        <f t="shared" si="388"/>
        <v>1314550</v>
      </c>
      <c r="L2609" s="861" t="s">
        <v>162</v>
      </c>
      <c r="M2609" s="861" t="s">
        <v>857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52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826"/>
      <c r="AB2609" s="576"/>
    </row>
    <row r="2610" spans="1:28" ht="15.75" customHeight="1">
      <c r="A2610" s="827" t="str">
        <f>IF(B2610&lt;&gt;"",IF(AND(B2610&gt;=_TM1,B2610&lt;=_TM2,OR(TH!L2610="1111",TH!M2610="1111")),TH!D2610,""),"")</f>
        <v/>
      </c>
      <c r="B2610" s="36">
        <f t="shared" si="386"/>
        <v>1</v>
      </c>
      <c r="C2610" s="190">
        <f t="shared" si="387"/>
        <v>42398</v>
      </c>
      <c r="D2610" s="856" t="s">
        <v>1662</v>
      </c>
      <c r="E2610" s="856">
        <v>42398</v>
      </c>
      <c r="F2610" s="857" t="s">
        <v>1087</v>
      </c>
      <c r="G2610" s="858" t="s">
        <v>1031</v>
      </c>
      <c r="H2610" s="859" t="s">
        <v>1310</v>
      </c>
      <c r="I2610" s="862">
        <v>10</v>
      </c>
      <c r="J2610" s="862">
        <v>150948</v>
      </c>
      <c r="K2610" s="860">
        <f t="shared" si="388"/>
        <v>1509480</v>
      </c>
      <c r="L2610" s="861" t="s">
        <v>162</v>
      </c>
      <c r="M2610" s="861" t="s">
        <v>857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52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826"/>
      <c r="AB2610" s="576"/>
    </row>
    <row r="2611" spans="1:28" ht="15.75" customHeight="1">
      <c r="A2611" s="827" t="str">
        <f>IF(B2611&lt;&gt;"",IF(AND(B2611&gt;=_TM1,B2611&lt;=_TM2,OR(TH!L2611="1111",TH!M2611="1111")),TH!D2611,""),"")</f>
        <v/>
      </c>
      <c r="B2611" s="36">
        <f t="shared" si="386"/>
        <v>1</v>
      </c>
      <c r="C2611" s="190">
        <f t="shared" si="387"/>
        <v>42398</v>
      </c>
      <c r="D2611" s="856" t="s">
        <v>1662</v>
      </c>
      <c r="E2611" s="856">
        <v>42398</v>
      </c>
      <c r="F2611" s="857" t="s">
        <v>1088</v>
      </c>
      <c r="G2611" s="858" t="s">
        <v>1031</v>
      </c>
      <c r="H2611" s="859" t="s">
        <v>1310</v>
      </c>
      <c r="I2611" s="251">
        <v>16</v>
      </c>
      <c r="J2611" s="251">
        <v>63125</v>
      </c>
      <c r="K2611" s="860">
        <f t="shared" si="388"/>
        <v>1010000</v>
      </c>
      <c r="L2611" s="861" t="s">
        <v>162</v>
      </c>
      <c r="M2611" s="861" t="s">
        <v>857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52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826"/>
      <c r="AB2611" s="576"/>
    </row>
    <row r="2612" spans="1:28" ht="15.75" customHeight="1">
      <c r="A2612" s="827" t="str">
        <f>IF(B2612&lt;&gt;"",IF(AND(B2612&gt;=_TM1,B2612&lt;=_TM2,OR(TH!L2612="1111",TH!M2612="1111")),TH!D2612,""),"")</f>
        <v/>
      </c>
      <c r="B2612" s="36">
        <f t="shared" si="386"/>
        <v>1</v>
      </c>
      <c r="C2612" s="190">
        <f t="shared" si="387"/>
        <v>42398</v>
      </c>
      <c r="D2612" s="856" t="s">
        <v>1662</v>
      </c>
      <c r="E2612" s="856">
        <v>42398</v>
      </c>
      <c r="F2612" s="857" t="s">
        <v>1089</v>
      </c>
      <c r="G2612" s="858" t="s">
        <v>1031</v>
      </c>
      <c r="H2612" s="859" t="s">
        <v>1310</v>
      </c>
      <c r="I2612" s="251">
        <v>10</v>
      </c>
      <c r="J2612" s="251">
        <v>45595</v>
      </c>
      <c r="K2612" s="860">
        <f t="shared" si="388"/>
        <v>455950</v>
      </c>
      <c r="L2612" s="861" t="s">
        <v>162</v>
      </c>
      <c r="M2612" s="861" t="s">
        <v>857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52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826"/>
      <c r="AB2612" s="576"/>
    </row>
    <row r="2613" spans="1:28" ht="15.75" customHeight="1">
      <c r="A2613" s="827" t="str">
        <f>IF(B2613&lt;&gt;"",IF(AND(B2613&gt;=_TM1,B2613&lt;=_TM2,OR(TH!L2613="1111",TH!M2613="1111")),TH!D2613,""),"")</f>
        <v/>
      </c>
      <c r="B2613" s="36">
        <f t="shared" si="386"/>
        <v>1</v>
      </c>
      <c r="C2613" s="190">
        <f t="shared" si="387"/>
        <v>42398</v>
      </c>
      <c r="D2613" s="856" t="s">
        <v>1662</v>
      </c>
      <c r="E2613" s="856">
        <v>42398</v>
      </c>
      <c r="F2613" s="857" t="s">
        <v>1090</v>
      </c>
      <c r="G2613" s="858" t="s">
        <v>1031</v>
      </c>
      <c r="H2613" s="859" t="s">
        <v>1310</v>
      </c>
      <c r="I2613" s="251">
        <v>20</v>
      </c>
      <c r="J2613" s="251">
        <v>40788</v>
      </c>
      <c r="K2613" s="860">
        <f t="shared" si="388"/>
        <v>815760</v>
      </c>
      <c r="L2613" s="861" t="s">
        <v>162</v>
      </c>
      <c r="M2613" s="861" t="s">
        <v>857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52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826"/>
      <c r="AB2613" s="576"/>
    </row>
    <row r="2614" spans="1:28" ht="15.75" customHeight="1">
      <c r="A2614" s="827" t="str">
        <f>IF(B2614&lt;&gt;"",IF(AND(B2614&gt;=_TM1,B2614&lt;=_TM2,OR(TH!L2614="1111",TH!M2614="1111")),TH!D2614,""),"")</f>
        <v/>
      </c>
      <c r="B2614" s="36">
        <f t="shared" si="386"/>
        <v>1</v>
      </c>
      <c r="C2614" s="190">
        <f t="shared" si="387"/>
        <v>42399</v>
      </c>
      <c r="D2614" s="856" t="s">
        <v>1662</v>
      </c>
      <c r="E2614" s="856">
        <v>42399</v>
      </c>
      <c r="F2614" s="857" t="s">
        <v>938</v>
      </c>
      <c r="G2614" s="858" t="s">
        <v>1033</v>
      </c>
      <c r="H2614" s="859" t="s">
        <v>1310</v>
      </c>
      <c r="I2614" s="251">
        <v>125</v>
      </c>
      <c r="J2614" s="251">
        <v>18548</v>
      </c>
      <c r="K2614" s="860">
        <f t="shared" si="388"/>
        <v>2318500</v>
      </c>
      <c r="L2614" s="861" t="s">
        <v>162</v>
      </c>
      <c r="M2614" s="861" t="s">
        <v>857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52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826"/>
      <c r="AB2614" s="576"/>
    </row>
    <row r="2615" spans="1:28" ht="15.75" customHeight="1">
      <c r="A2615" s="827" t="str">
        <f>IF(B2615&lt;&gt;"",IF(AND(B2615&gt;=_TM1,B2615&lt;=_TM2,OR(TH!L2615="1111",TH!M2615="1111")),TH!D2615,""),"")</f>
        <v/>
      </c>
      <c r="B2615" s="36">
        <f t="shared" si="386"/>
        <v>2</v>
      </c>
      <c r="C2615" s="190">
        <f t="shared" si="387"/>
        <v>42420</v>
      </c>
      <c r="D2615" s="856" t="s">
        <v>1662</v>
      </c>
      <c r="E2615" s="856">
        <v>42420</v>
      </c>
      <c r="F2615" s="857" t="s">
        <v>945</v>
      </c>
      <c r="G2615" s="858" t="s">
        <v>1045</v>
      </c>
      <c r="H2615" s="859" t="s">
        <v>1310</v>
      </c>
      <c r="I2615" s="251">
        <v>500</v>
      </c>
      <c r="J2615" s="251">
        <v>12341</v>
      </c>
      <c r="K2615" s="860">
        <f t="shared" si="388"/>
        <v>6170500</v>
      </c>
      <c r="L2615" s="861" t="s">
        <v>162</v>
      </c>
      <c r="M2615" s="861" t="s">
        <v>857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52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826"/>
      <c r="AB2615" s="576"/>
    </row>
    <row r="2616" spans="1:28" ht="15.75" customHeight="1">
      <c r="A2616" s="827" t="str">
        <f>IF(B2616&lt;&gt;"",IF(AND(B2616&gt;=_TM1,B2616&lt;=_TM2,OR(TH!L2616="1111",TH!M2616="1111")),TH!D2616,""),"")</f>
        <v/>
      </c>
      <c r="B2616" s="36">
        <f t="shared" si="386"/>
        <v>2</v>
      </c>
      <c r="C2616" s="190">
        <f t="shared" si="387"/>
        <v>42422</v>
      </c>
      <c r="D2616" s="856" t="s">
        <v>1662</v>
      </c>
      <c r="E2616" s="856">
        <v>42422</v>
      </c>
      <c r="F2616" s="857" t="s">
        <v>451</v>
      </c>
      <c r="G2616" s="858" t="s">
        <v>1047</v>
      </c>
      <c r="H2616" s="859" t="s">
        <v>1310</v>
      </c>
      <c r="I2616" s="251">
        <v>3000</v>
      </c>
      <c r="J2616" s="251">
        <v>14250</v>
      </c>
      <c r="K2616" s="860">
        <f t="shared" si="388"/>
        <v>42750000</v>
      </c>
      <c r="L2616" s="861" t="s">
        <v>162</v>
      </c>
      <c r="M2616" s="861" t="s">
        <v>857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52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>x</v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826"/>
      <c r="AB2616" s="576"/>
    </row>
    <row r="2617" spans="1:28" ht="15.75" customHeight="1">
      <c r="A2617" s="827" t="str">
        <f>IF(B2617&lt;&gt;"",IF(AND(B2617&gt;=_TM1,B2617&lt;=_TM2,OR(TH!L2617="1111",TH!M2617="1111")),TH!D2617,""),"")</f>
        <v/>
      </c>
      <c r="B2617" s="36">
        <f t="shared" si="386"/>
        <v>2</v>
      </c>
      <c r="C2617" s="190">
        <f t="shared" si="387"/>
        <v>42422</v>
      </c>
      <c r="D2617" s="856" t="s">
        <v>1662</v>
      </c>
      <c r="E2617" s="856">
        <v>42422</v>
      </c>
      <c r="F2617" s="857" t="s">
        <v>450</v>
      </c>
      <c r="G2617" s="858" t="s">
        <v>1047</v>
      </c>
      <c r="H2617" s="859" t="s">
        <v>1310</v>
      </c>
      <c r="I2617" s="251">
        <v>3000</v>
      </c>
      <c r="J2617" s="251">
        <v>15675</v>
      </c>
      <c r="K2617" s="860">
        <f t="shared" si="388"/>
        <v>47025000</v>
      </c>
      <c r="L2617" s="861" t="s">
        <v>162</v>
      </c>
      <c r="M2617" s="861" t="s">
        <v>857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52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826"/>
      <c r="AB2617" s="576"/>
    </row>
    <row r="2618" spans="1:28" ht="15.75" customHeight="1">
      <c r="A2618" s="827" t="str">
        <f>IF(B2618&lt;&gt;"",IF(AND(B2618&gt;=_TM1,B2618&lt;=_TM2,OR(TH!L2618="1111",TH!M2618="1111")),TH!D2618,""),"")</f>
        <v/>
      </c>
      <c r="B2618" s="36">
        <f t="shared" si="386"/>
        <v>2</v>
      </c>
      <c r="C2618" s="190">
        <f t="shared" si="387"/>
        <v>42426</v>
      </c>
      <c r="D2618" s="856" t="s">
        <v>1662</v>
      </c>
      <c r="E2618" s="856">
        <v>42426</v>
      </c>
      <c r="F2618" s="857" t="s">
        <v>955</v>
      </c>
      <c r="G2618" s="858" t="s">
        <v>1051</v>
      </c>
      <c r="H2618" s="859" t="s">
        <v>1310</v>
      </c>
      <c r="I2618" s="251">
        <v>200</v>
      </c>
      <c r="J2618" s="251">
        <v>6750</v>
      </c>
      <c r="K2618" s="860">
        <f t="shared" si="388"/>
        <v>1350000</v>
      </c>
      <c r="L2618" s="861" t="s">
        <v>162</v>
      </c>
      <c r="M2618" s="861" t="s">
        <v>857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52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826"/>
      <c r="AB2618" s="576"/>
    </row>
    <row r="2619" spans="1:28" ht="15.75" customHeight="1">
      <c r="A2619" s="827" t="str">
        <f>IF(B2619&lt;&gt;"",IF(AND(B2619&gt;=_TM1,B2619&lt;=_TM2,OR(TH!L2619="1111",TH!M2619="1111")),TH!D2619,""),"")</f>
        <v/>
      </c>
      <c r="B2619" s="36">
        <f t="shared" si="386"/>
        <v>2</v>
      </c>
      <c r="C2619" s="190">
        <f t="shared" si="387"/>
        <v>42429</v>
      </c>
      <c r="D2619" s="856" t="s">
        <v>1662</v>
      </c>
      <c r="E2619" s="856">
        <v>42429</v>
      </c>
      <c r="F2619" s="857" t="s">
        <v>996</v>
      </c>
      <c r="G2619" s="858" t="s">
        <v>1054</v>
      </c>
      <c r="H2619" s="859" t="s">
        <v>1310</v>
      </c>
      <c r="I2619" s="251">
        <v>3</v>
      </c>
      <c r="J2619" s="251">
        <v>23765</v>
      </c>
      <c r="K2619" s="860">
        <f t="shared" si="388"/>
        <v>71295</v>
      </c>
      <c r="L2619" s="861" t="s">
        <v>162</v>
      </c>
      <c r="M2619" s="861" t="s">
        <v>857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52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826"/>
      <c r="AB2619" s="576"/>
    </row>
    <row r="2620" spans="1:28" ht="15.75" customHeight="1">
      <c r="A2620" s="827" t="str">
        <f>IF(B2620&lt;&gt;"",IF(AND(B2620&gt;=_TM1,B2620&lt;=_TM2,OR(TH!L2620="1111",TH!M2620="1111")),TH!D2620,""),"")</f>
        <v/>
      </c>
      <c r="B2620" s="36">
        <f t="shared" si="386"/>
        <v>2</v>
      </c>
      <c r="C2620" s="190">
        <f t="shared" si="387"/>
        <v>42429</v>
      </c>
      <c r="D2620" s="856" t="s">
        <v>1662</v>
      </c>
      <c r="E2620" s="856">
        <v>42429</v>
      </c>
      <c r="F2620" s="857" t="s">
        <v>997</v>
      </c>
      <c r="G2620" s="858" t="s">
        <v>1054</v>
      </c>
      <c r="H2620" s="859" t="s">
        <v>1310</v>
      </c>
      <c r="I2620" s="251">
        <v>24</v>
      </c>
      <c r="J2620" s="251">
        <v>8755</v>
      </c>
      <c r="K2620" s="860">
        <f t="shared" si="388"/>
        <v>210120</v>
      </c>
      <c r="L2620" s="861" t="s">
        <v>162</v>
      </c>
      <c r="M2620" s="861" t="s">
        <v>857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52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826"/>
      <c r="AB2620" s="576"/>
    </row>
    <row r="2621" spans="1:28" ht="15.75" customHeight="1">
      <c r="A2621" s="827" t="str">
        <f>IF(B2621&lt;&gt;"",IF(AND(B2621&gt;=_TM1,B2621&lt;=_TM2,OR(TH!L2621="1111",TH!M2621="1111")),TH!D2621,""),"")</f>
        <v/>
      </c>
      <c r="B2621" s="36">
        <f t="shared" si="386"/>
        <v>2</v>
      </c>
      <c r="C2621" s="190">
        <f t="shared" si="387"/>
        <v>42429</v>
      </c>
      <c r="D2621" s="856" t="s">
        <v>1662</v>
      </c>
      <c r="E2621" s="856">
        <v>42429</v>
      </c>
      <c r="F2621" s="857" t="s">
        <v>998</v>
      </c>
      <c r="G2621" s="858" t="s">
        <v>1054</v>
      </c>
      <c r="H2621" s="859" t="s">
        <v>1310</v>
      </c>
      <c r="I2621" s="251">
        <v>20</v>
      </c>
      <c r="J2621" s="251">
        <v>11999</v>
      </c>
      <c r="K2621" s="860">
        <f t="shared" si="388"/>
        <v>239980</v>
      </c>
      <c r="L2621" s="861" t="s">
        <v>162</v>
      </c>
      <c r="M2621" s="861" t="s">
        <v>857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52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826"/>
      <c r="AB2621" s="576"/>
    </row>
    <row r="2622" spans="1:28" ht="15.75" customHeight="1">
      <c r="A2622" s="827" t="str">
        <f>IF(B2622&lt;&gt;"",IF(AND(B2622&gt;=_TM1,B2622&lt;=_TM2,OR(TH!L2622="1111",TH!M2622="1111")),TH!D2622,""),"")</f>
        <v/>
      </c>
      <c r="B2622" s="36">
        <f t="shared" si="386"/>
        <v>2</v>
      </c>
      <c r="C2622" s="190">
        <f t="shared" si="387"/>
        <v>42429</v>
      </c>
      <c r="D2622" s="856" t="s">
        <v>1662</v>
      </c>
      <c r="E2622" s="856">
        <v>42429</v>
      </c>
      <c r="F2622" s="857" t="s">
        <v>999</v>
      </c>
      <c r="G2622" s="858" t="s">
        <v>1054</v>
      </c>
      <c r="H2622" s="859" t="s">
        <v>1310</v>
      </c>
      <c r="I2622" s="251">
        <v>15</v>
      </c>
      <c r="J2622" s="251">
        <v>31128</v>
      </c>
      <c r="K2622" s="860">
        <f t="shared" si="388"/>
        <v>466920</v>
      </c>
      <c r="L2622" s="861" t="s">
        <v>162</v>
      </c>
      <c r="M2622" s="861" t="s">
        <v>857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52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826"/>
      <c r="AB2622" s="576"/>
    </row>
    <row r="2623" spans="1:28" ht="15.75" customHeight="1">
      <c r="A2623" s="827" t="str">
        <f>IF(B2623&lt;&gt;"",IF(AND(B2623&gt;=_TM1,B2623&lt;=_TM2,OR(TH!L2623="1111",TH!M2623="1111")),TH!D2623,""),"")</f>
        <v/>
      </c>
      <c r="B2623" s="36">
        <f t="shared" si="386"/>
        <v>2</v>
      </c>
      <c r="C2623" s="190">
        <f t="shared" si="387"/>
        <v>42429</v>
      </c>
      <c r="D2623" s="856" t="s">
        <v>1662</v>
      </c>
      <c r="E2623" s="856">
        <v>42429</v>
      </c>
      <c r="F2623" s="857" t="s">
        <v>1000</v>
      </c>
      <c r="G2623" s="858" t="s">
        <v>1054</v>
      </c>
      <c r="H2623" s="859" t="s">
        <v>1310</v>
      </c>
      <c r="I2623" s="251">
        <v>6</v>
      </c>
      <c r="J2623" s="251">
        <v>4474</v>
      </c>
      <c r="K2623" s="860">
        <f t="shared" si="388"/>
        <v>26844</v>
      </c>
      <c r="L2623" s="861" t="s">
        <v>162</v>
      </c>
      <c r="M2623" s="861" t="s">
        <v>857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52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826"/>
      <c r="AB2623" s="576"/>
    </row>
    <row r="2624" spans="1:28" ht="15.75" customHeight="1">
      <c r="A2624" s="827" t="str">
        <f>IF(B2624&lt;&gt;"",IF(AND(B2624&gt;=_TM1,B2624&lt;=_TM2,OR(TH!L2624="1111",TH!M2624="1111")),TH!D2624,""),"")</f>
        <v/>
      </c>
      <c r="B2624" s="36">
        <f t="shared" si="386"/>
        <v>2</v>
      </c>
      <c r="C2624" s="190">
        <f t="shared" si="387"/>
        <v>42429</v>
      </c>
      <c r="D2624" s="856" t="s">
        <v>1662</v>
      </c>
      <c r="E2624" s="856">
        <v>42429</v>
      </c>
      <c r="F2624" s="857" t="s">
        <v>1001</v>
      </c>
      <c r="G2624" s="858" t="s">
        <v>1054</v>
      </c>
      <c r="H2624" s="859" t="s">
        <v>1310</v>
      </c>
      <c r="I2624" s="251">
        <v>6</v>
      </c>
      <c r="J2624" s="251">
        <v>6480</v>
      </c>
      <c r="K2624" s="860">
        <f t="shared" si="388"/>
        <v>38880</v>
      </c>
      <c r="L2624" s="861" t="s">
        <v>162</v>
      </c>
      <c r="M2624" s="861" t="s">
        <v>857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52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826"/>
      <c r="AB2624" s="576"/>
    </row>
    <row r="2625" spans="1:30" ht="15.75" customHeight="1">
      <c r="A2625" s="827" t="str">
        <f>IF(B2625&lt;&gt;"",IF(AND(B2625&gt;=_TM1,B2625&lt;=_TM2,OR(TH!L2625="1111",TH!M2625="1111")),TH!D2625,""),"")</f>
        <v/>
      </c>
      <c r="B2625" s="36">
        <f t="shared" si="386"/>
        <v>2</v>
      </c>
      <c r="C2625" s="190">
        <f t="shared" si="387"/>
        <v>42429</v>
      </c>
      <c r="D2625" s="856" t="s">
        <v>1662</v>
      </c>
      <c r="E2625" s="856">
        <v>42429</v>
      </c>
      <c r="F2625" s="857" t="s">
        <v>1002</v>
      </c>
      <c r="G2625" s="858" t="s">
        <v>1054</v>
      </c>
      <c r="H2625" s="859" t="s">
        <v>1310</v>
      </c>
      <c r="I2625" s="251">
        <v>24</v>
      </c>
      <c r="J2625" s="251">
        <v>20813</v>
      </c>
      <c r="K2625" s="860">
        <f t="shared" si="388"/>
        <v>499512</v>
      </c>
      <c r="L2625" s="861" t="s">
        <v>162</v>
      </c>
      <c r="M2625" s="861" t="s">
        <v>857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52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826"/>
      <c r="AB2625" s="576"/>
    </row>
    <row r="2626" spans="1:30" ht="15.75" customHeight="1">
      <c r="A2626" s="827" t="str">
        <f>IF(B2626&lt;&gt;"",IF(AND(B2626&gt;=_TM1,B2626&lt;=_TM2,OR(TH!L2626="1111",TH!M2626="1111")),TH!D2626,""),"")</f>
        <v/>
      </c>
      <c r="B2626" s="36">
        <f t="shared" ref="B2626:B3683" si="389">IF(C2626&lt;&gt;"",MONTH(C2626),"")</f>
        <v>2</v>
      </c>
      <c r="C2626" s="190">
        <f t="shared" si="387"/>
        <v>42429</v>
      </c>
      <c r="D2626" s="856" t="s">
        <v>1662</v>
      </c>
      <c r="E2626" s="856">
        <v>42429</v>
      </c>
      <c r="F2626" s="857" t="s">
        <v>1003</v>
      </c>
      <c r="G2626" s="858" t="s">
        <v>1054</v>
      </c>
      <c r="H2626" s="859" t="s">
        <v>1310</v>
      </c>
      <c r="I2626" s="251">
        <v>60</v>
      </c>
      <c r="J2626" s="251">
        <v>20256</v>
      </c>
      <c r="K2626" s="860">
        <f t="shared" si="388"/>
        <v>1215360</v>
      </c>
      <c r="L2626" s="861" t="s">
        <v>162</v>
      </c>
      <c r="M2626" s="861" t="s">
        <v>857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52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826"/>
      <c r="AB2626" s="576"/>
    </row>
    <row r="2627" spans="1:30" ht="15.75" customHeight="1">
      <c r="A2627" s="827" t="str">
        <f>IF(B2627&lt;&gt;"",IF(AND(B2627&gt;=_TM1,B2627&lt;=_TM2,OR(TH!L2627="1111",TH!M2627="1111")),TH!D2627,""),"")</f>
        <v/>
      </c>
      <c r="B2627" s="36">
        <f t="shared" si="389"/>
        <v>2</v>
      </c>
      <c r="C2627" s="190">
        <f t="shared" si="387"/>
        <v>42429</v>
      </c>
      <c r="D2627" s="856" t="s">
        <v>1662</v>
      </c>
      <c r="E2627" s="856">
        <v>42429</v>
      </c>
      <c r="F2627" s="857" t="s">
        <v>882</v>
      </c>
      <c r="G2627" s="858" t="s">
        <v>1054</v>
      </c>
      <c r="H2627" s="859" t="s">
        <v>1310</v>
      </c>
      <c r="I2627" s="251">
        <v>30</v>
      </c>
      <c r="J2627" s="251">
        <v>13567</v>
      </c>
      <c r="K2627" s="860">
        <f t="shared" si="388"/>
        <v>407010</v>
      </c>
      <c r="L2627" s="861" t="s">
        <v>162</v>
      </c>
      <c r="M2627" s="861" t="s">
        <v>857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52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826"/>
      <c r="AB2627" s="576"/>
    </row>
    <row r="2628" spans="1:30" ht="15.75" customHeight="1">
      <c r="A2628" s="827" t="str">
        <f>IF(B2628&lt;&gt;"",IF(AND(B2628&gt;=_TM1,B2628&lt;=_TM2,OR(TH!L2628="1111",TH!M2628="1111")),TH!D2628,""),"")</f>
        <v/>
      </c>
      <c r="B2628" s="36">
        <f t="shared" si="389"/>
        <v>2</v>
      </c>
      <c r="C2628" s="190">
        <f t="shared" si="387"/>
        <v>42429</v>
      </c>
      <c r="D2628" s="856" t="s">
        <v>1662</v>
      </c>
      <c r="E2628" s="856">
        <v>42429</v>
      </c>
      <c r="F2628" s="857" t="s">
        <v>1004</v>
      </c>
      <c r="G2628" s="858" t="s">
        <v>1054</v>
      </c>
      <c r="H2628" s="859" t="s">
        <v>1310</v>
      </c>
      <c r="I2628" s="251">
        <v>12</v>
      </c>
      <c r="J2628" s="251">
        <v>41070</v>
      </c>
      <c r="K2628" s="860">
        <f t="shared" si="388"/>
        <v>492840</v>
      </c>
      <c r="L2628" s="861" t="s">
        <v>162</v>
      </c>
      <c r="M2628" s="861" t="s">
        <v>857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52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826"/>
      <c r="AB2628" s="576"/>
    </row>
    <row r="2629" spans="1:30" ht="15.75" customHeight="1">
      <c r="A2629" s="827" t="str">
        <f>IF(B2629&lt;&gt;"",IF(AND(B2629&gt;=_TM1,B2629&lt;=_TM2,OR(TH!L2629="1111",TH!M2629="1111")),TH!D2629,""),"")</f>
        <v/>
      </c>
      <c r="B2629" s="36">
        <f t="shared" si="389"/>
        <v>2</v>
      </c>
      <c r="C2629" s="190">
        <f t="shared" si="387"/>
        <v>42429</v>
      </c>
      <c r="D2629" s="856" t="s">
        <v>1662</v>
      </c>
      <c r="E2629" s="856">
        <v>42429</v>
      </c>
      <c r="F2629" s="857" t="s">
        <v>1005</v>
      </c>
      <c r="G2629" s="858" t="s">
        <v>1054</v>
      </c>
      <c r="H2629" s="859" t="s">
        <v>1310</v>
      </c>
      <c r="I2629" s="251">
        <v>4</v>
      </c>
      <c r="J2629" s="251">
        <v>57565</v>
      </c>
      <c r="K2629" s="860">
        <f t="shared" si="388"/>
        <v>230260</v>
      </c>
      <c r="L2629" s="861" t="s">
        <v>162</v>
      </c>
      <c r="M2629" s="861" t="s">
        <v>857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52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826"/>
      <c r="AB2629" s="576"/>
    </row>
    <row r="2630" spans="1:30" ht="15.75" customHeight="1">
      <c r="A2630" s="827" t="str">
        <f>IF(B2630&lt;&gt;"",IF(AND(B2630&gt;=_TM1,B2630&lt;=_TM2,OR(TH!L2630="1111",TH!M2630="1111")),TH!D2630,""),"")</f>
        <v/>
      </c>
      <c r="B2630" s="36">
        <f t="shared" si="389"/>
        <v>2</v>
      </c>
      <c r="C2630" s="190">
        <f t="shared" si="387"/>
        <v>42429</v>
      </c>
      <c r="D2630" s="856" t="s">
        <v>1662</v>
      </c>
      <c r="E2630" s="856">
        <v>42429</v>
      </c>
      <c r="F2630" s="857" t="s">
        <v>1005</v>
      </c>
      <c r="G2630" s="858" t="s">
        <v>1054</v>
      </c>
      <c r="H2630" s="859" t="s">
        <v>1310</v>
      </c>
      <c r="I2630" s="251">
        <v>12</v>
      </c>
      <c r="J2630" s="251">
        <v>57565</v>
      </c>
      <c r="K2630" s="860">
        <f t="shared" si="388"/>
        <v>690780</v>
      </c>
      <c r="L2630" s="861" t="s">
        <v>162</v>
      </c>
      <c r="M2630" s="861" t="s">
        <v>857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52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826"/>
      <c r="AB2630" s="576"/>
    </row>
    <row r="2631" spans="1:30" ht="15.75" customHeight="1">
      <c r="A2631" s="827" t="str">
        <f>IF(B2631&lt;&gt;"",IF(AND(B2631&gt;=_TM1,B2631&lt;=_TM2,OR(TH!L2631="1111",TH!M2631="1111")),TH!D2631,""),"")</f>
        <v/>
      </c>
      <c r="B2631" s="36">
        <f t="shared" si="389"/>
        <v>2</v>
      </c>
      <c r="C2631" s="190">
        <f t="shared" si="387"/>
        <v>42429</v>
      </c>
      <c r="D2631" s="856" t="s">
        <v>1662</v>
      </c>
      <c r="E2631" s="856">
        <v>42429</v>
      </c>
      <c r="F2631" s="857" t="s">
        <v>1006</v>
      </c>
      <c r="G2631" s="858" t="s">
        <v>1054</v>
      </c>
      <c r="H2631" s="859" t="s">
        <v>1310</v>
      </c>
      <c r="I2631" s="251">
        <v>8</v>
      </c>
      <c r="J2631" s="251">
        <v>65909</v>
      </c>
      <c r="K2631" s="860">
        <f t="shared" si="388"/>
        <v>527272</v>
      </c>
      <c r="L2631" s="861" t="s">
        <v>162</v>
      </c>
      <c r="M2631" s="861" t="s">
        <v>857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52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26"/>
      <c r="AB2631" s="576"/>
      <c r="AC2631" s="576"/>
      <c r="AD2631" s="576"/>
    </row>
    <row r="2632" spans="1:30" ht="15.75" customHeight="1">
      <c r="A2632" s="827" t="str">
        <f>IF(B2632&lt;&gt;"",IF(AND(B2632&gt;=_TM1,B2632&lt;=_TM2,OR(TH!L2632="1111",TH!M2632="1111")),TH!D2632,""),"")</f>
        <v/>
      </c>
      <c r="B2632" s="36">
        <f t="shared" si="389"/>
        <v>2</v>
      </c>
      <c r="C2632" s="190">
        <f t="shared" si="387"/>
        <v>42429</v>
      </c>
      <c r="D2632" s="856" t="s">
        <v>1662</v>
      </c>
      <c r="E2632" s="856">
        <v>42429</v>
      </c>
      <c r="F2632" s="857" t="s">
        <v>1008</v>
      </c>
      <c r="G2632" s="858" t="s">
        <v>1054</v>
      </c>
      <c r="H2632" s="859" t="s">
        <v>1310</v>
      </c>
      <c r="I2632" s="251">
        <v>4</v>
      </c>
      <c r="J2632" s="251">
        <v>129138</v>
      </c>
      <c r="K2632" s="860">
        <f t="shared" si="388"/>
        <v>516552</v>
      </c>
      <c r="L2632" s="861" t="s">
        <v>162</v>
      </c>
      <c r="M2632" s="861" t="s">
        <v>857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52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826"/>
      <c r="AB2632" s="576"/>
      <c r="AC2632" s="576"/>
      <c r="AD2632" s="576"/>
    </row>
    <row r="2633" spans="1:30" ht="15.75" customHeight="1">
      <c r="A2633" s="827" t="str">
        <f>IF(B2633&lt;&gt;"",IF(AND(B2633&gt;=_TM1,B2633&lt;=_TM2,OR(TH!L2633="1111",TH!M2633="1111")),TH!D2633,""),"")</f>
        <v/>
      </c>
      <c r="B2633" s="36">
        <f t="shared" si="389"/>
        <v>2</v>
      </c>
      <c r="C2633" s="190">
        <f t="shared" si="387"/>
        <v>42429</v>
      </c>
      <c r="D2633" s="856" t="s">
        <v>1662</v>
      </c>
      <c r="E2633" s="856">
        <v>42429</v>
      </c>
      <c r="F2633" s="857" t="s">
        <v>1009</v>
      </c>
      <c r="G2633" s="858" t="s">
        <v>1054</v>
      </c>
      <c r="H2633" s="859" t="s">
        <v>1310</v>
      </c>
      <c r="I2633" s="251">
        <v>7</v>
      </c>
      <c r="J2633" s="251">
        <v>42587</v>
      </c>
      <c r="K2633" s="860">
        <f t="shared" si="388"/>
        <v>298109</v>
      </c>
      <c r="L2633" s="861" t="s">
        <v>162</v>
      </c>
      <c r="M2633" s="861" t="s">
        <v>857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52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826"/>
      <c r="AB2633" s="576"/>
      <c r="AD2633" s="576"/>
    </row>
    <row r="2634" spans="1:30" ht="15.75" customHeight="1">
      <c r="A2634" s="827" t="str">
        <f>IF(B2634&lt;&gt;"",IF(AND(B2634&gt;=_TM1,B2634&lt;=_TM2,OR(TH!L2634="1111",TH!M2634="1111")),TH!D2634,""),"")</f>
        <v/>
      </c>
      <c r="B2634" s="36">
        <f t="shared" si="389"/>
        <v>2</v>
      </c>
      <c r="C2634" s="190">
        <f t="shared" si="387"/>
        <v>42429</v>
      </c>
      <c r="D2634" s="856" t="s">
        <v>1662</v>
      </c>
      <c r="E2634" s="856">
        <v>42429</v>
      </c>
      <c r="F2634" s="857" t="s">
        <v>1010</v>
      </c>
      <c r="G2634" s="858" t="s">
        <v>1054</v>
      </c>
      <c r="H2634" s="859" t="s">
        <v>1310</v>
      </c>
      <c r="I2634" s="251">
        <v>8</v>
      </c>
      <c r="J2634" s="251">
        <v>47309.4</v>
      </c>
      <c r="K2634" s="860">
        <f t="shared" si="388"/>
        <v>378475</v>
      </c>
      <c r="L2634" s="861" t="s">
        <v>162</v>
      </c>
      <c r="M2634" s="861" t="s">
        <v>857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52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26"/>
      <c r="AB2634" s="576"/>
      <c r="AC2634" s="576"/>
      <c r="AD2634" s="576"/>
    </row>
    <row r="2635" spans="1:30" ht="15.75" customHeight="1">
      <c r="A2635" s="827" t="str">
        <f>IF(B2635&lt;&gt;"",IF(AND(B2635&gt;=_TM1,B2635&lt;=_TM2,OR(TH!L2635="1111",TH!M2635="1111")),TH!D2635,""),"")</f>
        <v/>
      </c>
      <c r="B2635" s="36">
        <f t="shared" si="389"/>
        <v>2</v>
      </c>
      <c r="C2635" s="190">
        <f t="shared" si="387"/>
        <v>42429</v>
      </c>
      <c r="D2635" s="856" t="s">
        <v>1662</v>
      </c>
      <c r="E2635" s="856">
        <v>42429</v>
      </c>
      <c r="F2635" s="857" t="s">
        <v>1011</v>
      </c>
      <c r="G2635" s="858" t="s">
        <v>1054</v>
      </c>
      <c r="H2635" s="859" t="s">
        <v>1310</v>
      </c>
      <c r="I2635" s="862">
        <v>16</v>
      </c>
      <c r="J2635" s="862">
        <v>64056</v>
      </c>
      <c r="K2635" s="860">
        <f t="shared" si="388"/>
        <v>1024896</v>
      </c>
      <c r="L2635" s="861" t="s">
        <v>162</v>
      </c>
      <c r="M2635" s="861" t="s">
        <v>857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52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826"/>
      <c r="AB2635" s="576"/>
      <c r="AC2635" s="576"/>
      <c r="AD2635" s="576"/>
    </row>
    <row r="2636" spans="1:30" ht="15.75" customHeight="1">
      <c r="A2636" s="827" t="str">
        <f>IF(B2636&lt;&gt;"",IF(AND(B2636&gt;=_TM1,B2636&lt;=_TM2,OR(TH!L2636="1111",TH!M2636="1111")),TH!D2636,""),"")</f>
        <v/>
      </c>
      <c r="B2636" s="36">
        <f t="shared" si="389"/>
        <v>2</v>
      </c>
      <c r="C2636" s="190">
        <f t="shared" si="387"/>
        <v>42429</v>
      </c>
      <c r="D2636" s="856" t="s">
        <v>1662</v>
      </c>
      <c r="E2636" s="856">
        <v>42429</v>
      </c>
      <c r="F2636" s="857" t="s">
        <v>1012</v>
      </c>
      <c r="G2636" s="858" t="s">
        <v>1054</v>
      </c>
      <c r="H2636" s="859" t="s">
        <v>1310</v>
      </c>
      <c r="I2636" s="251">
        <v>7</v>
      </c>
      <c r="J2636" s="251">
        <v>59090</v>
      </c>
      <c r="K2636" s="860">
        <f t="shared" si="388"/>
        <v>413630</v>
      </c>
      <c r="L2636" s="861" t="s">
        <v>162</v>
      </c>
      <c r="M2636" s="861" t="s">
        <v>857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52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26"/>
      <c r="AB2636" s="576"/>
      <c r="AC2636" s="576"/>
      <c r="AD2636" s="576"/>
    </row>
    <row r="2637" spans="1:30" ht="15.75" customHeight="1">
      <c r="A2637" s="827" t="str">
        <f>IF(B2637&lt;&gt;"",IF(AND(B2637&gt;=_TM1,B2637&lt;=_TM2,OR(TH!L2637="1111",TH!M2637="1111")),TH!D2637,""),"")</f>
        <v/>
      </c>
      <c r="B2637" s="36">
        <f t="shared" si="389"/>
        <v>2</v>
      </c>
      <c r="C2637" s="190">
        <f t="shared" si="387"/>
        <v>42429</v>
      </c>
      <c r="D2637" s="856" t="s">
        <v>1662</v>
      </c>
      <c r="E2637" s="856">
        <v>42429</v>
      </c>
      <c r="F2637" s="857" t="s">
        <v>1013</v>
      </c>
      <c r="G2637" s="858" t="s">
        <v>1054</v>
      </c>
      <c r="H2637" s="859" t="s">
        <v>1310</v>
      </c>
      <c r="I2637" s="251">
        <v>4</v>
      </c>
      <c r="J2637" s="251">
        <v>75477</v>
      </c>
      <c r="K2637" s="860">
        <f t="shared" si="388"/>
        <v>301908</v>
      </c>
      <c r="L2637" s="861" t="s">
        <v>162</v>
      </c>
      <c r="M2637" s="861" t="s">
        <v>857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52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826"/>
      <c r="AB2637" s="576"/>
      <c r="AC2637" s="576"/>
      <c r="AD2637" s="576"/>
    </row>
    <row r="2638" spans="1:30" ht="15.75" customHeight="1">
      <c r="A2638" s="827" t="str">
        <f>IF(B2638&lt;&gt;"",IF(AND(B2638&gt;=_TM1,B2638&lt;=_TM2,OR(TH!L2638="1111",TH!M2638="1111")),TH!D2638,""),"")</f>
        <v/>
      </c>
      <c r="B2638" s="36">
        <f t="shared" si="389"/>
        <v>2</v>
      </c>
      <c r="C2638" s="190">
        <f t="shared" si="387"/>
        <v>42429</v>
      </c>
      <c r="D2638" s="856" t="s">
        <v>1662</v>
      </c>
      <c r="E2638" s="856">
        <v>42429</v>
      </c>
      <c r="F2638" s="857" t="s">
        <v>495</v>
      </c>
      <c r="G2638" s="858" t="s">
        <v>1054</v>
      </c>
      <c r="H2638" s="859" t="s">
        <v>1310</v>
      </c>
      <c r="I2638" s="251">
        <v>72</v>
      </c>
      <c r="J2638" s="251">
        <v>7623</v>
      </c>
      <c r="K2638" s="860">
        <f t="shared" si="388"/>
        <v>548856</v>
      </c>
      <c r="L2638" s="861" t="s">
        <v>162</v>
      </c>
      <c r="M2638" s="861" t="s">
        <v>857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52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826"/>
      <c r="AB2638" s="576"/>
    </row>
    <row r="2639" spans="1:30" ht="15.75" customHeight="1">
      <c r="A2639" s="827" t="str">
        <f>IF(B2639&lt;&gt;"",IF(AND(B2639&gt;=_TM1,B2639&lt;=_TM2,OR(TH!L2639="1111",TH!M2639="1111")),TH!D2639,""),"")</f>
        <v/>
      </c>
      <c r="B2639" s="36">
        <f t="shared" si="389"/>
        <v>2</v>
      </c>
      <c r="C2639" s="190">
        <f t="shared" si="387"/>
        <v>42429</v>
      </c>
      <c r="D2639" s="856" t="s">
        <v>1662</v>
      </c>
      <c r="E2639" s="856">
        <v>42429</v>
      </c>
      <c r="F2639" s="857" t="s">
        <v>496</v>
      </c>
      <c r="G2639" s="858" t="s">
        <v>1054</v>
      </c>
      <c r="H2639" s="859" t="s">
        <v>1310</v>
      </c>
      <c r="I2639" s="251">
        <v>72</v>
      </c>
      <c r="J2639" s="251">
        <v>16489</v>
      </c>
      <c r="K2639" s="860">
        <f t="shared" si="388"/>
        <v>1187208</v>
      </c>
      <c r="L2639" s="861" t="s">
        <v>162</v>
      </c>
      <c r="M2639" s="861" t="s">
        <v>857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52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826"/>
      <c r="AB2639" s="576"/>
    </row>
    <row r="2640" spans="1:30" ht="15.75" customHeight="1">
      <c r="A2640" s="827" t="str">
        <f>IF(B2640&lt;&gt;"",IF(AND(B2640&gt;=_TM1,B2640&lt;=_TM2,OR(TH!L2640="1111",TH!M2640="1111")),TH!D2640,""),"")</f>
        <v/>
      </c>
      <c r="B2640" s="36">
        <f t="shared" si="389"/>
        <v>2</v>
      </c>
      <c r="C2640" s="190">
        <f t="shared" si="387"/>
        <v>42429</v>
      </c>
      <c r="D2640" s="856" t="s">
        <v>1662</v>
      </c>
      <c r="E2640" s="856">
        <v>42429</v>
      </c>
      <c r="F2640" s="857" t="s">
        <v>497</v>
      </c>
      <c r="G2640" s="858" t="s">
        <v>1054</v>
      </c>
      <c r="H2640" s="859" t="s">
        <v>1310</v>
      </c>
      <c r="I2640" s="251">
        <v>54</v>
      </c>
      <c r="J2640" s="251">
        <v>33710</v>
      </c>
      <c r="K2640" s="860">
        <f t="shared" si="388"/>
        <v>1820340</v>
      </c>
      <c r="L2640" s="861" t="s">
        <v>162</v>
      </c>
      <c r="M2640" s="861" t="s">
        <v>857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52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826"/>
      <c r="AB2640" s="576"/>
    </row>
    <row r="2641" spans="1:28" ht="15.75" customHeight="1">
      <c r="A2641" s="827" t="str">
        <f>IF(B2641&lt;&gt;"",IF(AND(B2641&gt;=_TM1,B2641&lt;=_TM2,OR(TH!L2641="1111",TH!M2641="1111")),TH!D2641,""),"")</f>
        <v/>
      </c>
      <c r="B2641" s="36">
        <f t="shared" si="389"/>
        <v>2</v>
      </c>
      <c r="C2641" s="190">
        <f t="shared" si="387"/>
        <v>42429</v>
      </c>
      <c r="D2641" s="856" t="s">
        <v>1662</v>
      </c>
      <c r="E2641" s="856">
        <v>42429</v>
      </c>
      <c r="F2641" s="857" t="s">
        <v>486</v>
      </c>
      <c r="G2641" s="858" t="s">
        <v>1054</v>
      </c>
      <c r="H2641" s="859" t="s">
        <v>1310</v>
      </c>
      <c r="I2641" s="862">
        <v>30</v>
      </c>
      <c r="J2641" s="862">
        <v>11161</v>
      </c>
      <c r="K2641" s="860">
        <f t="shared" si="388"/>
        <v>334830</v>
      </c>
      <c r="L2641" s="861" t="s">
        <v>162</v>
      </c>
      <c r="M2641" s="861" t="s">
        <v>857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52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826"/>
      <c r="AB2641" s="576"/>
    </row>
    <row r="2642" spans="1:28" ht="15.75" customHeight="1">
      <c r="A2642" s="827" t="str">
        <f>IF(B2642&lt;&gt;"",IF(AND(B2642&gt;=_TM1,B2642&lt;=_TM2,OR(TH!L2642="1111",TH!M2642="1111")),TH!D2642,""),"")</f>
        <v/>
      </c>
      <c r="B2642" s="36">
        <f t="shared" si="389"/>
        <v>2</v>
      </c>
      <c r="C2642" s="190">
        <f t="shared" ref="C2642:C3699" si="390">E2642</f>
        <v>42429</v>
      </c>
      <c r="D2642" s="856" t="s">
        <v>1662</v>
      </c>
      <c r="E2642" s="856">
        <v>42429</v>
      </c>
      <c r="F2642" s="857" t="s">
        <v>498</v>
      </c>
      <c r="G2642" s="858" t="s">
        <v>1054</v>
      </c>
      <c r="H2642" s="859" t="s">
        <v>1310</v>
      </c>
      <c r="I2642" s="251">
        <v>36</v>
      </c>
      <c r="J2642" s="251">
        <v>21081</v>
      </c>
      <c r="K2642" s="860">
        <f t="shared" si="388"/>
        <v>758916</v>
      </c>
      <c r="L2642" s="861" t="s">
        <v>162</v>
      </c>
      <c r="M2642" s="861" t="s">
        <v>857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52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826"/>
      <c r="AB2642" s="576"/>
    </row>
    <row r="2643" spans="1:28" ht="15.75" customHeight="1">
      <c r="A2643" s="827" t="str">
        <f>IF(B2643&lt;&gt;"",IF(AND(B2643&gt;=_TM1,B2643&lt;=_TM2,OR(TH!L2643="1111",TH!M2643="1111")),TH!D2643,""),"")</f>
        <v/>
      </c>
      <c r="B2643" s="36">
        <f t="shared" si="389"/>
        <v>2</v>
      </c>
      <c r="C2643" s="190">
        <f t="shared" si="390"/>
        <v>42429</v>
      </c>
      <c r="D2643" s="856" t="s">
        <v>1662</v>
      </c>
      <c r="E2643" s="856">
        <v>42429</v>
      </c>
      <c r="F2643" s="857" t="s">
        <v>487</v>
      </c>
      <c r="G2643" s="858" t="s">
        <v>1054</v>
      </c>
      <c r="H2643" s="859" t="s">
        <v>1310</v>
      </c>
      <c r="I2643" s="251">
        <v>12</v>
      </c>
      <c r="J2643" s="251">
        <v>41677</v>
      </c>
      <c r="K2643" s="860">
        <f t="shared" si="388"/>
        <v>500124</v>
      </c>
      <c r="L2643" s="861" t="s">
        <v>162</v>
      </c>
      <c r="M2643" s="861" t="s">
        <v>857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52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826"/>
      <c r="AB2643" s="576"/>
    </row>
    <row r="2644" spans="1:28" ht="15.75" customHeight="1">
      <c r="A2644" s="827" t="str">
        <f>IF(B2644&lt;&gt;"",IF(AND(B2644&gt;=_TM1,B2644&lt;=_TM2,OR(TH!L2644="1111",TH!M2644="1111")),TH!D2644,""),"")</f>
        <v/>
      </c>
      <c r="B2644" s="36">
        <f t="shared" si="389"/>
        <v>3</v>
      </c>
      <c r="C2644" s="190">
        <f t="shared" si="390"/>
        <v>42437</v>
      </c>
      <c r="D2644" s="856" t="s">
        <v>1662</v>
      </c>
      <c r="E2644" s="856">
        <v>42437</v>
      </c>
      <c r="F2644" s="857" t="s">
        <v>429</v>
      </c>
      <c r="G2644" s="858" t="s">
        <v>1060</v>
      </c>
      <c r="H2644" s="859" t="s">
        <v>1310</v>
      </c>
      <c r="I2644" s="864">
        <v>500</v>
      </c>
      <c r="J2644" s="864">
        <v>13306</v>
      </c>
      <c r="K2644" s="860">
        <f t="shared" si="388"/>
        <v>6653000</v>
      </c>
      <c r="L2644" s="861" t="s">
        <v>162</v>
      </c>
      <c r="M2644" s="861" t="s">
        <v>857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52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826"/>
      <c r="AB2644" s="576"/>
    </row>
    <row r="2645" spans="1:28" ht="15.75" customHeight="1">
      <c r="A2645" s="827" t="str">
        <f>IF(B2645&lt;&gt;"",IF(AND(B2645&gt;=_TM1,B2645&lt;=_TM2,OR(TH!L2645="1111",TH!M2645="1111")),TH!D2645,""),"")</f>
        <v/>
      </c>
      <c r="B2645" s="36">
        <f t="shared" si="389"/>
        <v>3</v>
      </c>
      <c r="C2645" s="190">
        <f t="shared" si="390"/>
        <v>42439</v>
      </c>
      <c r="D2645" s="856" t="s">
        <v>1662</v>
      </c>
      <c r="E2645" s="856">
        <v>42439</v>
      </c>
      <c r="F2645" s="857" t="s">
        <v>1303</v>
      </c>
      <c r="G2645" s="858" t="s">
        <v>1065</v>
      </c>
      <c r="H2645" s="859" t="s">
        <v>1310</v>
      </c>
      <c r="I2645" s="251">
        <v>25</v>
      </c>
      <c r="J2645" s="251">
        <v>31464</v>
      </c>
      <c r="K2645" s="860">
        <f t="shared" si="388"/>
        <v>786600</v>
      </c>
      <c r="L2645" s="861" t="s">
        <v>162</v>
      </c>
      <c r="M2645" s="861" t="s">
        <v>857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52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826"/>
      <c r="AB2645" s="576"/>
    </row>
    <row r="2646" spans="1:28" ht="15.75" customHeight="1">
      <c r="A2646" s="827" t="str">
        <f>IF(B2646&lt;&gt;"",IF(AND(B2646&gt;=_TM1,B2646&lt;=_TM2,OR(TH!L2646="1111",TH!M2646="1111")),TH!D2646,""),"")</f>
        <v/>
      </c>
      <c r="B2646" s="36">
        <f t="shared" si="389"/>
        <v>3</v>
      </c>
      <c r="C2646" s="190">
        <f t="shared" si="390"/>
        <v>42439</v>
      </c>
      <c r="D2646" s="856" t="s">
        <v>1662</v>
      </c>
      <c r="E2646" s="856">
        <v>42439</v>
      </c>
      <c r="F2646" s="857" t="s">
        <v>1304</v>
      </c>
      <c r="G2646" s="858" t="s">
        <v>1065</v>
      </c>
      <c r="H2646" s="859" t="s">
        <v>1310</v>
      </c>
      <c r="I2646" s="251">
        <v>100</v>
      </c>
      <c r="J2646" s="251">
        <v>6033</v>
      </c>
      <c r="K2646" s="860">
        <f t="shared" ref="K2646:K3702" si="391">ROUND(I2646*J2646,0)</f>
        <v>603300</v>
      </c>
      <c r="L2646" s="861" t="s">
        <v>162</v>
      </c>
      <c r="M2646" s="861" t="s">
        <v>857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52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826"/>
      <c r="AB2646" s="576"/>
    </row>
    <row r="2647" spans="1:28" ht="15.75" customHeight="1">
      <c r="A2647" s="827" t="str">
        <f>IF(B2647&lt;&gt;"",IF(AND(B2647&gt;=_TM1,B2647&lt;=_TM2,OR(TH!L2647="1111",TH!M2647="1111")),TH!D2647,""),"")</f>
        <v/>
      </c>
      <c r="B2647" s="36">
        <f t="shared" si="389"/>
        <v>3</v>
      </c>
      <c r="C2647" s="190">
        <f t="shared" si="390"/>
        <v>42447</v>
      </c>
      <c r="D2647" s="856" t="s">
        <v>1662</v>
      </c>
      <c r="E2647" s="856">
        <v>42447</v>
      </c>
      <c r="F2647" s="857" t="s">
        <v>448</v>
      </c>
      <c r="G2647" s="858" t="s">
        <v>1070</v>
      </c>
      <c r="H2647" s="859" t="s">
        <v>1310</v>
      </c>
      <c r="I2647" s="251">
        <v>1000</v>
      </c>
      <c r="J2647" s="251">
        <v>8265</v>
      </c>
      <c r="K2647" s="860">
        <f t="shared" si="391"/>
        <v>8265000</v>
      </c>
      <c r="L2647" s="861" t="s">
        <v>162</v>
      </c>
      <c r="M2647" s="861" t="s">
        <v>857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52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26"/>
      <c r="AB2647" s="576"/>
    </row>
    <row r="2648" spans="1:28" ht="15.75" customHeight="1">
      <c r="A2648" s="827" t="str">
        <f>IF(B2648&lt;&gt;"",IF(AND(B2648&gt;=_TM1,B2648&lt;=_TM2,OR(TH!L2648="1111",TH!M2648="1111")),TH!D2648,""),"")</f>
        <v/>
      </c>
      <c r="B2648" s="36">
        <f t="shared" si="389"/>
        <v>3</v>
      </c>
      <c r="C2648" s="190">
        <f t="shared" si="390"/>
        <v>42448</v>
      </c>
      <c r="D2648" s="856" t="s">
        <v>1662</v>
      </c>
      <c r="E2648" s="856">
        <v>42448</v>
      </c>
      <c r="F2648" s="857" t="s">
        <v>1303</v>
      </c>
      <c r="G2648" s="858" t="s">
        <v>1071</v>
      </c>
      <c r="H2648" s="859" t="s">
        <v>1310</v>
      </c>
      <c r="I2648" s="251">
        <v>25</v>
      </c>
      <c r="J2648" s="251">
        <v>31464</v>
      </c>
      <c r="K2648" s="860">
        <f t="shared" si="391"/>
        <v>786600</v>
      </c>
      <c r="L2648" s="861" t="s">
        <v>162</v>
      </c>
      <c r="M2648" s="861" t="s">
        <v>857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52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26"/>
      <c r="AB2648" s="576"/>
    </row>
    <row r="2649" spans="1:28" ht="15.75" customHeight="1">
      <c r="A2649" s="827" t="str">
        <f>IF(B2649&lt;&gt;"",IF(AND(B2649&gt;=_TM1,B2649&lt;=_TM2,OR(TH!L2649="1111",TH!M2649="1111")),TH!D2649,""),"")</f>
        <v/>
      </c>
      <c r="B2649" s="36">
        <f t="shared" si="389"/>
        <v>3</v>
      </c>
      <c r="C2649" s="190">
        <f t="shared" si="390"/>
        <v>42448</v>
      </c>
      <c r="D2649" s="856" t="s">
        <v>1662</v>
      </c>
      <c r="E2649" s="856">
        <v>42448</v>
      </c>
      <c r="F2649" s="857" t="s">
        <v>1304</v>
      </c>
      <c r="G2649" s="858" t="s">
        <v>1071</v>
      </c>
      <c r="H2649" s="859" t="s">
        <v>1310</v>
      </c>
      <c r="I2649" s="251">
        <v>100</v>
      </c>
      <c r="J2649" s="251">
        <v>6033</v>
      </c>
      <c r="K2649" s="860">
        <f t="shared" si="391"/>
        <v>603300</v>
      </c>
      <c r="L2649" s="861" t="s">
        <v>162</v>
      </c>
      <c r="M2649" s="861" t="s">
        <v>857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52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26"/>
      <c r="AB2649" s="576"/>
    </row>
    <row r="2650" spans="1:28" ht="15.75" customHeight="1">
      <c r="A2650" s="827" t="str">
        <f>IF(B2650&lt;&gt;"",IF(AND(B2650&gt;=_TM1,B2650&lt;=_TM2,OR(TH!L2650="1111",TH!M2650="1111")),TH!D2650,""),"")</f>
        <v/>
      </c>
      <c r="B2650" s="36">
        <f t="shared" si="389"/>
        <v>3</v>
      </c>
      <c r="C2650" s="190">
        <f t="shared" si="390"/>
        <v>42449</v>
      </c>
      <c r="D2650" s="856" t="s">
        <v>1662</v>
      </c>
      <c r="E2650" s="856">
        <v>42449</v>
      </c>
      <c r="F2650" s="857" t="s">
        <v>451</v>
      </c>
      <c r="G2650" s="858" t="s">
        <v>1072</v>
      </c>
      <c r="H2650" s="859" t="s">
        <v>1310</v>
      </c>
      <c r="I2650" s="251">
        <v>3100</v>
      </c>
      <c r="J2650" s="251">
        <v>14250</v>
      </c>
      <c r="K2650" s="860">
        <f t="shared" si="391"/>
        <v>44175000</v>
      </c>
      <c r="L2650" s="861" t="s">
        <v>162</v>
      </c>
      <c r="M2650" s="861" t="s">
        <v>857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52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>x</v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26"/>
      <c r="AB2650" s="576"/>
    </row>
    <row r="2651" spans="1:28" ht="15.75" customHeight="1">
      <c r="A2651" s="827" t="str">
        <f>IF(B2651&lt;&gt;"",IF(AND(B2651&gt;=_TM1,B2651&lt;=_TM2,OR(TH!L2651="1111",TH!M2651="1111")),TH!D2651,""),"")</f>
        <v/>
      </c>
      <c r="B2651" s="36">
        <f t="shared" si="389"/>
        <v>3</v>
      </c>
      <c r="C2651" s="190">
        <f t="shared" si="390"/>
        <v>42449</v>
      </c>
      <c r="D2651" s="856" t="s">
        <v>1662</v>
      </c>
      <c r="E2651" s="856">
        <v>42449</v>
      </c>
      <c r="F2651" s="857" t="s">
        <v>450</v>
      </c>
      <c r="G2651" s="858" t="s">
        <v>1072</v>
      </c>
      <c r="H2651" s="859" t="s">
        <v>1310</v>
      </c>
      <c r="I2651" s="251">
        <v>3100</v>
      </c>
      <c r="J2651" s="251">
        <v>15675</v>
      </c>
      <c r="K2651" s="860">
        <f t="shared" si="391"/>
        <v>48592500</v>
      </c>
      <c r="L2651" s="861" t="s">
        <v>162</v>
      </c>
      <c r="M2651" s="861" t="s">
        <v>857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52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26"/>
      <c r="AB2651" s="576"/>
    </row>
    <row r="2652" spans="1:28" ht="15.75" customHeight="1">
      <c r="A2652" s="827" t="str">
        <f>IF(B2652&lt;&gt;"",IF(AND(B2652&gt;=_TM1,B2652&lt;=_TM2,OR(TH!L2652="1111",TH!M2652="1111")),TH!D2652,""),"")</f>
        <v/>
      </c>
      <c r="B2652" s="36">
        <f t="shared" si="389"/>
        <v>3</v>
      </c>
      <c r="C2652" s="190">
        <f t="shared" si="390"/>
        <v>42458</v>
      </c>
      <c r="D2652" s="856" t="s">
        <v>1662</v>
      </c>
      <c r="E2652" s="856">
        <v>42458</v>
      </c>
      <c r="F2652" s="857" t="s">
        <v>1078</v>
      </c>
      <c r="G2652" s="858" t="s">
        <v>1076</v>
      </c>
      <c r="H2652" s="859" t="s">
        <v>1310</v>
      </c>
      <c r="I2652" s="251">
        <v>300</v>
      </c>
      <c r="J2652" s="251">
        <v>9699</v>
      </c>
      <c r="K2652" s="860">
        <f t="shared" si="391"/>
        <v>2909700</v>
      </c>
      <c r="L2652" s="861" t="s">
        <v>162</v>
      </c>
      <c r="M2652" s="861" t="s">
        <v>857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52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26"/>
      <c r="AB2652" s="576"/>
    </row>
    <row r="2653" spans="1:28" ht="15.75" customHeight="1">
      <c r="A2653" s="827" t="str">
        <f>IF(B2653&lt;&gt;"",IF(AND(B2653&gt;=_TM1,B2653&lt;=_TM2,OR(TH!L2653="1111",TH!M2653="1111")),TH!D2653,""),"")</f>
        <v/>
      </c>
      <c r="B2653" s="36">
        <f t="shared" si="389"/>
        <v>3</v>
      </c>
      <c r="C2653" s="190">
        <f t="shared" si="390"/>
        <v>42458</v>
      </c>
      <c r="D2653" s="856" t="s">
        <v>1662</v>
      </c>
      <c r="E2653" s="856">
        <v>42458</v>
      </c>
      <c r="F2653" s="857" t="s">
        <v>967</v>
      </c>
      <c r="G2653" s="858" t="s">
        <v>1076</v>
      </c>
      <c r="H2653" s="859" t="s">
        <v>1310</v>
      </c>
      <c r="I2653" s="251">
        <v>640</v>
      </c>
      <c r="J2653" s="251">
        <v>9026</v>
      </c>
      <c r="K2653" s="860">
        <f t="shared" si="391"/>
        <v>5776640</v>
      </c>
      <c r="L2653" s="861" t="s">
        <v>162</v>
      </c>
      <c r="M2653" s="861" t="s">
        <v>857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52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26"/>
      <c r="AB2653" s="576"/>
    </row>
    <row r="2654" spans="1:28" ht="15.75" customHeight="1">
      <c r="A2654" s="827" t="str">
        <f>IF(B2654&lt;&gt;"",IF(AND(B2654&gt;=_TM1,B2654&lt;=_TM2,OR(TH!L2654="1111",TH!M2654="1111")),TH!D2654,""),"")</f>
        <v/>
      </c>
      <c r="B2654" s="36">
        <f t="shared" si="389"/>
        <v>3</v>
      </c>
      <c r="C2654" s="190">
        <f t="shared" si="390"/>
        <v>42458</v>
      </c>
      <c r="D2654" s="856" t="s">
        <v>1662</v>
      </c>
      <c r="E2654" s="856">
        <v>42458</v>
      </c>
      <c r="F2654" s="857" t="s">
        <v>755</v>
      </c>
      <c r="G2654" s="858" t="s">
        <v>1080</v>
      </c>
      <c r="H2654" s="859" t="s">
        <v>1310</v>
      </c>
      <c r="I2654" s="251">
        <v>24</v>
      </c>
      <c r="J2654" s="251">
        <v>33168</v>
      </c>
      <c r="K2654" s="860">
        <f t="shared" si="391"/>
        <v>796032</v>
      </c>
      <c r="L2654" s="861" t="s">
        <v>162</v>
      </c>
      <c r="M2654" s="861" t="s">
        <v>857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52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26"/>
      <c r="AB2654" s="576"/>
    </row>
    <row r="2655" spans="1:28" ht="15.75" customHeight="1">
      <c r="A2655" s="827" t="str">
        <f>IF(B2655&lt;&gt;"",IF(AND(B2655&gt;=_TM1,B2655&lt;=_TM2,OR(TH!L2655="1111",TH!M2655="1111")),TH!D2655,""),"")</f>
        <v/>
      </c>
      <c r="B2655" s="36">
        <f t="shared" si="389"/>
        <v>3</v>
      </c>
      <c r="C2655" s="190">
        <f t="shared" si="390"/>
        <v>42458</v>
      </c>
      <c r="D2655" s="856" t="s">
        <v>1662</v>
      </c>
      <c r="E2655" s="856">
        <v>42458</v>
      </c>
      <c r="F2655" s="857" t="s">
        <v>756</v>
      </c>
      <c r="G2655" s="858" t="s">
        <v>1080</v>
      </c>
      <c r="H2655" s="859" t="s">
        <v>1310</v>
      </c>
      <c r="I2655" s="251">
        <v>36</v>
      </c>
      <c r="J2655" s="251">
        <v>51418</v>
      </c>
      <c r="K2655" s="860">
        <f t="shared" si="391"/>
        <v>1851048</v>
      </c>
      <c r="L2655" s="861" t="s">
        <v>162</v>
      </c>
      <c r="M2655" s="861" t="s">
        <v>857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52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26"/>
      <c r="AB2655" s="576"/>
    </row>
    <row r="2656" spans="1:28" ht="15.75" customHeight="1">
      <c r="A2656" s="827" t="str">
        <f>IF(B2656&lt;&gt;"",IF(AND(B2656&gt;=_TM1,B2656&lt;=_TM2,OR(TH!L2656="1111",TH!M2656="1111")),TH!D2656,""),"")</f>
        <v/>
      </c>
      <c r="B2656" s="36">
        <f t="shared" si="389"/>
        <v>3</v>
      </c>
      <c r="C2656" s="190">
        <f t="shared" si="390"/>
        <v>42458</v>
      </c>
      <c r="D2656" s="856" t="s">
        <v>1662</v>
      </c>
      <c r="E2656" s="856">
        <v>42458</v>
      </c>
      <c r="F2656" s="857" t="s">
        <v>672</v>
      </c>
      <c r="G2656" s="858" t="s">
        <v>1080</v>
      </c>
      <c r="H2656" s="859" t="s">
        <v>1310</v>
      </c>
      <c r="I2656" s="251">
        <v>54</v>
      </c>
      <c r="J2656" s="251">
        <v>33846</v>
      </c>
      <c r="K2656" s="860">
        <f t="shared" si="391"/>
        <v>1827684</v>
      </c>
      <c r="L2656" s="861" t="s">
        <v>162</v>
      </c>
      <c r="M2656" s="861" t="s">
        <v>857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52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26"/>
      <c r="AB2656" s="576"/>
    </row>
    <row r="2657" spans="1:28" ht="15.75" customHeight="1">
      <c r="A2657" s="827" t="str">
        <f>IF(B2657&lt;&gt;"",IF(AND(B2657&gt;=_TM1,B2657&lt;=_TM2,OR(TH!L2657="1111",TH!M2657="1111")),TH!D2657,""),"")</f>
        <v/>
      </c>
      <c r="B2657" s="36">
        <f t="shared" si="389"/>
        <v>3</v>
      </c>
      <c r="C2657" s="190">
        <f t="shared" si="390"/>
        <v>42458</v>
      </c>
      <c r="D2657" s="856" t="s">
        <v>1662</v>
      </c>
      <c r="E2657" s="856">
        <v>42458</v>
      </c>
      <c r="F2657" s="857" t="s">
        <v>736</v>
      </c>
      <c r="G2657" s="858" t="s">
        <v>1080</v>
      </c>
      <c r="H2657" s="859" t="s">
        <v>1310</v>
      </c>
      <c r="I2657" s="251">
        <v>15</v>
      </c>
      <c r="J2657" s="251">
        <v>72214</v>
      </c>
      <c r="K2657" s="860">
        <f t="shared" si="391"/>
        <v>1083210</v>
      </c>
      <c r="L2657" s="861" t="s">
        <v>162</v>
      </c>
      <c r="M2657" s="861" t="s">
        <v>857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52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26"/>
      <c r="AB2657" s="576"/>
    </row>
    <row r="2658" spans="1:28" ht="15.75" customHeight="1">
      <c r="A2658" s="827" t="str">
        <f>IF(B2658&lt;&gt;"",IF(AND(B2658&gt;=_TM1,B2658&lt;=_TM2,OR(TH!L2658="1111",TH!M2658="1111")),TH!D2658,""),"")</f>
        <v/>
      </c>
      <c r="B2658" s="36">
        <f t="shared" si="389"/>
        <v>3</v>
      </c>
      <c r="C2658" s="190">
        <f t="shared" si="390"/>
        <v>42458</v>
      </c>
      <c r="D2658" s="856" t="s">
        <v>1662</v>
      </c>
      <c r="E2658" s="856">
        <v>42458</v>
      </c>
      <c r="F2658" s="857" t="s">
        <v>469</v>
      </c>
      <c r="G2658" s="858" t="s">
        <v>1080</v>
      </c>
      <c r="H2658" s="859" t="s">
        <v>1310</v>
      </c>
      <c r="I2658" s="251">
        <v>9</v>
      </c>
      <c r="J2658" s="251">
        <v>58817</v>
      </c>
      <c r="K2658" s="860">
        <f t="shared" si="391"/>
        <v>529353</v>
      </c>
      <c r="L2658" s="861" t="s">
        <v>162</v>
      </c>
      <c r="M2658" s="861" t="s">
        <v>857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52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26"/>
      <c r="AB2658" s="576"/>
    </row>
    <row r="2659" spans="1:28" ht="15.75" customHeight="1">
      <c r="A2659" s="827" t="str">
        <f>IF(B2659&lt;&gt;"",IF(AND(B2659&gt;=_TM1,B2659&lt;=_TM2,OR(TH!L2659="1111",TH!M2659="1111")),TH!D2659,""),"")</f>
        <v/>
      </c>
      <c r="B2659" s="36">
        <f t="shared" si="389"/>
        <v>3</v>
      </c>
      <c r="C2659" s="190">
        <f t="shared" si="390"/>
        <v>42458</v>
      </c>
      <c r="D2659" s="856" t="s">
        <v>1662</v>
      </c>
      <c r="E2659" s="856">
        <v>42458</v>
      </c>
      <c r="F2659" s="857" t="s">
        <v>453</v>
      </c>
      <c r="G2659" s="858" t="s">
        <v>1080</v>
      </c>
      <c r="H2659" s="859" t="s">
        <v>1310</v>
      </c>
      <c r="I2659" s="251">
        <v>12</v>
      </c>
      <c r="J2659" s="251">
        <v>120909</v>
      </c>
      <c r="K2659" s="860">
        <f t="shared" si="391"/>
        <v>1450908</v>
      </c>
      <c r="L2659" s="861" t="s">
        <v>162</v>
      </c>
      <c r="M2659" s="861" t="s">
        <v>857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52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26"/>
      <c r="AB2659" s="576"/>
    </row>
    <row r="2660" spans="1:28" ht="15.75" customHeight="1">
      <c r="A2660" s="827" t="str">
        <f>IF(B2660&lt;&gt;"",IF(AND(B2660&gt;=_TM1,B2660&lt;=_TM2,OR(TH!L2660="1111",TH!M2660="1111")),TH!D2660,""),"")</f>
        <v/>
      </c>
      <c r="B2660" s="36">
        <f t="shared" si="389"/>
        <v>3</v>
      </c>
      <c r="C2660" s="190">
        <f t="shared" si="390"/>
        <v>42458</v>
      </c>
      <c r="D2660" s="856" t="s">
        <v>1662</v>
      </c>
      <c r="E2660" s="856">
        <v>42458</v>
      </c>
      <c r="F2660" s="857" t="s">
        <v>455</v>
      </c>
      <c r="G2660" s="858" t="s">
        <v>1080</v>
      </c>
      <c r="H2660" s="859" t="s">
        <v>1310</v>
      </c>
      <c r="I2660" s="251">
        <v>10</v>
      </c>
      <c r="J2660" s="251">
        <v>157609</v>
      </c>
      <c r="K2660" s="860">
        <f t="shared" si="391"/>
        <v>1576090</v>
      </c>
      <c r="L2660" s="861" t="s">
        <v>162</v>
      </c>
      <c r="M2660" s="861" t="s">
        <v>857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52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26"/>
      <c r="AB2660" s="576"/>
    </row>
    <row r="2661" spans="1:28" ht="15.75" customHeight="1">
      <c r="A2661" s="827" t="str">
        <f>IF(B2661&lt;&gt;"",IF(AND(B2661&gt;=_TM1,B2661&lt;=_TM2,OR(TH!L2661="1111",TH!M2661="1111")),TH!D2661,""),"")</f>
        <v/>
      </c>
      <c r="B2661" s="36">
        <f t="shared" si="389"/>
        <v>3</v>
      </c>
      <c r="C2661" s="190">
        <f t="shared" si="390"/>
        <v>42458</v>
      </c>
      <c r="D2661" s="856" t="s">
        <v>1662</v>
      </c>
      <c r="E2661" s="856">
        <v>42458</v>
      </c>
      <c r="F2661" s="857" t="s">
        <v>456</v>
      </c>
      <c r="G2661" s="858" t="s">
        <v>1080</v>
      </c>
      <c r="H2661" s="859" t="s">
        <v>1310</v>
      </c>
      <c r="I2661" s="251">
        <v>10</v>
      </c>
      <c r="J2661" s="251">
        <v>138818</v>
      </c>
      <c r="K2661" s="860">
        <f t="shared" si="391"/>
        <v>1388180</v>
      </c>
      <c r="L2661" s="861" t="s">
        <v>162</v>
      </c>
      <c r="M2661" s="861" t="s">
        <v>857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52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26"/>
      <c r="AB2661" s="576"/>
    </row>
    <row r="2662" spans="1:28" ht="15.75" customHeight="1">
      <c r="A2662" s="827" t="str">
        <f>IF(B2662&lt;&gt;"",IF(AND(B2662&gt;=_TM1,B2662&lt;=_TM2,OR(TH!L2662="1111",TH!M2662="1111")),TH!D2662,""),"")</f>
        <v/>
      </c>
      <c r="B2662" s="36">
        <f t="shared" si="389"/>
        <v>3</v>
      </c>
      <c r="C2662" s="190">
        <f t="shared" si="390"/>
        <v>42458</v>
      </c>
      <c r="D2662" s="856" t="s">
        <v>1662</v>
      </c>
      <c r="E2662" s="856">
        <v>42458</v>
      </c>
      <c r="F2662" s="857" t="s">
        <v>1010</v>
      </c>
      <c r="G2662" s="858" t="s">
        <v>1080</v>
      </c>
      <c r="H2662" s="859" t="s">
        <v>1310</v>
      </c>
      <c r="I2662" s="251">
        <v>12</v>
      </c>
      <c r="J2662" s="251">
        <v>47309.4</v>
      </c>
      <c r="K2662" s="860">
        <f t="shared" si="391"/>
        <v>567713</v>
      </c>
      <c r="L2662" s="861" t="s">
        <v>162</v>
      </c>
      <c r="M2662" s="861" t="s">
        <v>857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52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26"/>
      <c r="AB2662" s="576"/>
    </row>
    <row r="2663" spans="1:28" ht="15.75" customHeight="1">
      <c r="A2663" s="827" t="str">
        <f>IF(B2663&lt;&gt;"",IF(AND(B2663&gt;=_TM1,B2663&lt;=_TM2,OR(TH!L2663="1111",TH!M2663="1111")),TH!D2663,""),"")</f>
        <v/>
      </c>
      <c r="B2663" s="36">
        <f t="shared" si="389"/>
        <v>3</v>
      </c>
      <c r="C2663" s="190">
        <f t="shared" si="390"/>
        <v>42458</v>
      </c>
      <c r="D2663" s="856" t="s">
        <v>1662</v>
      </c>
      <c r="E2663" s="856">
        <v>42458</v>
      </c>
      <c r="F2663" s="857" t="s">
        <v>457</v>
      </c>
      <c r="G2663" s="858" t="s">
        <v>1080</v>
      </c>
      <c r="H2663" s="859" t="s">
        <v>1310</v>
      </c>
      <c r="I2663" s="251">
        <v>10</v>
      </c>
      <c r="J2663" s="251">
        <v>96550</v>
      </c>
      <c r="K2663" s="860">
        <f t="shared" si="391"/>
        <v>965500</v>
      </c>
      <c r="L2663" s="861" t="s">
        <v>162</v>
      </c>
      <c r="M2663" s="861" t="s">
        <v>857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52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26"/>
      <c r="AB2663" s="576"/>
    </row>
    <row r="2664" spans="1:28" ht="15.75" customHeight="1">
      <c r="A2664" s="827" t="str">
        <f>IF(B2664&lt;&gt;"",IF(AND(B2664&gt;=_TM1,B2664&lt;=_TM2,OR(TH!L2664="1111",TH!M2664="1111")),TH!D2664,""),"")</f>
        <v/>
      </c>
      <c r="B2664" s="36">
        <f t="shared" si="389"/>
        <v>3</v>
      </c>
      <c r="C2664" s="190">
        <f t="shared" si="390"/>
        <v>42458</v>
      </c>
      <c r="D2664" s="856" t="s">
        <v>1662</v>
      </c>
      <c r="E2664" s="856">
        <v>42458</v>
      </c>
      <c r="F2664" s="857" t="s">
        <v>1011</v>
      </c>
      <c r="G2664" s="858" t="s">
        <v>1080</v>
      </c>
      <c r="H2664" s="859" t="s">
        <v>1310</v>
      </c>
      <c r="I2664" s="251">
        <v>20</v>
      </c>
      <c r="J2664" s="251">
        <v>77984</v>
      </c>
      <c r="K2664" s="860">
        <f t="shared" si="391"/>
        <v>1559680</v>
      </c>
      <c r="L2664" s="861" t="s">
        <v>162</v>
      </c>
      <c r="M2664" s="861" t="s">
        <v>857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52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26"/>
      <c r="AB2664" s="576"/>
    </row>
    <row r="2665" spans="1:28" ht="15.75" customHeight="1">
      <c r="A2665" s="827" t="str">
        <f>IF(B2665&lt;&gt;"",IF(AND(B2665&gt;=_TM1,B2665&lt;=_TM2,OR(TH!L2665="1111",TH!M2665="1111")),TH!D2665,""),"")</f>
        <v/>
      </c>
      <c r="B2665" s="36">
        <f t="shared" si="389"/>
        <v>3</v>
      </c>
      <c r="C2665" s="190">
        <f t="shared" si="390"/>
        <v>42458</v>
      </c>
      <c r="D2665" s="856" t="s">
        <v>1662</v>
      </c>
      <c r="E2665" s="856">
        <v>42458</v>
      </c>
      <c r="F2665" s="857" t="s">
        <v>458</v>
      </c>
      <c r="G2665" s="858" t="s">
        <v>1080</v>
      </c>
      <c r="H2665" s="859" t="s">
        <v>1310</v>
      </c>
      <c r="I2665" s="251">
        <v>10</v>
      </c>
      <c r="J2665" s="251">
        <v>47796</v>
      </c>
      <c r="K2665" s="860">
        <f t="shared" si="391"/>
        <v>477960</v>
      </c>
      <c r="L2665" s="861" t="s">
        <v>162</v>
      </c>
      <c r="M2665" s="861" t="s">
        <v>857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52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26"/>
      <c r="AB2665" s="576"/>
    </row>
    <row r="2666" spans="1:28" ht="15.75" customHeight="1">
      <c r="A2666" s="827" t="str">
        <f>IF(B2666&lt;&gt;"",IF(AND(B2666&gt;=_TM1,B2666&lt;=_TM2,OR(TH!L2666="1111",TH!M2666="1111")),TH!D2666,""),"")</f>
        <v/>
      </c>
      <c r="B2666" s="36">
        <f t="shared" si="389"/>
        <v>3</v>
      </c>
      <c r="C2666" s="190">
        <f t="shared" si="390"/>
        <v>42458</v>
      </c>
      <c r="D2666" s="856" t="s">
        <v>1662</v>
      </c>
      <c r="E2666" s="856">
        <v>42458</v>
      </c>
      <c r="F2666" s="857" t="s">
        <v>1012</v>
      </c>
      <c r="G2666" s="858" t="s">
        <v>1080</v>
      </c>
      <c r="H2666" s="859" t="s">
        <v>1310</v>
      </c>
      <c r="I2666" s="251">
        <v>10</v>
      </c>
      <c r="J2666" s="251">
        <v>62200</v>
      </c>
      <c r="K2666" s="860">
        <f t="shared" si="391"/>
        <v>622000</v>
      </c>
      <c r="L2666" s="861" t="s">
        <v>162</v>
      </c>
      <c r="M2666" s="861" t="s">
        <v>857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52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26"/>
      <c r="AB2666" s="576"/>
    </row>
    <row r="2667" spans="1:28" s="887" customFormat="1" ht="15.75" customHeight="1">
      <c r="A2667" s="827" t="str">
        <f>IF(B2667&lt;&gt;"",IF(AND(B2667&gt;=_TM1,B2667&lt;=_TM2,OR(TH!L2667="1111",TH!M2667="1111")),TH!D2667,""),"")</f>
        <v/>
      </c>
      <c r="B2667" s="876">
        <f t="shared" ref="B2667:B2711" si="392">IF(C2667&lt;&gt;"",MONTH(C2667),"")</f>
        <v>1</v>
      </c>
      <c r="C2667" s="877">
        <f t="shared" ref="C2667:C2711" si="393">E2667</f>
        <v>42373</v>
      </c>
      <c r="D2667" s="856" t="s">
        <v>1662</v>
      </c>
      <c r="E2667" s="877">
        <v>42373</v>
      </c>
      <c r="F2667" s="888" t="s">
        <v>448</v>
      </c>
      <c r="G2667" s="880" t="s">
        <v>1020</v>
      </c>
      <c r="H2667" s="881" t="s">
        <v>1310</v>
      </c>
      <c r="I2667" s="882">
        <v>1000</v>
      </c>
      <c r="J2667" s="882">
        <v>6995.597138763058</v>
      </c>
      <c r="K2667" s="883">
        <f t="shared" ref="K2667:K2681" si="394">ROUND(I2667*J2667,0)</f>
        <v>6995597</v>
      </c>
      <c r="L2667" s="884" t="s">
        <v>162</v>
      </c>
      <c r="M2667" s="884" t="s">
        <v>857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52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85"/>
      <c r="AB2667" s="886"/>
    </row>
    <row r="2668" spans="1:28" ht="15.75" customHeight="1">
      <c r="A2668" s="827" t="str">
        <f>IF(B2668&lt;&gt;"",IF(AND(B2668&gt;=_TM1,B2668&lt;=_TM2,OR(TH!L2668="1111",TH!M2668="1111")),TH!D2668,""),"")</f>
        <v/>
      </c>
      <c r="B2668" s="36">
        <f t="shared" si="392"/>
        <v>1</v>
      </c>
      <c r="C2668" s="190">
        <f t="shared" si="393"/>
        <v>42375</v>
      </c>
      <c r="D2668" s="856" t="s">
        <v>1662</v>
      </c>
      <c r="E2668" s="856">
        <v>42375</v>
      </c>
      <c r="F2668" s="868" t="s">
        <v>1024</v>
      </c>
      <c r="G2668" s="858" t="s">
        <v>1022</v>
      </c>
      <c r="H2668" s="859" t="s">
        <v>1310</v>
      </c>
      <c r="I2668" s="251">
        <v>55</v>
      </c>
      <c r="J2668" s="251">
        <v>14711.892593308512</v>
      </c>
      <c r="K2668" s="860">
        <f t="shared" si="394"/>
        <v>809154</v>
      </c>
      <c r="L2668" s="861" t="s">
        <v>162</v>
      </c>
      <c r="M2668" s="861" t="s">
        <v>857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52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26"/>
      <c r="AB2668" s="576"/>
    </row>
    <row r="2669" spans="1:28" ht="15.75" customHeight="1">
      <c r="A2669" s="827" t="str">
        <f>IF(B2669&lt;&gt;"",IF(AND(B2669&gt;=_TM1,B2669&lt;=_TM2,OR(TH!L2669="1111",TH!M2669="1111")),TH!D2669,""),"")</f>
        <v/>
      </c>
      <c r="B2669" s="36">
        <f t="shared" si="392"/>
        <v>1</v>
      </c>
      <c r="C2669" s="190">
        <f t="shared" si="393"/>
        <v>42388</v>
      </c>
      <c r="D2669" s="856" t="s">
        <v>1662</v>
      </c>
      <c r="E2669" s="856">
        <v>42388</v>
      </c>
      <c r="F2669" s="857" t="s">
        <v>1303</v>
      </c>
      <c r="G2669" s="858" t="s">
        <v>1028</v>
      </c>
      <c r="H2669" s="859" t="s">
        <v>1310</v>
      </c>
      <c r="I2669" s="251">
        <v>20</v>
      </c>
      <c r="J2669" s="251">
        <v>23165.34713876306</v>
      </c>
      <c r="K2669" s="860">
        <f t="shared" si="394"/>
        <v>463307</v>
      </c>
      <c r="L2669" s="861" t="s">
        <v>162</v>
      </c>
      <c r="M2669" s="861" t="s">
        <v>857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52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26"/>
      <c r="AB2669" s="576"/>
    </row>
    <row r="2670" spans="1:28" ht="15.75" customHeight="1">
      <c r="A2670" s="827" t="str">
        <f>IF(B2670&lt;&gt;"",IF(AND(B2670&gt;=_TM1,B2670&lt;=_TM2,OR(TH!L2670="1111",TH!M2670="1111")),TH!D2670,""),"")</f>
        <v/>
      </c>
      <c r="B2670" s="36">
        <f t="shared" si="392"/>
        <v>1</v>
      </c>
      <c r="C2670" s="190">
        <f t="shared" si="393"/>
        <v>42388</v>
      </c>
      <c r="D2670" s="856" t="s">
        <v>1662</v>
      </c>
      <c r="E2670" s="856">
        <v>42388</v>
      </c>
      <c r="F2670" s="868" t="s">
        <v>1304</v>
      </c>
      <c r="G2670" s="858" t="s">
        <v>1028</v>
      </c>
      <c r="H2670" s="859" t="s">
        <v>1310</v>
      </c>
      <c r="I2670" s="251">
        <v>50</v>
      </c>
      <c r="J2670" s="251">
        <v>5444.1471387630581</v>
      </c>
      <c r="K2670" s="860">
        <f t="shared" si="394"/>
        <v>272207</v>
      </c>
      <c r="L2670" s="861" t="s">
        <v>162</v>
      </c>
      <c r="M2670" s="861" t="s">
        <v>857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52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26"/>
      <c r="AB2670" s="576"/>
    </row>
    <row r="2671" spans="1:28" ht="15.75" customHeight="1">
      <c r="A2671" s="827" t="str">
        <f>IF(B2671&lt;&gt;"",IF(AND(B2671&gt;=_TM1,B2671&lt;=_TM2,OR(TH!L2671="1111",TH!M2671="1111")),TH!D2671,""),"")</f>
        <v/>
      </c>
      <c r="B2671" s="36">
        <f t="shared" si="392"/>
        <v>2</v>
      </c>
      <c r="C2671" s="190">
        <f t="shared" si="393"/>
        <v>42401</v>
      </c>
      <c r="D2671" s="856" t="s">
        <v>1662</v>
      </c>
      <c r="E2671" s="856">
        <v>42401</v>
      </c>
      <c r="F2671" s="857" t="s">
        <v>448</v>
      </c>
      <c r="G2671" s="858" t="s">
        <v>1038</v>
      </c>
      <c r="H2671" s="859" t="s">
        <v>1310</v>
      </c>
      <c r="I2671" s="251">
        <v>1000</v>
      </c>
      <c r="J2671" s="251">
        <v>8750.3471387630598</v>
      </c>
      <c r="K2671" s="860">
        <f t="shared" si="394"/>
        <v>8750347</v>
      </c>
      <c r="L2671" s="861" t="s">
        <v>162</v>
      </c>
      <c r="M2671" s="861" t="s">
        <v>857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52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26"/>
      <c r="AB2671" s="576"/>
    </row>
    <row r="2672" spans="1:28" ht="15.75" customHeight="1">
      <c r="A2672" s="827" t="str">
        <f>IF(B2672&lt;&gt;"",IF(AND(B2672&gt;=_TM1,B2672&lt;=_TM2,OR(TH!L2672="1111",TH!M2672="1111")),TH!D2672,""),"")</f>
        <v/>
      </c>
      <c r="B2672" s="36">
        <f t="shared" si="392"/>
        <v>2</v>
      </c>
      <c r="C2672" s="190">
        <f t="shared" si="393"/>
        <v>42429</v>
      </c>
      <c r="D2672" s="856" t="s">
        <v>1662</v>
      </c>
      <c r="E2672" s="856">
        <v>42429</v>
      </c>
      <c r="F2672" s="857" t="s">
        <v>1007</v>
      </c>
      <c r="G2672" s="858" t="s">
        <v>1054</v>
      </c>
      <c r="H2672" s="859" t="s">
        <v>1310</v>
      </c>
      <c r="I2672" s="251">
        <v>12</v>
      </c>
      <c r="J2672" s="251">
        <v>30592.847138763056</v>
      </c>
      <c r="K2672" s="860">
        <f t="shared" si="394"/>
        <v>367114</v>
      </c>
      <c r="L2672" s="861" t="s">
        <v>162</v>
      </c>
      <c r="M2672" s="861" t="s">
        <v>857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52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26"/>
      <c r="AB2672" s="576"/>
    </row>
    <row r="2673" spans="1:28" ht="15.75" customHeight="1">
      <c r="A2673" s="827" t="str">
        <f>IF(B2673&lt;&gt;"",IF(AND(B2673&gt;=_TM1,B2673&lt;=_TM2,OR(TH!L2673="1111",TH!M2673="1111")),TH!D2673,""),"")</f>
        <v/>
      </c>
      <c r="B2673" s="36">
        <f t="shared" si="392"/>
        <v>3</v>
      </c>
      <c r="C2673" s="190">
        <f t="shared" si="393"/>
        <v>42433</v>
      </c>
      <c r="D2673" s="856" t="s">
        <v>1662</v>
      </c>
      <c r="E2673" s="856">
        <v>42433</v>
      </c>
      <c r="F2673" s="868" t="s">
        <v>1057</v>
      </c>
      <c r="G2673" s="858" t="s">
        <v>1056</v>
      </c>
      <c r="H2673" s="859" t="s">
        <v>1310</v>
      </c>
      <c r="I2673" s="251">
        <v>200</v>
      </c>
      <c r="J2673" s="251">
        <v>6225.142138763058</v>
      </c>
      <c r="K2673" s="860">
        <f t="shared" si="394"/>
        <v>1245028</v>
      </c>
      <c r="L2673" s="861" t="s">
        <v>162</v>
      </c>
      <c r="M2673" s="861" t="s">
        <v>857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52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26"/>
      <c r="AB2673" s="576"/>
    </row>
    <row r="2674" spans="1:28" ht="15.75" customHeight="1">
      <c r="A2674" s="827" t="str">
        <f>IF(B2674&lt;&gt;"",IF(AND(B2674&gt;=_TM1,B2674&lt;=_TM2,OR(TH!L2674="1111",TH!M2674="1111")),TH!D2674,""),"")</f>
        <v/>
      </c>
      <c r="B2674" s="36">
        <f t="shared" si="392"/>
        <v>3</v>
      </c>
      <c r="C2674" s="190">
        <f t="shared" si="393"/>
        <v>42449</v>
      </c>
      <c r="D2674" s="856" t="s">
        <v>1662</v>
      </c>
      <c r="E2674" s="856">
        <v>42449</v>
      </c>
      <c r="F2674" s="857" t="s">
        <v>451</v>
      </c>
      <c r="G2674" s="858" t="s">
        <v>1072</v>
      </c>
      <c r="H2674" s="859" t="s">
        <v>1310</v>
      </c>
      <c r="I2674" s="251">
        <v>100</v>
      </c>
      <c r="J2674" s="251">
        <v>13417.347138763058</v>
      </c>
      <c r="K2674" s="860">
        <f t="shared" si="394"/>
        <v>1341735</v>
      </c>
      <c r="L2674" s="861" t="s">
        <v>162</v>
      </c>
      <c r="M2674" s="861" t="s">
        <v>857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52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>x</v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26"/>
      <c r="AB2674" s="576"/>
    </row>
    <row r="2675" spans="1:28" ht="15.75" customHeight="1">
      <c r="A2675" s="827" t="str">
        <f>IF(B2675&lt;&gt;"",IF(AND(B2675&gt;=_TM1,B2675&lt;=_TM2,OR(TH!L2675="1111",TH!M2675="1111")),TH!D2675,""),"")</f>
        <v/>
      </c>
      <c r="B2675" s="36">
        <f t="shared" si="392"/>
        <v>1</v>
      </c>
      <c r="C2675" s="190">
        <f t="shared" si="393"/>
        <v>42373</v>
      </c>
      <c r="D2675" s="856" t="s">
        <v>1662</v>
      </c>
      <c r="E2675" s="856">
        <v>42373</v>
      </c>
      <c r="F2675" s="857" t="s">
        <v>1178</v>
      </c>
      <c r="G2675" s="858" t="s">
        <v>1019</v>
      </c>
      <c r="H2675" s="859" t="s">
        <v>1310</v>
      </c>
      <c r="I2675" s="251">
        <v>850</v>
      </c>
      <c r="J2675" s="251">
        <v>32048.427138763058</v>
      </c>
      <c r="K2675" s="860">
        <f t="shared" si="394"/>
        <v>27241163</v>
      </c>
      <c r="L2675" s="861" t="s">
        <v>162</v>
      </c>
      <c r="M2675" s="861" t="s">
        <v>857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52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26"/>
      <c r="AB2675" s="576"/>
    </row>
    <row r="2676" spans="1:28" ht="15.75" customHeight="1">
      <c r="A2676" s="827" t="str">
        <f>IF(B2676&lt;&gt;"",IF(AND(B2676&gt;=_TM1,B2676&lt;=_TM2,OR(TH!L2676="1111",TH!M2676="1111")),TH!D2676,""),"")</f>
        <v/>
      </c>
      <c r="B2676" s="36">
        <f t="shared" si="392"/>
        <v>1</v>
      </c>
      <c r="C2676" s="190">
        <f t="shared" si="393"/>
        <v>42377</v>
      </c>
      <c r="D2676" s="856" t="s">
        <v>1662</v>
      </c>
      <c r="E2676" s="856">
        <v>42377</v>
      </c>
      <c r="F2676" s="868" t="s">
        <v>922</v>
      </c>
      <c r="G2676" s="858" t="s">
        <v>1025</v>
      </c>
      <c r="H2676" s="859" t="s">
        <v>1310</v>
      </c>
      <c r="I2676" s="251">
        <v>200</v>
      </c>
      <c r="J2676" s="251">
        <v>14598.847138763058</v>
      </c>
      <c r="K2676" s="860">
        <f t="shared" si="394"/>
        <v>2919769</v>
      </c>
      <c r="L2676" s="861" t="s">
        <v>162</v>
      </c>
      <c r="M2676" s="861" t="s">
        <v>857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52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26"/>
      <c r="AB2676" s="576"/>
    </row>
    <row r="2677" spans="1:28" ht="15.75" customHeight="1">
      <c r="A2677" s="827" t="str">
        <f>IF(B2677&lt;&gt;"",IF(AND(B2677&gt;=_TM1,B2677&lt;=_TM2,OR(TH!L2677="1111",TH!M2677="1111")),TH!D2677,""),"")</f>
        <v/>
      </c>
      <c r="B2677" s="36">
        <f t="shared" si="392"/>
        <v>1</v>
      </c>
      <c r="C2677" s="190">
        <f t="shared" si="393"/>
        <v>42381</v>
      </c>
      <c r="D2677" s="856" t="s">
        <v>1662</v>
      </c>
      <c r="E2677" s="856">
        <v>42381</v>
      </c>
      <c r="F2677" s="857" t="s">
        <v>659</v>
      </c>
      <c r="G2677" s="858" t="s">
        <v>1026</v>
      </c>
      <c r="H2677" s="859" t="s">
        <v>1310</v>
      </c>
      <c r="I2677" s="252">
        <v>1000</v>
      </c>
      <c r="J2677" s="252">
        <v>10087.42713876306</v>
      </c>
      <c r="K2677" s="860">
        <f t="shared" si="394"/>
        <v>10087427</v>
      </c>
      <c r="L2677" s="861" t="s">
        <v>162</v>
      </c>
      <c r="M2677" s="861" t="s">
        <v>857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52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26"/>
      <c r="AB2677" s="576"/>
    </row>
    <row r="2678" spans="1:28" ht="15.75" customHeight="1">
      <c r="A2678" s="827" t="str">
        <f>IF(B2678&lt;&gt;"",IF(AND(B2678&gt;=_TM1,B2678&lt;=_TM2,OR(TH!L2678="1111",TH!M2678="1111")),TH!D2678,""),"")</f>
        <v/>
      </c>
      <c r="B2678" s="36">
        <f t="shared" si="392"/>
        <v>1</v>
      </c>
      <c r="C2678" s="190">
        <f t="shared" si="393"/>
        <v>42388</v>
      </c>
      <c r="D2678" s="856" t="s">
        <v>1662</v>
      </c>
      <c r="E2678" s="856">
        <v>42388</v>
      </c>
      <c r="F2678" s="868" t="s">
        <v>924</v>
      </c>
      <c r="G2678" s="858" t="s">
        <v>1027</v>
      </c>
      <c r="H2678" s="859" t="s">
        <v>1310</v>
      </c>
      <c r="I2678" s="251">
        <v>450</v>
      </c>
      <c r="J2678" s="251">
        <v>23837.236027651947</v>
      </c>
      <c r="K2678" s="860">
        <f t="shared" si="394"/>
        <v>10726756</v>
      </c>
      <c r="L2678" s="861" t="s">
        <v>162</v>
      </c>
      <c r="M2678" s="861" t="s">
        <v>857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52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26"/>
      <c r="AB2678" s="576"/>
    </row>
    <row r="2679" spans="1:28" ht="15.75" customHeight="1">
      <c r="A2679" s="827" t="str">
        <f>IF(B2679&lt;&gt;"",IF(AND(B2679&gt;=_TM1,B2679&lt;=_TM2,OR(TH!L2679="1111",TH!M2679="1111")),TH!D2679,""),"")</f>
        <v/>
      </c>
      <c r="B2679" s="36">
        <f t="shared" si="392"/>
        <v>1</v>
      </c>
      <c r="C2679" s="190">
        <f t="shared" si="393"/>
        <v>42394</v>
      </c>
      <c r="D2679" s="856" t="s">
        <v>1662</v>
      </c>
      <c r="E2679" s="856">
        <v>42394</v>
      </c>
      <c r="F2679" s="868" t="s">
        <v>930</v>
      </c>
      <c r="G2679" s="858" t="s">
        <v>1029</v>
      </c>
      <c r="H2679" s="859" t="s">
        <v>1310</v>
      </c>
      <c r="I2679" s="251">
        <v>270</v>
      </c>
      <c r="J2679" s="251">
        <v>24465.680472096392</v>
      </c>
      <c r="K2679" s="860">
        <f t="shared" si="394"/>
        <v>6605734</v>
      </c>
      <c r="L2679" s="861" t="s">
        <v>162</v>
      </c>
      <c r="M2679" s="861" t="s">
        <v>857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52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26"/>
      <c r="AB2679" s="576"/>
    </row>
    <row r="2680" spans="1:28" ht="15.75" customHeight="1">
      <c r="A2680" s="827" t="str">
        <f>IF(B2680&lt;&gt;"",IF(AND(B2680&gt;=_TM1,B2680&lt;=_TM2,OR(TH!L2680="1111",TH!M2680="1111")),TH!D2680,""),"")</f>
        <v/>
      </c>
      <c r="B2680" s="36">
        <f t="shared" si="392"/>
        <v>1</v>
      </c>
      <c r="C2680" s="190">
        <f t="shared" si="393"/>
        <v>42399</v>
      </c>
      <c r="D2680" s="856" t="s">
        <v>1662</v>
      </c>
      <c r="E2680" s="856">
        <v>42399</v>
      </c>
      <c r="F2680" s="857" t="s">
        <v>664</v>
      </c>
      <c r="G2680" s="858" t="s">
        <v>1032</v>
      </c>
      <c r="H2680" s="859" t="s">
        <v>1310</v>
      </c>
      <c r="I2680" s="251">
        <v>210</v>
      </c>
      <c r="J2680" s="251">
        <v>84706.347138763056</v>
      </c>
      <c r="K2680" s="860">
        <f t="shared" si="394"/>
        <v>17788333</v>
      </c>
      <c r="L2680" s="861" t="s">
        <v>162</v>
      </c>
      <c r="M2680" s="861" t="s">
        <v>857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52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26"/>
      <c r="AB2680" s="576"/>
    </row>
    <row r="2681" spans="1:28" ht="15.75" customHeight="1">
      <c r="A2681" s="827" t="str">
        <f>IF(B2681&lt;&gt;"",IF(AND(B2681&gt;=_TM1,B2681&lt;=_TM2,OR(TH!L2681="1111",TH!M2681="1111")),TH!D2681,""),"")</f>
        <v/>
      </c>
      <c r="B2681" s="36">
        <f t="shared" si="392"/>
        <v>1</v>
      </c>
      <c r="C2681" s="190">
        <f t="shared" si="393"/>
        <v>42399</v>
      </c>
      <c r="D2681" s="856" t="s">
        <v>1662</v>
      </c>
      <c r="E2681" s="856">
        <v>42399</v>
      </c>
      <c r="F2681" s="857" t="s">
        <v>683</v>
      </c>
      <c r="G2681" s="858" t="s">
        <v>1032</v>
      </c>
      <c r="H2681" s="859" t="s">
        <v>1310</v>
      </c>
      <c r="I2681" s="869">
        <v>210</v>
      </c>
      <c r="J2681" s="252">
        <v>57332.413805429729</v>
      </c>
      <c r="K2681" s="860">
        <f t="shared" si="394"/>
        <v>12039807</v>
      </c>
      <c r="L2681" s="861" t="s">
        <v>162</v>
      </c>
      <c r="M2681" s="861" t="s">
        <v>857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52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26"/>
      <c r="AB2681" s="576"/>
    </row>
    <row r="2682" spans="1:28" ht="15.75" customHeight="1">
      <c r="A2682" s="827" t="str">
        <f>IF(B2682&lt;&gt;"",IF(AND(B2682&gt;=_TM1,B2682&lt;=_TM2,OR(TH!L2682="1111",TH!M2682="1111")),TH!D2682,""),"")</f>
        <v/>
      </c>
      <c r="B2682" s="36">
        <f t="shared" si="392"/>
        <v>1</v>
      </c>
      <c r="C2682" s="190">
        <f t="shared" si="393"/>
        <v>42399</v>
      </c>
      <c r="D2682" s="856" t="s">
        <v>1662</v>
      </c>
      <c r="E2682" s="856">
        <v>42399</v>
      </c>
      <c r="F2682" s="868" t="s">
        <v>921</v>
      </c>
      <c r="G2682" s="858" t="s">
        <v>1032</v>
      </c>
      <c r="H2682" s="859" t="s">
        <v>1310</v>
      </c>
      <c r="I2682" s="251">
        <v>916</v>
      </c>
      <c r="J2682" s="251">
        <v>7793.251068894062</v>
      </c>
      <c r="K2682" s="860">
        <f t="shared" ref="K2682:K2697" si="395">ROUND(I2682*J2682,0)</f>
        <v>7138618</v>
      </c>
      <c r="L2682" s="861" t="s">
        <v>162</v>
      </c>
      <c r="M2682" s="861" t="s">
        <v>857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52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26"/>
      <c r="AB2682" s="576"/>
    </row>
    <row r="2683" spans="1:28" ht="15.75" customHeight="1">
      <c r="A2683" s="827" t="str">
        <f>IF(B2683&lt;&gt;"",IF(AND(B2683&gt;=_TM1,B2683&lt;=_TM2,OR(TH!L2683="1111",TH!M2683="1111")),TH!D2683,""),"")</f>
        <v/>
      </c>
      <c r="B2683" s="36">
        <f t="shared" si="392"/>
        <v>2</v>
      </c>
      <c r="C2683" s="190">
        <f t="shared" si="393"/>
        <v>42401</v>
      </c>
      <c r="D2683" s="856" t="s">
        <v>1662</v>
      </c>
      <c r="E2683" s="856">
        <v>42401</v>
      </c>
      <c r="F2683" s="868" t="s">
        <v>937</v>
      </c>
      <c r="G2683" s="858" t="s">
        <v>1039</v>
      </c>
      <c r="H2683" s="859" t="s">
        <v>1310</v>
      </c>
      <c r="I2683" s="251">
        <v>396</v>
      </c>
      <c r="J2683" s="251">
        <v>24488.953199369116</v>
      </c>
      <c r="K2683" s="860">
        <f t="shared" si="395"/>
        <v>9697625</v>
      </c>
      <c r="L2683" s="861" t="s">
        <v>162</v>
      </c>
      <c r="M2683" s="861" t="s">
        <v>857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52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26"/>
      <c r="AB2683" s="576"/>
    </row>
    <row r="2684" spans="1:28" ht="15.75" customHeight="1">
      <c r="A2684" s="827" t="str">
        <f>IF(B2684&lt;&gt;"",IF(AND(B2684&gt;=_TM1,B2684&lt;=_TM2,OR(TH!L2684="1111",TH!M2684="1111")),TH!D2684,""),"")</f>
        <v/>
      </c>
      <c r="B2684" s="36">
        <f t="shared" si="392"/>
        <v>2</v>
      </c>
      <c r="C2684" s="190">
        <f t="shared" si="393"/>
        <v>42401</v>
      </c>
      <c r="D2684" s="856" t="s">
        <v>1662</v>
      </c>
      <c r="E2684" s="856">
        <v>42401</v>
      </c>
      <c r="F2684" s="868" t="s">
        <v>939</v>
      </c>
      <c r="G2684" s="858" t="s">
        <v>1039</v>
      </c>
      <c r="H2684" s="859" t="s">
        <v>1310</v>
      </c>
      <c r="I2684" s="251">
        <v>150</v>
      </c>
      <c r="J2684" s="251">
        <v>21495.613805429723</v>
      </c>
      <c r="K2684" s="860">
        <f t="shared" si="395"/>
        <v>3224342</v>
      </c>
      <c r="L2684" s="861" t="s">
        <v>162</v>
      </c>
      <c r="M2684" s="861" t="s">
        <v>857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52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26"/>
      <c r="AB2684" s="576"/>
    </row>
    <row r="2685" spans="1:28" ht="15.75" customHeight="1">
      <c r="A2685" s="827" t="str">
        <f>IF(B2685&lt;&gt;"",IF(AND(B2685&gt;=_TM1,B2685&lt;=_TM2,OR(TH!L2685="1111",TH!M2685="1111")),TH!D2685,""),"")</f>
        <v/>
      </c>
      <c r="B2685" s="36">
        <f t="shared" si="392"/>
        <v>2</v>
      </c>
      <c r="C2685" s="190">
        <f t="shared" si="393"/>
        <v>42402</v>
      </c>
      <c r="D2685" s="856" t="s">
        <v>1662</v>
      </c>
      <c r="E2685" s="856">
        <v>42402</v>
      </c>
      <c r="F2685" s="868" t="s">
        <v>659</v>
      </c>
      <c r="G2685" s="858" t="s">
        <v>1040</v>
      </c>
      <c r="H2685" s="859" t="s">
        <v>1310</v>
      </c>
      <c r="I2685" s="251">
        <v>1000</v>
      </c>
      <c r="J2685" s="251">
        <v>10061.05213876306</v>
      </c>
      <c r="K2685" s="860">
        <f t="shared" si="395"/>
        <v>10061052</v>
      </c>
      <c r="L2685" s="861" t="s">
        <v>162</v>
      </c>
      <c r="M2685" s="861" t="s">
        <v>857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52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26"/>
      <c r="AB2685" s="576"/>
    </row>
    <row r="2686" spans="1:28" ht="15.75" customHeight="1">
      <c r="A2686" s="827" t="str">
        <f>IF(B2686&lt;&gt;"",IF(AND(B2686&gt;=_TM1,B2686&lt;=_TM2,OR(TH!L2686="1111",TH!M2686="1111")),TH!D2686,""),"")</f>
        <v/>
      </c>
      <c r="B2686" s="36">
        <f t="shared" si="392"/>
        <v>2</v>
      </c>
      <c r="C2686" s="190">
        <f t="shared" si="393"/>
        <v>42416</v>
      </c>
      <c r="D2686" s="856" t="s">
        <v>1662</v>
      </c>
      <c r="E2686" s="856">
        <v>42416</v>
      </c>
      <c r="F2686" s="868" t="s">
        <v>659</v>
      </c>
      <c r="G2686" s="858" t="s">
        <v>1043</v>
      </c>
      <c r="H2686" s="859" t="s">
        <v>1310</v>
      </c>
      <c r="I2686" s="251">
        <v>1000</v>
      </c>
      <c r="J2686" s="251">
        <v>9955.8481387630582</v>
      </c>
      <c r="K2686" s="860">
        <f t="shared" si="395"/>
        <v>9955848</v>
      </c>
      <c r="L2686" s="861" t="s">
        <v>162</v>
      </c>
      <c r="M2686" s="861" t="s">
        <v>857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52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26"/>
      <c r="AB2686" s="576"/>
    </row>
    <row r="2687" spans="1:28" ht="15.75" customHeight="1">
      <c r="A2687" s="827" t="str">
        <f>IF(B2687&lt;&gt;"",IF(AND(B2687&gt;=_TM1,B2687&lt;=_TM2,OR(TH!L2687="1111",TH!M2687="1111")),TH!D2687,""),"")</f>
        <v/>
      </c>
      <c r="B2687" s="36">
        <f t="shared" si="392"/>
        <v>2</v>
      </c>
      <c r="C2687" s="190">
        <f t="shared" si="393"/>
        <v>42416</v>
      </c>
      <c r="D2687" s="856" t="s">
        <v>1662</v>
      </c>
      <c r="E2687" s="856">
        <v>42416</v>
      </c>
      <c r="F2687" s="868" t="s">
        <v>637</v>
      </c>
      <c r="G2687" s="858" t="s">
        <v>1044</v>
      </c>
      <c r="H2687" s="859" t="s">
        <v>1310</v>
      </c>
      <c r="I2687" s="251">
        <v>438</v>
      </c>
      <c r="J2687" s="251">
        <v>7214.4704264342909</v>
      </c>
      <c r="K2687" s="860">
        <f t="shared" si="395"/>
        <v>3159938</v>
      </c>
      <c r="L2687" s="861" t="s">
        <v>162</v>
      </c>
      <c r="M2687" s="861" t="s">
        <v>857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52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26"/>
      <c r="AB2687" s="576"/>
    </row>
    <row r="2688" spans="1:28" ht="15.75" customHeight="1">
      <c r="A2688" s="827" t="str">
        <f>IF(B2688&lt;&gt;"",IF(AND(B2688&gt;=_TM1,B2688&lt;=_TM2,OR(TH!L2688="1111",TH!M2688="1111")),TH!D2688,""),"")</f>
        <v/>
      </c>
      <c r="B2688" s="36">
        <f t="shared" si="392"/>
        <v>2</v>
      </c>
      <c r="C2688" s="190">
        <f t="shared" si="393"/>
        <v>42422</v>
      </c>
      <c r="D2688" s="856" t="s">
        <v>1662</v>
      </c>
      <c r="E2688" s="856">
        <v>42422</v>
      </c>
      <c r="F2688" s="868" t="s">
        <v>1178</v>
      </c>
      <c r="G2688" s="858" t="s">
        <v>1047</v>
      </c>
      <c r="H2688" s="859" t="s">
        <v>1310</v>
      </c>
      <c r="I2688" s="251">
        <v>850</v>
      </c>
      <c r="J2688" s="251">
        <v>32828.554197586585</v>
      </c>
      <c r="K2688" s="860">
        <f t="shared" si="395"/>
        <v>27904271</v>
      </c>
      <c r="L2688" s="861" t="s">
        <v>162</v>
      </c>
      <c r="M2688" s="861" t="s">
        <v>857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52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26"/>
      <c r="AB2688" s="576"/>
    </row>
    <row r="2689" spans="1:28" ht="15.75" customHeight="1">
      <c r="A2689" s="827" t="str">
        <f>IF(B2689&lt;&gt;"",IF(AND(B2689&gt;=_TM1,B2689&lt;=_TM2,OR(TH!L2689="1111",TH!M2689="1111")),TH!D2689,""),"")</f>
        <v/>
      </c>
      <c r="B2689" s="36">
        <f t="shared" si="392"/>
        <v>2</v>
      </c>
      <c r="C2689" s="190">
        <f t="shared" si="393"/>
        <v>42422</v>
      </c>
      <c r="D2689" s="856" t="s">
        <v>1662</v>
      </c>
      <c r="E2689" s="856">
        <v>42422</v>
      </c>
      <c r="F2689" s="868" t="s">
        <v>1179</v>
      </c>
      <c r="G2689" s="858" t="s">
        <v>1047</v>
      </c>
      <c r="H2689" s="859" t="s">
        <v>1310</v>
      </c>
      <c r="I2689" s="251">
        <v>850</v>
      </c>
      <c r="J2689" s="251">
        <v>31812.194197586585</v>
      </c>
      <c r="K2689" s="860">
        <f t="shared" si="395"/>
        <v>27040365</v>
      </c>
      <c r="L2689" s="861" t="s">
        <v>162</v>
      </c>
      <c r="M2689" s="861" t="s">
        <v>857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52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26"/>
      <c r="AB2689" s="576"/>
    </row>
    <row r="2690" spans="1:28" ht="15.75" customHeight="1">
      <c r="A2690" s="827" t="str">
        <f>IF(B2690&lt;&gt;"",IF(AND(B2690&gt;=_TM1,B2690&lt;=_TM2,OR(TH!L2690="1111",TH!M2690="1111")),TH!D2690,""),"")</f>
        <v/>
      </c>
      <c r="B2690" s="36">
        <f t="shared" si="392"/>
        <v>2</v>
      </c>
      <c r="C2690" s="190">
        <f t="shared" si="393"/>
        <v>42423</v>
      </c>
      <c r="D2690" s="856" t="s">
        <v>1662</v>
      </c>
      <c r="E2690" s="856">
        <v>42423</v>
      </c>
      <c r="F2690" s="868" t="s">
        <v>946</v>
      </c>
      <c r="G2690" s="858" t="s">
        <v>1048</v>
      </c>
      <c r="H2690" s="859" t="s">
        <v>1310</v>
      </c>
      <c r="I2690" s="251">
        <v>200</v>
      </c>
      <c r="J2690" s="251">
        <v>12528.787138763058</v>
      </c>
      <c r="K2690" s="860">
        <f t="shared" si="395"/>
        <v>2505757</v>
      </c>
      <c r="L2690" s="861" t="s">
        <v>162</v>
      </c>
      <c r="M2690" s="861" t="s">
        <v>857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52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26"/>
      <c r="AB2690" s="576"/>
    </row>
    <row r="2691" spans="1:28" ht="15.75" customHeight="1">
      <c r="A2691" s="827" t="str">
        <f>IF(B2691&lt;&gt;"",IF(AND(B2691&gt;=_TM1,B2691&lt;=_TM2,OR(TH!L2691="1111",TH!M2691="1111")),TH!D2691,""),"")</f>
        <v/>
      </c>
      <c r="B2691" s="36">
        <f t="shared" si="392"/>
        <v>2</v>
      </c>
      <c r="C2691" s="190">
        <f t="shared" si="393"/>
        <v>42426</v>
      </c>
      <c r="D2691" s="856" t="s">
        <v>1662</v>
      </c>
      <c r="E2691" s="856">
        <v>42426</v>
      </c>
      <c r="F2691" s="868" t="s">
        <v>954</v>
      </c>
      <c r="G2691" s="858" t="s">
        <v>1049</v>
      </c>
      <c r="H2691" s="859" t="s">
        <v>1310</v>
      </c>
      <c r="I2691" s="251">
        <v>500</v>
      </c>
      <c r="J2691" s="251">
        <v>23594.487138763059</v>
      </c>
      <c r="K2691" s="860">
        <f t="shared" si="395"/>
        <v>11797244</v>
      </c>
      <c r="L2691" s="861" t="s">
        <v>162</v>
      </c>
      <c r="M2691" s="861" t="s">
        <v>857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52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26"/>
      <c r="AB2691" s="576"/>
    </row>
    <row r="2692" spans="1:28" ht="15.75" customHeight="1">
      <c r="A2692" s="827" t="str">
        <f>IF(B2692&lt;&gt;"",IF(AND(B2692&gt;=_TM1,B2692&lt;=_TM2,OR(TH!L2692="1111",TH!M2692="1111")),TH!D2692,""),"")</f>
        <v/>
      </c>
      <c r="B2692" s="36">
        <f t="shared" si="392"/>
        <v>2</v>
      </c>
      <c r="C2692" s="190">
        <f t="shared" si="393"/>
        <v>42427</v>
      </c>
      <c r="D2692" s="856" t="s">
        <v>1662</v>
      </c>
      <c r="E2692" s="856">
        <v>42427</v>
      </c>
      <c r="F2692" s="868" t="s">
        <v>659</v>
      </c>
      <c r="G2692" s="858" t="s">
        <v>1053</v>
      </c>
      <c r="H2692" s="859" t="s">
        <v>1310</v>
      </c>
      <c r="I2692" s="251">
        <v>1000</v>
      </c>
      <c r="J2692" s="251">
        <v>10132.755138763059</v>
      </c>
      <c r="K2692" s="860">
        <f t="shared" si="395"/>
        <v>10132755</v>
      </c>
      <c r="L2692" s="861" t="s">
        <v>162</v>
      </c>
      <c r="M2692" s="861" t="s">
        <v>857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52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26"/>
      <c r="AB2692" s="576"/>
    </row>
    <row r="2693" spans="1:28" ht="15.75" customHeight="1">
      <c r="A2693" s="827" t="str">
        <f>IF(B2693&lt;&gt;"",IF(AND(B2693&gt;=_TM1,B2693&lt;=_TM2,OR(TH!L2693="1111",TH!M2693="1111")),TH!D2693,""),"")</f>
        <v/>
      </c>
      <c r="B2693" s="36">
        <f t="shared" si="392"/>
        <v>2</v>
      </c>
      <c r="C2693" s="190">
        <f t="shared" si="393"/>
        <v>42429</v>
      </c>
      <c r="D2693" s="856" t="s">
        <v>1662</v>
      </c>
      <c r="E2693" s="856">
        <v>42429</v>
      </c>
      <c r="F2693" s="868" t="s">
        <v>542</v>
      </c>
      <c r="G2693" s="858" t="s">
        <v>1054</v>
      </c>
      <c r="H2693" s="859" t="s">
        <v>1310</v>
      </c>
      <c r="I2693" s="251">
        <v>180</v>
      </c>
      <c r="J2693" s="251">
        <v>39037.180472096392</v>
      </c>
      <c r="K2693" s="860">
        <f t="shared" si="395"/>
        <v>7026692</v>
      </c>
      <c r="L2693" s="861" t="s">
        <v>162</v>
      </c>
      <c r="M2693" s="861" t="s">
        <v>857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52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26"/>
      <c r="AB2693" s="576"/>
    </row>
    <row r="2694" spans="1:28" ht="15.75" customHeight="1">
      <c r="A2694" s="827" t="str">
        <f>IF(B2694&lt;&gt;"",IF(AND(B2694&gt;=_TM1,B2694&lt;=_TM2,OR(TH!L2694="1111",TH!M2694="1111")),TH!D2694,""),"")</f>
        <v/>
      </c>
      <c r="B2694" s="36">
        <f t="shared" si="392"/>
        <v>2</v>
      </c>
      <c r="C2694" s="190">
        <f t="shared" si="393"/>
        <v>42429</v>
      </c>
      <c r="D2694" s="856" t="s">
        <v>1662</v>
      </c>
      <c r="E2694" s="856">
        <v>42429</v>
      </c>
      <c r="F2694" s="868" t="s">
        <v>1014</v>
      </c>
      <c r="G2694" s="858" t="s">
        <v>1054</v>
      </c>
      <c r="H2694" s="859" t="s">
        <v>1310</v>
      </c>
      <c r="I2694" s="251">
        <v>200</v>
      </c>
      <c r="J2694" s="251">
        <v>64494.18713876306</v>
      </c>
      <c r="K2694" s="860">
        <f t="shared" si="395"/>
        <v>12898837</v>
      </c>
      <c r="L2694" s="861" t="s">
        <v>162</v>
      </c>
      <c r="M2694" s="861" t="s">
        <v>857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52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26"/>
      <c r="AB2694" s="576"/>
    </row>
    <row r="2695" spans="1:28" ht="15.75" customHeight="1">
      <c r="A2695" s="827" t="str">
        <f>IF(B2695&lt;&gt;"",IF(AND(B2695&gt;=_TM1,B2695&lt;=_TM2,OR(TH!L2695="1111",TH!M2695="1111")),TH!D2695,""),"")</f>
        <v/>
      </c>
      <c r="B2695" s="36">
        <f t="shared" si="392"/>
        <v>3</v>
      </c>
      <c r="C2695" s="190">
        <f t="shared" si="393"/>
        <v>42436</v>
      </c>
      <c r="D2695" s="856" t="s">
        <v>1662</v>
      </c>
      <c r="E2695" s="856">
        <v>42436</v>
      </c>
      <c r="F2695" s="868" t="s">
        <v>939</v>
      </c>
      <c r="G2695" s="858" t="s">
        <v>1059</v>
      </c>
      <c r="H2695" s="859" t="s">
        <v>1310</v>
      </c>
      <c r="I2695" s="251">
        <v>685</v>
      </c>
      <c r="J2695" s="251">
        <v>20053.551518325101</v>
      </c>
      <c r="K2695" s="860">
        <f t="shared" si="395"/>
        <v>13736683</v>
      </c>
      <c r="L2695" s="861" t="s">
        <v>162</v>
      </c>
      <c r="M2695" s="861" t="s">
        <v>857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52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26"/>
      <c r="AB2695" s="576"/>
    </row>
    <row r="2696" spans="1:28" ht="15.75" customHeight="1">
      <c r="A2696" s="827" t="str">
        <f>IF(B2696&lt;&gt;"",IF(AND(B2696&gt;=_TM1,B2696&lt;=_TM2,OR(TH!L2696="1111",TH!M2696="1111")),TH!D2696,""),"")</f>
        <v/>
      </c>
      <c r="B2696" s="36">
        <f t="shared" si="392"/>
        <v>3</v>
      </c>
      <c r="C2696" s="190">
        <f t="shared" si="393"/>
        <v>42440</v>
      </c>
      <c r="D2696" s="856" t="s">
        <v>1662</v>
      </c>
      <c r="E2696" s="856">
        <v>42440</v>
      </c>
      <c r="F2696" s="857" t="s">
        <v>637</v>
      </c>
      <c r="G2696" s="858" t="s">
        <v>1066</v>
      </c>
      <c r="H2696" s="859" t="s">
        <v>1310</v>
      </c>
      <c r="I2696" s="251">
        <v>308</v>
      </c>
      <c r="J2696" s="251">
        <v>7130.528956944876</v>
      </c>
      <c r="K2696" s="860">
        <f t="shared" si="395"/>
        <v>2196203</v>
      </c>
      <c r="L2696" s="861" t="s">
        <v>162</v>
      </c>
      <c r="M2696" s="861" t="s">
        <v>857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52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26"/>
      <c r="AB2696" s="576"/>
    </row>
    <row r="2697" spans="1:28" ht="15.75" customHeight="1">
      <c r="A2697" s="827" t="str">
        <f>IF(B2697&lt;&gt;"",IF(AND(B2697&gt;=_TM1,B2697&lt;=_TM2,OR(TH!L2697="1111",TH!M2697="1111")),TH!D2697,""),"")</f>
        <v/>
      </c>
      <c r="B2697" s="36">
        <f t="shared" si="392"/>
        <v>3</v>
      </c>
      <c r="C2697" s="190">
        <f t="shared" si="393"/>
        <v>42442</v>
      </c>
      <c r="D2697" s="856" t="s">
        <v>1662</v>
      </c>
      <c r="E2697" s="856">
        <v>42442</v>
      </c>
      <c r="F2697" s="857" t="s">
        <v>655</v>
      </c>
      <c r="G2697" s="858" t="s">
        <v>1067</v>
      </c>
      <c r="H2697" s="859" t="s">
        <v>1310</v>
      </c>
      <c r="I2697" s="251">
        <v>641</v>
      </c>
      <c r="J2697" s="251">
        <v>7108.7153134900473</v>
      </c>
      <c r="K2697" s="860">
        <f t="shared" si="395"/>
        <v>4556687</v>
      </c>
      <c r="L2697" s="861" t="s">
        <v>162</v>
      </c>
      <c r="M2697" s="861" t="s">
        <v>857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52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26"/>
      <c r="AB2697" s="576"/>
    </row>
    <row r="2698" spans="1:28" ht="15.75" customHeight="1">
      <c r="A2698" s="827" t="str">
        <f>IF(B2698&lt;&gt;"",IF(AND(B2698&gt;=_TM1,B2698&lt;=_TM2,OR(TH!L2698="1111",TH!M2698="1111")),TH!D2698,""),"")</f>
        <v/>
      </c>
      <c r="B2698" s="36">
        <f t="shared" si="392"/>
        <v>3</v>
      </c>
      <c r="C2698" s="190">
        <f t="shared" si="393"/>
        <v>42442</v>
      </c>
      <c r="D2698" s="856" t="s">
        <v>1662</v>
      </c>
      <c r="E2698" s="856">
        <v>42442</v>
      </c>
      <c r="F2698" s="857" t="s">
        <v>766</v>
      </c>
      <c r="G2698" s="858" t="s">
        <v>1068</v>
      </c>
      <c r="H2698" s="859" t="s">
        <v>1310</v>
      </c>
      <c r="I2698" s="251">
        <v>400</v>
      </c>
      <c r="J2698" s="251">
        <v>14822.387138763059</v>
      </c>
      <c r="K2698" s="860">
        <f t="shared" ref="K2698:K3494" si="396">ROUND(I2698*J2698,0)</f>
        <v>5928955</v>
      </c>
      <c r="L2698" s="861" t="s">
        <v>162</v>
      </c>
      <c r="M2698" s="861" t="s">
        <v>857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52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26"/>
      <c r="AB2698" s="576"/>
    </row>
    <row r="2699" spans="1:28" ht="15.75" customHeight="1">
      <c r="A2699" s="827" t="str">
        <f>IF(B2699&lt;&gt;"",IF(AND(B2699&gt;=_TM1,B2699&lt;=_TM2,OR(TH!L2699="1111",TH!M2699="1111")),TH!D2699,""),"")</f>
        <v/>
      </c>
      <c r="B2699" s="36">
        <f t="shared" si="392"/>
        <v>3</v>
      </c>
      <c r="C2699" s="190">
        <f t="shared" si="393"/>
        <v>42449</v>
      </c>
      <c r="D2699" s="856" t="s">
        <v>1662</v>
      </c>
      <c r="E2699" s="856">
        <v>42449</v>
      </c>
      <c r="F2699" s="857" t="s">
        <v>1178</v>
      </c>
      <c r="G2699" s="858" t="s">
        <v>1072</v>
      </c>
      <c r="H2699" s="859" t="s">
        <v>1310</v>
      </c>
      <c r="I2699" s="251">
        <v>950</v>
      </c>
      <c r="J2699" s="251">
        <v>32686.368191394638</v>
      </c>
      <c r="K2699" s="860">
        <f t="shared" si="396"/>
        <v>31052050</v>
      </c>
      <c r="L2699" s="861" t="s">
        <v>162</v>
      </c>
      <c r="M2699" s="861" t="s">
        <v>857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52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26"/>
      <c r="AB2699" s="576"/>
    </row>
    <row r="2700" spans="1:28" ht="15.75" customHeight="1">
      <c r="A2700" s="827" t="str">
        <f>IF(B2700&lt;&gt;"",IF(AND(B2700&gt;=_TM1,B2700&lt;=_TM2,OR(TH!L2700="1111",TH!M2700="1111")),TH!D2700,""),"")</f>
        <v/>
      </c>
      <c r="B2700" s="36">
        <f t="shared" si="392"/>
        <v>3</v>
      </c>
      <c r="C2700" s="190">
        <f t="shared" si="393"/>
        <v>42449</v>
      </c>
      <c r="D2700" s="856" t="s">
        <v>1662</v>
      </c>
      <c r="E2700" s="856">
        <v>42449</v>
      </c>
      <c r="F2700" s="868" t="s">
        <v>1179</v>
      </c>
      <c r="G2700" s="858" t="s">
        <v>1072</v>
      </c>
      <c r="H2700" s="859" t="s">
        <v>1310</v>
      </c>
      <c r="I2700" s="251">
        <v>950</v>
      </c>
      <c r="J2700" s="251">
        <v>32060.479770342004</v>
      </c>
      <c r="K2700" s="860">
        <f t="shared" si="396"/>
        <v>30457456</v>
      </c>
      <c r="L2700" s="861" t="s">
        <v>162</v>
      </c>
      <c r="M2700" s="861" t="s">
        <v>857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52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26"/>
      <c r="AB2700" s="576"/>
    </row>
    <row r="2701" spans="1:28" ht="15.75" customHeight="1">
      <c r="A2701" s="827" t="str">
        <f>IF(B2701&lt;&gt;"",IF(AND(B2701&gt;=_TM1,B2701&lt;=_TM2,OR(TH!L2701="1111",TH!M2701="1111")),TH!D2701,""),"")</f>
        <v/>
      </c>
      <c r="B2701" s="36">
        <f t="shared" si="392"/>
        <v>3</v>
      </c>
      <c r="C2701" s="190">
        <f t="shared" si="393"/>
        <v>42457</v>
      </c>
      <c r="D2701" s="856" t="s">
        <v>1662</v>
      </c>
      <c r="E2701" s="856">
        <v>42457</v>
      </c>
      <c r="F2701" s="868" t="s">
        <v>655</v>
      </c>
      <c r="G2701" s="858" t="s">
        <v>1074</v>
      </c>
      <c r="H2701" s="859" t="s">
        <v>1310</v>
      </c>
      <c r="I2701" s="251">
        <v>472</v>
      </c>
      <c r="J2701" s="251">
        <v>7222.2412065596682</v>
      </c>
      <c r="K2701" s="860">
        <f t="shared" si="396"/>
        <v>3408898</v>
      </c>
      <c r="L2701" s="861" t="s">
        <v>162</v>
      </c>
      <c r="M2701" s="861" t="s">
        <v>857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52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26"/>
      <c r="AB2701" s="576"/>
    </row>
    <row r="2702" spans="1:28" ht="15.75" customHeight="1">
      <c r="A2702" s="827" t="str">
        <f>IF(B2702&lt;&gt;"",IF(AND(B2702&gt;=_TM1,B2702&lt;=_TM2,OR(TH!L2702="1111",TH!M2702="1111")),TH!D2702,""),"")</f>
        <v/>
      </c>
      <c r="B2702" s="36">
        <f t="shared" si="392"/>
        <v>3</v>
      </c>
      <c r="C2702" s="190">
        <f t="shared" si="393"/>
        <v>42458</v>
      </c>
      <c r="D2702" s="856" t="s">
        <v>1662</v>
      </c>
      <c r="E2702" s="856">
        <v>42458</v>
      </c>
      <c r="F2702" s="868" t="s">
        <v>656</v>
      </c>
      <c r="G2702" s="858" t="s">
        <v>1075</v>
      </c>
      <c r="H2702" s="859" t="s">
        <v>1310</v>
      </c>
      <c r="I2702" s="251">
        <v>719</v>
      </c>
      <c r="J2702" s="251">
        <v>4921.882604687954</v>
      </c>
      <c r="K2702" s="860">
        <f t="shared" si="396"/>
        <v>3538834</v>
      </c>
      <c r="L2702" s="861" t="s">
        <v>162</v>
      </c>
      <c r="M2702" s="861" t="s">
        <v>857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52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26"/>
      <c r="AB2702" s="576"/>
    </row>
    <row r="2703" spans="1:28" ht="15.75" customHeight="1">
      <c r="A2703" s="827" t="str">
        <f>IF(B2703&lt;&gt;"",IF(AND(B2703&gt;=_TM1,B2703&lt;=_TM2,OR(TH!L2703="1111",TH!M2703="1111")),TH!D2703,""),"")</f>
        <v/>
      </c>
      <c r="B2703" s="36">
        <f t="shared" si="392"/>
        <v>3</v>
      </c>
      <c r="C2703" s="190">
        <f t="shared" si="393"/>
        <v>42458</v>
      </c>
      <c r="D2703" s="856" t="s">
        <v>1662</v>
      </c>
      <c r="E2703" s="856">
        <v>42458</v>
      </c>
      <c r="F2703" s="868" t="s">
        <v>959</v>
      </c>
      <c r="G2703" s="858" t="s">
        <v>1080</v>
      </c>
      <c r="H2703" s="859" t="s">
        <v>1310</v>
      </c>
      <c r="I2703" s="251">
        <v>60</v>
      </c>
      <c r="J2703" s="251">
        <v>77233.347138763071</v>
      </c>
      <c r="K2703" s="860">
        <f t="shared" si="396"/>
        <v>4634001</v>
      </c>
      <c r="L2703" s="861" t="s">
        <v>162</v>
      </c>
      <c r="M2703" s="861" t="s">
        <v>857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52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26"/>
      <c r="AB2703" s="576"/>
    </row>
    <row r="2704" spans="1:28" ht="15.75" customHeight="1">
      <c r="A2704" s="827" t="str">
        <f>IF(B2704&lt;&gt;"",IF(AND(B2704&gt;=_TM1,B2704&lt;=_TM2,OR(TH!L2704="1111",TH!M2704="1111")),TH!D2704,""),"")</f>
        <v/>
      </c>
      <c r="B2704" s="36">
        <f t="shared" si="392"/>
        <v>3</v>
      </c>
      <c r="C2704" s="190">
        <f t="shared" si="393"/>
        <v>42458</v>
      </c>
      <c r="D2704" s="856" t="s">
        <v>1662</v>
      </c>
      <c r="E2704" s="856">
        <v>42458</v>
      </c>
      <c r="F2704" s="868" t="s">
        <v>761</v>
      </c>
      <c r="G2704" s="858" t="s">
        <v>1080</v>
      </c>
      <c r="H2704" s="859" t="s">
        <v>1310</v>
      </c>
      <c r="I2704" s="251">
        <v>32</v>
      </c>
      <c r="J2704" s="251">
        <v>84751.440888763056</v>
      </c>
      <c r="K2704" s="860">
        <f t="shared" si="396"/>
        <v>2712046</v>
      </c>
      <c r="L2704" s="861" t="s">
        <v>162</v>
      </c>
      <c r="M2704" s="861" t="s">
        <v>857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52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26"/>
      <c r="AB2704" s="576"/>
    </row>
    <row r="2705" spans="1:28" ht="15.75" customHeight="1">
      <c r="A2705" s="827" t="str">
        <f>IF(B2705&lt;&gt;"",IF(AND(B2705&gt;=_TM1,B2705&lt;=_TM2,OR(TH!L2705="1111",TH!M2705="1111")),TH!D2705,""),"")</f>
        <v/>
      </c>
      <c r="B2705" s="36">
        <f t="shared" si="392"/>
        <v>3</v>
      </c>
      <c r="C2705" s="190">
        <f t="shared" si="393"/>
        <v>42458</v>
      </c>
      <c r="D2705" s="856" t="s">
        <v>1662</v>
      </c>
      <c r="E2705" s="856">
        <v>42458</v>
      </c>
      <c r="F2705" s="868" t="s">
        <v>957</v>
      </c>
      <c r="G2705" s="858" t="s">
        <v>1080</v>
      </c>
      <c r="H2705" s="859" t="s">
        <v>1310</v>
      </c>
      <c r="I2705" s="251">
        <v>36</v>
      </c>
      <c r="J2705" s="251">
        <v>34995.180472096392</v>
      </c>
      <c r="K2705" s="860">
        <f t="shared" si="396"/>
        <v>1259826</v>
      </c>
      <c r="L2705" s="861" t="s">
        <v>162</v>
      </c>
      <c r="M2705" s="861" t="s">
        <v>857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52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26"/>
      <c r="AB2705" s="576"/>
    </row>
    <row r="2706" spans="1:28" ht="15.75" customHeight="1">
      <c r="A2706" s="827" t="str">
        <f>IF(B2706&lt;&gt;"",IF(AND(B2706&gt;=_TM1,B2706&lt;=_TM2,OR(TH!L2706="1111",TH!M2706="1111")),TH!D2706,""),"")</f>
        <v/>
      </c>
      <c r="B2706" s="36">
        <f t="shared" si="392"/>
        <v>3</v>
      </c>
      <c r="C2706" s="190">
        <f t="shared" si="393"/>
        <v>42458</v>
      </c>
      <c r="D2706" s="856" t="s">
        <v>1662</v>
      </c>
      <c r="E2706" s="856">
        <v>42458</v>
      </c>
      <c r="F2706" s="857" t="s">
        <v>957</v>
      </c>
      <c r="G2706" s="858" t="s">
        <v>1080</v>
      </c>
      <c r="H2706" s="859" t="s">
        <v>1310</v>
      </c>
      <c r="I2706" s="251">
        <v>20</v>
      </c>
      <c r="J2706" s="251">
        <v>32921.197138763055</v>
      </c>
      <c r="K2706" s="860">
        <f t="shared" si="396"/>
        <v>658424</v>
      </c>
      <c r="L2706" s="861" t="s">
        <v>162</v>
      </c>
      <c r="M2706" s="861" t="s">
        <v>857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52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26"/>
      <c r="AB2706" s="576"/>
    </row>
    <row r="2707" spans="1:28" ht="15.75" customHeight="1">
      <c r="A2707" s="827" t="str">
        <f>IF(B2707&lt;&gt;"",IF(AND(B2707&gt;=_TM1,B2707&lt;=_TM2,OR(TH!L2707="1111",TH!M2707="1111")),TH!D2707,""),"")</f>
        <v/>
      </c>
      <c r="B2707" s="36">
        <f t="shared" si="392"/>
        <v>3</v>
      </c>
      <c r="C2707" s="190">
        <f t="shared" si="393"/>
        <v>42458</v>
      </c>
      <c r="D2707" s="856" t="s">
        <v>1662</v>
      </c>
      <c r="E2707" s="856">
        <v>42458</v>
      </c>
      <c r="F2707" s="868" t="s">
        <v>758</v>
      </c>
      <c r="G2707" s="858" t="s">
        <v>1080</v>
      </c>
      <c r="H2707" s="859" t="s">
        <v>1310</v>
      </c>
      <c r="I2707" s="251">
        <v>18</v>
      </c>
      <c r="J2707" s="251">
        <v>47266.791583207501</v>
      </c>
      <c r="K2707" s="860">
        <f t="shared" si="396"/>
        <v>850802</v>
      </c>
      <c r="L2707" s="861" t="s">
        <v>162</v>
      </c>
      <c r="M2707" s="861" t="s">
        <v>857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52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26"/>
      <c r="AB2707" s="576"/>
    </row>
    <row r="2708" spans="1:28" ht="15.75" customHeight="1">
      <c r="A2708" s="827" t="str">
        <f>IF(B2708&lt;&gt;"",IF(AND(B2708&gt;=_TM1,B2708&lt;=_TM2,OR(TH!L2708="1111",TH!M2708="1111")),TH!D2708,""),"")</f>
        <v/>
      </c>
      <c r="B2708" s="36">
        <f t="shared" si="392"/>
        <v>3</v>
      </c>
      <c r="C2708" s="190">
        <f t="shared" si="393"/>
        <v>42458</v>
      </c>
      <c r="D2708" s="856" t="s">
        <v>1662</v>
      </c>
      <c r="E2708" s="856">
        <v>42458</v>
      </c>
      <c r="F2708" s="868" t="s">
        <v>757</v>
      </c>
      <c r="G2708" s="858" t="s">
        <v>1080</v>
      </c>
      <c r="H2708" s="859" t="s">
        <v>1310</v>
      </c>
      <c r="I2708" s="251">
        <v>40</v>
      </c>
      <c r="J2708" s="251">
        <v>65254.847138763056</v>
      </c>
      <c r="K2708" s="860">
        <f t="shared" si="396"/>
        <v>2610194</v>
      </c>
      <c r="L2708" s="861" t="s">
        <v>162</v>
      </c>
      <c r="M2708" s="861" t="s">
        <v>857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52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26"/>
      <c r="AB2708" s="576"/>
    </row>
    <row r="2709" spans="1:28" ht="15.75" customHeight="1">
      <c r="A2709" s="827" t="str">
        <f>IF(B2709&lt;&gt;"",IF(AND(B2709&gt;=_TM1,B2709&lt;=_TM2,OR(TH!L2709="1111",TH!M2709="1111")),TH!D2709,""),"")</f>
        <v/>
      </c>
      <c r="B2709" s="36">
        <f t="shared" si="392"/>
        <v>3</v>
      </c>
      <c r="C2709" s="190">
        <f t="shared" si="393"/>
        <v>42458</v>
      </c>
      <c r="D2709" s="856" t="s">
        <v>1662</v>
      </c>
      <c r="E2709" s="856">
        <v>42458</v>
      </c>
      <c r="F2709" s="49" t="s">
        <v>958</v>
      </c>
      <c r="G2709" s="858" t="s">
        <v>1080</v>
      </c>
      <c r="H2709" s="859" t="s">
        <v>1310</v>
      </c>
      <c r="I2709" s="251">
        <v>50</v>
      </c>
      <c r="J2709" s="251">
        <v>52090.427138763058</v>
      </c>
      <c r="K2709" s="860">
        <f t="shared" si="396"/>
        <v>2604521</v>
      </c>
      <c r="L2709" s="861" t="s">
        <v>162</v>
      </c>
      <c r="M2709" s="861" t="s">
        <v>857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52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26"/>
      <c r="AB2709" s="576"/>
    </row>
    <row r="2710" spans="1:28" ht="15.75" customHeight="1">
      <c r="A2710" s="827" t="str">
        <f>IF(B2710&lt;&gt;"",IF(AND(B2710&gt;=_TM1,B2710&lt;=_TM2,OR(TH!L2710="1111",TH!M2710="1111")),TH!D2710,""),"")</f>
        <v/>
      </c>
      <c r="B2710" s="36">
        <f t="shared" si="392"/>
        <v>3</v>
      </c>
      <c r="C2710" s="190">
        <f t="shared" si="393"/>
        <v>42458</v>
      </c>
      <c r="D2710" s="856" t="s">
        <v>1662</v>
      </c>
      <c r="E2710" s="856">
        <v>42458</v>
      </c>
      <c r="F2710" s="868" t="s">
        <v>760</v>
      </c>
      <c r="G2710" s="858" t="s">
        <v>1080</v>
      </c>
      <c r="H2710" s="859" t="s">
        <v>1310</v>
      </c>
      <c r="I2710" s="251">
        <v>18</v>
      </c>
      <c r="J2710" s="251">
        <v>43877.347138763056</v>
      </c>
      <c r="K2710" s="860">
        <f t="shared" si="396"/>
        <v>789792</v>
      </c>
      <c r="L2710" s="861" t="s">
        <v>162</v>
      </c>
      <c r="M2710" s="861" t="s">
        <v>857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52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26"/>
      <c r="AB2710" s="576"/>
    </row>
    <row r="2711" spans="1:28" ht="15.75" customHeight="1">
      <c r="A2711" s="827" t="str">
        <f>IF(B2711&lt;&gt;"",IF(AND(B2711&gt;=_TM1,B2711&lt;=_TM2,OR(TH!L2711="1111",TH!M2711="1111")),TH!D2711,""),"")</f>
        <v/>
      </c>
      <c r="B2711" s="36">
        <f t="shared" si="392"/>
        <v>3</v>
      </c>
      <c r="C2711" s="190">
        <f t="shared" si="393"/>
        <v>42458</v>
      </c>
      <c r="D2711" s="856" t="s">
        <v>1662</v>
      </c>
      <c r="E2711" s="856">
        <v>42458</v>
      </c>
      <c r="F2711" s="857" t="s">
        <v>670</v>
      </c>
      <c r="G2711" s="858" t="s">
        <v>1080</v>
      </c>
      <c r="H2711" s="859" t="s">
        <v>1310</v>
      </c>
      <c r="I2711" s="251">
        <v>27</v>
      </c>
      <c r="J2711" s="251">
        <v>124577.34713876306</v>
      </c>
      <c r="K2711" s="860">
        <f t="shared" si="396"/>
        <v>3363588</v>
      </c>
      <c r="L2711" s="861" t="s">
        <v>162</v>
      </c>
      <c r="M2711" s="861" t="s">
        <v>857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52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26"/>
      <c r="AB2711" s="576"/>
    </row>
    <row r="2712" spans="1:28" ht="15.75" customHeight="1">
      <c r="A2712" s="827" t="str">
        <f>IF(B2712&lt;&gt;"",IF(AND(B2712&gt;=_TM1,B2712&lt;=_TM2,OR(TH!L2712="1111",TH!M2712="1111")),TH!D2712,""),"")</f>
        <v/>
      </c>
      <c r="B2712" s="36">
        <f t="shared" ref="B2712:B2719" si="397">IF(C2712&lt;&gt;"",MONTH(C2712),"")</f>
        <v>3</v>
      </c>
      <c r="C2712" s="190">
        <f t="shared" ref="C2712:C2719" si="398">E2712</f>
        <v>42458</v>
      </c>
      <c r="D2712" s="856" t="s">
        <v>1662</v>
      </c>
      <c r="E2712" s="905">
        <v>42458</v>
      </c>
      <c r="F2712" s="866" t="s">
        <v>762</v>
      </c>
      <c r="G2712" s="858" t="s">
        <v>1080</v>
      </c>
      <c r="H2712" s="859" t="s">
        <v>1310</v>
      </c>
      <c r="I2712" s="251">
        <v>31</v>
      </c>
      <c r="J2712" s="251">
        <v>60811.443912956609</v>
      </c>
      <c r="K2712" s="860">
        <f t="shared" ref="K2712:K2719" si="399">ROUND(I2712*J2712,0)</f>
        <v>1885155</v>
      </c>
      <c r="L2712" s="861" t="s">
        <v>162</v>
      </c>
      <c r="M2712" s="861" t="s">
        <v>857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52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26"/>
      <c r="AB2712" s="576"/>
    </row>
    <row r="2713" spans="1:28" ht="15.75" customHeight="1">
      <c r="A2713" s="827" t="str">
        <f>IF(B2713&lt;&gt;"",IF(AND(B2713&gt;=_TM1,B2713&lt;=_TM2,OR(TH!L2713="1111",TH!M2713="1111")),TH!D2713,""),"")</f>
        <v/>
      </c>
      <c r="B2713" s="36">
        <f t="shared" si="397"/>
        <v>3</v>
      </c>
      <c r="C2713" s="190">
        <f t="shared" si="398"/>
        <v>42458</v>
      </c>
      <c r="D2713" s="856" t="s">
        <v>1662</v>
      </c>
      <c r="E2713" s="906">
        <v>42458</v>
      </c>
      <c r="F2713" s="866" t="s">
        <v>759</v>
      </c>
      <c r="G2713" s="858" t="s">
        <v>1080</v>
      </c>
      <c r="H2713" s="859" t="s">
        <v>1310</v>
      </c>
      <c r="I2713" s="251">
        <v>12</v>
      </c>
      <c r="J2713" s="251">
        <v>48633.680472096392</v>
      </c>
      <c r="K2713" s="860">
        <f t="shared" si="399"/>
        <v>583604</v>
      </c>
      <c r="L2713" s="861" t="s">
        <v>162</v>
      </c>
      <c r="M2713" s="861" t="s">
        <v>857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52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26"/>
      <c r="AB2713" s="576"/>
    </row>
    <row r="2714" spans="1:28" ht="15.75" customHeight="1">
      <c r="A2714" s="827" t="str">
        <f>IF(B2714&lt;&gt;"",IF(AND(B2714&gt;=_TM1,B2714&lt;=_TM2,OR(TH!L2714="1111",TH!M2714="1111")),TH!D2714,""),"")</f>
        <v/>
      </c>
      <c r="B2714" s="36">
        <f t="shared" si="397"/>
        <v>3</v>
      </c>
      <c r="C2714" s="190">
        <f t="shared" si="398"/>
        <v>42458</v>
      </c>
      <c r="D2714" s="856" t="s">
        <v>1662</v>
      </c>
      <c r="E2714" s="906">
        <v>42458</v>
      </c>
      <c r="F2714" s="866" t="s">
        <v>759</v>
      </c>
      <c r="G2714" s="858" t="s">
        <v>1080</v>
      </c>
      <c r="H2714" s="859" t="s">
        <v>1310</v>
      </c>
      <c r="I2714" s="251">
        <v>36</v>
      </c>
      <c r="J2714" s="251">
        <v>49461.236027651947</v>
      </c>
      <c r="K2714" s="860">
        <f t="shared" si="399"/>
        <v>1780604</v>
      </c>
      <c r="L2714" s="861" t="s">
        <v>162</v>
      </c>
      <c r="M2714" s="861" t="s">
        <v>857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52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26"/>
      <c r="AB2714" s="576"/>
    </row>
    <row r="2715" spans="1:28" ht="15.75" customHeight="1">
      <c r="A2715" s="827" t="str">
        <f>IF(B2715&lt;&gt;"",IF(AND(B2715&gt;=_TM1,B2715&lt;=_TM2,OR(TH!L2715="1111",TH!M2715="1111")),TH!D2715,""),"")</f>
        <v/>
      </c>
      <c r="B2715" s="36">
        <f t="shared" si="397"/>
        <v>3</v>
      </c>
      <c r="C2715" s="190">
        <f t="shared" si="398"/>
        <v>42458</v>
      </c>
      <c r="D2715" s="856" t="s">
        <v>1662</v>
      </c>
      <c r="E2715" s="906">
        <v>42458</v>
      </c>
      <c r="F2715" s="866" t="s">
        <v>1014</v>
      </c>
      <c r="G2715" s="858" t="s">
        <v>1080</v>
      </c>
      <c r="H2715" s="859" t="s">
        <v>1310</v>
      </c>
      <c r="I2715" s="251">
        <v>40</v>
      </c>
      <c r="J2715" s="251">
        <v>68766.222138763056</v>
      </c>
      <c r="K2715" s="860">
        <f t="shared" si="399"/>
        <v>2750649</v>
      </c>
      <c r="L2715" s="861" t="s">
        <v>162</v>
      </c>
      <c r="M2715" s="861" t="s">
        <v>857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52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26"/>
      <c r="AB2715" s="576"/>
    </row>
    <row r="2716" spans="1:28" ht="15.75" customHeight="1">
      <c r="A2716" s="827" t="str">
        <f>IF(B2716&lt;&gt;"",IF(AND(B2716&gt;=_TM1,B2716&lt;=_TM2,OR(TH!L2716="1111",TH!M2716="1111")),TH!D2716,""),"")</f>
        <v/>
      </c>
      <c r="B2716" s="36">
        <f t="shared" si="397"/>
        <v>3</v>
      </c>
      <c r="C2716" s="190">
        <f t="shared" si="398"/>
        <v>42458</v>
      </c>
      <c r="D2716" s="856" t="s">
        <v>1662</v>
      </c>
      <c r="E2716" s="906">
        <v>42458</v>
      </c>
      <c r="F2716" s="866" t="s">
        <v>764</v>
      </c>
      <c r="G2716" s="858" t="s">
        <v>1080</v>
      </c>
      <c r="H2716" s="859" t="s">
        <v>1310</v>
      </c>
      <c r="I2716" s="251">
        <v>12</v>
      </c>
      <c r="J2716" s="251">
        <v>170262.34713876306</v>
      </c>
      <c r="K2716" s="860">
        <f t="shared" si="399"/>
        <v>2043148</v>
      </c>
      <c r="L2716" s="861" t="s">
        <v>162</v>
      </c>
      <c r="M2716" s="861" t="s">
        <v>857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52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26"/>
      <c r="AB2716" s="576"/>
    </row>
    <row r="2717" spans="1:28" ht="15.75" customHeight="1">
      <c r="A2717" s="827" t="str">
        <f>IF(B2717&lt;&gt;"",IF(AND(B2717&gt;=_TM1,B2717&lt;=_TM2,OR(TH!L2717="1111",TH!M2717="1111")),TH!D2717,""),"")</f>
        <v/>
      </c>
      <c r="B2717" s="36">
        <f t="shared" si="397"/>
        <v>3</v>
      </c>
      <c r="C2717" s="190">
        <f t="shared" si="398"/>
        <v>42458</v>
      </c>
      <c r="D2717" s="856" t="s">
        <v>1662</v>
      </c>
      <c r="E2717" s="906">
        <v>42458</v>
      </c>
      <c r="F2717" s="866" t="s">
        <v>454</v>
      </c>
      <c r="G2717" s="858" t="s">
        <v>1080</v>
      </c>
      <c r="H2717" s="859" t="s">
        <v>1310</v>
      </c>
      <c r="I2717" s="251">
        <v>10</v>
      </c>
      <c r="J2717" s="251">
        <v>135171.34713876306</v>
      </c>
      <c r="K2717" s="860">
        <f t="shared" si="399"/>
        <v>1351713</v>
      </c>
      <c r="L2717" s="861" t="s">
        <v>162</v>
      </c>
      <c r="M2717" s="861" t="s">
        <v>857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52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26"/>
      <c r="AB2717" s="576"/>
    </row>
    <row r="2718" spans="1:28" ht="15.75" customHeight="1">
      <c r="A2718" s="827" t="str">
        <f>IF(B2718&lt;&gt;"",IF(AND(B2718&gt;=_TM1,B2718&lt;=_TM2,OR(TH!L2718="1111",TH!M2718="1111")),TH!D2718,""),"")</f>
        <v/>
      </c>
      <c r="B2718" s="36">
        <f t="shared" si="397"/>
        <v>3</v>
      </c>
      <c r="C2718" s="190">
        <f t="shared" si="398"/>
        <v>42458</v>
      </c>
      <c r="D2718" s="856" t="s">
        <v>1662</v>
      </c>
      <c r="E2718" s="906">
        <v>42458</v>
      </c>
      <c r="F2718" s="866" t="s">
        <v>765</v>
      </c>
      <c r="G2718" s="858" t="s">
        <v>1080</v>
      </c>
      <c r="H2718" s="859" t="s">
        <v>1310</v>
      </c>
      <c r="I2718" s="251">
        <v>10</v>
      </c>
      <c r="J2718" s="251">
        <v>89977.347138763056</v>
      </c>
      <c r="K2718" s="860">
        <f t="shared" si="399"/>
        <v>899773</v>
      </c>
      <c r="L2718" s="861" t="s">
        <v>162</v>
      </c>
      <c r="M2718" s="861" t="s">
        <v>857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52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26"/>
      <c r="AB2718" s="576"/>
    </row>
    <row r="2719" spans="1:28" ht="15.75" customHeight="1">
      <c r="A2719" s="827" t="str">
        <f>IF(B2719&lt;&gt;"",IF(AND(B2719&gt;=_TM1,B2719&lt;=_TM2,OR(TH!L2719="1111",TH!M2719="1111")),TH!D2719,""),"")</f>
        <v/>
      </c>
      <c r="B2719" s="36">
        <f t="shared" si="397"/>
        <v>3</v>
      </c>
      <c r="C2719" s="190">
        <f t="shared" si="398"/>
        <v>42459</v>
      </c>
      <c r="D2719" s="856" t="s">
        <v>1662</v>
      </c>
      <c r="E2719" s="906">
        <v>42459</v>
      </c>
      <c r="F2719" s="866" t="s">
        <v>627</v>
      </c>
      <c r="G2719" s="871" t="s">
        <v>1081</v>
      </c>
      <c r="H2719" s="859" t="s">
        <v>1310</v>
      </c>
      <c r="I2719" s="251">
        <v>2750</v>
      </c>
      <c r="J2719" s="251">
        <v>6914.5362296721487</v>
      </c>
      <c r="K2719" s="860">
        <f t="shared" si="399"/>
        <v>19014975</v>
      </c>
      <c r="L2719" s="861" t="s">
        <v>162</v>
      </c>
      <c r="M2719" s="861" t="s">
        <v>857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52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26"/>
      <c r="AB2719" s="576"/>
    </row>
    <row r="2720" spans="1:28" s="887" customFormat="1" ht="15.75" customHeight="1">
      <c r="A2720" s="827" t="str">
        <f>IF(B2720&lt;&gt;"",IF(AND(B2720&gt;=_TM1,B2720&lt;=_TM2,OR(TH!L2720="1111",TH!M2720="1111")),TH!D2720,""),"")</f>
        <v/>
      </c>
      <c r="B2720" s="876">
        <f t="shared" ref="B2720:B2721" si="400">IF(C2720&lt;&gt;"",MONTH(C2720),"")</f>
        <v>4</v>
      </c>
      <c r="C2720" s="877">
        <f t="shared" ref="C2720:C2773" si="401">E2720</f>
        <v>42464</v>
      </c>
      <c r="D2720" s="856" t="s">
        <v>1662</v>
      </c>
      <c r="E2720" s="910">
        <v>42464</v>
      </c>
      <c r="F2720" s="879" t="s">
        <v>451</v>
      </c>
      <c r="G2720" s="911" t="s">
        <v>631</v>
      </c>
      <c r="H2720" s="881" t="s">
        <v>1310</v>
      </c>
      <c r="I2720" s="882">
        <v>300</v>
      </c>
      <c r="J2720" s="882">
        <v>14550</v>
      </c>
      <c r="K2720" s="883">
        <f t="shared" ref="K2720:K2783" si="402">ROUND(I2720*J2720,0)</f>
        <v>4365000</v>
      </c>
      <c r="L2720" s="884" t="s">
        <v>162</v>
      </c>
      <c r="M2720" s="884" t="s">
        <v>857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52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>632</v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>x</v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85"/>
    </row>
    <row r="2721" spans="1:27" ht="15.75" customHeight="1">
      <c r="A2721" s="827" t="str">
        <f>IF(B2721&lt;&gt;"",IF(AND(B2721&gt;=_TM1,B2721&lt;=_TM2,OR(TH!L2721="1111",TH!M2721="1111")),TH!D2721,""),"")</f>
        <v/>
      </c>
      <c r="B2721" s="36">
        <f t="shared" si="400"/>
        <v>4</v>
      </c>
      <c r="C2721" s="190">
        <f t="shared" si="401"/>
        <v>42465</v>
      </c>
      <c r="D2721" s="856" t="s">
        <v>1662</v>
      </c>
      <c r="E2721" s="48">
        <v>42465</v>
      </c>
      <c r="F2721" s="857" t="s">
        <v>451</v>
      </c>
      <c r="G2721" s="871" t="s">
        <v>634</v>
      </c>
      <c r="H2721" s="859" t="s">
        <v>1310</v>
      </c>
      <c r="I2721" s="251">
        <v>261</v>
      </c>
      <c r="J2721" s="251">
        <v>14550</v>
      </c>
      <c r="K2721" s="860">
        <f t="shared" si="402"/>
        <v>3797550</v>
      </c>
      <c r="L2721" s="861" t="s">
        <v>162</v>
      </c>
      <c r="M2721" s="861" t="s">
        <v>857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52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>632</v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>x</v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26"/>
    </row>
    <row r="2722" spans="1:27" ht="15.75" customHeight="1">
      <c r="A2722" s="827" t="str">
        <f>IF(B2722&lt;&gt;"",IF(AND(B2722&gt;=_TM1,B2722&lt;=_TM2,OR(TH!L2722="1111",TH!M2722="1111")),TH!D2722,""),"")</f>
        <v/>
      </c>
      <c r="B2722" s="36">
        <f t="shared" ref="B2722:B2785" si="403">IF(C2722&lt;&gt;"",MONTH(C2722),"")</f>
        <v>4</v>
      </c>
      <c r="C2722" s="190">
        <f t="shared" si="401"/>
        <v>42466</v>
      </c>
      <c r="D2722" s="856" t="s">
        <v>1662</v>
      </c>
      <c r="E2722" s="48">
        <v>42466</v>
      </c>
      <c r="F2722" s="857" t="s">
        <v>921</v>
      </c>
      <c r="G2722" s="871" t="s">
        <v>635</v>
      </c>
      <c r="H2722" s="859" t="s">
        <v>1310</v>
      </c>
      <c r="I2722" s="251">
        <v>84</v>
      </c>
      <c r="J2722" s="251">
        <v>6470</v>
      </c>
      <c r="K2722" s="860">
        <f t="shared" si="402"/>
        <v>543480</v>
      </c>
      <c r="L2722" s="861" t="s">
        <v>162</v>
      </c>
      <c r="M2722" s="861" t="s">
        <v>857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52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>632</v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26"/>
    </row>
    <row r="2723" spans="1:27" ht="15.75" customHeight="1">
      <c r="A2723" s="827" t="str">
        <f>IF(B2723&lt;&gt;"",IF(AND(B2723&gt;=_TM1,B2723&lt;=_TM2,OR(TH!L2723="1111",TH!M2723="1111")),TH!D2723,""),"")</f>
        <v/>
      </c>
      <c r="B2723" s="36">
        <f t="shared" si="403"/>
        <v>4</v>
      </c>
      <c r="C2723" s="190">
        <f t="shared" si="401"/>
        <v>42466</v>
      </c>
      <c r="D2723" s="856" t="s">
        <v>1662</v>
      </c>
      <c r="E2723" s="48">
        <v>42466</v>
      </c>
      <c r="F2723" s="857" t="s">
        <v>655</v>
      </c>
      <c r="G2723" s="871" t="s">
        <v>635</v>
      </c>
      <c r="H2723" s="859" t="s">
        <v>1310</v>
      </c>
      <c r="I2723" s="251">
        <v>121</v>
      </c>
      <c r="J2723" s="251">
        <v>6552</v>
      </c>
      <c r="K2723" s="860">
        <f t="shared" si="402"/>
        <v>792792</v>
      </c>
      <c r="L2723" s="861" t="s">
        <v>162</v>
      </c>
      <c r="M2723" s="861" t="s">
        <v>857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52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>632</v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26"/>
    </row>
    <row r="2724" spans="1:27" ht="15.75" customHeight="1">
      <c r="A2724" s="827" t="str">
        <f>IF(B2724&lt;&gt;"",IF(AND(B2724&gt;=_TM1,B2724&lt;=_TM2,OR(TH!L2724="1111",TH!M2724="1111")),TH!D2724,""),"")</f>
        <v/>
      </c>
      <c r="B2724" s="36">
        <f t="shared" si="403"/>
        <v>4</v>
      </c>
      <c r="C2724" s="190">
        <f t="shared" si="401"/>
        <v>42472</v>
      </c>
      <c r="D2724" s="856" t="s">
        <v>1662</v>
      </c>
      <c r="E2724" s="48">
        <v>42472</v>
      </c>
      <c r="F2724" s="857" t="s">
        <v>451</v>
      </c>
      <c r="G2724" s="871" t="s">
        <v>642</v>
      </c>
      <c r="H2724" s="859" t="s">
        <v>1310</v>
      </c>
      <c r="I2724" s="251">
        <v>282</v>
      </c>
      <c r="J2724" s="251">
        <v>14550</v>
      </c>
      <c r="K2724" s="860">
        <f t="shared" si="402"/>
        <v>4103100</v>
      </c>
      <c r="L2724" s="861" t="s">
        <v>162</v>
      </c>
      <c r="M2724" s="861" t="s">
        <v>857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52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>632</v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>x</v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26"/>
    </row>
    <row r="2725" spans="1:27" ht="15.75" customHeight="1">
      <c r="A2725" s="827" t="str">
        <f>IF(B2725&lt;&gt;"",IF(AND(B2725&gt;=_TM1,B2725&lt;=_TM2,OR(TH!L2725="1111",TH!M2725="1111")),TH!D2725,""),"")</f>
        <v/>
      </c>
      <c r="B2725" s="36">
        <f t="shared" si="403"/>
        <v>4</v>
      </c>
      <c r="C2725" s="190">
        <f t="shared" si="401"/>
        <v>42472</v>
      </c>
      <c r="D2725" s="856" t="s">
        <v>1662</v>
      </c>
      <c r="E2725" s="48">
        <v>42472</v>
      </c>
      <c r="F2725" s="857" t="s">
        <v>451</v>
      </c>
      <c r="G2725" s="871" t="s">
        <v>643</v>
      </c>
      <c r="H2725" s="859" t="s">
        <v>1310</v>
      </c>
      <c r="I2725" s="251">
        <v>282</v>
      </c>
      <c r="J2725" s="251">
        <v>14550</v>
      </c>
      <c r="K2725" s="860">
        <f t="shared" si="402"/>
        <v>4103100</v>
      </c>
      <c r="L2725" s="861" t="s">
        <v>162</v>
      </c>
      <c r="M2725" s="861" t="s">
        <v>857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52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>632</v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>x</v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26"/>
    </row>
    <row r="2726" spans="1:27" ht="15.75" customHeight="1">
      <c r="A2726" s="827" t="str">
        <f>IF(B2726&lt;&gt;"",IF(AND(B2726&gt;=_TM1,B2726&lt;=_TM2,OR(TH!L2726="1111",TH!M2726="1111")),TH!D2726,""),"")</f>
        <v/>
      </c>
      <c r="B2726" s="36">
        <f t="shared" si="403"/>
        <v>4</v>
      </c>
      <c r="C2726" s="190">
        <f t="shared" si="401"/>
        <v>42474</v>
      </c>
      <c r="D2726" s="856" t="s">
        <v>1662</v>
      </c>
      <c r="E2726" s="48">
        <v>42474</v>
      </c>
      <c r="F2726" s="857" t="s">
        <v>451</v>
      </c>
      <c r="G2726" s="871" t="s">
        <v>644</v>
      </c>
      <c r="H2726" s="859" t="s">
        <v>1310</v>
      </c>
      <c r="I2726" s="251">
        <v>282</v>
      </c>
      <c r="J2726" s="251">
        <v>14550</v>
      </c>
      <c r="K2726" s="860">
        <f t="shared" si="402"/>
        <v>4103100</v>
      </c>
      <c r="L2726" s="861" t="s">
        <v>162</v>
      </c>
      <c r="M2726" s="861" t="s">
        <v>857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52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>632</v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>x</v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26"/>
    </row>
    <row r="2727" spans="1:27" ht="15.75" customHeight="1">
      <c r="A2727" s="827" t="str">
        <f>IF(B2727&lt;&gt;"",IF(AND(B2727&gt;=_TM1,B2727&lt;=_TM2,OR(TH!L2727="1111",TH!M2727="1111")),TH!D2727,""),"")</f>
        <v/>
      </c>
      <c r="B2727" s="36">
        <f t="shared" si="403"/>
        <v>4</v>
      </c>
      <c r="C2727" s="190">
        <f t="shared" si="401"/>
        <v>42474</v>
      </c>
      <c r="D2727" s="856" t="s">
        <v>1662</v>
      </c>
      <c r="E2727" s="48">
        <v>42474</v>
      </c>
      <c r="F2727" s="857" t="s">
        <v>451</v>
      </c>
      <c r="G2727" s="871" t="s">
        <v>645</v>
      </c>
      <c r="H2727" s="859" t="s">
        <v>1310</v>
      </c>
      <c r="I2727" s="251">
        <v>280</v>
      </c>
      <c r="J2727" s="251">
        <v>14550</v>
      </c>
      <c r="K2727" s="860">
        <f t="shared" si="402"/>
        <v>4074000</v>
      </c>
      <c r="L2727" s="861" t="s">
        <v>162</v>
      </c>
      <c r="M2727" s="861" t="s">
        <v>857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52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>632</v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>x</v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26"/>
    </row>
    <row r="2728" spans="1:27" ht="15.75" customHeight="1">
      <c r="A2728" s="827" t="str">
        <f>IF(B2728&lt;&gt;"",IF(AND(B2728&gt;=_TM1,B2728&lt;=_TM2,OR(TH!L2728="1111",TH!M2728="1111")),TH!D2728,""),"")</f>
        <v/>
      </c>
      <c r="B2728" s="36">
        <f t="shared" si="403"/>
        <v>4</v>
      </c>
      <c r="C2728" s="190">
        <f t="shared" si="401"/>
        <v>42475</v>
      </c>
      <c r="D2728" s="856" t="s">
        <v>1662</v>
      </c>
      <c r="E2728" s="48">
        <v>42475</v>
      </c>
      <c r="F2728" s="857" t="s">
        <v>451</v>
      </c>
      <c r="G2728" s="871" t="s">
        <v>646</v>
      </c>
      <c r="H2728" s="859" t="s">
        <v>1310</v>
      </c>
      <c r="I2728" s="251">
        <v>275</v>
      </c>
      <c r="J2728" s="251">
        <v>14550</v>
      </c>
      <c r="K2728" s="860">
        <f t="shared" si="402"/>
        <v>4001250</v>
      </c>
      <c r="L2728" s="861" t="s">
        <v>162</v>
      </c>
      <c r="M2728" s="861" t="s">
        <v>857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52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>632</v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>x</v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26"/>
    </row>
    <row r="2729" spans="1:27" ht="15.75" customHeight="1">
      <c r="A2729" s="827" t="str">
        <f>IF(B2729&lt;&gt;"",IF(AND(B2729&gt;=_TM1,B2729&lt;=_TM2,OR(TH!L2729="1111",TH!M2729="1111")),TH!D2729,""),"")</f>
        <v/>
      </c>
      <c r="B2729" s="36">
        <f t="shared" si="403"/>
        <v>4</v>
      </c>
      <c r="C2729" s="190">
        <f t="shared" si="401"/>
        <v>42475</v>
      </c>
      <c r="D2729" s="856" t="s">
        <v>1662</v>
      </c>
      <c r="E2729" s="48">
        <v>42475</v>
      </c>
      <c r="F2729" s="857" t="s">
        <v>451</v>
      </c>
      <c r="G2729" s="871" t="s">
        <v>647</v>
      </c>
      <c r="H2729" s="859" t="s">
        <v>1310</v>
      </c>
      <c r="I2729" s="251">
        <v>291</v>
      </c>
      <c r="J2729" s="251">
        <v>14550</v>
      </c>
      <c r="K2729" s="860">
        <f t="shared" si="402"/>
        <v>4234050</v>
      </c>
      <c r="L2729" s="861" t="s">
        <v>162</v>
      </c>
      <c r="M2729" s="861" t="s">
        <v>857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52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>632</v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>x</v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26"/>
    </row>
    <row r="2730" spans="1:27" ht="15.75" customHeight="1">
      <c r="A2730" s="827" t="str">
        <f>IF(B2730&lt;&gt;"",IF(AND(B2730&gt;=_TM1,B2730&lt;=_TM2,OR(TH!L2730="1111",TH!M2730="1111")),TH!D2730,""),"")</f>
        <v/>
      </c>
      <c r="B2730" s="36">
        <f t="shared" si="403"/>
        <v>4</v>
      </c>
      <c r="C2730" s="190">
        <f t="shared" si="401"/>
        <v>42475</v>
      </c>
      <c r="D2730" s="856" t="s">
        <v>1662</v>
      </c>
      <c r="E2730" s="48">
        <v>42475</v>
      </c>
      <c r="F2730" s="857" t="s">
        <v>451</v>
      </c>
      <c r="G2730" s="871" t="s">
        <v>648</v>
      </c>
      <c r="H2730" s="859" t="s">
        <v>1310</v>
      </c>
      <c r="I2730" s="251">
        <v>300</v>
      </c>
      <c r="J2730" s="251">
        <v>14550</v>
      </c>
      <c r="K2730" s="860">
        <f t="shared" si="402"/>
        <v>4365000</v>
      </c>
      <c r="L2730" s="861" t="s">
        <v>162</v>
      </c>
      <c r="M2730" s="861" t="s">
        <v>857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52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>632</v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>x</v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26"/>
    </row>
    <row r="2731" spans="1:27" ht="15.75" customHeight="1">
      <c r="A2731" s="827" t="str">
        <f>IF(B2731&lt;&gt;"",IF(AND(B2731&gt;=_TM1,B2731&lt;=_TM2,OR(TH!L2731="1111",TH!M2731="1111")),TH!D2731,""),"")</f>
        <v/>
      </c>
      <c r="B2731" s="36">
        <f t="shared" si="403"/>
        <v>4</v>
      </c>
      <c r="C2731" s="190">
        <f t="shared" si="401"/>
        <v>42475</v>
      </c>
      <c r="D2731" s="856" t="s">
        <v>1662</v>
      </c>
      <c r="E2731" s="48">
        <v>42475</v>
      </c>
      <c r="F2731" s="857" t="s">
        <v>451</v>
      </c>
      <c r="G2731" s="831" t="s">
        <v>649</v>
      </c>
      <c r="H2731" s="859" t="s">
        <v>1310</v>
      </c>
      <c r="I2731" s="251">
        <v>253</v>
      </c>
      <c r="J2731" s="251">
        <v>14550</v>
      </c>
      <c r="K2731" s="860">
        <f t="shared" si="402"/>
        <v>3681150</v>
      </c>
      <c r="L2731" s="861" t="s">
        <v>162</v>
      </c>
      <c r="M2731" s="861" t="s">
        <v>857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52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>632</v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>x</v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26"/>
    </row>
    <row r="2732" spans="1:27" ht="15.75" customHeight="1">
      <c r="A2732" s="827" t="str">
        <f>IF(B2732&lt;&gt;"",IF(AND(B2732&gt;=_TM1,B2732&lt;=_TM2,OR(TH!L2732="1111",TH!M2732="1111")),TH!D2732,""),"")</f>
        <v/>
      </c>
      <c r="B2732" s="36">
        <f t="shared" si="403"/>
        <v>4</v>
      </c>
      <c r="C2732" s="190">
        <f t="shared" si="401"/>
        <v>42480</v>
      </c>
      <c r="D2732" s="856" t="s">
        <v>1662</v>
      </c>
      <c r="E2732" s="48">
        <v>42480</v>
      </c>
      <c r="F2732" s="857" t="s">
        <v>655</v>
      </c>
      <c r="G2732" s="831" t="s">
        <v>654</v>
      </c>
      <c r="H2732" s="859" t="s">
        <v>1310</v>
      </c>
      <c r="I2732" s="251">
        <v>316</v>
      </c>
      <c r="J2732" s="251">
        <v>6552</v>
      </c>
      <c r="K2732" s="860">
        <f t="shared" si="402"/>
        <v>2070432</v>
      </c>
      <c r="L2732" s="861" t="s">
        <v>162</v>
      </c>
      <c r="M2732" s="861" t="s">
        <v>857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52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>632</v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26"/>
    </row>
    <row r="2733" spans="1:27" ht="15.75" customHeight="1">
      <c r="A2733" s="827" t="str">
        <f>IF(B2733&lt;&gt;"",IF(AND(B2733&gt;=_TM1,B2733&lt;=_TM2,OR(TH!L2733="1111",TH!M2733="1111")),TH!D2733,""),"")</f>
        <v/>
      </c>
      <c r="B2733" s="36">
        <f t="shared" si="403"/>
        <v>4</v>
      </c>
      <c r="C2733" s="190">
        <f t="shared" si="401"/>
        <v>42480</v>
      </c>
      <c r="D2733" s="856" t="s">
        <v>1662</v>
      </c>
      <c r="E2733" s="48">
        <v>42480</v>
      </c>
      <c r="F2733" s="857" t="s">
        <v>656</v>
      </c>
      <c r="G2733" s="831" t="s">
        <v>654</v>
      </c>
      <c r="H2733" s="859" t="s">
        <v>1310</v>
      </c>
      <c r="I2733" s="251">
        <v>259</v>
      </c>
      <c r="J2733" s="251">
        <v>4251</v>
      </c>
      <c r="K2733" s="860">
        <f t="shared" si="402"/>
        <v>1101009</v>
      </c>
      <c r="L2733" s="861" t="s">
        <v>162</v>
      </c>
      <c r="M2733" s="861" t="s">
        <v>857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52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>632</v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26"/>
    </row>
    <row r="2734" spans="1:27" ht="15.75" customHeight="1">
      <c r="A2734" s="827" t="str">
        <f>IF(B2734&lt;&gt;"",IF(AND(B2734&gt;=_TM1,B2734&lt;=_TM2,OR(TH!L2734="1111",TH!M2734="1111")),TH!D2734,""),"")</f>
        <v/>
      </c>
      <c r="B2734" s="36">
        <f t="shared" si="403"/>
        <v>4</v>
      </c>
      <c r="C2734" s="190">
        <f t="shared" si="401"/>
        <v>42485</v>
      </c>
      <c r="D2734" s="856" t="s">
        <v>1662</v>
      </c>
      <c r="E2734" s="48">
        <v>42485</v>
      </c>
      <c r="F2734" s="857" t="s">
        <v>680</v>
      </c>
      <c r="G2734" s="831" t="s">
        <v>660</v>
      </c>
      <c r="H2734" s="859" t="s">
        <v>1310</v>
      </c>
      <c r="I2734" s="251">
        <v>221</v>
      </c>
      <c r="J2734" s="251">
        <v>7663</v>
      </c>
      <c r="K2734" s="860">
        <f t="shared" si="402"/>
        <v>1693523</v>
      </c>
      <c r="L2734" s="861" t="s">
        <v>162</v>
      </c>
      <c r="M2734" s="861" t="s">
        <v>857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52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>632</v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26"/>
    </row>
    <row r="2735" spans="1:27" ht="15.75" customHeight="1">
      <c r="A2735" s="827" t="str">
        <f>IF(B2735&lt;&gt;"",IF(AND(B2735&gt;=_TM1,B2735&lt;=_TM2,OR(TH!L2735="1111",TH!M2735="1111")),TH!D2735,""),"")</f>
        <v/>
      </c>
      <c r="B2735" s="36">
        <f t="shared" si="403"/>
        <v>4</v>
      </c>
      <c r="C2735" s="190">
        <f t="shared" si="401"/>
        <v>42485</v>
      </c>
      <c r="D2735" s="856" t="s">
        <v>1662</v>
      </c>
      <c r="E2735" s="48">
        <v>42485</v>
      </c>
      <c r="F2735" s="857" t="s">
        <v>451</v>
      </c>
      <c r="G2735" s="831" t="s">
        <v>661</v>
      </c>
      <c r="H2735" s="859" t="s">
        <v>1310</v>
      </c>
      <c r="I2735" s="251">
        <v>3500</v>
      </c>
      <c r="J2735" s="251">
        <v>14250.942857142858</v>
      </c>
      <c r="K2735" s="860">
        <f t="shared" si="402"/>
        <v>49878300</v>
      </c>
      <c r="L2735" s="861" t="s">
        <v>162</v>
      </c>
      <c r="M2735" s="861" t="s">
        <v>857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52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>632</v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>x</v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26"/>
    </row>
    <row r="2736" spans="1:27" ht="15.75" customHeight="1">
      <c r="A2736" s="827" t="str">
        <f>IF(B2736&lt;&gt;"",IF(AND(B2736&gt;=_TM1,B2736&lt;=_TM2,OR(TH!L2736="1111",TH!M2736="1111")),TH!D2736,""),"")</f>
        <v/>
      </c>
      <c r="B2736" s="36">
        <f t="shared" si="403"/>
        <v>4</v>
      </c>
      <c r="C2736" s="190">
        <f t="shared" si="401"/>
        <v>42485</v>
      </c>
      <c r="D2736" s="856" t="s">
        <v>1662</v>
      </c>
      <c r="E2736" s="48">
        <v>42485</v>
      </c>
      <c r="F2736" s="857" t="s">
        <v>450</v>
      </c>
      <c r="G2736" s="831" t="s">
        <v>661</v>
      </c>
      <c r="H2736" s="859" t="s">
        <v>1310</v>
      </c>
      <c r="I2736" s="251">
        <v>3200</v>
      </c>
      <c r="J2736" s="251">
        <v>15675</v>
      </c>
      <c r="K2736" s="860">
        <f t="shared" si="402"/>
        <v>50160000</v>
      </c>
      <c r="L2736" s="861" t="s">
        <v>162</v>
      </c>
      <c r="M2736" s="861" t="s">
        <v>857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52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>632</v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26"/>
    </row>
    <row r="2737" spans="1:27" ht="15.75" customHeight="1">
      <c r="A2737" s="827" t="str">
        <f>IF(B2737&lt;&gt;"",IF(AND(B2737&gt;=_TM1,B2737&lt;=_TM2,OR(TH!L2737="1111",TH!M2737="1111")),TH!D2737,""),"")</f>
        <v/>
      </c>
      <c r="B2737" s="36">
        <f t="shared" si="403"/>
        <v>4</v>
      </c>
      <c r="C2737" s="190">
        <f t="shared" si="401"/>
        <v>42488</v>
      </c>
      <c r="D2737" s="856" t="s">
        <v>1662</v>
      </c>
      <c r="E2737" s="863">
        <v>42488</v>
      </c>
      <c r="F2737" s="857" t="s">
        <v>680</v>
      </c>
      <c r="G2737" s="872" t="s">
        <v>666</v>
      </c>
      <c r="H2737" s="859" t="s">
        <v>1310</v>
      </c>
      <c r="I2737" s="251">
        <v>179</v>
      </c>
      <c r="J2737" s="251">
        <v>7663</v>
      </c>
      <c r="K2737" s="860">
        <f t="shared" si="402"/>
        <v>1371677</v>
      </c>
      <c r="L2737" s="861" t="s">
        <v>162</v>
      </c>
      <c r="M2737" s="861" t="s">
        <v>857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52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>632</v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26"/>
    </row>
    <row r="2738" spans="1:27" ht="15.75" customHeight="1">
      <c r="A2738" s="827" t="str">
        <f>IF(B2738&lt;&gt;"",IF(AND(B2738&gt;=_TM1,B2738&lt;=_TM2,OR(TH!L2738="1111",TH!M2738="1111")),TH!D2738,""),"")</f>
        <v/>
      </c>
      <c r="B2738" s="36">
        <f t="shared" si="403"/>
        <v>4</v>
      </c>
      <c r="C2738" s="190">
        <f t="shared" si="401"/>
        <v>42488</v>
      </c>
      <c r="D2738" s="856" t="s">
        <v>1662</v>
      </c>
      <c r="E2738" s="856">
        <v>42488</v>
      </c>
      <c r="F2738" s="857" t="s">
        <v>681</v>
      </c>
      <c r="G2738" s="858" t="s">
        <v>666</v>
      </c>
      <c r="H2738" s="859" t="s">
        <v>1310</v>
      </c>
      <c r="I2738" s="251">
        <v>26</v>
      </c>
      <c r="J2738" s="251">
        <v>9598</v>
      </c>
      <c r="K2738" s="860">
        <f t="shared" si="402"/>
        <v>249548</v>
      </c>
      <c r="L2738" s="861" t="s">
        <v>162</v>
      </c>
      <c r="M2738" s="861" t="s">
        <v>857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52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>632</v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26"/>
    </row>
    <row r="2739" spans="1:27" ht="15.75" customHeight="1">
      <c r="A2739" s="827" t="str">
        <f>IF(B2739&lt;&gt;"",IF(AND(B2739&gt;=_TM1,B2739&lt;=_TM2,OR(TH!L2739="1111",TH!M2739="1111")),TH!D2739,""),"")</f>
        <v/>
      </c>
      <c r="B2739" s="36">
        <f t="shared" si="403"/>
        <v>4</v>
      </c>
      <c r="C2739" s="190">
        <f t="shared" si="401"/>
        <v>42488</v>
      </c>
      <c r="D2739" s="856" t="s">
        <v>1662</v>
      </c>
      <c r="E2739" s="856">
        <v>42488</v>
      </c>
      <c r="F2739" s="857" t="s">
        <v>682</v>
      </c>
      <c r="G2739" s="858" t="s">
        <v>666</v>
      </c>
      <c r="H2739" s="859" t="s">
        <v>1310</v>
      </c>
      <c r="I2739" s="251">
        <v>1000</v>
      </c>
      <c r="J2739" s="251">
        <v>763</v>
      </c>
      <c r="K2739" s="860">
        <f t="shared" si="402"/>
        <v>763000</v>
      </c>
      <c r="L2739" s="861" t="s">
        <v>162</v>
      </c>
      <c r="M2739" s="861" t="s">
        <v>857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52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>632</v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26"/>
    </row>
    <row r="2740" spans="1:27" ht="15.75" customHeight="1">
      <c r="A2740" s="827" t="str">
        <f>IF(B2740&lt;&gt;"",IF(AND(B2740&gt;=_TM1,B2740&lt;=_TM2,OR(TH!L2740="1111",TH!M2740="1111")),TH!D2740,""),"")</f>
        <v/>
      </c>
      <c r="B2740" s="36">
        <f t="shared" si="403"/>
        <v>4</v>
      </c>
      <c r="C2740" s="190">
        <f t="shared" si="401"/>
        <v>42489</v>
      </c>
      <c r="D2740" s="856" t="s">
        <v>1662</v>
      </c>
      <c r="E2740" s="48">
        <v>42489</v>
      </c>
      <c r="F2740" s="857" t="s">
        <v>482</v>
      </c>
      <c r="G2740" s="831" t="s">
        <v>669</v>
      </c>
      <c r="H2740" s="859" t="s">
        <v>1310</v>
      </c>
      <c r="I2740" s="251">
        <v>9</v>
      </c>
      <c r="J2740" s="251">
        <v>54953</v>
      </c>
      <c r="K2740" s="860">
        <f t="shared" si="402"/>
        <v>494577</v>
      </c>
      <c r="L2740" s="861" t="s">
        <v>162</v>
      </c>
      <c r="M2740" s="861" t="s">
        <v>857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52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>632</v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26"/>
    </row>
    <row r="2741" spans="1:27" ht="15.75" customHeight="1">
      <c r="A2741" s="827" t="str">
        <f>IF(B2741&lt;&gt;"",IF(AND(B2741&gt;=_TM1,B2741&lt;=_TM2,OR(TH!L2741="1111",TH!M2741="1111")),TH!D2741,""),"")</f>
        <v/>
      </c>
      <c r="B2741" s="36">
        <f t="shared" si="403"/>
        <v>4</v>
      </c>
      <c r="C2741" s="190">
        <f t="shared" si="401"/>
        <v>42489</v>
      </c>
      <c r="D2741" s="856" t="s">
        <v>1662</v>
      </c>
      <c r="E2741" s="48">
        <v>42489</v>
      </c>
      <c r="F2741" s="857" t="s">
        <v>540</v>
      </c>
      <c r="G2741" s="831" t="s">
        <v>669</v>
      </c>
      <c r="H2741" s="859" t="s">
        <v>1310</v>
      </c>
      <c r="I2741" s="251">
        <v>24</v>
      </c>
      <c r="J2741" s="251">
        <v>65819</v>
      </c>
      <c r="K2741" s="860">
        <f t="shared" si="402"/>
        <v>1579656</v>
      </c>
      <c r="L2741" s="861" t="s">
        <v>162</v>
      </c>
      <c r="M2741" s="861" t="s">
        <v>857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52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>632</v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26"/>
    </row>
    <row r="2742" spans="1:27" ht="15.75" customHeight="1">
      <c r="A2742" s="827" t="str">
        <f>IF(B2742&lt;&gt;"",IF(AND(B2742&gt;=_TM1,B2742&lt;=_TM2,OR(TH!L2742="1111",TH!M2742="1111")),TH!D2742,""),"")</f>
        <v/>
      </c>
      <c r="B2742" s="36">
        <f t="shared" si="403"/>
        <v>4</v>
      </c>
      <c r="C2742" s="190">
        <f t="shared" si="401"/>
        <v>42489</v>
      </c>
      <c r="D2742" s="856" t="s">
        <v>1662</v>
      </c>
      <c r="E2742" s="48">
        <v>42489</v>
      </c>
      <c r="F2742" s="857" t="s">
        <v>471</v>
      </c>
      <c r="G2742" s="831" t="s">
        <v>669</v>
      </c>
      <c r="H2742" s="859" t="s">
        <v>1310</v>
      </c>
      <c r="I2742" s="251">
        <v>10</v>
      </c>
      <c r="J2742" s="251">
        <v>53599</v>
      </c>
      <c r="K2742" s="860">
        <f t="shared" si="402"/>
        <v>535990</v>
      </c>
      <c r="L2742" s="861" t="s">
        <v>162</v>
      </c>
      <c r="M2742" s="861" t="s">
        <v>857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52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>632</v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26"/>
    </row>
    <row r="2743" spans="1:27" ht="15.75" customHeight="1">
      <c r="A2743" s="827" t="str">
        <f>IF(B2743&lt;&gt;"",IF(AND(B2743&gt;=_TM1,B2743&lt;=_TM2,OR(TH!L2743="1111",TH!M2743="1111")),TH!D2743,""),"")</f>
        <v/>
      </c>
      <c r="B2743" s="36">
        <f t="shared" si="403"/>
        <v>4</v>
      </c>
      <c r="C2743" s="190">
        <f t="shared" si="401"/>
        <v>42489</v>
      </c>
      <c r="D2743" s="856" t="s">
        <v>1662</v>
      </c>
      <c r="E2743" s="48">
        <v>42489</v>
      </c>
      <c r="F2743" s="857" t="s">
        <v>534</v>
      </c>
      <c r="G2743" s="831" t="s">
        <v>669</v>
      </c>
      <c r="H2743" s="859" t="s">
        <v>1310</v>
      </c>
      <c r="I2743" s="251">
        <v>12</v>
      </c>
      <c r="J2743" s="251">
        <v>88678</v>
      </c>
      <c r="K2743" s="860">
        <f t="shared" si="402"/>
        <v>1064136</v>
      </c>
      <c r="L2743" s="861" t="s">
        <v>162</v>
      </c>
      <c r="M2743" s="861" t="s">
        <v>857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52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>632</v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26"/>
    </row>
    <row r="2744" spans="1:27" ht="15.75" customHeight="1">
      <c r="A2744" s="827" t="str">
        <f>IF(B2744&lt;&gt;"",IF(AND(B2744&gt;=_TM1,B2744&lt;=_TM2,OR(TH!L2744="1111",TH!M2744="1111")),TH!D2744,""),"")</f>
        <v/>
      </c>
      <c r="B2744" s="36">
        <f t="shared" si="403"/>
        <v>4</v>
      </c>
      <c r="C2744" s="190">
        <f t="shared" si="401"/>
        <v>42489</v>
      </c>
      <c r="D2744" s="856" t="s">
        <v>1662</v>
      </c>
      <c r="E2744" s="48">
        <v>42489</v>
      </c>
      <c r="F2744" s="857" t="s">
        <v>469</v>
      </c>
      <c r="G2744" s="831" t="s">
        <v>669</v>
      </c>
      <c r="H2744" s="859" t="s">
        <v>1310</v>
      </c>
      <c r="I2744" s="251">
        <v>9</v>
      </c>
      <c r="J2744" s="251">
        <v>59724</v>
      </c>
      <c r="K2744" s="860">
        <f t="shared" si="402"/>
        <v>537516</v>
      </c>
      <c r="L2744" s="861" t="s">
        <v>162</v>
      </c>
      <c r="M2744" s="861" t="s">
        <v>857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52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>632</v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26"/>
    </row>
    <row r="2745" spans="1:27" ht="15.75" customHeight="1">
      <c r="A2745" s="827" t="str">
        <f>IF(B2745&lt;&gt;"",IF(AND(B2745&gt;=_TM1,B2745&lt;=_TM2,OR(TH!L2745="1111",TH!M2745="1111")),TH!D2745,""),"")</f>
        <v/>
      </c>
      <c r="B2745" s="36">
        <f t="shared" si="403"/>
        <v>4</v>
      </c>
      <c r="C2745" s="190">
        <f t="shared" si="401"/>
        <v>42489</v>
      </c>
      <c r="D2745" s="856" t="s">
        <v>1662</v>
      </c>
      <c r="E2745" s="48">
        <v>42489</v>
      </c>
      <c r="F2745" s="857" t="s">
        <v>468</v>
      </c>
      <c r="G2745" s="831" t="s">
        <v>669</v>
      </c>
      <c r="H2745" s="859" t="s">
        <v>1310</v>
      </c>
      <c r="I2745" s="251">
        <v>22</v>
      </c>
      <c r="J2745" s="251">
        <v>68001</v>
      </c>
      <c r="K2745" s="860">
        <f t="shared" si="402"/>
        <v>1496022</v>
      </c>
      <c r="L2745" s="861" t="s">
        <v>162</v>
      </c>
      <c r="M2745" s="861" t="s">
        <v>857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52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>632</v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26"/>
    </row>
    <row r="2746" spans="1:27" ht="15.75" customHeight="1">
      <c r="A2746" s="827" t="str">
        <f>IF(B2746&lt;&gt;"",IF(AND(B2746&gt;=_TM1,B2746&lt;=_TM2,OR(TH!L2746="1111",TH!M2746="1111")),TH!D2746,""),"")</f>
        <v/>
      </c>
      <c r="B2746" s="36">
        <f t="shared" si="403"/>
        <v>4</v>
      </c>
      <c r="C2746" s="190">
        <f t="shared" si="401"/>
        <v>42489</v>
      </c>
      <c r="D2746" s="856" t="s">
        <v>1662</v>
      </c>
      <c r="E2746" s="48">
        <v>42489</v>
      </c>
      <c r="F2746" s="857" t="s">
        <v>483</v>
      </c>
      <c r="G2746" s="831" t="s">
        <v>669</v>
      </c>
      <c r="H2746" s="859" t="s">
        <v>1310</v>
      </c>
      <c r="I2746" s="251">
        <v>18</v>
      </c>
      <c r="J2746" s="251">
        <v>50167</v>
      </c>
      <c r="K2746" s="860">
        <f t="shared" si="402"/>
        <v>903006</v>
      </c>
      <c r="L2746" s="861" t="s">
        <v>162</v>
      </c>
      <c r="M2746" s="861" t="s">
        <v>857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52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>632</v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26"/>
    </row>
    <row r="2747" spans="1:27" ht="15.75" customHeight="1">
      <c r="A2747" s="827" t="str">
        <f>IF(B2747&lt;&gt;"",IF(AND(B2747&gt;=_TM1,B2747&lt;=_TM2,OR(TH!L2747="1111",TH!M2747="1111")),TH!D2747,""),"")</f>
        <v/>
      </c>
      <c r="B2747" s="36">
        <f t="shared" si="403"/>
        <v>4</v>
      </c>
      <c r="C2747" s="190">
        <f t="shared" si="401"/>
        <v>42489</v>
      </c>
      <c r="D2747" s="856" t="s">
        <v>1662</v>
      </c>
      <c r="E2747" s="48">
        <v>42489</v>
      </c>
      <c r="F2747" s="857" t="s">
        <v>466</v>
      </c>
      <c r="G2747" s="831" t="s">
        <v>669</v>
      </c>
      <c r="H2747" s="859" t="s">
        <v>1310</v>
      </c>
      <c r="I2747" s="251">
        <v>27</v>
      </c>
      <c r="J2747" s="251">
        <v>75981</v>
      </c>
      <c r="K2747" s="860">
        <f t="shared" si="402"/>
        <v>2051487</v>
      </c>
      <c r="L2747" s="861" t="s">
        <v>162</v>
      </c>
      <c r="M2747" s="861" t="s">
        <v>857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52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>632</v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26"/>
    </row>
    <row r="2748" spans="1:27" ht="15.75" customHeight="1">
      <c r="A2748" s="827" t="str">
        <f>IF(B2748&lt;&gt;"",IF(AND(B2748&gt;=_TM1,B2748&lt;=_TM2,OR(TH!L2748="1111",TH!M2748="1111")),TH!D2748,""),"")</f>
        <v/>
      </c>
      <c r="B2748" s="36">
        <f t="shared" si="403"/>
        <v>4</v>
      </c>
      <c r="C2748" s="190">
        <f t="shared" si="401"/>
        <v>42489</v>
      </c>
      <c r="D2748" s="856" t="s">
        <v>1662</v>
      </c>
      <c r="E2748" s="856">
        <v>42489</v>
      </c>
      <c r="F2748" s="866" t="s">
        <v>502</v>
      </c>
      <c r="G2748" s="831" t="s">
        <v>669</v>
      </c>
      <c r="H2748" s="859" t="s">
        <v>1310</v>
      </c>
      <c r="I2748" s="251">
        <v>24</v>
      </c>
      <c r="J2748" s="251">
        <v>93789</v>
      </c>
      <c r="K2748" s="860">
        <f t="shared" si="402"/>
        <v>2250936</v>
      </c>
      <c r="L2748" s="861" t="s">
        <v>162</v>
      </c>
      <c r="M2748" s="861" t="s">
        <v>857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52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>632</v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26"/>
    </row>
    <row r="2749" spans="1:27" ht="15.75" customHeight="1">
      <c r="A2749" s="827" t="str">
        <f>IF(B2749&lt;&gt;"",IF(AND(B2749&gt;=_TM1,B2749&lt;=_TM2,OR(TH!L2749="1111",TH!M2749="1111")),TH!D2749,""),"")</f>
        <v/>
      </c>
      <c r="B2749" s="36">
        <f t="shared" si="403"/>
        <v>4</v>
      </c>
      <c r="C2749" s="190">
        <f t="shared" si="401"/>
        <v>42489</v>
      </c>
      <c r="D2749" s="856" t="s">
        <v>1662</v>
      </c>
      <c r="E2749" s="856">
        <v>42489</v>
      </c>
      <c r="F2749" s="857" t="s">
        <v>470</v>
      </c>
      <c r="G2749" s="858" t="s">
        <v>669</v>
      </c>
      <c r="H2749" s="859" t="s">
        <v>1310</v>
      </c>
      <c r="I2749" s="251">
        <v>10</v>
      </c>
      <c r="J2749" s="251">
        <v>94741</v>
      </c>
      <c r="K2749" s="860">
        <f t="shared" si="402"/>
        <v>947410</v>
      </c>
      <c r="L2749" s="861" t="s">
        <v>162</v>
      </c>
      <c r="M2749" s="861" t="s">
        <v>857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52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>632</v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26"/>
    </row>
    <row r="2750" spans="1:27" ht="15.75" customHeight="1">
      <c r="A2750" s="827" t="str">
        <f>IF(B2750&lt;&gt;"",IF(AND(B2750&gt;=_TM1,B2750&lt;=_TM2,OR(TH!L2750="1111",TH!M2750="1111")),TH!D2750,""),"")</f>
        <v/>
      </c>
      <c r="B2750" s="36">
        <f t="shared" si="403"/>
        <v>4</v>
      </c>
      <c r="C2750" s="190">
        <f t="shared" si="401"/>
        <v>42489</v>
      </c>
      <c r="D2750" s="856" t="s">
        <v>1662</v>
      </c>
      <c r="E2750" s="48">
        <v>42489</v>
      </c>
      <c r="F2750" s="49" t="s">
        <v>475</v>
      </c>
      <c r="G2750" s="831" t="s">
        <v>669</v>
      </c>
      <c r="H2750" s="859" t="s">
        <v>1310</v>
      </c>
      <c r="I2750" s="251">
        <v>10</v>
      </c>
      <c r="J2750" s="251">
        <v>84170</v>
      </c>
      <c r="K2750" s="860">
        <f t="shared" si="402"/>
        <v>841700</v>
      </c>
      <c r="L2750" s="861" t="s">
        <v>162</v>
      </c>
      <c r="M2750" s="861" t="s">
        <v>857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52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>632</v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26"/>
    </row>
    <row r="2751" spans="1:27" ht="15.75" customHeight="1">
      <c r="A2751" s="827" t="str">
        <f>IF(B2751&lt;&gt;"",IF(AND(B2751&gt;=_TM1,B2751&lt;=_TM2,OR(TH!L2751="1111",TH!M2751="1111")),TH!D2751,""),"")</f>
        <v/>
      </c>
      <c r="B2751" s="36">
        <f t="shared" si="403"/>
        <v>4</v>
      </c>
      <c r="C2751" s="190">
        <f t="shared" si="401"/>
        <v>42489</v>
      </c>
      <c r="D2751" s="856" t="s">
        <v>1662</v>
      </c>
      <c r="E2751" s="48">
        <v>42489</v>
      </c>
      <c r="F2751" s="866" t="s">
        <v>564</v>
      </c>
      <c r="G2751" s="831" t="s">
        <v>669</v>
      </c>
      <c r="H2751" s="859" t="s">
        <v>1310</v>
      </c>
      <c r="I2751" s="251">
        <v>112</v>
      </c>
      <c r="J2751" s="251">
        <v>7972</v>
      </c>
      <c r="K2751" s="860">
        <f t="shared" si="402"/>
        <v>892864</v>
      </c>
      <c r="L2751" s="861" t="s">
        <v>162</v>
      </c>
      <c r="M2751" s="861" t="s">
        <v>857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52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>632</v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26"/>
    </row>
    <row r="2752" spans="1:27" ht="15.75" customHeight="1">
      <c r="A2752" s="827" t="str">
        <f>IF(B2752&lt;&gt;"",IF(AND(B2752&gt;=_TM1,B2752&lt;=_TM2,OR(TH!L2752="1111",TH!M2752="1111")),TH!D2752,""),"")</f>
        <v/>
      </c>
      <c r="B2752" s="36">
        <f t="shared" si="403"/>
        <v>4</v>
      </c>
      <c r="C2752" s="190">
        <f t="shared" si="401"/>
        <v>42489</v>
      </c>
      <c r="D2752" s="856" t="s">
        <v>1662</v>
      </c>
      <c r="E2752" s="48">
        <v>42489</v>
      </c>
      <c r="F2752" s="868" t="s">
        <v>495</v>
      </c>
      <c r="G2752" s="831" t="s">
        <v>669</v>
      </c>
      <c r="H2752" s="859" t="s">
        <v>1310</v>
      </c>
      <c r="I2752" s="251">
        <v>126</v>
      </c>
      <c r="J2752" s="251">
        <v>7800</v>
      </c>
      <c r="K2752" s="860">
        <f t="shared" si="402"/>
        <v>982800</v>
      </c>
      <c r="L2752" s="861" t="s">
        <v>162</v>
      </c>
      <c r="M2752" s="861" t="s">
        <v>857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52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>632</v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26"/>
    </row>
    <row r="2753" spans="1:27" ht="15.75" customHeight="1">
      <c r="A2753" s="827" t="str">
        <f>IF(B2753&lt;&gt;"",IF(AND(B2753&gt;=_TM1,B2753&lt;=_TM2,OR(TH!L2753="1111",TH!M2753="1111")),TH!D2753,""),"")</f>
        <v/>
      </c>
      <c r="B2753" s="36">
        <f t="shared" si="403"/>
        <v>4</v>
      </c>
      <c r="C2753" s="190">
        <f t="shared" si="401"/>
        <v>42489</v>
      </c>
      <c r="D2753" s="856" t="s">
        <v>1662</v>
      </c>
      <c r="E2753" s="48">
        <v>42489</v>
      </c>
      <c r="F2753" s="868" t="s">
        <v>486</v>
      </c>
      <c r="G2753" s="831" t="s">
        <v>669</v>
      </c>
      <c r="H2753" s="859" t="s">
        <v>1310</v>
      </c>
      <c r="I2753" s="251">
        <v>45</v>
      </c>
      <c r="J2753" s="251">
        <v>11449</v>
      </c>
      <c r="K2753" s="860">
        <f t="shared" si="402"/>
        <v>515205</v>
      </c>
      <c r="L2753" s="861" t="s">
        <v>162</v>
      </c>
      <c r="M2753" s="861" t="s">
        <v>857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52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>632</v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26"/>
    </row>
    <row r="2754" spans="1:27" ht="15.75" customHeight="1">
      <c r="A2754" s="827" t="str">
        <f>IF(B2754&lt;&gt;"",IF(AND(B2754&gt;=_TM1,B2754&lt;=_TM2,OR(TH!L2754="1111",TH!M2754="1111")),TH!D2754,""),"")</f>
        <v/>
      </c>
      <c r="B2754" s="36">
        <f t="shared" si="403"/>
        <v>4</v>
      </c>
      <c r="C2754" s="190">
        <f t="shared" si="401"/>
        <v>42489</v>
      </c>
      <c r="D2754" s="856" t="s">
        <v>1662</v>
      </c>
      <c r="E2754" s="48">
        <v>42489</v>
      </c>
      <c r="F2754" s="868" t="s">
        <v>563</v>
      </c>
      <c r="G2754" s="831" t="s">
        <v>669</v>
      </c>
      <c r="H2754" s="859" t="s">
        <v>1310</v>
      </c>
      <c r="I2754" s="251">
        <v>24</v>
      </c>
      <c r="J2754" s="251">
        <v>8491</v>
      </c>
      <c r="K2754" s="860">
        <f t="shared" si="402"/>
        <v>203784</v>
      </c>
      <c r="L2754" s="861" t="s">
        <v>162</v>
      </c>
      <c r="M2754" s="861" t="s">
        <v>857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52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>632</v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26"/>
    </row>
    <row r="2755" spans="1:27" ht="15.75" customHeight="1">
      <c r="A2755" s="827" t="str">
        <f>IF(B2755&lt;&gt;"",IF(AND(B2755&gt;=_TM1,B2755&lt;=_TM2,OR(TH!L2755="1111",TH!M2755="1111")),TH!D2755,""),"")</f>
        <v/>
      </c>
      <c r="B2755" s="36">
        <f t="shared" si="403"/>
        <v>4</v>
      </c>
      <c r="C2755" s="190">
        <f t="shared" si="401"/>
        <v>42489</v>
      </c>
      <c r="D2755" s="856" t="s">
        <v>1662</v>
      </c>
      <c r="E2755" s="48">
        <v>42489</v>
      </c>
      <c r="F2755" s="868" t="s">
        <v>568</v>
      </c>
      <c r="G2755" s="831" t="s">
        <v>669</v>
      </c>
      <c r="H2755" s="859" t="s">
        <v>1310</v>
      </c>
      <c r="I2755" s="251">
        <v>24</v>
      </c>
      <c r="J2755" s="251">
        <v>8909</v>
      </c>
      <c r="K2755" s="860">
        <f t="shared" si="402"/>
        <v>213816</v>
      </c>
      <c r="L2755" s="861" t="s">
        <v>162</v>
      </c>
      <c r="M2755" s="861" t="s">
        <v>857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52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>632</v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26"/>
    </row>
    <row r="2756" spans="1:27" ht="15.75" customHeight="1">
      <c r="A2756" s="827" t="str">
        <f>IF(B2756&lt;&gt;"",IF(AND(B2756&gt;=_TM1,B2756&lt;=_TM2,OR(TH!L2756="1111",TH!M2756="1111")),TH!D2756,""),"")</f>
        <v/>
      </c>
      <c r="B2756" s="36">
        <f t="shared" si="403"/>
        <v>4</v>
      </c>
      <c r="C2756" s="190">
        <f t="shared" si="401"/>
        <v>42489</v>
      </c>
      <c r="D2756" s="856" t="s">
        <v>1662</v>
      </c>
      <c r="E2756" s="48">
        <v>42489</v>
      </c>
      <c r="F2756" s="868" t="s">
        <v>567</v>
      </c>
      <c r="G2756" s="831" t="s">
        <v>669</v>
      </c>
      <c r="H2756" s="859" t="s">
        <v>1310</v>
      </c>
      <c r="I2756" s="251">
        <v>50</v>
      </c>
      <c r="J2756" s="251">
        <v>9160</v>
      </c>
      <c r="K2756" s="860">
        <f t="shared" si="402"/>
        <v>458000</v>
      </c>
      <c r="L2756" s="861" t="s">
        <v>162</v>
      </c>
      <c r="M2756" s="861" t="s">
        <v>857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52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>632</v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26"/>
    </row>
    <row r="2757" spans="1:27" ht="15.75" customHeight="1">
      <c r="A2757" s="827" t="str">
        <f>IF(B2757&lt;&gt;"",IF(AND(B2757&gt;=_TM1,B2757&lt;=_TM2,OR(TH!L2757="1111",TH!M2757="1111")),TH!D2757,""),"")</f>
        <v/>
      </c>
      <c r="B2757" s="36">
        <f t="shared" si="403"/>
        <v>4</v>
      </c>
      <c r="C2757" s="190">
        <f t="shared" si="401"/>
        <v>42489</v>
      </c>
      <c r="D2757" s="856" t="s">
        <v>1662</v>
      </c>
      <c r="E2757" s="48">
        <v>42489</v>
      </c>
      <c r="F2757" s="868" t="s">
        <v>565</v>
      </c>
      <c r="G2757" s="831" t="s">
        <v>669</v>
      </c>
      <c r="H2757" s="859" t="s">
        <v>1310</v>
      </c>
      <c r="I2757" s="251">
        <v>24</v>
      </c>
      <c r="J2757" s="251">
        <v>9336</v>
      </c>
      <c r="K2757" s="860">
        <f t="shared" si="402"/>
        <v>224064</v>
      </c>
      <c r="L2757" s="861" t="s">
        <v>162</v>
      </c>
      <c r="M2757" s="861" t="s">
        <v>857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52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>632</v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26"/>
    </row>
    <row r="2758" spans="1:27" ht="15.75" customHeight="1">
      <c r="A2758" s="827" t="str">
        <f>IF(B2758&lt;&gt;"",IF(AND(B2758&gt;=_TM1,B2758&lt;=_TM2,OR(TH!L2758="1111",TH!M2758="1111")),TH!D2758,""),"")</f>
        <v/>
      </c>
      <c r="B2758" s="36">
        <f t="shared" si="403"/>
        <v>4</v>
      </c>
      <c r="C2758" s="190">
        <f t="shared" si="401"/>
        <v>42489</v>
      </c>
      <c r="D2758" s="856" t="s">
        <v>1662</v>
      </c>
      <c r="E2758" s="856">
        <v>42489</v>
      </c>
      <c r="F2758" s="857" t="s">
        <v>561</v>
      </c>
      <c r="G2758" s="858" t="s">
        <v>669</v>
      </c>
      <c r="H2758" s="859" t="s">
        <v>1310</v>
      </c>
      <c r="I2758" s="251">
        <v>24</v>
      </c>
      <c r="J2758" s="251">
        <v>9230</v>
      </c>
      <c r="K2758" s="860">
        <f t="shared" si="402"/>
        <v>221520</v>
      </c>
      <c r="L2758" s="861" t="s">
        <v>162</v>
      </c>
      <c r="M2758" s="861" t="s">
        <v>857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52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>632</v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26"/>
    </row>
    <row r="2759" spans="1:27" ht="15.75" customHeight="1">
      <c r="A2759" s="827" t="str">
        <f>IF(B2759&lt;&gt;"",IF(AND(B2759&gt;=_TM1,B2759&lt;=_TM2,OR(TH!L2759="1111",TH!M2759="1111")),TH!D2759,""),"")</f>
        <v/>
      </c>
      <c r="B2759" s="36">
        <f t="shared" si="403"/>
        <v>4</v>
      </c>
      <c r="C2759" s="190">
        <f t="shared" si="401"/>
        <v>42489</v>
      </c>
      <c r="D2759" s="856" t="s">
        <v>1662</v>
      </c>
      <c r="E2759" s="856">
        <v>42489</v>
      </c>
      <c r="F2759" s="857" t="s">
        <v>550</v>
      </c>
      <c r="G2759" s="858" t="s">
        <v>669</v>
      </c>
      <c r="H2759" s="859" t="s">
        <v>1310</v>
      </c>
      <c r="I2759" s="251">
        <v>16</v>
      </c>
      <c r="J2759" s="251">
        <v>23940</v>
      </c>
      <c r="K2759" s="860">
        <f t="shared" si="402"/>
        <v>383040</v>
      </c>
      <c r="L2759" s="861" t="s">
        <v>162</v>
      </c>
      <c r="M2759" s="861" t="s">
        <v>857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52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>632</v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26"/>
    </row>
    <row r="2760" spans="1:27" ht="15.75" customHeight="1">
      <c r="A2760" s="827" t="str">
        <f>IF(B2760&lt;&gt;"",IF(AND(B2760&gt;=_TM1,B2760&lt;=_TM2,OR(TH!L2760="1111",TH!M2760="1111")),TH!D2760,""),"")</f>
        <v/>
      </c>
      <c r="B2760" s="36">
        <f t="shared" si="403"/>
        <v>4</v>
      </c>
      <c r="C2760" s="190">
        <f t="shared" si="401"/>
        <v>42489</v>
      </c>
      <c r="D2760" s="856" t="s">
        <v>1662</v>
      </c>
      <c r="E2760" s="856">
        <v>42489</v>
      </c>
      <c r="F2760" s="857" t="s">
        <v>554</v>
      </c>
      <c r="G2760" s="858" t="s">
        <v>669</v>
      </c>
      <c r="H2760" s="859" t="s">
        <v>1310</v>
      </c>
      <c r="I2760" s="251">
        <v>36</v>
      </c>
      <c r="J2760" s="251">
        <v>16469</v>
      </c>
      <c r="K2760" s="860">
        <f t="shared" si="402"/>
        <v>592884</v>
      </c>
      <c r="L2760" s="861" t="s">
        <v>162</v>
      </c>
      <c r="M2760" s="861" t="s">
        <v>857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52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>632</v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26"/>
    </row>
    <row r="2761" spans="1:27" ht="15.75" customHeight="1">
      <c r="A2761" s="827" t="str">
        <f>IF(B2761&lt;&gt;"",IF(AND(B2761&gt;=_TM1,B2761&lt;=_TM2,OR(TH!L2761="1111",TH!M2761="1111")),TH!D2761,""),"")</f>
        <v/>
      </c>
      <c r="B2761" s="36">
        <f t="shared" si="403"/>
        <v>4</v>
      </c>
      <c r="C2761" s="190">
        <f t="shared" si="401"/>
        <v>42489</v>
      </c>
      <c r="D2761" s="856" t="s">
        <v>1662</v>
      </c>
      <c r="E2761" s="856">
        <v>42489</v>
      </c>
      <c r="F2761" s="857" t="s">
        <v>566</v>
      </c>
      <c r="G2761" s="858" t="s">
        <v>669</v>
      </c>
      <c r="H2761" s="859" t="s">
        <v>1310</v>
      </c>
      <c r="I2761" s="251">
        <v>33</v>
      </c>
      <c r="J2761" s="251">
        <v>5960</v>
      </c>
      <c r="K2761" s="860">
        <f t="shared" si="402"/>
        <v>196680</v>
      </c>
      <c r="L2761" s="861" t="s">
        <v>162</v>
      </c>
      <c r="M2761" s="861" t="s">
        <v>857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52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>632</v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26"/>
    </row>
    <row r="2762" spans="1:27" ht="15.75" customHeight="1">
      <c r="A2762" s="827" t="str">
        <f>IF(B2762&lt;&gt;"",IF(AND(B2762&gt;=_TM1,B2762&lt;=_TM2,OR(TH!L2762="1111",TH!M2762="1111")),TH!D2762,""),"")</f>
        <v/>
      </c>
      <c r="B2762" s="36">
        <f t="shared" si="403"/>
        <v>4</v>
      </c>
      <c r="C2762" s="190">
        <f t="shared" si="401"/>
        <v>42489</v>
      </c>
      <c r="D2762" s="856" t="s">
        <v>1662</v>
      </c>
      <c r="E2762" s="856">
        <v>42489</v>
      </c>
      <c r="F2762" s="857" t="s">
        <v>547</v>
      </c>
      <c r="G2762" s="858" t="s">
        <v>669</v>
      </c>
      <c r="H2762" s="859" t="s">
        <v>1310</v>
      </c>
      <c r="I2762" s="251">
        <v>36</v>
      </c>
      <c r="J2762" s="251">
        <v>16584</v>
      </c>
      <c r="K2762" s="860">
        <f t="shared" si="402"/>
        <v>597024</v>
      </c>
      <c r="L2762" s="861" t="s">
        <v>162</v>
      </c>
      <c r="M2762" s="861" t="s">
        <v>857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52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>632</v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26"/>
    </row>
    <row r="2763" spans="1:27" ht="15.75" customHeight="1">
      <c r="A2763" s="827" t="str">
        <f>IF(B2763&lt;&gt;"",IF(AND(B2763&gt;=_TM1,B2763&lt;=_TM2,OR(TH!L2763="1111",TH!M2763="1111")),TH!D2763,""),"")</f>
        <v/>
      </c>
      <c r="B2763" s="36">
        <f t="shared" si="403"/>
        <v>4</v>
      </c>
      <c r="C2763" s="190">
        <f t="shared" si="401"/>
        <v>42489</v>
      </c>
      <c r="D2763" s="856" t="s">
        <v>1662</v>
      </c>
      <c r="E2763" s="856">
        <v>42489</v>
      </c>
      <c r="F2763" s="857" t="s">
        <v>525</v>
      </c>
      <c r="G2763" s="858" t="s">
        <v>669</v>
      </c>
      <c r="H2763" s="859" t="s">
        <v>1310</v>
      </c>
      <c r="I2763" s="251">
        <v>108</v>
      </c>
      <c r="J2763" s="251">
        <v>16775</v>
      </c>
      <c r="K2763" s="860">
        <f t="shared" si="402"/>
        <v>1811700</v>
      </c>
      <c r="L2763" s="861" t="s">
        <v>162</v>
      </c>
      <c r="M2763" s="861" t="s">
        <v>857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52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>632</v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26"/>
    </row>
    <row r="2764" spans="1:27" ht="15.75" customHeight="1">
      <c r="A2764" s="827" t="str">
        <f>IF(B2764&lt;&gt;"",IF(AND(B2764&gt;=_TM1,B2764&lt;=_TM2,OR(TH!L2764="1111",TH!M2764="1111")),TH!D2764,""),"")</f>
        <v/>
      </c>
      <c r="B2764" s="36">
        <f t="shared" si="403"/>
        <v>4</v>
      </c>
      <c r="C2764" s="190">
        <f t="shared" si="401"/>
        <v>42489</v>
      </c>
      <c r="D2764" s="856" t="s">
        <v>1662</v>
      </c>
      <c r="E2764" s="856">
        <v>42489</v>
      </c>
      <c r="F2764" s="857" t="s">
        <v>548</v>
      </c>
      <c r="G2764" s="858" t="s">
        <v>669</v>
      </c>
      <c r="H2764" s="859" t="s">
        <v>1310</v>
      </c>
      <c r="I2764" s="251">
        <v>54</v>
      </c>
      <c r="J2764" s="251">
        <v>17591</v>
      </c>
      <c r="K2764" s="860">
        <f t="shared" si="402"/>
        <v>949914</v>
      </c>
      <c r="L2764" s="861" t="s">
        <v>162</v>
      </c>
      <c r="M2764" s="861" t="s">
        <v>857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52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>632</v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26"/>
    </row>
    <row r="2765" spans="1:27" ht="15.75" customHeight="1">
      <c r="A2765" s="827" t="str">
        <f>IF(B2765&lt;&gt;"",IF(AND(B2765&gt;=_TM1,B2765&lt;=_TM2,OR(TH!L2765="1111",TH!M2765="1111")),TH!D2765,""),"")</f>
        <v/>
      </c>
      <c r="B2765" s="36">
        <f t="shared" si="403"/>
        <v>4</v>
      </c>
      <c r="C2765" s="190">
        <f t="shared" si="401"/>
        <v>42489</v>
      </c>
      <c r="D2765" s="856" t="s">
        <v>1662</v>
      </c>
      <c r="E2765" s="856">
        <v>42489</v>
      </c>
      <c r="F2765" s="857" t="s">
        <v>472</v>
      </c>
      <c r="G2765" s="858" t="s">
        <v>669</v>
      </c>
      <c r="H2765" s="859" t="s">
        <v>1310</v>
      </c>
      <c r="I2765" s="251">
        <v>52</v>
      </c>
      <c r="J2765" s="251">
        <v>18040</v>
      </c>
      <c r="K2765" s="860">
        <f t="shared" si="402"/>
        <v>938080</v>
      </c>
      <c r="L2765" s="861" t="s">
        <v>162</v>
      </c>
      <c r="M2765" s="861" t="s">
        <v>857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52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>632</v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26"/>
    </row>
    <row r="2766" spans="1:27" ht="15.75" customHeight="1">
      <c r="A2766" s="827" t="str">
        <f>IF(B2766&lt;&gt;"",IF(AND(B2766&gt;=_TM1,B2766&lt;=_TM2,OR(TH!L2766="1111",TH!M2766="1111")),TH!D2766,""),"")</f>
        <v/>
      </c>
      <c r="B2766" s="36">
        <f t="shared" si="403"/>
        <v>4</v>
      </c>
      <c r="C2766" s="190">
        <f t="shared" si="401"/>
        <v>42489</v>
      </c>
      <c r="D2766" s="856" t="s">
        <v>1662</v>
      </c>
      <c r="E2766" s="856">
        <v>42489</v>
      </c>
      <c r="F2766" s="857" t="s">
        <v>570</v>
      </c>
      <c r="G2766" s="858" t="s">
        <v>669</v>
      </c>
      <c r="H2766" s="859" t="s">
        <v>1310</v>
      </c>
      <c r="I2766" s="251">
        <v>12</v>
      </c>
      <c r="J2766" s="251">
        <v>11404</v>
      </c>
      <c r="K2766" s="860">
        <f t="shared" si="402"/>
        <v>136848</v>
      </c>
      <c r="L2766" s="861" t="s">
        <v>162</v>
      </c>
      <c r="M2766" s="861" t="s">
        <v>857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52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>632</v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26"/>
    </row>
    <row r="2767" spans="1:27" ht="15.75" customHeight="1">
      <c r="A2767" s="827" t="str">
        <f>IF(B2767&lt;&gt;"",IF(AND(B2767&gt;=_TM1,B2767&lt;=_TM2,OR(TH!L2767="1111",TH!M2767="1111")),TH!D2767,""),"")</f>
        <v/>
      </c>
      <c r="B2767" s="36">
        <f t="shared" si="403"/>
        <v>4</v>
      </c>
      <c r="C2767" s="190">
        <f t="shared" si="401"/>
        <v>42489</v>
      </c>
      <c r="D2767" s="856" t="s">
        <v>1662</v>
      </c>
      <c r="E2767" s="856">
        <v>42489</v>
      </c>
      <c r="F2767" s="857" t="s">
        <v>473</v>
      </c>
      <c r="G2767" s="858" t="s">
        <v>669</v>
      </c>
      <c r="H2767" s="859" t="s">
        <v>1310</v>
      </c>
      <c r="I2767" s="251">
        <v>21</v>
      </c>
      <c r="J2767" s="251">
        <v>18714</v>
      </c>
      <c r="K2767" s="860">
        <f t="shared" si="402"/>
        <v>392994</v>
      </c>
      <c r="L2767" s="861" t="s">
        <v>162</v>
      </c>
      <c r="M2767" s="861" t="s">
        <v>857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52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>632</v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26"/>
    </row>
    <row r="2768" spans="1:27" ht="15.75" customHeight="1">
      <c r="A2768" s="827" t="str">
        <f>IF(B2768&lt;&gt;"",IF(AND(B2768&gt;=_TM1,B2768&lt;=_TM2,OR(TH!L2768="1111",TH!M2768="1111")),TH!D2768,""),"")</f>
        <v/>
      </c>
      <c r="B2768" s="36">
        <f t="shared" si="403"/>
        <v>4</v>
      </c>
      <c r="C2768" s="190">
        <f t="shared" si="401"/>
        <v>42489</v>
      </c>
      <c r="D2768" s="856" t="s">
        <v>1662</v>
      </c>
      <c r="E2768" s="856">
        <v>42489</v>
      </c>
      <c r="F2768" s="857" t="s">
        <v>467</v>
      </c>
      <c r="G2768" s="858" t="s">
        <v>669</v>
      </c>
      <c r="H2768" s="859" t="s">
        <v>1310</v>
      </c>
      <c r="I2768" s="251">
        <v>114</v>
      </c>
      <c r="J2768" s="251">
        <v>19075</v>
      </c>
      <c r="K2768" s="860">
        <f t="shared" si="402"/>
        <v>2174550</v>
      </c>
      <c r="L2768" s="861" t="s">
        <v>162</v>
      </c>
      <c r="M2768" s="861" t="s">
        <v>857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52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>632</v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26"/>
    </row>
    <row r="2769" spans="1:27" ht="15.75" customHeight="1">
      <c r="A2769" s="827" t="str">
        <f>IF(B2769&lt;&gt;"",IF(AND(B2769&gt;=_TM1,B2769&lt;=_TM2,OR(TH!L2769="1111",TH!M2769="1111")),TH!D2769,""),"")</f>
        <v/>
      </c>
      <c r="B2769" s="36">
        <f t="shared" si="403"/>
        <v>4</v>
      </c>
      <c r="C2769" s="190">
        <f t="shared" si="401"/>
        <v>42489</v>
      </c>
      <c r="D2769" s="856" t="s">
        <v>1662</v>
      </c>
      <c r="E2769" s="856">
        <v>42489</v>
      </c>
      <c r="F2769" s="857" t="s">
        <v>467</v>
      </c>
      <c r="G2769" s="858" t="s">
        <v>669</v>
      </c>
      <c r="H2769" s="859" t="s">
        <v>1310</v>
      </c>
      <c r="I2769" s="251">
        <v>8</v>
      </c>
      <c r="J2769" s="251">
        <v>31540</v>
      </c>
      <c r="K2769" s="860">
        <f t="shared" si="402"/>
        <v>252320</v>
      </c>
      <c r="L2769" s="861" t="s">
        <v>162</v>
      </c>
      <c r="M2769" s="861" t="s">
        <v>857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52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>632</v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826"/>
    </row>
    <row r="2770" spans="1:27" ht="15.75" customHeight="1">
      <c r="A2770" s="827" t="str">
        <f>IF(B2770&lt;&gt;"",IF(AND(B2770&gt;=_TM1,B2770&lt;=_TM2,OR(TH!L2770="1111",TH!M2770="1111")),TH!D2770,""),"")</f>
        <v/>
      </c>
      <c r="B2770" s="36">
        <f t="shared" si="403"/>
        <v>4</v>
      </c>
      <c r="C2770" s="190">
        <f t="shared" si="401"/>
        <v>42489</v>
      </c>
      <c r="D2770" s="856" t="s">
        <v>1662</v>
      </c>
      <c r="E2770" s="856">
        <v>42489</v>
      </c>
      <c r="F2770" s="857" t="s">
        <v>555</v>
      </c>
      <c r="G2770" s="858" t="s">
        <v>669</v>
      </c>
      <c r="H2770" s="859" t="s">
        <v>1310</v>
      </c>
      <c r="I2770" s="251">
        <v>36</v>
      </c>
      <c r="J2770" s="251">
        <v>19429</v>
      </c>
      <c r="K2770" s="860">
        <f t="shared" si="402"/>
        <v>699444</v>
      </c>
      <c r="L2770" s="861" t="s">
        <v>162</v>
      </c>
      <c r="M2770" s="861" t="s">
        <v>857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52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>632</v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826"/>
    </row>
    <row r="2771" spans="1:27" ht="15.75" customHeight="1">
      <c r="A2771" s="827" t="str">
        <f>IF(B2771&lt;&gt;"",IF(AND(B2771&gt;=_TM1,B2771&lt;=_TM2,OR(TH!L2771="1111",TH!M2771="1111")),TH!D2771,""),"")</f>
        <v/>
      </c>
      <c r="B2771" s="36">
        <f t="shared" si="403"/>
        <v>4</v>
      </c>
      <c r="C2771" s="190">
        <f t="shared" si="401"/>
        <v>42489</v>
      </c>
      <c r="D2771" s="856" t="s">
        <v>1662</v>
      </c>
      <c r="E2771" s="48">
        <v>42489</v>
      </c>
      <c r="F2771" s="868" t="s">
        <v>496</v>
      </c>
      <c r="G2771" s="831" t="s">
        <v>669</v>
      </c>
      <c r="H2771" s="859" t="s">
        <v>1310</v>
      </c>
      <c r="I2771" s="251">
        <v>90</v>
      </c>
      <c r="J2771" s="251">
        <v>16751</v>
      </c>
      <c r="K2771" s="860">
        <f t="shared" si="402"/>
        <v>1507590</v>
      </c>
      <c r="L2771" s="861" t="s">
        <v>162</v>
      </c>
      <c r="M2771" s="861" t="s">
        <v>857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52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>632</v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826"/>
    </row>
    <row r="2772" spans="1:27" ht="15.75" customHeight="1">
      <c r="A2772" s="827" t="str">
        <f>IF(B2772&lt;&gt;"",IF(AND(B2772&gt;=_TM1,B2772&lt;=_TM2,OR(TH!L2772="1111",TH!M2772="1111")),TH!D2772,""),"")</f>
        <v/>
      </c>
      <c r="B2772" s="36">
        <f t="shared" si="403"/>
        <v>4</v>
      </c>
      <c r="C2772" s="190">
        <f t="shared" si="401"/>
        <v>42489</v>
      </c>
      <c r="D2772" s="856" t="s">
        <v>1662</v>
      </c>
      <c r="E2772" s="48">
        <v>42489</v>
      </c>
      <c r="F2772" s="49" t="s">
        <v>498</v>
      </c>
      <c r="G2772" s="831" t="s">
        <v>669</v>
      </c>
      <c r="H2772" s="859" t="s">
        <v>1310</v>
      </c>
      <c r="I2772" s="251">
        <v>72</v>
      </c>
      <c r="J2772" s="251">
        <v>21476</v>
      </c>
      <c r="K2772" s="860">
        <f t="shared" si="402"/>
        <v>1546272</v>
      </c>
      <c r="L2772" s="861" t="s">
        <v>162</v>
      </c>
      <c r="M2772" s="861" t="s">
        <v>857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52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>632</v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826"/>
    </row>
    <row r="2773" spans="1:27" ht="15.75" customHeight="1">
      <c r="A2773" s="827" t="str">
        <f>IF(B2773&lt;&gt;"",IF(AND(B2773&gt;=_TM1,B2773&lt;=_TM2,OR(TH!L2773="1111",TH!M2773="1111")),TH!D2773,""),"")</f>
        <v/>
      </c>
      <c r="B2773" s="36">
        <f t="shared" si="403"/>
        <v>4</v>
      </c>
      <c r="C2773" s="190">
        <f t="shared" si="401"/>
        <v>42489</v>
      </c>
      <c r="D2773" s="856" t="s">
        <v>1662</v>
      </c>
      <c r="E2773" s="48">
        <v>42489</v>
      </c>
      <c r="F2773" s="49" t="s">
        <v>552</v>
      </c>
      <c r="G2773" s="831" t="s">
        <v>669</v>
      </c>
      <c r="H2773" s="859" t="s">
        <v>1310</v>
      </c>
      <c r="I2773" s="251">
        <v>36</v>
      </c>
      <c r="J2773" s="251">
        <v>32901</v>
      </c>
      <c r="K2773" s="860">
        <f t="shared" si="402"/>
        <v>1184436</v>
      </c>
      <c r="L2773" s="861" t="s">
        <v>162</v>
      </c>
      <c r="M2773" s="861" t="s">
        <v>857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52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>632</v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826"/>
    </row>
    <row r="2774" spans="1:27" ht="15.75" customHeight="1">
      <c r="A2774" s="827" t="str">
        <f>IF(B2774&lt;&gt;"",IF(AND(B2774&gt;=_TM1,B2774&lt;=_TM2,OR(TH!L2774="1111",TH!M2774="1111")),TH!D2774,""),"")</f>
        <v/>
      </c>
      <c r="B2774" s="36">
        <f t="shared" si="403"/>
        <v>4</v>
      </c>
      <c r="C2774" s="190">
        <f t="shared" ref="C2774:C2837" si="404">E2774</f>
        <v>42489</v>
      </c>
      <c r="D2774" s="856" t="s">
        <v>1662</v>
      </c>
      <c r="E2774" s="48">
        <v>42489</v>
      </c>
      <c r="F2774" s="49" t="s">
        <v>500</v>
      </c>
      <c r="G2774" s="831" t="s">
        <v>669</v>
      </c>
      <c r="H2774" s="859" t="s">
        <v>1310</v>
      </c>
      <c r="I2774" s="251">
        <v>36</v>
      </c>
      <c r="J2774" s="251">
        <v>21319</v>
      </c>
      <c r="K2774" s="860">
        <f t="shared" si="402"/>
        <v>767484</v>
      </c>
      <c r="L2774" s="861" t="s">
        <v>162</v>
      </c>
      <c r="M2774" s="861" t="s">
        <v>857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52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>632</v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826"/>
    </row>
    <row r="2775" spans="1:27" ht="15.75" customHeight="1">
      <c r="A2775" s="827" t="str">
        <f>IF(B2775&lt;&gt;"",IF(AND(B2775&gt;=_TM1,B2775&lt;=_TM2,OR(TH!L2775="1111",TH!M2775="1111")),TH!D2775,""),"")</f>
        <v/>
      </c>
      <c r="B2775" s="36">
        <f t="shared" si="403"/>
        <v>4</v>
      </c>
      <c r="C2775" s="190">
        <f t="shared" si="404"/>
        <v>42489</v>
      </c>
      <c r="D2775" s="856" t="s">
        <v>1662</v>
      </c>
      <c r="E2775" s="48">
        <v>42489</v>
      </c>
      <c r="F2775" s="868" t="s">
        <v>672</v>
      </c>
      <c r="G2775" s="831" t="s">
        <v>669</v>
      </c>
      <c r="H2775" s="859" t="s">
        <v>1310</v>
      </c>
      <c r="I2775" s="251">
        <v>80</v>
      </c>
      <c r="J2775" s="251">
        <v>61724.974999999999</v>
      </c>
      <c r="K2775" s="860">
        <f t="shared" si="402"/>
        <v>4937998</v>
      </c>
      <c r="L2775" s="861" t="s">
        <v>162</v>
      </c>
      <c r="M2775" s="861" t="s">
        <v>857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52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>632</v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826"/>
    </row>
    <row r="2776" spans="1:27" ht="15.75" customHeight="1">
      <c r="A2776" s="827" t="str">
        <f>IF(B2776&lt;&gt;"",IF(AND(B2776&gt;=_TM1,B2776&lt;=_TM2,OR(TH!L2776="1111",TH!M2776="1111")),TH!D2776,""),"")</f>
        <v/>
      </c>
      <c r="B2776" s="36">
        <f t="shared" si="403"/>
        <v>4</v>
      </c>
      <c r="C2776" s="190">
        <f t="shared" si="404"/>
        <v>42489</v>
      </c>
      <c r="D2776" s="856" t="s">
        <v>1662</v>
      </c>
      <c r="E2776" s="48">
        <v>42489</v>
      </c>
      <c r="F2776" s="49" t="s">
        <v>474</v>
      </c>
      <c r="G2776" s="831" t="s">
        <v>669</v>
      </c>
      <c r="H2776" s="859" t="s">
        <v>1310</v>
      </c>
      <c r="I2776" s="251">
        <v>13</v>
      </c>
      <c r="J2776" s="251">
        <v>28854</v>
      </c>
      <c r="K2776" s="860">
        <f t="shared" si="402"/>
        <v>375102</v>
      </c>
      <c r="L2776" s="861" t="s">
        <v>162</v>
      </c>
      <c r="M2776" s="861" t="s">
        <v>857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52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>632</v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826"/>
    </row>
    <row r="2777" spans="1:27" ht="15.75" customHeight="1">
      <c r="A2777" s="827" t="str">
        <f>IF(B2777&lt;&gt;"",IF(AND(B2777&gt;=_TM1,B2777&lt;=_TM2,OR(TH!L2777="1111",TH!M2777="1111")),TH!D2777,""),"")</f>
        <v/>
      </c>
      <c r="B2777" s="36">
        <f t="shared" si="403"/>
        <v>4</v>
      </c>
      <c r="C2777" s="190">
        <f t="shared" si="404"/>
        <v>42489</v>
      </c>
      <c r="D2777" s="856" t="s">
        <v>1662</v>
      </c>
      <c r="E2777" s="48">
        <v>42489</v>
      </c>
      <c r="F2777" s="868" t="s">
        <v>542</v>
      </c>
      <c r="G2777" s="831" t="s">
        <v>669</v>
      </c>
      <c r="H2777" s="859" t="s">
        <v>1310</v>
      </c>
      <c r="I2777" s="251">
        <v>12</v>
      </c>
      <c r="J2777" s="251">
        <v>40107</v>
      </c>
      <c r="K2777" s="860">
        <f t="shared" si="402"/>
        <v>481284</v>
      </c>
      <c r="L2777" s="861" t="s">
        <v>162</v>
      </c>
      <c r="M2777" s="861" t="s">
        <v>857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52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>632</v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826"/>
    </row>
    <row r="2778" spans="1:27" ht="15.75" customHeight="1">
      <c r="A2778" s="827" t="str">
        <f>IF(B2778&lt;&gt;"",IF(AND(B2778&gt;=_TM1,B2778&lt;=_TM2,OR(TH!L2778="1111",TH!M2778="1111")),TH!D2778,""),"")</f>
        <v/>
      </c>
      <c r="B2778" s="36">
        <f t="shared" si="403"/>
        <v>4</v>
      </c>
      <c r="C2778" s="190">
        <f t="shared" si="404"/>
        <v>42489</v>
      </c>
      <c r="D2778" s="856" t="s">
        <v>1662</v>
      </c>
      <c r="E2778" s="48">
        <v>42489</v>
      </c>
      <c r="F2778" s="868" t="s">
        <v>463</v>
      </c>
      <c r="G2778" s="831" t="s">
        <v>669</v>
      </c>
      <c r="H2778" s="859" t="s">
        <v>1310</v>
      </c>
      <c r="I2778" s="251">
        <v>24</v>
      </c>
      <c r="J2778" s="251">
        <v>43337</v>
      </c>
      <c r="K2778" s="860">
        <f t="shared" si="402"/>
        <v>1040088</v>
      </c>
      <c r="L2778" s="861" t="s">
        <v>162</v>
      </c>
      <c r="M2778" s="861" t="s">
        <v>857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52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>632</v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826"/>
    </row>
    <row r="2779" spans="1:27" ht="15.75" customHeight="1">
      <c r="A2779" s="827" t="str">
        <f>IF(B2779&lt;&gt;"",IF(AND(B2779&gt;=_TM1,B2779&lt;=_TM2,OR(TH!L2779="1111",TH!M2779="1111")),TH!D2779,""),"")</f>
        <v/>
      </c>
      <c r="B2779" s="36">
        <f t="shared" si="403"/>
        <v>4</v>
      </c>
      <c r="C2779" s="190">
        <f t="shared" si="404"/>
        <v>42489</v>
      </c>
      <c r="D2779" s="856" t="s">
        <v>1662</v>
      </c>
      <c r="E2779" s="48">
        <v>42489</v>
      </c>
      <c r="F2779" s="49" t="s">
        <v>569</v>
      </c>
      <c r="G2779" s="831" t="s">
        <v>669</v>
      </c>
      <c r="H2779" s="859" t="s">
        <v>1310</v>
      </c>
      <c r="I2779" s="251">
        <v>24</v>
      </c>
      <c r="J2779" s="251">
        <v>8715</v>
      </c>
      <c r="K2779" s="860">
        <f t="shared" si="402"/>
        <v>209160</v>
      </c>
      <c r="L2779" s="861" t="s">
        <v>162</v>
      </c>
      <c r="M2779" s="861" t="s">
        <v>857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52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>632</v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826"/>
    </row>
    <row r="2780" spans="1:27" ht="15.75" customHeight="1">
      <c r="A2780" s="827" t="str">
        <f>IF(B2780&lt;&gt;"",IF(AND(B2780&gt;=_TM1,B2780&lt;=_TM2,OR(TH!L2780="1111",TH!M2780="1111")),TH!D2780,""),"")</f>
        <v/>
      </c>
      <c r="B2780" s="36">
        <f t="shared" si="403"/>
        <v>4</v>
      </c>
      <c r="C2780" s="190">
        <f t="shared" si="404"/>
        <v>42489</v>
      </c>
      <c r="D2780" s="856" t="s">
        <v>1662</v>
      </c>
      <c r="E2780" s="48">
        <v>42489</v>
      </c>
      <c r="F2780" s="49" t="s">
        <v>544</v>
      </c>
      <c r="G2780" s="831" t="s">
        <v>669</v>
      </c>
      <c r="H2780" s="859" t="s">
        <v>1310</v>
      </c>
      <c r="I2780" s="251">
        <v>32</v>
      </c>
      <c r="J2780" s="251">
        <v>45055</v>
      </c>
      <c r="K2780" s="860">
        <f t="shared" si="402"/>
        <v>1441760</v>
      </c>
      <c r="L2780" s="861" t="s">
        <v>162</v>
      </c>
      <c r="M2780" s="861" t="s">
        <v>857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52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>632</v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826"/>
    </row>
    <row r="2781" spans="1:27" ht="15.75" customHeight="1">
      <c r="A2781" s="827" t="str">
        <f>IF(B2781&lt;&gt;"",IF(AND(B2781&gt;=_TM1,B2781&lt;=_TM2,OR(TH!L2781="1111",TH!M2781="1111")),TH!D2781,""),"")</f>
        <v/>
      </c>
      <c r="B2781" s="36">
        <f t="shared" si="403"/>
        <v>4</v>
      </c>
      <c r="C2781" s="190">
        <f t="shared" si="404"/>
        <v>42489</v>
      </c>
      <c r="D2781" s="856" t="s">
        <v>1662</v>
      </c>
      <c r="E2781" s="856">
        <v>42489</v>
      </c>
      <c r="F2781" s="866" t="s">
        <v>674</v>
      </c>
      <c r="G2781" s="831" t="s">
        <v>669</v>
      </c>
      <c r="H2781" s="859" t="s">
        <v>1310</v>
      </c>
      <c r="I2781" s="251">
        <v>12</v>
      </c>
      <c r="J2781" s="251">
        <v>40511</v>
      </c>
      <c r="K2781" s="860">
        <f t="shared" si="402"/>
        <v>486132</v>
      </c>
      <c r="L2781" s="861" t="s">
        <v>162</v>
      </c>
      <c r="M2781" s="861" t="s">
        <v>857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52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>632</v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826"/>
    </row>
    <row r="2782" spans="1:27" ht="15.75" customHeight="1">
      <c r="A2782" s="827" t="str">
        <f>IF(B2782&lt;&gt;"",IF(AND(B2782&gt;=_TM1,B2782&lt;=_TM2,OR(TH!L2782="1111",TH!M2782="1111")),TH!D2782,""),"")</f>
        <v/>
      </c>
      <c r="B2782" s="36">
        <f t="shared" si="403"/>
        <v>4</v>
      </c>
      <c r="C2782" s="190">
        <f t="shared" si="404"/>
        <v>42489</v>
      </c>
      <c r="D2782" s="856" t="s">
        <v>1662</v>
      </c>
      <c r="E2782" s="856">
        <v>42489</v>
      </c>
      <c r="F2782" s="866" t="s">
        <v>503</v>
      </c>
      <c r="G2782" s="831" t="s">
        <v>669</v>
      </c>
      <c r="H2782" s="859" t="s">
        <v>1310</v>
      </c>
      <c r="I2782" s="251">
        <v>48</v>
      </c>
      <c r="J2782" s="251">
        <v>24323</v>
      </c>
      <c r="K2782" s="860">
        <f t="shared" si="402"/>
        <v>1167504</v>
      </c>
      <c r="L2782" s="861" t="s">
        <v>162</v>
      </c>
      <c r="M2782" s="861" t="s">
        <v>857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52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>632</v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826"/>
    </row>
    <row r="2783" spans="1:27" ht="15.75" customHeight="1">
      <c r="A2783" s="827" t="str">
        <f>IF(B2783&lt;&gt;"",IF(AND(B2783&gt;=_TM1,B2783&lt;=_TM2,OR(TH!L2783="1111",TH!M2783="1111")),TH!D2783,""),"")</f>
        <v/>
      </c>
      <c r="B2783" s="36">
        <f t="shared" si="403"/>
        <v>4</v>
      </c>
      <c r="C2783" s="190">
        <f t="shared" si="404"/>
        <v>42489</v>
      </c>
      <c r="D2783" s="856" t="s">
        <v>1662</v>
      </c>
      <c r="E2783" s="856">
        <v>42489</v>
      </c>
      <c r="F2783" s="866" t="s">
        <v>465</v>
      </c>
      <c r="G2783" s="831" t="s">
        <v>669</v>
      </c>
      <c r="H2783" s="859" t="s">
        <v>1310</v>
      </c>
      <c r="I2783" s="251">
        <v>24</v>
      </c>
      <c r="J2783" s="251">
        <v>40975</v>
      </c>
      <c r="K2783" s="860">
        <f t="shared" si="402"/>
        <v>983400</v>
      </c>
      <c r="L2783" s="861" t="s">
        <v>162</v>
      </c>
      <c r="M2783" s="861" t="s">
        <v>857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52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>632</v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826"/>
    </row>
    <row r="2784" spans="1:27" ht="15.75" customHeight="1">
      <c r="A2784" s="827" t="str">
        <f>IF(B2784&lt;&gt;"",IF(AND(B2784&gt;=_TM1,B2784&lt;=_TM2,OR(TH!L2784="1111",TH!M2784="1111")),TH!D2784,""),"")</f>
        <v/>
      </c>
      <c r="B2784" s="36">
        <f t="shared" si="403"/>
        <v>4</v>
      </c>
      <c r="C2784" s="190">
        <f t="shared" si="404"/>
        <v>42489</v>
      </c>
      <c r="D2784" s="856" t="s">
        <v>1662</v>
      </c>
      <c r="E2784" s="856">
        <v>42489</v>
      </c>
      <c r="F2784" s="866" t="s">
        <v>485</v>
      </c>
      <c r="G2784" s="831" t="s">
        <v>669</v>
      </c>
      <c r="H2784" s="859" t="s">
        <v>1310</v>
      </c>
      <c r="I2784" s="251">
        <v>26</v>
      </c>
      <c r="J2784" s="251">
        <v>26363</v>
      </c>
      <c r="K2784" s="860">
        <f t="shared" ref="K2784:K2847" si="405">ROUND(I2784*J2784,0)</f>
        <v>685438</v>
      </c>
      <c r="L2784" s="861" t="s">
        <v>162</v>
      </c>
      <c r="M2784" s="861" t="s">
        <v>857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52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>632</v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826"/>
    </row>
    <row r="2785" spans="1:27" ht="15.75" customHeight="1">
      <c r="A2785" s="827" t="str">
        <f>IF(B2785&lt;&gt;"",IF(AND(B2785&gt;=_TM1,B2785&lt;=_TM2,OR(TH!L2785="1111",TH!M2785="1111")),TH!D2785,""),"")</f>
        <v/>
      </c>
      <c r="B2785" s="36">
        <f t="shared" si="403"/>
        <v>4</v>
      </c>
      <c r="C2785" s="190">
        <f t="shared" si="404"/>
        <v>42489</v>
      </c>
      <c r="D2785" s="856" t="s">
        <v>1662</v>
      </c>
      <c r="E2785" s="856">
        <v>42489</v>
      </c>
      <c r="F2785" s="866" t="s">
        <v>535</v>
      </c>
      <c r="G2785" s="831" t="s">
        <v>669</v>
      </c>
      <c r="H2785" s="859" t="s">
        <v>1310</v>
      </c>
      <c r="I2785" s="251">
        <v>8</v>
      </c>
      <c r="J2785" s="251">
        <v>49097</v>
      </c>
      <c r="K2785" s="860">
        <f t="shared" si="405"/>
        <v>392776</v>
      </c>
      <c r="L2785" s="861" t="s">
        <v>162</v>
      </c>
      <c r="M2785" s="861" t="s">
        <v>857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52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>632</v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826"/>
    </row>
    <row r="2786" spans="1:27" ht="15.75" customHeight="1">
      <c r="A2786" s="827" t="str">
        <f>IF(B2786&lt;&gt;"",IF(AND(B2786&gt;=_TM1,B2786&lt;=_TM2,OR(TH!L2786="1111",TH!M2786="1111")),TH!D2786,""),"")</f>
        <v/>
      </c>
      <c r="B2786" s="36">
        <f t="shared" ref="B2786:B2849" si="406">IF(C2786&lt;&gt;"",MONTH(C2786),"")</f>
        <v>4</v>
      </c>
      <c r="C2786" s="190">
        <f t="shared" si="404"/>
        <v>42489</v>
      </c>
      <c r="D2786" s="856" t="s">
        <v>1662</v>
      </c>
      <c r="E2786" s="856">
        <v>42489</v>
      </c>
      <c r="F2786" s="866" t="s">
        <v>541</v>
      </c>
      <c r="G2786" s="831" t="s">
        <v>669</v>
      </c>
      <c r="H2786" s="859" t="s">
        <v>1310</v>
      </c>
      <c r="I2786" s="251">
        <v>60</v>
      </c>
      <c r="J2786" s="251">
        <v>46705</v>
      </c>
      <c r="K2786" s="860">
        <f t="shared" si="405"/>
        <v>2802300</v>
      </c>
      <c r="L2786" s="861" t="s">
        <v>162</v>
      </c>
      <c r="M2786" s="861" t="s">
        <v>857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52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>632</v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826"/>
    </row>
    <row r="2787" spans="1:27" ht="15.75" customHeight="1">
      <c r="A2787" s="827" t="str">
        <f>IF(B2787&lt;&gt;"",IF(AND(B2787&gt;=_TM1,B2787&lt;=_TM2,OR(TH!L2787="1111",TH!M2787="1111")),TH!D2787,""),"")</f>
        <v/>
      </c>
      <c r="B2787" s="36">
        <f t="shared" si="406"/>
        <v>4</v>
      </c>
      <c r="C2787" s="190">
        <f t="shared" si="404"/>
        <v>42489</v>
      </c>
      <c r="D2787" s="856" t="s">
        <v>1662</v>
      </c>
      <c r="E2787" s="48">
        <v>42489</v>
      </c>
      <c r="F2787" s="866" t="s">
        <v>501</v>
      </c>
      <c r="G2787" s="831" t="s">
        <v>669</v>
      </c>
      <c r="H2787" s="859" t="s">
        <v>1310</v>
      </c>
      <c r="I2787" s="251">
        <v>30</v>
      </c>
      <c r="J2787" s="251">
        <v>31357</v>
      </c>
      <c r="K2787" s="860">
        <f t="shared" si="405"/>
        <v>940710</v>
      </c>
      <c r="L2787" s="861" t="s">
        <v>162</v>
      </c>
      <c r="M2787" s="861" t="s">
        <v>857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52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>632</v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826"/>
    </row>
    <row r="2788" spans="1:27" ht="15.75" customHeight="1">
      <c r="A2788" s="827" t="str">
        <f>IF(B2788&lt;&gt;"",IF(AND(B2788&gt;=_TM1,B2788&lt;=_TM2,OR(TH!L2788="1111",TH!M2788="1111")),TH!D2788,""),"")</f>
        <v/>
      </c>
      <c r="B2788" s="36">
        <f t="shared" si="406"/>
        <v>4</v>
      </c>
      <c r="C2788" s="190">
        <f t="shared" si="404"/>
        <v>42489</v>
      </c>
      <c r="D2788" s="856" t="s">
        <v>1662</v>
      </c>
      <c r="E2788" s="48">
        <v>42489</v>
      </c>
      <c r="F2788" s="866" t="s">
        <v>501</v>
      </c>
      <c r="G2788" s="831" t="s">
        <v>669</v>
      </c>
      <c r="H2788" s="859" t="s">
        <v>1310</v>
      </c>
      <c r="I2788" s="251">
        <v>50</v>
      </c>
      <c r="J2788" s="251">
        <v>46912</v>
      </c>
      <c r="K2788" s="860">
        <f t="shared" si="405"/>
        <v>2345600</v>
      </c>
      <c r="L2788" s="861" t="s">
        <v>162</v>
      </c>
      <c r="M2788" s="861" t="s">
        <v>857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52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>632</v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826"/>
    </row>
    <row r="2789" spans="1:27" ht="15.75" customHeight="1">
      <c r="A2789" s="827" t="str">
        <f>IF(B2789&lt;&gt;"",IF(AND(B2789&gt;=_TM1,B2789&lt;=_TM2,OR(TH!L2789="1111",TH!M2789="1111")),TH!D2789,""),"")</f>
        <v/>
      </c>
      <c r="B2789" s="36">
        <f t="shared" si="406"/>
        <v>4</v>
      </c>
      <c r="C2789" s="190">
        <f t="shared" si="404"/>
        <v>42489</v>
      </c>
      <c r="D2789" s="856" t="s">
        <v>1662</v>
      </c>
      <c r="E2789" s="48">
        <v>42489</v>
      </c>
      <c r="F2789" s="866" t="s">
        <v>476</v>
      </c>
      <c r="G2789" s="831" t="s">
        <v>669</v>
      </c>
      <c r="H2789" s="859" t="s">
        <v>1310</v>
      </c>
      <c r="I2789" s="251">
        <v>12</v>
      </c>
      <c r="J2789" s="251">
        <v>38630</v>
      </c>
      <c r="K2789" s="860">
        <f t="shared" si="405"/>
        <v>463560</v>
      </c>
      <c r="L2789" s="861" t="s">
        <v>162</v>
      </c>
      <c r="M2789" s="861" t="s">
        <v>857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52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>632</v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826"/>
    </row>
    <row r="2790" spans="1:27" ht="15.75" customHeight="1">
      <c r="A2790" s="827" t="str">
        <f>IF(B2790&lt;&gt;"",IF(AND(B2790&gt;=_TM1,B2790&lt;=_TM2,OR(TH!L2790="1111",TH!M2790="1111")),TH!D2790,""),"")</f>
        <v/>
      </c>
      <c r="B2790" s="36">
        <f t="shared" si="406"/>
        <v>4</v>
      </c>
      <c r="C2790" s="190">
        <f t="shared" si="404"/>
        <v>42489</v>
      </c>
      <c r="D2790" s="856" t="s">
        <v>1662</v>
      </c>
      <c r="E2790" s="48">
        <v>42489</v>
      </c>
      <c r="F2790" s="866" t="s">
        <v>562</v>
      </c>
      <c r="G2790" s="831" t="s">
        <v>669</v>
      </c>
      <c r="H2790" s="859" t="s">
        <v>1310</v>
      </c>
      <c r="I2790" s="251">
        <v>72</v>
      </c>
      <c r="J2790" s="251">
        <v>12654</v>
      </c>
      <c r="K2790" s="860">
        <f t="shared" si="405"/>
        <v>911088</v>
      </c>
      <c r="L2790" s="861" t="s">
        <v>162</v>
      </c>
      <c r="M2790" s="861" t="s">
        <v>857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52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>632</v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826"/>
    </row>
    <row r="2791" spans="1:27" ht="15.75" customHeight="1">
      <c r="A2791" s="827" t="str">
        <f>IF(B2791&lt;&gt;"",IF(AND(B2791&gt;=_TM1,B2791&lt;=_TM2,OR(TH!L2791="1111",TH!M2791="1111")),TH!D2791,""),"")</f>
        <v/>
      </c>
      <c r="B2791" s="36">
        <f t="shared" si="406"/>
        <v>4</v>
      </c>
      <c r="C2791" s="190">
        <f t="shared" si="404"/>
        <v>42489</v>
      </c>
      <c r="D2791" s="856" t="s">
        <v>1662</v>
      </c>
      <c r="E2791" s="48">
        <v>42489</v>
      </c>
      <c r="F2791" s="866" t="s">
        <v>537</v>
      </c>
      <c r="G2791" s="831" t="s">
        <v>669</v>
      </c>
      <c r="H2791" s="859" t="s">
        <v>1310</v>
      </c>
      <c r="I2791" s="251">
        <v>86</v>
      </c>
      <c r="J2791" s="251">
        <v>30043</v>
      </c>
      <c r="K2791" s="860">
        <f t="shared" si="405"/>
        <v>2583698</v>
      </c>
      <c r="L2791" s="861" t="s">
        <v>162</v>
      </c>
      <c r="M2791" s="861" t="s">
        <v>857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52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>632</v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826"/>
    </row>
    <row r="2792" spans="1:27" ht="15.75" customHeight="1">
      <c r="A2792" s="827" t="str">
        <f>IF(B2792&lt;&gt;"",IF(AND(B2792&gt;=_TM1,B2792&lt;=_TM2,OR(TH!L2792="1111",TH!M2792="1111")),TH!D2792,""),"")</f>
        <v/>
      </c>
      <c r="B2792" s="36">
        <f t="shared" si="406"/>
        <v>4</v>
      </c>
      <c r="C2792" s="190">
        <f t="shared" si="404"/>
        <v>42489</v>
      </c>
      <c r="D2792" s="856" t="s">
        <v>1662</v>
      </c>
      <c r="E2792" s="48">
        <v>42489</v>
      </c>
      <c r="F2792" s="866" t="s">
        <v>497</v>
      </c>
      <c r="G2792" s="831" t="s">
        <v>669</v>
      </c>
      <c r="H2792" s="859" t="s">
        <v>1310</v>
      </c>
      <c r="I2792" s="251">
        <v>72</v>
      </c>
      <c r="J2792" s="251">
        <v>33403</v>
      </c>
      <c r="K2792" s="860">
        <f t="shared" si="405"/>
        <v>2405016</v>
      </c>
      <c r="L2792" s="861" t="s">
        <v>162</v>
      </c>
      <c r="M2792" s="861" t="s">
        <v>857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52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>632</v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826"/>
    </row>
    <row r="2793" spans="1:27" ht="15.75" customHeight="1">
      <c r="A2793" s="827" t="str">
        <f>IF(B2793&lt;&gt;"",IF(AND(B2793&gt;=_TM1,B2793&lt;=_TM2,OR(TH!L2793="1111",TH!M2793="1111")),TH!D2793,""),"")</f>
        <v/>
      </c>
      <c r="B2793" s="36">
        <f t="shared" si="406"/>
        <v>4</v>
      </c>
      <c r="C2793" s="190">
        <f t="shared" si="404"/>
        <v>42489</v>
      </c>
      <c r="D2793" s="856" t="s">
        <v>1662</v>
      </c>
      <c r="E2793" s="856">
        <v>42489</v>
      </c>
      <c r="F2793" s="857" t="s">
        <v>487</v>
      </c>
      <c r="G2793" s="858" t="s">
        <v>669</v>
      </c>
      <c r="H2793" s="859" t="s">
        <v>1310</v>
      </c>
      <c r="I2793" s="251">
        <v>42</v>
      </c>
      <c r="J2793" s="251">
        <v>41371</v>
      </c>
      <c r="K2793" s="860">
        <f t="shared" si="405"/>
        <v>1737582</v>
      </c>
      <c r="L2793" s="861" t="s">
        <v>162</v>
      </c>
      <c r="M2793" s="861" t="s">
        <v>857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52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>632</v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826"/>
    </row>
    <row r="2794" spans="1:27" ht="15.75" customHeight="1">
      <c r="A2794" s="827" t="str">
        <f>IF(B2794&lt;&gt;"",IF(AND(B2794&gt;=_TM1,B2794&lt;=_TM2,OR(TH!L2794="1111",TH!M2794="1111")),TH!D2794,""),"")</f>
        <v/>
      </c>
      <c r="B2794" s="36">
        <f t="shared" si="406"/>
        <v>4</v>
      </c>
      <c r="C2794" s="190">
        <f t="shared" si="404"/>
        <v>42489</v>
      </c>
      <c r="D2794" s="856" t="s">
        <v>1662</v>
      </c>
      <c r="E2794" s="856">
        <v>42489</v>
      </c>
      <c r="F2794" s="857" t="s">
        <v>488</v>
      </c>
      <c r="G2794" s="858" t="s">
        <v>669</v>
      </c>
      <c r="H2794" s="859" t="s">
        <v>1310</v>
      </c>
      <c r="I2794" s="251">
        <v>42</v>
      </c>
      <c r="J2794" s="251">
        <v>52589</v>
      </c>
      <c r="K2794" s="860">
        <f t="shared" si="405"/>
        <v>2208738</v>
      </c>
      <c r="L2794" s="861" t="s">
        <v>162</v>
      </c>
      <c r="M2794" s="861" t="s">
        <v>857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52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>632</v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826"/>
    </row>
    <row r="2795" spans="1:27" ht="15.75" customHeight="1">
      <c r="A2795" s="827" t="str">
        <f>IF(B2795&lt;&gt;"",IF(AND(B2795&gt;=_TM1,B2795&lt;=_TM2,OR(TH!L2795="1111",TH!M2795="1111")),TH!D2795,""),"")</f>
        <v/>
      </c>
      <c r="B2795" s="36">
        <f t="shared" si="406"/>
        <v>4</v>
      </c>
      <c r="C2795" s="190">
        <f t="shared" si="404"/>
        <v>42489</v>
      </c>
      <c r="D2795" s="856" t="s">
        <v>1662</v>
      </c>
      <c r="E2795" s="856">
        <v>42489</v>
      </c>
      <c r="F2795" s="857" t="s">
        <v>571</v>
      </c>
      <c r="G2795" s="858" t="s">
        <v>669</v>
      </c>
      <c r="H2795" s="859" t="s">
        <v>1310</v>
      </c>
      <c r="I2795" s="251">
        <v>5</v>
      </c>
      <c r="J2795" s="251">
        <v>27084</v>
      </c>
      <c r="K2795" s="860">
        <f t="shared" si="405"/>
        <v>135420</v>
      </c>
      <c r="L2795" s="861" t="s">
        <v>162</v>
      </c>
      <c r="M2795" s="861" t="s">
        <v>857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52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>632</v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826"/>
    </row>
    <row r="2796" spans="1:27" ht="15.75" customHeight="1">
      <c r="A2796" s="827" t="str">
        <f>IF(B2796&lt;&gt;"",IF(AND(B2796&gt;=_TM1,B2796&lt;=_TM2,OR(TH!L2796="1111",TH!M2796="1111")),TH!D2796,""),"")</f>
        <v/>
      </c>
      <c r="B2796" s="36">
        <f t="shared" si="406"/>
        <v>4</v>
      </c>
      <c r="C2796" s="190">
        <f t="shared" si="404"/>
        <v>42489</v>
      </c>
      <c r="D2796" s="856" t="s">
        <v>1662</v>
      </c>
      <c r="E2796" s="856">
        <v>42489</v>
      </c>
      <c r="F2796" s="857" t="s">
        <v>499</v>
      </c>
      <c r="G2796" s="858" t="s">
        <v>669</v>
      </c>
      <c r="H2796" s="859" t="s">
        <v>1310</v>
      </c>
      <c r="I2796" s="251">
        <v>27</v>
      </c>
      <c r="J2796" s="251">
        <v>32995</v>
      </c>
      <c r="K2796" s="860">
        <f t="shared" si="405"/>
        <v>890865</v>
      </c>
      <c r="L2796" s="861" t="s">
        <v>162</v>
      </c>
      <c r="M2796" s="861" t="s">
        <v>857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52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>632</v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826"/>
    </row>
    <row r="2797" spans="1:27" ht="15.75" customHeight="1">
      <c r="A2797" s="827" t="str">
        <f>IF(B2797&lt;&gt;"",IF(AND(B2797&gt;=_TM1,B2797&lt;=_TM2,OR(TH!L2797="1111",TH!M2797="1111")),TH!D2797,""),"")</f>
        <v/>
      </c>
      <c r="B2797" s="36">
        <f t="shared" si="406"/>
        <v>4</v>
      </c>
      <c r="C2797" s="190">
        <f t="shared" si="404"/>
        <v>42489</v>
      </c>
      <c r="D2797" s="856" t="s">
        <v>1662</v>
      </c>
      <c r="E2797" s="856">
        <v>42489</v>
      </c>
      <c r="F2797" s="857" t="s">
        <v>546</v>
      </c>
      <c r="G2797" s="858" t="s">
        <v>669</v>
      </c>
      <c r="H2797" s="859" t="s">
        <v>1310</v>
      </c>
      <c r="I2797" s="251">
        <v>20</v>
      </c>
      <c r="J2797" s="251">
        <v>37383</v>
      </c>
      <c r="K2797" s="860">
        <f t="shared" si="405"/>
        <v>747660</v>
      </c>
      <c r="L2797" s="861" t="s">
        <v>162</v>
      </c>
      <c r="M2797" s="861" t="s">
        <v>857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52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>632</v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826"/>
    </row>
    <row r="2798" spans="1:27" ht="15.75" customHeight="1">
      <c r="A2798" s="827" t="str">
        <f>IF(B2798&lt;&gt;"",IF(AND(B2798&gt;=_TM1,B2798&lt;=_TM2,OR(TH!L2798="1111",TH!M2798="1111")),TH!D2798,""),"")</f>
        <v/>
      </c>
      <c r="B2798" s="36">
        <f t="shared" si="406"/>
        <v>4</v>
      </c>
      <c r="C2798" s="190">
        <f t="shared" si="404"/>
        <v>42489</v>
      </c>
      <c r="D2798" s="856" t="s">
        <v>1662</v>
      </c>
      <c r="E2798" s="856">
        <v>42489</v>
      </c>
      <c r="F2798" s="857" t="s">
        <v>484</v>
      </c>
      <c r="G2798" s="858" t="s">
        <v>669</v>
      </c>
      <c r="H2798" s="859" t="s">
        <v>1310</v>
      </c>
      <c r="I2798" s="251">
        <v>9</v>
      </c>
      <c r="J2798" s="251">
        <v>22563</v>
      </c>
      <c r="K2798" s="860">
        <f t="shared" si="405"/>
        <v>203067</v>
      </c>
      <c r="L2798" s="861" t="s">
        <v>162</v>
      </c>
      <c r="M2798" s="861" t="s">
        <v>857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52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>632</v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826"/>
    </row>
    <row r="2799" spans="1:27" ht="15.75" customHeight="1">
      <c r="A2799" s="827" t="str">
        <f>IF(B2799&lt;&gt;"",IF(AND(B2799&gt;=_TM1,B2799&lt;=_TM2,OR(TH!L2799="1111",TH!M2799="1111")),TH!D2799,""),"")</f>
        <v/>
      </c>
      <c r="B2799" s="36">
        <f t="shared" si="406"/>
        <v>4</v>
      </c>
      <c r="C2799" s="190">
        <f t="shared" si="404"/>
        <v>42489</v>
      </c>
      <c r="D2799" s="856" t="s">
        <v>1662</v>
      </c>
      <c r="E2799" s="48">
        <v>42489</v>
      </c>
      <c r="F2799" s="857" t="s">
        <v>489</v>
      </c>
      <c r="G2799" s="858" t="s">
        <v>669</v>
      </c>
      <c r="H2799" s="859" t="s">
        <v>1310</v>
      </c>
      <c r="I2799" s="251">
        <v>42</v>
      </c>
      <c r="J2799" s="251">
        <v>35553</v>
      </c>
      <c r="K2799" s="860">
        <f t="shared" si="405"/>
        <v>1493226</v>
      </c>
      <c r="L2799" s="861" t="s">
        <v>162</v>
      </c>
      <c r="M2799" s="861" t="s">
        <v>857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52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>632</v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26"/>
    </row>
    <row r="2800" spans="1:27" ht="15.75" customHeight="1">
      <c r="A2800" s="827" t="str">
        <f>IF(B2800&lt;&gt;"",IF(AND(B2800&gt;=_TM1,B2800&lt;=_TM2,OR(TH!L2800="1111",TH!M2800="1111")),TH!D2800,""),"")</f>
        <v/>
      </c>
      <c r="B2800" s="36">
        <f t="shared" si="406"/>
        <v>5</v>
      </c>
      <c r="C2800" s="190">
        <f t="shared" si="404"/>
        <v>42499</v>
      </c>
      <c r="D2800" s="856" t="s">
        <v>1662</v>
      </c>
      <c r="E2800" s="48">
        <v>42499</v>
      </c>
      <c r="F2800" s="857" t="s">
        <v>656</v>
      </c>
      <c r="G2800" s="858" t="s">
        <v>676</v>
      </c>
      <c r="H2800" s="859" t="s">
        <v>1310</v>
      </c>
      <c r="I2800" s="251">
        <v>1107</v>
      </c>
      <c r="J2800" s="251">
        <v>4251</v>
      </c>
      <c r="K2800" s="860">
        <f t="shared" si="405"/>
        <v>4705857</v>
      </c>
      <c r="L2800" s="861" t="s">
        <v>162</v>
      </c>
      <c r="M2800" s="861" t="s">
        <v>857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52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>632</v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826"/>
    </row>
    <row r="2801" spans="1:27" ht="15.75" customHeight="1">
      <c r="A2801" s="827" t="str">
        <f>IF(B2801&lt;&gt;"",IF(AND(B2801&gt;=_TM1,B2801&lt;=_TM2,OR(TH!L2801="1111",TH!M2801="1111")),TH!D2801,""),"")</f>
        <v/>
      </c>
      <c r="B2801" s="36">
        <f t="shared" si="406"/>
        <v>5</v>
      </c>
      <c r="C2801" s="190">
        <f t="shared" si="404"/>
        <v>42502</v>
      </c>
      <c r="D2801" s="856" t="s">
        <v>1662</v>
      </c>
      <c r="E2801" s="48">
        <v>42502</v>
      </c>
      <c r="F2801" s="857" t="s">
        <v>479</v>
      </c>
      <c r="G2801" s="858" t="s">
        <v>685</v>
      </c>
      <c r="H2801" s="859" t="s">
        <v>1310</v>
      </c>
      <c r="I2801" s="251">
        <v>380</v>
      </c>
      <c r="J2801" s="251">
        <v>7628.5</v>
      </c>
      <c r="K2801" s="860">
        <f t="shared" si="405"/>
        <v>2898830</v>
      </c>
      <c r="L2801" s="861" t="s">
        <v>162</v>
      </c>
      <c r="M2801" s="861" t="s">
        <v>857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52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>632</v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826"/>
    </row>
    <row r="2802" spans="1:27" ht="15.75" customHeight="1">
      <c r="A2802" s="827" t="str">
        <f>IF(B2802&lt;&gt;"",IF(AND(B2802&gt;=_TM1,B2802&lt;=_TM2,OR(TH!L2802="1111",TH!M2802="1111")),TH!D2802,""),"")</f>
        <v/>
      </c>
      <c r="B2802" s="36">
        <f t="shared" si="406"/>
        <v>5</v>
      </c>
      <c r="C2802" s="190">
        <f t="shared" si="404"/>
        <v>42513</v>
      </c>
      <c r="D2802" s="856" t="s">
        <v>1662</v>
      </c>
      <c r="E2802" s="48">
        <v>42513</v>
      </c>
      <c r="F2802" s="857" t="s">
        <v>656</v>
      </c>
      <c r="G2802" s="858" t="s">
        <v>687</v>
      </c>
      <c r="H2802" s="859" t="s">
        <v>1310</v>
      </c>
      <c r="I2802" s="251">
        <v>393</v>
      </c>
      <c r="J2802" s="251">
        <v>4251</v>
      </c>
      <c r="K2802" s="860">
        <f t="shared" si="405"/>
        <v>1670643</v>
      </c>
      <c r="L2802" s="861" t="s">
        <v>162</v>
      </c>
      <c r="M2802" s="861" t="s">
        <v>857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52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>632</v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826"/>
    </row>
    <row r="2803" spans="1:27" ht="15.75" customHeight="1">
      <c r="A2803" s="827" t="str">
        <f>IF(B2803&lt;&gt;"",IF(AND(B2803&gt;=_TM1,B2803&lt;=_TM2,OR(TH!L2803="1111",TH!M2803="1111")),TH!D2803,""),"")</f>
        <v/>
      </c>
      <c r="B2803" s="36">
        <f t="shared" si="406"/>
        <v>5</v>
      </c>
      <c r="C2803" s="190">
        <f t="shared" si="404"/>
        <v>42515</v>
      </c>
      <c r="D2803" s="856" t="s">
        <v>1662</v>
      </c>
      <c r="E2803" s="48">
        <v>42515</v>
      </c>
      <c r="F2803" s="873" t="s">
        <v>690</v>
      </c>
      <c r="G2803" s="858" t="s">
        <v>688</v>
      </c>
      <c r="H2803" s="859" t="s">
        <v>1310</v>
      </c>
      <c r="I2803" s="251">
        <v>200</v>
      </c>
      <c r="J2803" s="251">
        <v>4557</v>
      </c>
      <c r="K2803" s="860">
        <f t="shared" si="405"/>
        <v>911400</v>
      </c>
      <c r="L2803" s="861" t="s">
        <v>162</v>
      </c>
      <c r="M2803" s="861" t="s">
        <v>857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52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>632</v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826"/>
    </row>
    <row r="2804" spans="1:27" ht="15.75" customHeight="1">
      <c r="A2804" s="827" t="str">
        <f>IF(B2804&lt;&gt;"",IF(AND(B2804&gt;=_TM1,B2804&lt;=_TM2,OR(TH!L2804="1111",TH!M2804="1111")),TH!D2804,""),"")</f>
        <v/>
      </c>
      <c r="B2804" s="36">
        <f t="shared" si="406"/>
        <v>5</v>
      </c>
      <c r="C2804" s="190">
        <f t="shared" si="404"/>
        <v>42516</v>
      </c>
      <c r="D2804" s="856" t="s">
        <v>1662</v>
      </c>
      <c r="E2804" s="48">
        <v>42516</v>
      </c>
      <c r="F2804" s="857" t="s">
        <v>1301</v>
      </c>
      <c r="G2804" s="858" t="s">
        <v>692</v>
      </c>
      <c r="H2804" s="859" t="s">
        <v>1310</v>
      </c>
      <c r="I2804" s="251">
        <v>1000</v>
      </c>
      <c r="J2804" s="251">
        <v>507.3</v>
      </c>
      <c r="K2804" s="860">
        <f t="shared" si="405"/>
        <v>507300</v>
      </c>
      <c r="L2804" s="861" t="s">
        <v>162</v>
      </c>
      <c r="M2804" s="861" t="s">
        <v>857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52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>632</v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826"/>
    </row>
    <row r="2805" spans="1:27" ht="15.75" customHeight="1">
      <c r="A2805" s="827" t="str">
        <f>IF(B2805&lt;&gt;"",IF(AND(B2805&gt;=_TM1,B2805&lt;=_TM2,OR(TH!L2805="1111",TH!M2805="1111")),TH!D2805,""),"")</f>
        <v/>
      </c>
      <c r="B2805" s="36">
        <f t="shared" si="406"/>
        <v>5</v>
      </c>
      <c r="C2805" s="190">
        <f t="shared" si="404"/>
        <v>42516</v>
      </c>
      <c r="D2805" s="856" t="s">
        <v>1662</v>
      </c>
      <c r="E2805" s="863">
        <v>42516</v>
      </c>
      <c r="F2805" s="868" t="s">
        <v>451</v>
      </c>
      <c r="G2805" s="872" t="s">
        <v>693</v>
      </c>
      <c r="H2805" s="859" t="s">
        <v>1310</v>
      </c>
      <c r="I2805" s="251">
        <v>3900</v>
      </c>
      <c r="J2805" s="251">
        <v>14250</v>
      </c>
      <c r="K2805" s="860">
        <f t="shared" si="405"/>
        <v>55575000</v>
      </c>
      <c r="L2805" s="861" t="s">
        <v>162</v>
      </c>
      <c r="M2805" s="861" t="s">
        <v>857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52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>632</v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>x</v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826"/>
    </row>
    <row r="2806" spans="1:27" ht="15.75" customHeight="1">
      <c r="A2806" s="827" t="str">
        <f>IF(B2806&lt;&gt;"",IF(AND(B2806&gt;=_TM1,B2806&lt;=_TM2,OR(TH!L2806="1111",TH!M2806="1111")),TH!D2806,""),"")</f>
        <v/>
      </c>
      <c r="B2806" s="36">
        <f t="shared" si="406"/>
        <v>5</v>
      </c>
      <c r="C2806" s="190">
        <f t="shared" si="404"/>
        <v>42516</v>
      </c>
      <c r="D2806" s="856" t="s">
        <v>1662</v>
      </c>
      <c r="E2806" s="863">
        <v>42516</v>
      </c>
      <c r="F2806" s="868" t="s">
        <v>450</v>
      </c>
      <c r="G2806" s="872" t="s">
        <v>693</v>
      </c>
      <c r="H2806" s="859" t="s">
        <v>1310</v>
      </c>
      <c r="I2806" s="251">
        <v>3500</v>
      </c>
      <c r="J2806" s="251">
        <v>15675</v>
      </c>
      <c r="K2806" s="860">
        <f t="shared" si="405"/>
        <v>54862500</v>
      </c>
      <c r="L2806" s="861" t="s">
        <v>162</v>
      </c>
      <c r="M2806" s="861" t="s">
        <v>857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52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>632</v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826"/>
    </row>
    <row r="2807" spans="1:27" ht="15.75" customHeight="1">
      <c r="A2807" s="827" t="str">
        <f>IF(B2807&lt;&gt;"",IF(AND(B2807&gt;=_TM1,B2807&lt;=_TM2,OR(TH!L2807="1111",TH!M2807="1111")),TH!D2807,""),"")</f>
        <v/>
      </c>
      <c r="B2807" s="36">
        <f t="shared" si="406"/>
        <v>5</v>
      </c>
      <c r="C2807" s="190">
        <f t="shared" si="404"/>
        <v>42521</v>
      </c>
      <c r="D2807" s="856" t="s">
        <v>1662</v>
      </c>
      <c r="E2807" s="863">
        <v>42521</v>
      </c>
      <c r="F2807" s="868" t="s">
        <v>507</v>
      </c>
      <c r="G2807" s="872" t="s">
        <v>697</v>
      </c>
      <c r="H2807" s="859" t="s">
        <v>1310</v>
      </c>
      <c r="I2807" s="251">
        <v>8</v>
      </c>
      <c r="J2807" s="251">
        <v>89927</v>
      </c>
      <c r="K2807" s="860">
        <f t="shared" si="405"/>
        <v>719416</v>
      </c>
      <c r="L2807" s="861" t="s">
        <v>162</v>
      </c>
      <c r="M2807" s="861" t="s">
        <v>857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52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>632</v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826"/>
    </row>
    <row r="2808" spans="1:27" ht="15.75" customHeight="1">
      <c r="A2808" s="827" t="str">
        <f>IF(B2808&lt;&gt;"",IF(AND(B2808&gt;=_TM1,B2808&lt;=_TM2,OR(TH!L2808="1111",TH!M2808="1111")),TH!D2808,""),"")</f>
        <v/>
      </c>
      <c r="B2808" s="36">
        <f t="shared" si="406"/>
        <v>5</v>
      </c>
      <c r="C2808" s="190">
        <f t="shared" si="404"/>
        <v>42521</v>
      </c>
      <c r="D2808" s="856" t="s">
        <v>1662</v>
      </c>
      <c r="E2808" s="863">
        <v>42521</v>
      </c>
      <c r="F2808" s="868" t="s">
        <v>539</v>
      </c>
      <c r="G2808" s="872" t="s">
        <v>697</v>
      </c>
      <c r="H2808" s="859" t="s">
        <v>1310</v>
      </c>
      <c r="I2808" s="251">
        <v>40</v>
      </c>
      <c r="J2808" s="251">
        <v>121856</v>
      </c>
      <c r="K2808" s="860">
        <f t="shared" si="405"/>
        <v>4874240</v>
      </c>
      <c r="L2808" s="861" t="s">
        <v>162</v>
      </c>
      <c r="M2808" s="861" t="s">
        <v>857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52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>632</v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826"/>
    </row>
    <row r="2809" spans="1:27" ht="15.75" customHeight="1">
      <c r="A2809" s="827" t="str">
        <f>IF(B2809&lt;&gt;"",IF(AND(B2809&gt;=_TM1,B2809&lt;=_TM2,OR(TH!L2809="1111",TH!M2809="1111")),TH!D2809,""),"")</f>
        <v/>
      </c>
      <c r="B2809" s="36">
        <f t="shared" si="406"/>
        <v>5</v>
      </c>
      <c r="C2809" s="190">
        <f t="shared" si="404"/>
        <v>42521</v>
      </c>
      <c r="D2809" s="856" t="s">
        <v>1662</v>
      </c>
      <c r="E2809" s="863">
        <v>42521</v>
      </c>
      <c r="F2809" s="868" t="s">
        <v>536</v>
      </c>
      <c r="G2809" s="872" t="s">
        <v>697</v>
      </c>
      <c r="H2809" s="859" t="s">
        <v>1310</v>
      </c>
      <c r="I2809" s="251">
        <v>36</v>
      </c>
      <c r="J2809" s="251">
        <v>57074</v>
      </c>
      <c r="K2809" s="860">
        <f t="shared" si="405"/>
        <v>2054664</v>
      </c>
      <c r="L2809" s="861" t="s">
        <v>162</v>
      </c>
      <c r="M2809" s="861" t="s">
        <v>857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52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>632</v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826"/>
    </row>
    <row r="2810" spans="1:27" ht="15.75" customHeight="1">
      <c r="A2810" s="827" t="str">
        <f>IF(B2810&lt;&gt;"",IF(AND(B2810&gt;=_TM1,B2810&lt;=_TM2,OR(TH!L2810="1111",TH!M2810="1111")),TH!D2810,""),"")</f>
        <v/>
      </c>
      <c r="B2810" s="36">
        <f t="shared" si="406"/>
        <v>5</v>
      </c>
      <c r="C2810" s="190">
        <f t="shared" si="404"/>
        <v>42521</v>
      </c>
      <c r="D2810" s="856" t="s">
        <v>1662</v>
      </c>
      <c r="E2810" s="863">
        <v>42521</v>
      </c>
      <c r="F2810" s="868" t="s">
        <v>490</v>
      </c>
      <c r="G2810" s="872" t="s">
        <v>697</v>
      </c>
      <c r="H2810" s="859" t="s">
        <v>1310</v>
      </c>
      <c r="I2810" s="251">
        <v>4</v>
      </c>
      <c r="J2810" s="251">
        <v>153503</v>
      </c>
      <c r="K2810" s="860">
        <f t="shared" si="405"/>
        <v>614012</v>
      </c>
      <c r="L2810" s="861" t="s">
        <v>162</v>
      </c>
      <c r="M2810" s="861" t="s">
        <v>857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52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>632</v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826"/>
    </row>
    <row r="2811" spans="1:27" ht="15.75" customHeight="1">
      <c r="A2811" s="827" t="str">
        <f>IF(B2811&lt;&gt;"",IF(AND(B2811&gt;=_TM1,B2811&lt;=_TM2,OR(TH!L2811="1111",TH!M2811="1111")),TH!D2811,""),"")</f>
        <v/>
      </c>
      <c r="B2811" s="36">
        <f t="shared" si="406"/>
        <v>5</v>
      </c>
      <c r="C2811" s="190">
        <f t="shared" si="404"/>
        <v>42521</v>
      </c>
      <c r="D2811" s="856" t="s">
        <v>1662</v>
      </c>
      <c r="E2811" s="856">
        <v>42521</v>
      </c>
      <c r="F2811" s="857" t="s">
        <v>491</v>
      </c>
      <c r="G2811" s="858" t="s">
        <v>697</v>
      </c>
      <c r="H2811" s="859" t="s">
        <v>1310</v>
      </c>
      <c r="I2811" s="251">
        <v>6</v>
      </c>
      <c r="J2811" s="251">
        <v>98645</v>
      </c>
      <c r="K2811" s="860">
        <f t="shared" si="405"/>
        <v>591870</v>
      </c>
      <c r="L2811" s="861" t="s">
        <v>162</v>
      </c>
      <c r="M2811" s="861" t="s">
        <v>857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52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>632</v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826"/>
    </row>
    <row r="2812" spans="1:27" ht="15.75" customHeight="1">
      <c r="A2812" s="827" t="str">
        <f>IF(B2812&lt;&gt;"",IF(AND(B2812&gt;=_TM1,B2812&lt;=_TM2,OR(TH!L2812="1111",TH!M2812="1111")),TH!D2812,""),"")</f>
        <v/>
      </c>
      <c r="B2812" s="36">
        <f t="shared" si="406"/>
        <v>5</v>
      </c>
      <c r="C2812" s="190">
        <f t="shared" si="404"/>
        <v>42521</v>
      </c>
      <c r="D2812" s="856" t="s">
        <v>1662</v>
      </c>
      <c r="E2812" s="856">
        <v>42521</v>
      </c>
      <c r="F2812" s="857" t="s">
        <v>710</v>
      </c>
      <c r="G2812" s="858" t="s">
        <v>697</v>
      </c>
      <c r="H2812" s="859" t="s">
        <v>1310</v>
      </c>
      <c r="I2812" s="251">
        <v>12</v>
      </c>
      <c r="J2812" s="251">
        <v>63175</v>
      </c>
      <c r="K2812" s="860">
        <f t="shared" si="405"/>
        <v>758100</v>
      </c>
      <c r="L2812" s="861" t="s">
        <v>162</v>
      </c>
      <c r="M2812" s="861" t="s">
        <v>857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52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>632</v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826"/>
    </row>
    <row r="2813" spans="1:27" ht="15.75" customHeight="1">
      <c r="A2813" s="827" t="str">
        <f>IF(B2813&lt;&gt;"",IF(AND(B2813&gt;=_TM1,B2813&lt;=_TM2,OR(TH!L2813="1111",TH!M2813="1111")),TH!D2813,""),"")</f>
        <v/>
      </c>
      <c r="B2813" s="36">
        <f t="shared" si="406"/>
        <v>5</v>
      </c>
      <c r="C2813" s="190">
        <f t="shared" si="404"/>
        <v>42521</v>
      </c>
      <c r="D2813" s="856" t="s">
        <v>1662</v>
      </c>
      <c r="E2813" s="856">
        <v>42521</v>
      </c>
      <c r="F2813" s="857" t="s">
        <v>710</v>
      </c>
      <c r="G2813" s="858" t="s">
        <v>697</v>
      </c>
      <c r="H2813" s="859" t="s">
        <v>1310</v>
      </c>
      <c r="I2813" s="251">
        <v>16</v>
      </c>
      <c r="J2813" s="251">
        <v>69825</v>
      </c>
      <c r="K2813" s="860">
        <f t="shared" si="405"/>
        <v>1117200</v>
      </c>
      <c r="L2813" s="861" t="s">
        <v>162</v>
      </c>
      <c r="M2813" s="861" t="s">
        <v>857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52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>632</v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826"/>
    </row>
    <row r="2814" spans="1:27" ht="15.75" customHeight="1">
      <c r="A2814" s="827" t="str">
        <f>IF(B2814&lt;&gt;"",IF(AND(B2814&gt;=_TM1,B2814&lt;=_TM2,OR(TH!L2814="1111",TH!M2814="1111")),TH!D2814,""),"")</f>
        <v/>
      </c>
      <c r="B2814" s="36">
        <f t="shared" si="406"/>
        <v>5</v>
      </c>
      <c r="C2814" s="190">
        <f t="shared" si="404"/>
        <v>42521</v>
      </c>
      <c r="D2814" s="856" t="s">
        <v>1662</v>
      </c>
      <c r="E2814" s="856">
        <v>42521</v>
      </c>
      <c r="F2814" s="857" t="s">
        <v>471</v>
      </c>
      <c r="G2814" s="858" t="s">
        <v>697</v>
      </c>
      <c r="H2814" s="859" t="s">
        <v>1310</v>
      </c>
      <c r="I2814" s="251">
        <v>12</v>
      </c>
      <c r="J2814" s="251">
        <v>52362</v>
      </c>
      <c r="K2814" s="860">
        <f t="shared" si="405"/>
        <v>628344</v>
      </c>
      <c r="L2814" s="861" t="s">
        <v>162</v>
      </c>
      <c r="M2814" s="861" t="s">
        <v>857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52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>632</v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26"/>
    </row>
    <row r="2815" spans="1:27" ht="15.75" customHeight="1">
      <c r="A2815" s="827" t="str">
        <f>IF(B2815&lt;&gt;"",IF(AND(B2815&gt;=_TM1,B2815&lt;=_TM2,OR(TH!L2815="1111",TH!M2815="1111")),TH!D2815,""),"")</f>
        <v/>
      </c>
      <c r="B2815" s="36">
        <f t="shared" si="406"/>
        <v>5</v>
      </c>
      <c r="C2815" s="190">
        <f t="shared" si="404"/>
        <v>42521</v>
      </c>
      <c r="D2815" s="856" t="s">
        <v>1662</v>
      </c>
      <c r="E2815" s="856">
        <v>42521</v>
      </c>
      <c r="F2815" s="857" t="s">
        <v>534</v>
      </c>
      <c r="G2815" s="858" t="s">
        <v>697</v>
      </c>
      <c r="H2815" s="859" t="s">
        <v>1310</v>
      </c>
      <c r="I2815" s="251">
        <v>36</v>
      </c>
      <c r="J2815" s="251">
        <v>80232.25</v>
      </c>
      <c r="K2815" s="860">
        <f t="shared" si="405"/>
        <v>2888361</v>
      </c>
      <c r="L2815" s="861" t="s">
        <v>162</v>
      </c>
      <c r="M2815" s="861" t="s">
        <v>857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52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>632</v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26"/>
    </row>
    <row r="2816" spans="1:27" ht="15.75" customHeight="1">
      <c r="A2816" s="827" t="str">
        <f>IF(B2816&lt;&gt;"",IF(AND(B2816&gt;=_TM1,B2816&lt;=_TM2,OR(TH!L2816="1111",TH!M2816="1111")),TH!D2816,""),"")</f>
        <v/>
      </c>
      <c r="B2816" s="36">
        <f t="shared" si="406"/>
        <v>5</v>
      </c>
      <c r="C2816" s="190">
        <f t="shared" si="404"/>
        <v>42521</v>
      </c>
      <c r="D2816" s="856" t="s">
        <v>1662</v>
      </c>
      <c r="E2816" s="856">
        <v>42521</v>
      </c>
      <c r="F2816" s="857" t="s">
        <v>707</v>
      </c>
      <c r="G2816" s="858" t="s">
        <v>697</v>
      </c>
      <c r="H2816" s="859" t="s">
        <v>1310</v>
      </c>
      <c r="I2816" s="251">
        <v>12</v>
      </c>
      <c r="J2816" s="251">
        <v>104834.4</v>
      </c>
      <c r="K2816" s="860">
        <f t="shared" si="405"/>
        <v>1258013</v>
      </c>
      <c r="L2816" s="861" t="s">
        <v>162</v>
      </c>
      <c r="M2816" s="861" t="s">
        <v>857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52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>632</v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26"/>
    </row>
    <row r="2817" spans="1:27" ht="15.75" customHeight="1">
      <c r="A2817" s="827" t="str">
        <f>IF(B2817&lt;&gt;"",IF(AND(B2817&gt;=_TM1,B2817&lt;=_TM2,OR(TH!L2817="1111",TH!M2817="1111")),TH!D2817,""),"")</f>
        <v/>
      </c>
      <c r="B2817" s="36">
        <f t="shared" si="406"/>
        <v>5</v>
      </c>
      <c r="C2817" s="190">
        <f t="shared" si="404"/>
        <v>42521</v>
      </c>
      <c r="D2817" s="856" t="s">
        <v>1662</v>
      </c>
      <c r="E2817" s="856">
        <v>42521</v>
      </c>
      <c r="F2817" s="857" t="s">
        <v>468</v>
      </c>
      <c r="G2817" s="858" t="s">
        <v>697</v>
      </c>
      <c r="H2817" s="859" t="s">
        <v>1310</v>
      </c>
      <c r="I2817" s="251">
        <v>17</v>
      </c>
      <c r="J2817" s="251">
        <v>71581</v>
      </c>
      <c r="K2817" s="860">
        <f t="shared" si="405"/>
        <v>1216877</v>
      </c>
      <c r="L2817" s="861" t="s">
        <v>162</v>
      </c>
      <c r="M2817" s="861" t="s">
        <v>857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52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>632</v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26"/>
    </row>
    <row r="2818" spans="1:27" ht="15.75" customHeight="1">
      <c r="A2818" s="827" t="str">
        <f>IF(B2818&lt;&gt;"",IF(AND(B2818&gt;=_TM1,B2818&lt;=_TM2,OR(TH!L2818="1111",TH!M2818="1111")),TH!D2818,""),"")</f>
        <v/>
      </c>
      <c r="B2818" s="36">
        <f t="shared" si="406"/>
        <v>5</v>
      </c>
      <c r="C2818" s="190">
        <f t="shared" si="404"/>
        <v>42521</v>
      </c>
      <c r="D2818" s="856" t="s">
        <v>1662</v>
      </c>
      <c r="E2818" s="856">
        <v>42521</v>
      </c>
      <c r="F2818" s="857" t="s">
        <v>468</v>
      </c>
      <c r="G2818" s="858" t="s">
        <v>697</v>
      </c>
      <c r="H2818" s="859" t="s">
        <v>1310</v>
      </c>
      <c r="I2818" s="251">
        <v>10</v>
      </c>
      <c r="J2818" s="251">
        <v>64763.4</v>
      </c>
      <c r="K2818" s="860">
        <f t="shared" si="405"/>
        <v>647634</v>
      </c>
      <c r="L2818" s="861" t="s">
        <v>162</v>
      </c>
      <c r="M2818" s="861" t="s">
        <v>857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52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>632</v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26"/>
    </row>
    <row r="2819" spans="1:27" ht="15.75" customHeight="1">
      <c r="A2819" s="827" t="str">
        <f>IF(B2819&lt;&gt;"",IF(AND(B2819&gt;=_TM1,B2819&lt;=_TM2,OR(TH!L2819="1111",TH!M2819="1111")),TH!D2819,""),"")</f>
        <v/>
      </c>
      <c r="B2819" s="36">
        <f t="shared" si="406"/>
        <v>5</v>
      </c>
      <c r="C2819" s="190">
        <f t="shared" si="404"/>
        <v>42521</v>
      </c>
      <c r="D2819" s="856" t="s">
        <v>1662</v>
      </c>
      <c r="E2819" s="856">
        <v>42521</v>
      </c>
      <c r="F2819" s="857" t="s">
        <v>469</v>
      </c>
      <c r="G2819" s="858" t="s">
        <v>697</v>
      </c>
      <c r="H2819" s="859" t="s">
        <v>1310</v>
      </c>
      <c r="I2819" s="251">
        <v>8</v>
      </c>
      <c r="J2819" s="251">
        <v>58346</v>
      </c>
      <c r="K2819" s="860">
        <f t="shared" si="405"/>
        <v>466768</v>
      </c>
      <c r="L2819" s="861" t="s">
        <v>162</v>
      </c>
      <c r="M2819" s="861" t="s">
        <v>857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52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>632</v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26"/>
    </row>
    <row r="2820" spans="1:27" ht="15.75" customHeight="1">
      <c r="A2820" s="827" t="str">
        <f>IF(B2820&lt;&gt;"",IF(AND(B2820&gt;=_TM1,B2820&lt;=_TM2,OR(TH!L2820="1111",TH!M2820="1111")),TH!D2820,""),"")</f>
        <v/>
      </c>
      <c r="B2820" s="36">
        <f t="shared" si="406"/>
        <v>5</v>
      </c>
      <c r="C2820" s="190">
        <f t="shared" si="404"/>
        <v>42521</v>
      </c>
      <c r="D2820" s="856" t="s">
        <v>1662</v>
      </c>
      <c r="E2820" s="856">
        <v>42521</v>
      </c>
      <c r="F2820" s="857" t="s">
        <v>469</v>
      </c>
      <c r="G2820" s="858" t="s">
        <v>697</v>
      </c>
      <c r="H2820" s="859" t="s">
        <v>1310</v>
      </c>
      <c r="I2820" s="251">
        <v>4</v>
      </c>
      <c r="J2820" s="251">
        <v>59724.6</v>
      </c>
      <c r="K2820" s="860">
        <f t="shared" si="405"/>
        <v>238898</v>
      </c>
      <c r="L2820" s="861" t="s">
        <v>162</v>
      </c>
      <c r="M2820" s="861" t="s">
        <v>857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52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>632</v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26"/>
    </row>
    <row r="2821" spans="1:27" ht="15.75" customHeight="1">
      <c r="A2821" s="827" t="str">
        <f>IF(B2821&lt;&gt;"",IF(AND(B2821&gt;=_TM1,B2821&lt;=_TM2,OR(TH!L2821="1111",TH!M2821="1111")),TH!D2821,""),"")</f>
        <v/>
      </c>
      <c r="B2821" s="36">
        <f t="shared" si="406"/>
        <v>5</v>
      </c>
      <c r="C2821" s="190">
        <f t="shared" si="404"/>
        <v>42521</v>
      </c>
      <c r="D2821" s="856" t="s">
        <v>1662</v>
      </c>
      <c r="E2821" s="856">
        <v>42521</v>
      </c>
      <c r="F2821" s="857" t="s">
        <v>575</v>
      </c>
      <c r="G2821" s="858" t="s">
        <v>697</v>
      </c>
      <c r="H2821" s="859" t="s">
        <v>1310</v>
      </c>
      <c r="I2821" s="251">
        <v>40</v>
      </c>
      <c r="J2821" s="251">
        <v>50792</v>
      </c>
      <c r="K2821" s="860">
        <f t="shared" si="405"/>
        <v>2031680</v>
      </c>
      <c r="L2821" s="861" t="s">
        <v>162</v>
      </c>
      <c r="M2821" s="861" t="s">
        <v>857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52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>632</v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26"/>
    </row>
    <row r="2822" spans="1:27" ht="15.75" customHeight="1">
      <c r="A2822" s="827" t="str">
        <f>IF(B2822&lt;&gt;"",IF(AND(B2822&gt;=_TM1,B2822&lt;=_TM2,OR(TH!L2822="1111",TH!M2822="1111")),TH!D2822,""),"")</f>
        <v/>
      </c>
      <c r="B2822" s="36">
        <f t="shared" si="406"/>
        <v>5</v>
      </c>
      <c r="C2822" s="190">
        <f t="shared" si="404"/>
        <v>42521</v>
      </c>
      <c r="D2822" s="856" t="s">
        <v>1662</v>
      </c>
      <c r="E2822" s="856">
        <v>42521</v>
      </c>
      <c r="F2822" s="857" t="s">
        <v>527</v>
      </c>
      <c r="G2822" s="858" t="s">
        <v>697</v>
      </c>
      <c r="H2822" s="859" t="s">
        <v>1310</v>
      </c>
      <c r="I2822" s="251">
        <v>16</v>
      </c>
      <c r="J2822" s="251">
        <v>73033</v>
      </c>
      <c r="K2822" s="860">
        <f t="shared" si="405"/>
        <v>1168528</v>
      </c>
      <c r="L2822" s="861" t="s">
        <v>162</v>
      </c>
      <c r="M2822" s="861" t="s">
        <v>857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52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>632</v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26"/>
    </row>
    <row r="2823" spans="1:27" ht="15.75" customHeight="1">
      <c r="A2823" s="827" t="str">
        <f>IF(B2823&lt;&gt;"",IF(AND(B2823&gt;=_TM1,B2823&lt;=_TM2,OR(TH!L2823="1111",TH!M2823="1111")),TH!D2823,""),"")</f>
        <v/>
      </c>
      <c r="B2823" s="36">
        <f t="shared" si="406"/>
        <v>5</v>
      </c>
      <c r="C2823" s="190">
        <f t="shared" si="404"/>
        <v>42521</v>
      </c>
      <c r="D2823" s="856" t="s">
        <v>1662</v>
      </c>
      <c r="E2823" s="856">
        <v>42521</v>
      </c>
      <c r="F2823" s="857" t="s">
        <v>506</v>
      </c>
      <c r="G2823" s="858" t="s">
        <v>697</v>
      </c>
      <c r="H2823" s="859" t="s">
        <v>1310</v>
      </c>
      <c r="I2823" s="251">
        <v>7</v>
      </c>
      <c r="J2823" s="251">
        <v>162529</v>
      </c>
      <c r="K2823" s="860">
        <f t="shared" si="405"/>
        <v>1137703</v>
      </c>
      <c r="L2823" s="861" t="s">
        <v>162</v>
      </c>
      <c r="M2823" s="861" t="s">
        <v>857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52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>632</v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26"/>
    </row>
    <row r="2824" spans="1:27" ht="15.75" customHeight="1">
      <c r="A2824" s="827" t="str">
        <f>IF(B2824&lt;&gt;"",IF(AND(B2824&gt;=_TM1,B2824&lt;=_TM2,OR(TH!L2824="1111",TH!M2824="1111")),TH!D2824,""),"")</f>
        <v/>
      </c>
      <c r="B2824" s="36">
        <f t="shared" si="406"/>
        <v>5</v>
      </c>
      <c r="C2824" s="190">
        <f t="shared" si="404"/>
        <v>42521</v>
      </c>
      <c r="D2824" s="856" t="s">
        <v>1662</v>
      </c>
      <c r="E2824" s="856">
        <v>42521</v>
      </c>
      <c r="F2824" s="857" t="s">
        <v>526</v>
      </c>
      <c r="G2824" s="858" t="s">
        <v>697</v>
      </c>
      <c r="H2824" s="859" t="s">
        <v>1310</v>
      </c>
      <c r="I2824" s="251">
        <v>12</v>
      </c>
      <c r="J2824" s="251">
        <v>43318</v>
      </c>
      <c r="K2824" s="860">
        <f t="shared" si="405"/>
        <v>519816</v>
      </c>
      <c r="L2824" s="861" t="s">
        <v>162</v>
      </c>
      <c r="M2824" s="861" t="s">
        <v>857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52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>632</v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26"/>
    </row>
    <row r="2825" spans="1:27" ht="15.75" customHeight="1">
      <c r="A2825" s="827" t="str">
        <f>IF(B2825&lt;&gt;"",IF(AND(B2825&gt;=_TM1,B2825&lt;=_TM2,OR(TH!L2825="1111",TH!M2825="1111")),TH!D2825,""),"")</f>
        <v/>
      </c>
      <c r="B2825" s="36">
        <f t="shared" si="406"/>
        <v>5</v>
      </c>
      <c r="C2825" s="190">
        <f t="shared" si="404"/>
        <v>42521</v>
      </c>
      <c r="D2825" s="856" t="s">
        <v>1662</v>
      </c>
      <c r="E2825" s="856">
        <v>42521</v>
      </c>
      <c r="F2825" s="857" t="s">
        <v>508</v>
      </c>
      <c r="G2825" s="858" t="s">
        <v>697</v>
      </c>
      <c r="H2825" s="859" t="s">
        <v>1310</v>
      </c>
      <c r="I2825" s="251">
        <v>8</v>
      </c>
      <c r="J2825" s="251">
        <v>85322</v>
      </c>
      <c r="K2825" s="860">
        <f t="shared" si="405"/>
        <v>682576</v>
      </c>
      <c r="L2825" s="861" t="s">
        <v>162</v>
      </c>
      <c r="M2825" s="861" t="s">
        <v>857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52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>632</v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26"/>
    </row>
    <row r="2826" spans="1:27" ht="15.75" customHeight="1">
      <c r="A2826" s="827" t="str">
        <f>IF(B2826&lt;&gt;"",IF(AND(B2826&gt;=_TM1,B2826&lt;=_TM2,OR(TH!L2826="1111",TH!M2826="1111")),TH!D2826,""),"")</f>
        <v/>
      </c>
      <c r="B2826" s="36">
        <f t="shared" si="406"/>
        <v>5</v>
      </c>
      <c r="C2826" s="190">
        <f t="shared" si="404"/>
        <v>42521</v>
      </c>
      <c r="D2826" s="856" t="s">
        <v>1662</v>
      </c>
      <c r="E2826" s="856">
        <v>42521</v>
      </c>
      <c r="F2826" s="857" t="s">
        <v>720</v>
      </c>
      <c r="G2826" s="858" t="s">
        <v>697</v>
      </c>
      <c r="H2826" s="859" t="s">
        <v>1310</v>
      </c>
      <c r="I2826" s="251">
        <v>20</v>
      </c>
      <c r="J2826" s="251">
        <v>74993</v>
      </c>
      <c r="K2826" s="860">
        <f t="shared" si="405"/>
        <v>1499860</v>
      </c>
      <c r="L2826" s="861" t="s">
        <v>162</v>
      </c>
      <c r="M2826" s="861" t="s">
        <v>857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52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>632</v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26"/>
    </row>
    <row r="2827" spans="1:27" ht="15.75" customHeight="1">
      <c r="A2827" s="827" t="str">
        <f>IF(B2827&lt;&gt;"",IF(AND(B2827&gt;=_TM1,B2827&lt;=_TM2,OR(TH!L2827="1111",TH!M2827="1111")),TH!D2827,""),"")</f>
        <v/>
      </c>
      <c r="B2827" s="36">
        <f t="shared" si="406"/>
        <v>5</v>
      </c>
      <c r="C2827" s="190">
        <f t="shared" si="404"/>
        <v>42521</v>
      </c>
      <c r="D2827" s="856" t="s">
        <v>1662</v>
      </c>
      <c r="E2827" s="856">
        <v>42521</v>
      </c>
      <c r="F2827" s="857" t="s">
        <v>720</v>
      </c>
      <c r="G2827" s="858" t="s">
        <v>697</v>
      </c>
      <c r="H2827" s="859" t="s">
        <v>1310</v>
      </c>
      <c r="I2827" s="251">
        <v>7</v>
      </c>
      <c r="J2827" s="251">
        <v>78762.600000000006</v>
      </c>
      <c r="K2827" s="860">
        <f t="shared" si="405"/>
        <v>551338</v>
      </c>
      <c r="L2827" s="861" t="s">
        <v>162</v>
      </c>
      <c r="M2827" s="861" t="s">
        <v>857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52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>632</v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26"/>
    </row>
    <row r="2828" spans="1:27" ht="15.75" customHeight="1">
      <c r="A2828" s="827" t="str">
        <f>IF(B2828&lt;&gt;"",IF(AND(B2828&gt;=_TM1,B2828&lt;=_TM2,OR(TH!L2828="1111",TH!M2828="1111")),TH!D2828,""),"")</f>
        <v/>
      </c>
      <c r="B2828" s="36">
        <f t="shared" si="406"/>
        <v>5</v>
      </c>
      <c r="C2828" s="190">
        <f t="shared" si="404"/>
        <v>42521</v>
      </c>
      <c r="D2828" s="856" t="s">
        <v>1662</v>
      </c>
      <c r="E2828" s="856">
        <v>42521</v>
      </c>
      <c r="F2828" s="857" t="s">
        <v>723</v>
      </c>
      <c r="G2828" s="858" t="s">
        <v>697</v>
      </c>
      <c r="H2828" s="859" t="s">
        <v>1310</v>
      </c>
      <c r="I2828" s="251">
        <v>40</v>
      </c>
      <c r="J2828" s="251">
        <v>73156.649999999994</v>
      </c>
      <c r="K2828" s="860">
        <f t="shared" si="405"/>
        <v>2926266</v>
      </c>
      <c r="L2828" s="861" t="s">
        <v>162</v>
      </c>
      <c r="M2828" s="861" t="s">
        <v>857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52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>632</v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26"/>
    </row>
    <row r="2829" spans="1:27" ht="15.75" customHeight="1">
      <c r="A2829" s="827" t="str">
        <f>IF(B2829&lt;&gt;"",IF(AND(B2829&gt;=_TM1,B2829&lt;=_TM2,OR(TH!L2829="1111",TH!M2829="1111")),TH!D2829,""),"")</f>
        <v/>
      </c>
      <c r="B2829" s="36">
        <f t="shared" si="406"/>
        <v>5</v>
      </c>
      <c r="C2829" s="190">
        <f t="shared" si="404"/>
        <v>42521</v>
      </c>
      <c r="D2829" s="856" t="s">
        <v>1662</v>
      </c>
      <c r="E2829" s="856">
        <v>42521</v>
      </c>
      <c r="F2829" s="857" t="s">
        <v>466</v>
      </c>
      <c r="G2829" s="858" t="s">
        <v>697</v>
      </c>
      <c r="H2829" s="859" t="s">
        <v>1310</v>
      </c>
      <c r="I2829" s="251">
        <v>18</v>
      </c>
      <c r="J2829" s="251">
        <v>79980</v>
      </c>
      <c r="K2829" s="860">
        <f t="shared" si="405"/>
        <v>1439640</v>
      </c>
      <c r="L2829" s="861" t="s">
        <v>162</v>
      </c>
      <c r="M2829" s="861" t="s">
        <v>857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52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>632</v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26"/>
    </row>
    <row r="2830" spans="1:27" ht="15.75" customHeight="1">
      <c r="A2830" s="827" t="str">
        <f>IF(B2830&lt;&gt;"",IF(AND(B2830&gt;=_TM1,B2830&lt;=_TM2,OR(TH!L2830="1111",TH!M2830="1111")),TH!D2830,""),"")</f>
        <v/>
      </c>
      <c r="B2830" s="36">
        <f t="shared" si="406"/>
        <v>5</v>
      </c>
      <c r="C2830" s="190">
        <f t="shared" si="404"/>
        <v>42521</v>
      </c>
      <c r="D2830" s="856" t="s">
        <v>1662</v>
      </c>
      <c r="E2830" s="856">
        <v>42521</v>
      </c>
      <c r="F2830" s="857" t="s">
        <v>532</v>
      </c>
      <c r="G2830" s="858" t="s">
        <v>697</v>
      </c>
      <c r="H2830" s="859" t="s">
        <v>1310</v>
      </c>
      <c r="I2830" s="251">
        <v>8</v>
      </c>
      <c r="J2830" s="251">
        <v>50210</v>
      </c>
      <c r="K2830" s="860">
        <f t="shared" si="405"/>
        <v>401680</v>
      </c>
      <c r="L2830" s="861" t="s">
        <v>162</v>
      </c>
      <c r="M2830" s="861" t="s">
        <v>857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52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>632</v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26"/>
    </row>
    <row r="2831" spans="1:27" ht="15.75" customHeight="1">
      <c r="A2831" s="827" t="str">
        <f>IF(B2831&lt;&gt;"",IF(AND(B2831&gt;=_TM1,B2831&lt;=_TM2,OR(TH!L2831="1111",TH!M2831="1111")),TH!D2831,""),"")</f>
        <v/>
      </c>
      <c r="B2831" s="36">
        <f t="shared" si="406"/>
        <v>5</v>
      </c>
      <c r="C2831" s="190">
        <f t="shared" si="404"/>
        <v>42521</v>
      </c>
      <c r="D2831" s="856" t="s">
        <v>1662</v>
      </c>
      <c r="E2831" s="48">
        <v>42521</v>
      </c>
      <c r="F2831" s="49" t="s">
        <v>516</v>
      </c>
      <c r="G2831" s="831" t="s">
        <v>697</v>
      </c>
      <c r="H2831" s="859" t="s">
        <v>1310</v>
      </c>
      <c r="I2831" s="251">
        <v>12</v>
      </c>
      <c r="J2831" s="251">
        <v>51951</v>
      </c>
      <c r="K2831" s="860">
        <f t="shared" si="405"/>
        <v>623412</v>
      </c>
      <c r="L2831" s="861" t="s">
        <v>162</v>
      </c>
      <c r="M2831" s="861" t="s">
        <v>857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52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>632</v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826"/>
    </row>
    <row r="2832" spans="1:27" ht="15.75" customHeight="1">
      <c r="A2832" s="827" t="str">
        <f>IF(B2832&lt;&gt;"",IF(AND(B2832&gt;=_TM1,B2832&lt;=_TM2,OR(TH!L2832="1111",TH!M2832="1111")),TH!D2832,""),"")</f>
        <v/>
      </c>
      <c r="B2832" s="36">
        <f t="shared" si="406"/>
        <v>5</v>
      </c>
      <c r="C2832" s="190">
        <f t="shared" si="404"/>
        <v>42521</v>
      </c>
      <c r="D2832" s="856" t="s">
        <v>1662</v>
      </c>
      <c r="E2832" s="48">
        <v>42521</v>
      </c>
      <c r="F2832" s="49" t="s">
        <v>509</v>
      </c>
      <c r="G2832" s="831" t="s">
        <v>697</v>
      </c>
      <c r="H2832" s="859" t="s">
        <v>1310</v>
      </c>
      <c r="I2832" s="251">
        <v>8</v>
      </c>
      <c r="J2832" s="251">
        <v>96382</v>
      </c>
      <c r="K2832" s="860">
        <f t="shared" si="405"/>
        <v>771056</v>
      </c>
      <c r="L2832" s="861" t="s">
        <v>162</v>
      </c>
      <c r="M2832" s="861" t="s">
        <v>857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52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>632</v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826"/>
    </row>
    <row r="2833" spans="1:27" ht="15.75" customHeight="1">
      <c r="A2833" s="827" t="str">
        <f>IF(B2833&lt;&gt;"",IF(AND(B2833&gt;=_TM1,B2833&lt;=_TM2,OR(TH!L2833="1111",TH!M2833="1111")),TH!D2833,""),"")</f>
        <v/>
      </c>
      <c r="B2833" s="36">
        <f t="shared" si="406"/>
        <v>5</v>
      </c>
      <c r="C2833" s="190">
        <f t="shared" si="404"/>
        <v>42521</v>
      </c>
      <c r="D2833" s="856" t="s">
        <v>1662</v>
      </c>
      <c r="E2833" s="48">
        <v>42521</v>
      </c>
      <c r="F2833" s="866" t="s">
        <v>573</v>
      </c>
      <c r="G2833" s="831" t="s">
        <v>697</v>
      </c>
      <c r="H2833" s="859" t="s">
        <v>1310</v>
      </c>
      <c r="I2833" s="251">
        <v>40</v>
      </c>
      <c r="J2833" s="251">
        <v>142144</v>
      </c>
      <c r="K2833" s="860">
        <f t="shared" si="405"/>
        <v>5685760</v>
      </c>
      <c r="L2833" s="861" t="s">
        <v>162</v>
      </c>
      <c r="M2833" s="861" t="s">
        <v>857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52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>632</v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826"/>
    </row>
    <row r="2834" spans="1:27" ht="15.75" customHeight="1">
      <c r="A2834" s="827" t="str">
        <f>IF(B2834&lt;&gt;"",IF(AND(B2834&gt;=_TM1,B2834&lt;=_TM2,OR(TH!L2834="1111",TH!M2834="1111")),TH!D2834,""),"")</f>
        <v/>
      </c>
      <c r="B2834" s="36">
        <f t="shared" si="406"/>
        <v>5</v>
      </c>
      <c r="C2834" s="190">
        <f t="shared" si="404"/>
        <v>42521</v>
      </c>
      <c r="D2834" s="856" t="s">
        <v>1662</v>
      </c>
      <c r="E2834" s="48">
        <v>42521</v>
      </c>
      <c r="F2834" s="866" t="s">
        <v>470</v>
      </c>
      <c r="G2834" s="831" t="s">
        <v>697</v>
      </c>
      <c r="H2834" s="859" t="s">
        <v>1310</v>
      </c>
      <c r="I2834" s="251">
        <v>12</v>
      </c>
      <c r="J2834" s="251">
        <v>92556</v>
      </c>
      <c r="K2834" s="860">
        <f t="shared" si="405"/>
        <v>1110672</v>
      </c>
      <c r="L2834" s="861" t="s">
        <v>162</v>
      </c>
      <c r="M2834" s="861" t="s">
        <v>857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52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>632</v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826"/>
    </row>
    <row r="2835" spans="1:27" ht="15.75" customHeight="1">
      <c r="A2835" s="827" t="str">
        <f>IF(B2835&lt;&gt;"",IF(AND(B2835&gt;=_TM1,B2835&lt;=_TM2,OR(TH!L2835="1111",TH!M2835="1111")),TH!D2835,""),"")</f>
        <v/>
      </c>
      <c r="B2835" s="36">
        <f t="shared" si="406"/>
        <v>5</v>
      </c>
      <c r="C2835" s="190">
        <f t="shared" si="404"/>
        <v>42521</v>
      </c>
      <c r="D2835" s="856" t="s">
        <v>1662</v>
      </c>
      <c r="E2835" s="48">
        <v>42521</v>
      </c>
      <c r="F2835" s="866" t="s">
        <v>574</v>
      </c>
      <c r="G2835" s="831" t="s">
        <v>697</v>
      </c>
      <c r="H2835" s="859" t="s">
        <v>1310</v>
      </c>
      <c r="I2835" s="251">
        <v>6</v>
      </c>
      <c r="J2835" s="251">
        <v>177056</v>
      </c>
      <c r="K2835" s="860">
        <f t="shared" si="405"/>
        <v>1062336</v>
      </c>
      <c r="L2835" s="861" t="s">
        <v>162</v>
      </c>
      <c r="M2835" s="861" t="s">
        <v>857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52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>632</v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826"/>
    </row>
    <row r="2836" spans="1:27" ht="15.75" customHeight="1">
      <c r="A2836" s="827" t="str">
        <f>IF(B2836&lt;&gt;"",IF(AND(B2836&gt;=_TM1,B2836&lt;=_TM2,OR(TH!L2836="1111",TH!M2836="1111")),TH!D2836,""),"")</f>
        <v/>
      </c>
      <c r="B2836" s="36">
        <f t="shared" si="406"/>
        <v>5</v>
      </c>
      <c r="C2836" s="190">
        <f t="shared" si="404"/>
        <v>42521</v>
      </c>
      <c r="D2836" s="856" t="s">
        <v>1662</v>
      </c>
      <c r="E2836" s="48">
        <v>42521</v>
      </c>
      <c r="F2836" s="866" t="s">
        <v>531</v>
      </c>
      <c r="G2836" s="831" t="s">
        <v>697</v>
      </c>
      <c r="H2836" s="859" t="s">
        <v>1310</v>
      </c>
      <c r="I2836" s="251">
        <v>10</v>
      </c>
      <c r="J2836" s="251">
        <v>6970</v>
      </c>
      <c r="K2836" s="860">
        <f t="shared" si="405"/>
        <v>69700</v>
      </c>
      <c r="L2836" s="861" t="s">
        <v>162</v>
      </c>
      <c r="M2836" s="861" t="s">
        <v>857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52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>632</v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826"/>
    </row>
    <row r="2837" spans="1:27" ht="15.75" customHeight="1">
      <c r="A2837" s="827" t="str">
        <f>IF(B2837&lt;&gt;"",IF(AND(B2837&gt;=_TM1,B2837&lt;=_TM2,OR(TH!L2837="1111",TH!M2837="1111")),TH!D2837,""),"")</f>
        <v/>
      </c>
      <c r="B2837" s="36">
        <f t="shared" si="406"/>
        <v>5</v>
      </c>
      <c r="C2837" s="190">
        <f t="shared" si="404"/>
        <v>42521</v>
      </c>
      <c r="D2837" s="856" t="s">
        <v>1662</v>
      </c>
      <c r="E2837" s="48">
        <v>42521</v>
      </c>
      <c r="F2837" s="866" t="s">
        <v>520</v>
      </c>
      <c r="G2837" s="831" t="s">
        <v>697</v>
      </c>
      <c r="H2837" s="859" t="s">
        <v>1310</v>
      </c>
      <c r="I2837" s="251">
        <v>12</v>
      </c>
      <c r="J2837" s="251">
        <v>15680</v>
      </c>
      <c r="K2837" s="860">
        <f t="shared" si="405"/>
        <v>188160</v>
      </c>
      <c r="L2837" s="861" t="s">
        <v>162</v>
      </c>
      <c r="M2837" s="861" t="s">
        <v>857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52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>632</v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826"/>
    </row>
    <row r="2838" spans="1:27" ht="15.75" customHeight="1">
      <c r="A2838" s="827" t="str">
        <f>IF(B2838&lt;&gt;"",IF(AND(B2838&gt;=_TM1,B2838&lt;=_TM2,OR(TH!L2838="1111",TH!M2838="1111")),TH!D2838,""),"")</f>
        <v/>
      </c>
      <c r="B2838" s="36">
        <f t="shared" si="406"/>
        <v>5</v>
      </c>
      <c r="C2838" s="190">
        <f t="shared" ref="C2838:C2901" si="407">E2838</f>
        <v>42521</v>
      </c>
      <c r="D2838" s="856" t="s">
        <v>1662</v>
      </c>
      <c r="E2838" s="48">
        <v>42521</v>
      </c>
      <c r="F2838" s="866" t="s">
        <v>561</v>
      </c>
      <c r="G2838" s="831" t="s">
        <v>697</v>
      </c>
      <c r="H2838" s="859" t="s">
        <v>1310</v>
      </c>
      <c r="I2838" s="251">
        <v>48</v>
      </c>
      <c r="J2838" s="251">
        <v>9230.2000000000007</v>
      </c>
      <c r="K2838" s="860">
        <f t="shared" si="405"/>
        <v>443050</v>
      </c>
      <c r="L2838" s="861" t="s">
        <v>162</v>
      </c>
      <c r="M2838" s="861" t="s">
        <v>857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52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>632</v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826"/>
    </row>
    <row r="2839" spans="1:27" ht="15.75" customHeight="1">
      <c r="A2839" s="827" t="str">
        <f>IF(B2839&lt;&gt;"",IF(AND(B2839&gt;=_TM1,B2839&lt;=_TM2,OR(TH!L2839="1111",TH!M2839="1111")),TH!D2839,""),"")</f>
        <v/>
      </c>
      <c r="B2839" s="36">
        <f t="shared" si="406"/>
        <v>5</v>
      </c>
      <c r="C2839" s="190">
        <f t="shared" si="407"/>
        <v>42521</v>
      </c>
      <c r="D2839" s="856" t="s">
        <v>1662</v>
      </c>
      <c r="E2839" s="48">
        <v>42521</v>
      </c>
      <c r="F2839" s="866" t="s">
        <v>550</v>
      </c>
      <c r="G2839" s="831" t="s">
        <v>697</v>
      </c>
      <c r="H2839" s="859" t="s">
        <v>1310</v>
      </c>
      <c r="I2839" s="251">
        <v>10</v>
      </c>
      <c r="J2839" s="251">
        <v>23940</v>
      </c>
      <c r="K2839" s="860">
        <f t="shared" si="405"/>
        <v>239400</v>
      </c>
      <c r="L2839" s="861" t="s">
        <v>162</v>
      </c>
      <c r="M2839" s="861" t="s">
        <v>857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52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>632</v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826"/>
    </row>
    <row r="2840" spans="1:27" ht="15.75" customHeight="1">
      <c r="A2840" s="827" t="str">
        <f>IF(B2840&lt;&gt;"",IF(AND(B2840&gt;=_TM1,B2840&lt;=_TM2,OR(TH!L2840="1111",TH!M2840="1111")),TH!D2840,""),"")</f>
        <v/>
      </c>
      <c r="B2840" s="36">
        <f t="shared" si="406"/>
        <v>5</v>
      </c>
      <c r="C2840" s="190">
        <f t="shared" si="407"/>
        <v>42521</v>
      </c>
      <c r="D2840" s="856" t="s">
        <v>1662</v>
      </c>
      <c r="E2840" s="48">
        <v>42521</v>
      </c>
      <c r="F2840" s="866" t="s">
        <v>551</v>
      </c>
      <c r="G2840" s="831" t="s">
        <v>697</v>
      </c>
      <c r="H2840" s="859" t="s">
        <v>1310</v>
      </c>
      <c r="I2840" s="251">
        <v>16</v>
      </c>
      <c r="J2840" s="251">
        <v>29326.6875</v>
      </c>
      <c r="K2840" s="860">
        <f t="shared" si="405"/>
        <v>469227</v>
      </c>
      <c r="L2840" s="861" t="s">
        <v>162</v>
      </c>
      <c r="M2840" s="861" t="s">
        <v>857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52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>632</v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826"/>
    </row>
    <row r="2841" spans="1:27" ht="15.75" customHeight="1">
      <c r="A2841" s="827" t="str">
        <f>IF(B2841&lt;&gt;"",IF(AND(B2841&gt;=_TM1,B2841&lt;=_TM2,OR(TH!L2841="1111",TH!M2841="1111")),TH!D2841,""),"")</f>
        <v/>
      </c>
      <c r="B2841" s="36">
        <f t="shared" si="406"/>
        <v>5</v>
      </c>
      <c r="C2841" s="190">
        <f t="shared" si="407"/>
        <v>42521</v>
      </c>
      <c r="D2841" s="856" t="s">
        <v>1662</v>
      </c>
      <c r="E2841" s="48">
        <v>42521</v>
      </c>
      <c r="F2841" s="866" t="s">
        <v>547</v>
      </c>
      <c r="G2841" s="831" t="s">
        <v>697</v>
      </c>
      <c r="H2841" s="859" t="s">
        <v>1310</v>
      </c>
      <c r="I2841" s="251">
        <v>36</v>
      </c>
      <c r="J2841" s="251">
        <v>16584.150000000001</v>
      </c>
      <c r="K2841" s="860">
        <f t="shared" si="405"/>
        <v>597029</v>
      </c>
      <c r="L2841" s="861" t="s">
        <v>162</v>
      </c>
      <c r="M2841" s="861" t="s">
        <v>857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52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>632</v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826"/>
    </row>
    <row r="2842" spans="1:27" ht="15.75" customHeight="1">
      <c r="A2842" s="827" t="str">
        <f>IF(B2842&lt;&gt;"",IF(AND(B2842&gt;=_TM1,B2842&lt;=_TM2,OR(TH!L2842="1111",TH!M2842="1111")),TH!D2842,""),"")</f>
        <v/>
      </c>
      <c r="B2842" s="36">
        <f t="shared" si="406"/>
        <v>5</v>
      </c>
      <c r="C2842" s="190">
        <f t="shared" si="407"/>
        <v>42521</v>
      </c>
      <c r="D2842" s="856" t="s">
        <v>1662</v>
      </c>
      <c r="E2842" s="48">
        <v>42521</v>
      </c>
      <c r="F2842" s="866" t="s">
        <v>517</v>
      </c>
      <c r="G2842" s="831" t="s">
        <v>697</v>
      </c>
      <c r="H2842" s="859" t="s">
        <v>1310</v>
      </c>
      <c r="I2842" s="251">
        <v>36</v>
      </c>
      <c r="J2842" s="251">
        <v>16870</v>
      </c>
      <c r="K2842" s="860">
        <f t="shared" si="405"/>
        <v>607320</v>
      </c>
      <c r="L2842" s="861" t="s">
        <v>162</v>
      </c>
      <c r="M2842" s="861" t="s">
        <v>857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52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>632</v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826"/>
    </row>
    <row r="2843" spans="1:27" ht="15.75" customHeight="1">
      <c r="A2843" s="827" t="str">
        <f>IF(B2843&lt;&gt;"",IF(AND(B2843&gt;=_TM1,B2843&lt;=_TM2,OR(TH!L2843="1111",TH!M2843="1111")),TH!D2843,""),"")</f>
        <v/>
      </c>
      <c r="B2843" s="36">
        <f t="shared" si="406"/>
        <v>5</v>
      </c>
      <c r="C2843" s="190">
        <f t="shared" si="407"/>
        <v>42521</v>
      </c>
      <c r="D2843" s="856" t="s">
        <v>1662</v>
      </c>
      <c r="E2843" s="48">
        <v>42521</v>
      </c>
      <c r="F2843" s="866" t="s">
        <v>716</v>
      </c>
      <c r="G2843" s="831" t="s">
        <v>697</v>
      </c>
      <c r="H2843" s="859" t="s">
        <v>1310</v>
      </c>
      <c r="I2843" s="251">
        <v>12</v>
      </c>
      <c r="J2843" s="251">
        <v>22634.666666666668</v>
      </c>
      <c r="K2843" s="860">
        <f t="shared" si="405"/>
        <v>271616</v>
      </c>
      <c r="L2843" s="861" t="s">
        <v>162</v>
      </c>
      <c r="M2843" s="861" t="s">
        <v>857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52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>632</v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826"/>
    </row>
    <row r="2844" spans="1:27" ht="15.75" customHeight="1">
      <c r="A2844" s="827" t="str">
        <f>IF(B2844&lt;&gt;"",IF(AND(B2844&gt;=_TM1,B2844&lt;=_TM2,OR(TH!L2844="1111",TH!M2844="1111")),TH!D2844,""),"")</f>
        <v/>
      </c>
      <c r="B2844" s="36">
        <f t="shared" si="406"/>
        <v>5</v>
      </c>
      <c r="C2844" s="190">
        <f t="shared" si="407"/>
        <v>42521</v>
      </c>
      <c r="D2844" s="856" t="s">
        <v>1662</v>
      </c>
      <c r="E2844" s="48">
        <v>42521</v>
      </c>
      <c r="F2844" s="866" t="s">
        <v>711</v>
      </c>
      <c r="G2844" s="831" t="s">
        <v>697</v>
      </c>
      <c r="H2844" s="859" t="s">
        <v>1310</v>
      </c>
      <c r="I2844" s="251">
        <v>24</v>
      </c>
      <c r="J2844" s="251">
        <v>17395.45</v>
      </c>
      <c r="K2844" s="860">
        <f t="shared" si="405"/>
        <v>417491</v>
      </c>
      <c r="L2844" s="861" t="s">
        <v>162</v>
      </c>
      <c r="M2844" s="861" t="s">
        <v>857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52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>632</v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826"/>
    </row>
    <row r="2845" spans="1:27" ht="15.75" customHeight="1">
      <c r="A2845" s="827" t="str">
        <f>IF(B2845&lt;&gt;"",IF(AND(B2845&gt;=_TM1,B2845&lt;=_TM2,OR(TH!L2845="1111",TH!M2845="1111")),TH!D2845,""),"")</f>
        <v/>
      </c>
      <c r="B2845" s="36">
        <f t="shared" si="406"/>
        <v>5</v>
      </c>
      <c r="C2845" s="190">
        <f t="shared" si="407"/>
        <v>42521</v>
      </c>
      <c r="D2845" s="856" t="s">
        <v>1662</v>
      </c>
      <c r="E2845" s="48">
        <v>42521</v>
      </c>
      <c r="F2845" s="866" t="s">
        <v>512</v>
      </c>
      <c r="G2845" s="831" t="s">
        <v>697</v>
      </c>
      <c r="H2845" s="859" t="s">
        <v>1310</v>
      </c>
      <c r="I2845" s="251">
        <v>56</v>
      </c>
      <c r="J2845" s="251">
        <v>18141</v>
      </c>
      <c r="K2845" s="860">
        <f t="shared" si="405"/>
        <v>1015896</v>
      </c>
      <c r="L2845" s="861" t="s">
        <v>162</v>
      </c>
      <c r="M2845" s="861" t="s">
        <v>857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52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>632</v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826"/>
    </row>
    <row r="2846" spans="1:27" ht="15.75" customHeight="1">
      <c r="A2846" s="827" t="str">
        <f>IF(B2846&lt;&gt;"",IF(AND(B2846&gt;=_TM1,B2846&lt;=_TM2,OR(TH!L2846="1111",TH!M2846="1111")),TH!D2846,""),"")</f>
        <v/>
      </c>
      <c r="B2846" s="36">
        <f t="shared" si="406"/>
        <v>5</v>
      </c>
      <c r="C2846" s="190">
        <f t="shared" si="407"/>
        <v>42521</v>
      </c>
      <c r="D2846" s="856" t="s">
        <v>1662</v>
      </c>
      <c r="E2846" s="48">
        <v>42521</v>
      </c>
      <c r="F2846" s="866" t="s">
        <v>512</v>
      </c>
      <c r="G2846" s="831" t="s">
        <v>697</v>
      </c>
      <c r="H2846" s="859" t="s">
        <v>1310</v>
      </c>
      <c r="I2846" s="251">
        <v>12</v>
      </c>
      <c r="J2846" s="251">
        <v>18569.650000000001</v>
      </c>
      <c r="K2846" s="860">
        <f t="shared" si="405"/>
        <v>222836</v>
      </c>
      <c r="L2846" s="861" t="s">
        <v>162</v>
      </c>
      <c r="M2846" s="861" t="s">
        <v>857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52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>632</v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826"/>
    </row>
    <row r="2847" spans="1:27" ht="15.75" customHeight="1">
      <c r="A2847" s="827" t="str">
        <f>IF(B2847&lt;&gt;"",IF(AND(B2847&gt;=_TM1,B2847&lt;=_TM2,OR(TH!L2847="1111",TH!M2847="1111")),TH!D2847,""),"")</f>
        <v/>
      </c>
      <c r="B2847" s="36">
        <f t="shared" si="406"/>
        <v>5</v>
      </c>
      <c r="C2847" s="190">
        <f t="shared" si="407"/>
        <v>42521</v>
      </c>
      <c r="D2847" s="856" t="s">
        <v>1662</v>
      </c>
      <c r="E2847" s="48">
        <v>42521</v>
      </c>
      <c r="F2847" s="857" t="s">
        <v>513</v>
      </c>
      <c r="G2847" s="858" t="s">
        <v>697</v>
      </c>
      <c r="H2847" s="859" t="s">
        <v>1310</v>
      </c>
      <c r="I2847" s="251">
        <v>48</v>
      </c>
      <c r="J2847" s="251">
        <v>18806</v>
      </c>
      <c r="K2847" s="860">
        <f t="shared" si="405"/>
        <v>902688</v>
      </c>
      <c r="L2847" s="861" t="s">
        <v>162</v>
      </c>
      <c r="M2847" s="861" t="s">
        <v>857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52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>632</v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826"/>
    </row>
    <row r="2848" spans="1:27" ht="15.75" customHeight="1">
      <c r="A2848" s="827" t="str">
        <f>IF(B2848&lt;&gt;"",IF(AND(B2848&gt;=_TM1,B2848&lt;=_TM2,OR(TH!L2848="1111",TH!M2848="1111")),TH!D2848,""),"")</f>
        <v/>
      </c>
      <c r="B2848" s="36">
        <f t="shared" si="406"/>
        <v>5</v>
      </c>
      <c r="C2848" s="190">
        <f t="shared" si="407"/>
        <v>42521</v>
      </c>
      <c r="D2848" s="856" t="s">
        <v>1662</v>
      </c>
      <c r="E2848" s="48">
        <v>42521</v>
      </c>
      <c r="F2848" s="857" t="s">
        <v>725</v>
      </c>
      <c r="G2848" s="858" t="s">
        <v>697</v>
      </c>
      <c r="H2848" s="859" t="s">
        <v>1310</v>
      </c>
      <c r="I2848" s="251">
        <v>320</v>
      </c>
      <c r="J2848" s="251">
        <v>18625.7</v>
      </c>
      <c r="K2848" s="860">
        <f t="shared" ref="K2848:K2911" si="408">ROUND(I2848*J2848,0)</f>
        <v>5960224</v>
      </c>
      <c r="L2848" s="861" t="s">
        <v>162</v>
      </c>
      <c r="M2848" s="861" t="s">
        <v>857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52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>632</v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826"/>
    </row>
    <row r="2849" spans="1:27" ht="15.75" customHeight="1">
      <c r="A2849" s="827" t="str">
        <f>IF(B2849&lt;&gt;"",IF(AND(B2849&gt;=_TM1,B2849&lt;=_TM2,OR(TH!L2849="1111",TH!M2849="1111")),TH!D2849,""),"")</f>
        <v/>
      </c>
      <c r="B2849" s="36">
        <f t="shared" si="406"/>
        <v>5</v>
      </c>
      <c r="C2849" s="190">
        <f t="shared" si="407"/>
        <v>42521</v>
      </c>
      <c r="D2849" s="856" t="s">
        <v>1662</v>
      </c>
      <c r="E2849" s="48">
        <v>42521</v>
      </c>
      <c r="F2849" s="857" t="s">
        <v>511</v>
      </c>
      <c r="G2849" s="858" t="s">
        <v>697</v>
      </c>
      <c r="H2849" s="859" t="s">
        <v>1310</v>
      </c>
      <c r="I2849" s="251">
        <v>118</v>
      </c>
      <c r="J2849" s="251">
        <v>28843.9406779661</v>
      </c>
      <c r="K2849" s="860">
        <f t="shared" si="408"/>
        <v>3403585</v>
      </c>
      <c r="L2849" s="861" t="s">
        <v>162</v>
      </c>
      <c r="M2849" s="861" t="s">
        <v>857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52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>632</v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826"/>
    </row>
    <row r="2850" spans="1:27" ht="15.75" customHeight="1">
      <c r="A2850" s="827" t="str">
        <f>IF(B2850&lt;&gt;"",IF(AND(B2850&gt;=_TM1,B2850&lt;=_TM2,OR(TH!L2850="1111",TH!M2850="1111")),TH!D2850,""),"")</f>
        <v/>
      </c>
      <c r="B2850" s="36">
        <f t="shared" ref="B2850:B2913" si="409">IF(C2850&lt;&gt;"",MONTH(C2850),"")</f>
        <v>5</v>
      </c>
      <c r="C2850" s="190">
        <f t="shared" si="407"/>
        <v>42521</v>
      </c>
      <c r="D2850" s="856" t="s">
        <v>1662</v>
      </c>
      <c r="E2850" s="48">
        <v>42521</v>
      </c>
      <c r="F2850" s="857" t="s">
        <v>511</v>
      </c>
      <c r="G2850" s="858" t="s">
        <v>697</v>
      </c>
      <c r="H2850" s="859" t="s">
        <v>1310</v>
      </c>
      <c r="I2850" s="251">
        <v>12</v>
      </c>
      <c r="J2850" s="251">
        <v>31880.1</v>
      </c>
      <c r="K2850" s="860">
        <f t="shared" si="408"/>
        <v>382561</v>
      </c>
      <c r="L2850" s="861" t="s">
        <v>162</v>
      </c>
      <c r="M2850" s="861" t="s">
        <v>857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52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>632</v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826"/>
    </row>
    <row r="2851" spans="1:27" ht="15.75" customHeight="1">
      <c r="A2851" s="827" t="str">
        <f>IF(B2851&lt;&gt;"",IF(AND(B2851&gt;=_TM1,B2851&lt;=_TM2,OR(TH!L2851="1111",TH!M2851="1111")),TH!D2851,""),"")</f>
        <v/>
      </c>
      <c r="B2851" s="36">
        <f t="shared" si="409"/>
        <v>5</v>
      </c>
      <c r="C2851" s="190">
        <f t="shared" si="407"/>
        <v>42521</v>
      </c>
      <c r="D2851" s="856" t="s">
        <v>1662</v>
      </c>
      <c r="E2851" s="48">
        <v>42521</v>
      </c>
      <c r="F2851" s="857" t="s">
        <v>717</v>
      </c>
      <c r="G2851" s="858" t="s">
        <v>697</v>
      </c>
      <c r="H2851" s="859" t="s">
        <v>1310</v>
      </c>
      <c r="I2851" s="251">
        <v>12</v>
      </c>
      <c r="J2851" s="251">
        <v>40358.833333333336</v>
      </c>
      <c r="K2851" s="860">
        <f t="shared" si="408"/>
        <v>484306</v>
      </c>
      <c r="L2851" s="861" t="s">
        <v>162</v>
      </c>
      <c r="M2851" s="861" t="s">
        <v>857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52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>632</v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826"/>
    </row>
    <row r="2852" spans="1:27" ht="15.75" customHeight="1">
      <c r="A2852" s="827" t="str">
        <f>IF(B2852&lt;&gt;"",IF(AND(B2852&gt;=_TM1,B2852&lt;=_TM2,OR(TH!L2852="1111",TH!M2852="1111")),TH!D2852,""),"")</f>
        <v/>
      </c>
      <c r="B2852" s="36">
        <f t="shared" si="409"/>
        <v>5</v>
      </c>
      <c r="C2852" s="190">
        <f t="shared" si="407"/>
        <v>42521</v>
      </c>
      <c r="D2852" s="856" t="s">
        <v>1662</v>
      </c>
      <c r="E2852" s="48">
        <v>42521</v>
      </c>
      <c r="F2852" s="857" t="s">
        <v>701</v>
      </c>
      <c r="G2852" s="858" t="s">
        <v>697</v>
      </c>
      <c r="H2852" s="859" t="s">
        <v>1310</v>
      </c>
      <c r="I2852" s="251">
        <v>4</v>
      </c>
      <c r="J2852" s="251">
        <v>29852.75</v>
      </c>
      <c r="K2852" s="860">
        <f t="shared" si="408"/>
        <v>119411</v>
      </c>
      <c r="L2852" s="861" t="s">
        <v>162</v>
      </c>
      <c r="M2852" s="861" t="s">
        <v>857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52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>632</v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826"/>
    </row>
    <row r="2853" spans="1:27" ht="15.75" customHeight="1">
      <c r="A2853" s="827" t="str">
        <f>IF(B2853&lt;&gt;"",IF(AND(B2853&gt;=_TM1,B2853&lt;=_TM2,OR(TH!L2853="1111",TH!M2853="1111")),TH!D2853,""),"")</f>
        <v/>
      </c>
      <c r="B2853" s="36">
        <f t="shared" si="409"/>
        <v>5</v>
      </c>
      <c r="C2853" s="190">
        <f t="shared" si="407"/>
        <v>42521</v>
      </c>
      <c r="D2853" s="856" t="s">
        <v>1662</v>
      </c>
      <c r="E2853" s="48">
        <v>42521</v>
      </c>
      <c r="F2853" s="857" t="s">
        <v>700</v>
      </c>
      <c r="G2853" s="858" t="s">
        <v>697</v>
      </c>
      <c r="H2853" s="859" t="s">
        <v>1310</v>
      </c>
      <c r="I2853" s="251">
        <v>24</v>
      </c>
      <c r="J2853" s="251">
        <v>19758.099999999999</v>
      </c>
      <c r="K2853" s="860">
        <f t="shared" si="408"/>
        <v>474194</v>
      </c>
      <c r="L2853" s="861" t="s">
        <v>162</v>
      </c>
      <c r="M2853" s="861" t="s">
        <v>857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52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>632</v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826"/>
    </row>
    <row r="2854" spans="1:27" ht="15.75" customHeight="1">
      <c r="A2854" s="827" t="str">
        <f>IF(B2854&lt;&gt;"",IF(AND(B2854&gt;=_TM1,B2854&lt;=_TM2,OR(TH!L2854="1111",TH!M2854="1111")),TH!D2854,""),"")</f>
        <v/>
      </c>
      <c r="B2854" s="36">
        <f t="shared" si="409"/>
        <v>5</v>
      </c>
      <c r="C2854" s="190">
        <f t="shared" si="407"/>
        <v>42521</v>
      </c>
      <c r="D2854" s="856" t="s">
        <v>1662</v>
      </c>
      <c r="E2854" s="48">
        <v>42521</v>
      </c>
      <c r="F2854" s="857" t="s">
        <v>888</v>
      </c>
      <c r="G2854" s="858" t="s">
        <v>697</v>
      </c>
      <c r="H2854" s="859" t="s">
        <v>1310</v>
      </c>
      <c r="I2854" s="251">
        <v>24</v>
      </c>
      <c r="J2854" s="251">
        <v>19972.791666666668</v>
      </c>
      <c r="K2854" s="860">
        <f t="shared" si="408"/>
        <v>479347</v>
      </c>
      <c r="L2854" s="861" t="s">
        <v>162</v>
      </c>
      <c r="M2854" s="861" t="s">
        <v>857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52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>632</v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826"/>
    </row>
    <row r="2855" spans="1:27" ht="15.75" customHeight="1">
      <c r="A2855" s="827" t="str">
        <f>IF(B2855&lt;&gt;"",IF(AND(B2855&gt;=_TM1,B2855&lt;=_TM2,OR(TH!L2855="1111",TH!M2855="1111")),TH!D2855,""),"")</f>
        <v/>
      </c>
      <c r="B2855" s="36">
        <f t="shared" si="409"/>
        <v>5</v>
      </c>
      <c r="C2855" s="190">
        <f t="shared" si="407"/>
        <v>42521</v>
      </c>
      <c r="D2855" s="856" t="s">
        <v>1662</v>
      </c>
      <c r="E2855" s="48">
        <v>42521</v>
      </c>
      <c r="F2855" s="857" t="s">
        <v>522</v>
      </c>
      <c r="G2855" s="858" t="s">
        <v>697</v>
      </c>
      <c r="H2855" s="859" t="s">
        <v>1310</v>
      </c>
      <c r="I2855" s="251">
        <v>7</v>
      </c>
      <c r="J2855" s="251">
        <v>22423</v>
      </c>
      <c r="K2855" s="860">
        <f t="shared" si="408"/>
        <v>156961</v>
      </c>
      <c r="L2855" s="861" t="s">
        <v>162</v>
      </c>
      <c r="M2855" s="861" t="s">
        <v>857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52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>632</v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826"/>
    </row>
    <row r="2856" spans="1:27" ht="15.75" customHeight="1">
      <c r="A2856" s="827" t="str">
        <f>IF(B2856&lt;&gt;"",IF(AND(B2856&gt;=_TM1,B2856&lt;=_TM2,OR(TH!L2856="1111",TH!M2856="1111")),TH!D2856,""),"")</f>
        <v/>
      </c>
      <c r="B2856" s="36">
        <f t="shared" si="409"/>
        <v>5</v>
      </c>
      <c r="C2856" s="190">
        <f t="shared" si="407"/>
        <v>42521</v>
      </c>
      <c r="D2856" s="856" t="s">
        <v>1662</v>
      </c>
      <c r="E2856" s="48">
        <v>42521</v>
      </c>
      <c r="F2856" s="857" t="s">
        <v>721</v>
      </c>
      <c r="G2856" s="858" t="s">
        <v>697</v>
      </c>
      <c r="H2856" s="859" t="s">
        <v>1310</v>
      </c>
      <c r="I2856" s="251">
        <v>12</v>
      </c>
      <c r="J2856" s="251">
        <v>26599.083333333332</v>
      </c>
      <c r="K2856" s="860">
        <f t="shared" si="408"/>
        <v>319189</v>
      </c>
      <c r="L2856" s="861" t="s">
        <v>162</v>
      </c>
      <c r="M2856" s="861" t="s">
        <v>857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52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>632</v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826"/>
    </row>
    <row r="2857" spans="1:27" ht="15.75" customHeight="1">
      <c r="A2857" s="827" t="str">
        <f>IF(B2857&lt;&gt;"",IF(AND(B2857&gt;=_TM1,B2857&lt;=_TM2,OR(TH!L2857="1111",TH!M2857="1111")),TH!D2857,""),"")</f>
        <v/>
      </c>
      <c r="B2857" s="36">
        <f t="shared" si="409"/>
        <v>5</v>
      </c>
      <c r="C2857" s="190">
        <f t="shared" si="407"/>
        <v>42521</v>
      </c>
      <c r="D2857" s="856" t="s">
        <v>1662</v>
      </c>
      <c r="E2857" s="48">
        <v>42521</v>
      </c>
      <c r="F2857" s="857" t="s">
        <v>530</v>
      </c>
      <c r="G2857" s="858" t="s">
        <v>697</v>
      </c>
      <c r="H2857" s="859" t="s">
        <v>1310</v>
      </c>
      <c r="I2857" s="251">
        <v>10</v>
      </c>
      <c r="J2857" s="251">
        <v>11431</v>
      </c>
      <c r="K2857" s="860">
        <f t="shared" si="408"/>
        <v>114310</v>
      </c>
      <c r="L2857" s="861" t="s">
        <v>162</v>
      </c>
      <c r="M2857" s="861" t="s">
        <v>857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52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>632</v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826"/>
    </row>
    <row r="2858" spans="1:27" ht="15.75" customHeight="1">
      <c r="A2858" s="827" t="str">
        <f>IF(B2858&lt;&gt;"",IF(AND(B2858&gt;=_TM1,B2858&lt;=_TM2,OR(TH!L2858="1111",TH!M2858="1111")),TH!D2858,""),"")</f>
        <v/>
      </c>
      <c r="B2858" s="36">
        <f t="shared" si="409"/>
        <v>5</v>
      </c>
      <c r="C2858" s="190">
        <f t="shared" si="407"/>
        <v>42521</v>
      </c>
      <c r="D2858" s="856" t="s">
        <v>1662</v>
      </c>
      <c r="E2858" s="48">
        <v>42521</v>
      </c>
      <c r="F2858" s="857" t="s">
        <v>706</v>
      </c>
      <c r="G2858" s="858" t="s">
        <v>697</v>
      </c>
      <c r="H2858" s="859" t="s">
        <v>1310</v>
      </c>
      <c r="I2858" s="251">
        <v>12</v>
      </c>
      <c r="J2858" s="251">
        <v>14160.666666666666</v>
      </c>
      <c r="K2858" s="860">
        <f t="shared" si="408"/>
        <v>169928</v>
      </c>
      <c r="L2858" s="861" t="s">
        <v>162</v>
      </c>
      <c r="M2858" s="861" t="s">
        <v>857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52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>632</v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826"/>
    </row>
    <row r="2859" spans="1:27" ht="15.75" customHeight="1">
      <c r="A2859" s="827" t="str">
        <f>IF(B2859&lt;&gt;"",IF(AND(B2859&gt;=_TM1,B2859&lt;=_TM2,OR(TH!L2859="1111",TH!M2859="1111")),TH!D2859,""),"")</f>
        <v/>
      </c>
      <c r="B2859" s="36">
        <f t="shared" si="409"/>
        <v>5</v>
      </c>
      <c r="C2859" s="190">
        <f t="shared" si="407"/>
        <v>42521</v>
      </c>
      <c r="D2859" s="856" t="s">
        <v>1662</v>
      </c>
      <c r="E2859" s="48">
        <v>42521</v>
      </c>
      <c r="F2859" s="857" t="s">
        <v>712</v>
      </c>
      <c r="G2859" s="858" t="s">
        <v>697</v>
      </c>
      <c r="H2859" s="859" t="s">
        <v>1310</v>
      </c>
      <c r="I2859" s="251">
        <v>12</v>
      </c>
      <c r="J2859" s="251">
        <v>21128</v>
      </c>
      <c r="K2859" s="860">
        <f t="shared" si="408"/>
        <v>253536</v>
      </c>
      <c r="L2859" s="861" t="s">
        <v>162</v>
      </c>
      <c r="M2859" s="861" t="s">
        <v>857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52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>632</v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826"/>
    </row>
    <row r="2860" spans="1:27" ht="15.75" customHeight="1">
      <c r="A2860" s="827" t="str">
        <f>IF(B2860&lt;&gt;"",IF(AND(B2860&gt;=_TM1,B2860&lt;=_TM2,OR(TH!L2860="1111",TH!M2860="1111")),TH!D2860,""),"")</f>
        <v/>
      </c>
      <c r="B2860" s="36">
        <f t="shared" si="409"/>
        <v>5</v>
      </c>
      <c r="C2860" s="190">
        <f t="shared" si="407"/>
        <v>42521</v>
      </c>
      <c r="D2860" s="856" t="s">
        <v>1662</v>
      </c>
      <c r="E2860" s="48">
        <v>42521</v>
      </c>
      <c r="F2860" s="857" t="s">
        <v>556</v>
      </c>
      <c r="G2860" s="858" t="s">
        <v>697</v>
      </c>
      <c r="H2860" s="859" t="s">
        <v>1310</v>
      </c>
      <c r="I2860" s="251">
        <v>12</v>
      </c>
      <c r="J2860" s="251">
        <v>20597</v>
      </c>
      <c r="K2860" s="860">
        <f t="shared" si="408"/>
        <v>247164</v>
      </c>
      <c r="L2860" s="861" t="s">
        <v>162</v>
      </c>
      <c r="M2860" s="861" t="s">
        <v>857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52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>632</v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826"/>
    </row>
    <row r="2861" spans="1:27" ht="15.75" customHeight="1">
      <c r="A2861" s="827" t="str">
        <f>IF(B2861&lt;&gt;"",IF(AND(B2861&gt;=_TM1,B2861&lt;=_TM2,OR(TH!L2861="1111",TH!M2861="1111")),TH!D2861,""),"")</f>
        <v/>
      </c>
      <c r="B2861" s="36">
        <f t="shared" si="409"/>
        <v>5</v>
      </c>
      <c r="C2861" s="190">
        <f t="shared" si="407"/>
        <v>42521</v>
      </c>
      <c r="D2861" s="856" t="s">
        <v>1662</v>
      </c>
      <c r="E2861" s="856">
        <v>42521</v>
      </c>
      <c r="F2861" s="857" t="s">
        <v>556</v>
      </c>
      <c r="G2861" s="858" t="s">
        <v>697</v>
      </c>
      <c r="H2861" s="859" t="s">
        <v>1310</v>
      </c>
      <c r="I2861" s="251">
        <v>12</v>
      </c>
      <c r="J2861" s="251">
        <v>21084.3</v>
      </c>
      <c r="K2861" s="860">
        <f t="shared" si="408"/>
        <v>253012</v>
      </c>
      <c r="L2861" s="861" t="s">
        <v>162</v>
      </c>
      <c r="M2861" s="861" t="s">
        <v>857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52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>632</v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826"/>
    </row>
    <row r="2862" spans="1:27" ht="15.75" customHeight="1">
      <c r="A2862" s="827" t="str">
        <f>IF(B2862&lt;&gt;"",IF(AND(B2862&gt;=_TM1,B2862&lt;=_TM2,OR(TH!L2862="1111",TH!M2862="1111")),TH!D2862,""),"")</f>
        <v/>
      </c>
      <c r="B2862" s="36">
        <f t="shared" si="409"/>
        <v>5</v>
      </c>
      <c r="C2862" s="190">
        <f t="shared" si="407"/>
        <v>42521</v>
      </c>
      <c r="D2862" s="856" t="s">
        <v>1662</v>
      </c>
      <c r="E2862" s="856">
        <v>42521</v>
      </c>
      <c r="F2862" s="857" t="s">
        <v>552</v>
      </c>
      <c r="G2862" s="858" t="s">
        <v>697</v>
      </c>
      <c r="H2862" s="859" t="s">
        <v>1310</v>
      </c>
      <c r="I2862" s="251">
        <v>12</v>
      </c>
      <c r="J2862" s="251">
        <v>36365</v>
      </c>
      <c r="K2862" s="860">
        <f t="shared" si="408"/>
        <v>436380</v>
      </c>
      <c r="L2862" s="861" t="s">
        <v>162</v>
      </c>
      <c r="M2862" s="861" t="s">
        <v>857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52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>632</v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826"/>
    </row>
    <row r="2863" spans="1:27" ht="15.75" customHeight="1">
      <c r="A2863" s="827" t="str">
        <f>IF(B2863&lt;&gt;"",IF(AND(B2863&gt;=_TM1,B2863&lt;=_TM2,OR(TH!L2863="1111",TH!M2863="1111")),TH!D2863,""),"")</f>
        <v/>
      </c>
      <c r="B2863" s="36">
        <f t="shared" si="409"/>
        <v>5</v>
      </c>
      <c r="C2863" s="190">
        <f t="shared" si="407"/>
        <v>42521</v>
      </c>
      <c r="D2863" s="856" t="s">
        <v>1662</v>
      </c>
      <c r="E2863" s="856">
        <v>42521</v>
      </c>
      <c r="F2863" s="857" t="s">
        <v>552</v>
      </c>
      <c r="G2863" s="858" t="s">
        <v>697</v>
      </c>
      <c r="H2863" s="859" t="s">
        <v>1310</v>
      </c>
      <c r="I2863" s="251">
        <v>36</v>
      </c>
      <c r="J2863" s="251">
        <v>32901.35</v>
      </c>
      <c r="K2863" s="860">
        <f t="shared" si="408"/>
        <v>1184449</v>
      </c>
      <c r="L2863" s="861" t="s">
        <v>162</v>
      </c>
      <c r="M2863" s="861" t="s">
        <v>857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52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>632</v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826"/>
    </row>
    <row r="2864" spans="1:27" ht="15.75" customHeight="1">
      <c r="A2864" s="827" t="str">
        <f>IF(B2864&lt;&gt;"",IF(AND(B2864&gt;=_TM1,B2864&lt;=_TM2,OR(TH!L2864="1111",TH!M2864="1111")),TH!D2864,""),"")</f>
        <v/>
      </c>
      <c r="B2864" s="36">
        <f t="shared" si="409"/>
        <v>5</v>
      </c>
      <c r="C2864" s="190">
        <f t="shared" si="407"/>
        <v>42521</v>
      </c>
      <c r="D2864" s="856" t="s">
        <v>1662</v>
      </c>
      <c r="E2864" s="856">
        <v>42521</v>
      </c>
      <c r="F2864" s="857" t="s">
        <v>552</v>
      </c>
      <c r="G2864" s="858" t="s">
        <v>697</v>
      </c>
      <c r="H2864" s="859" t="s">
        <v>1310</v>
      </c>
      <c r="I2864" s="251">
        <v>12</v>
      </c>
      <c r="J2864" s="251">
        <v>36365.050000000003</v>
      </c>
      <c r="K2864" s="860">
        <f t="shared" si="408"/>
        <v>436381</v>
      </c>
      <c r="L2864" s="861" t="s">
        <v>162</v>
      </c>
      <c r="M2864" s="861" t="s">
        <v>857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52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>632</v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826"/>
    </row>
    <row r="2865" spans="1:27" ht="15.75" customHeight="1">
      <c r="A2865" s="827" t="str">
        <f>IF(B2865&lt;&gt;"",IF(AND(B2865&gt;=_TM1,B2865&lt;=_TM2,OR(TH!L2865="1111",TH!M2865="1111")),TH!D2865,""),"")</f>
        <v/>
      </c>
      <c r="B2865" s="36">
        <f t="shared" si="409"/>
        <v>5</v>
      </c>
      <c r="C2865" s="190">
        <f t="shared" si="407"/>
        <v>42521</v>
      </c>
      <c r="D2865" s="856" t="s">
        <v>1662</v>
      </c>
      <c r="E2865" s="856">
        <v>42521</v>
      </c>
      <c r="F2865" s="857" t="s">
        <v>560</v>
      </c>
      <c r="G2865" s="858" t="s">
        <v>697</v>
      </c>
      <c r="H2865" s="859" t="s">
        <v>1310</v>
      </c>
      <c r="I2865" s="251">
        <v>36</v>
      </c>
      <c r="J2865" s="251">
        <v>35369.305555555555</v>
      </c>
      <c r="K2865" s="860">
        <f t="shared" si="408"/>
        <v>1273295</v>
      </c>
      <c r="L2865" s="861" t="s">
        <v>162</v>
      </c>
      <c r="M2865" s="861" t="s">
        <v>857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52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>632</v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826"/>
    </row>
    <row r="2866" spans="1:27" ht="15.75" customHeight="1">
      <c r="A2866" s="827" t="str">
        <f>IF(B2866&lt;&gt;"",IF(AND(B2866&gt;=_TM1,B2866&lt;=_TM2,OR(TH!L2866="1111",TH!M2866="1111")),TH!D2866,""),"")</f>
        <v/>
      </c>
      <c r="B2866" s="36">
        <f t="shared" si="409"/>
        <v>5</v>
      </c>
      <c r="C2866" s="190">
        <f t="shared" si="407"/>
        <v>42521</v>
      </c>
      <c r="D2866" s="856" t="s">
        <v>1662</v>
      </c>
      <c r="E2866" s="856">
        <v>42521</v>
      </c>
      <c r="F2866" s="857" t="s">
        <v>704</v>
      </c>
      <c r="G2866" s="858" t="s">
        <v>697</v>
      </c>
      <c r="H2866" s="859" t="s">
        <v>1310</v>
      </c>
      <c r="I2866" s="251">
        <v>18</v>
      </c>
      <c r="J2866" s="251">
        <v>34295</v>
      </c>
      <c r="K2866" s="860">
        <f t="shared" si="408"/>
        <v>617310</v>
      </c>
      <c r="L2866" s="861" t="s">
        <v>162</v>
      </c>
      <c r="M2866" s="861" t="s">
        <v>857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52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>632</v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826"/>
    </row>
    <row r="2867" spans="1:27" ht="15.75" customHeight="1">
      <c r="A2867" s="827" t="str">
        <f>IF(B2867&lt;&gt;"",IF(AND(B2867&gt;=_TM1,B2867&lt;=_TM2,OR(TH!L2867="1111",TH!M2867="1111")),TH!D2867,""),"")</f>
        <v/>
      </c>
      <c r="B2867" s="36">
        <f t="shared" si="409"/>
        <v>5</v>
      </c>
      <c r="C2867" s="190">
        <f t="shared" si="407"/>
        <v>42521</v>
      </c>
      <c r="D2867" s="856" t="s">
        <v>1662</v>
      </c>
      <c r="E2867" s="856">
        <v>42521</v>
      </c>
      <c r="F2867" s="857" t="s">
        <v>719</v>
      </c>
      <c r="G2867" s="858" t="s">
        <v>697</v>
      </c>
      <c r="H2867" s="859" t="s">
        <v>1310</v>
      </c>
      <c r="I2867" s="251">
        <v>12</v>
      </c>
      <c r="J2867" s="251">
        <v>39800.25</v>
      </c>
      <c r="K2867" s="860">
        <f t="shared" si="408"/>
        <v>477603</v>
      </c>
      <c r="L2867" s="861" t="s">
        <v>162</v>
      </c>
      <c r="M2867" s="861" t="s">
        <v>857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52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>632</v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826"/>
    </row>
    <row r="2868" spans="1:27" ht="15.75" customHeight="1">
      <c r="A2868" s="827" t="str">
        <f>IF(B2868&lt;&gt;"",IF(AND(B2868&gt;=_TM1,B2868&lt;=_TM2,OR(TH!L2868="1111",TH!M2868="1111")),TH!D2868,""),"")</f>
        <v/>
      </c>
      <c r="B2868" s="36">
        <f t="shared" si="409"/>
        <v>5</v>
      </c>
      <c r="C2868" s="190">
        <f t="shared" si="407"/>
        <v>42521</v>
      </c>
      <c r="D2868" s="856" t="s">
        <v>1662</v>
      </c>
      <c r="E2868" s="856">
        <v>42521</v>
      </c>
      <c r="F2868" s="857" t="s">
        <v>718</v>
      </c>
      <c r="G2868" s="858" t="s">
        <v>697</v>
      </c>
      <c r="H2868" s="859" t="s">
        <v>1310</v>
      </c>
      <c r="I2868" s="251">
        <v>10</v>
      </c>
      <c r="J2868" s="251">
        <v>43590.8</v>
      </c>
      <c r="K2868" s="860">
        <f t="shared" si="408"/>
        <v>435908</v>
      </c>
      <c r="L2868" s="861" t="s">
        <v>162</v>
      </c>
      <c r="M2868" s="861" t="s">
        <v>857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52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>632</v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826"/>
    </row>
    <row r="2869" spans="1:27" ht="15.75" customHeight="1">
      <c r="A2869" s="827" t="str">
        <f>IF(B2869&lt;&gt;"",IF(AND(B2869&gt;=_TM1,B2869&lt;=_TM2,OR(TH!L2869="1111",TH!M2869="1111")),TH!D2869,""),"")</f>
        <v/>
      </c>
      <c r="B2869" s="36">
        <f t="shared" si="409"/>
        <v>5</v>
      </c>
      <c r="C2869" s="190">
        <f t="shared" si="407"/>
        <v>42521</v>
      </c>
      <c r="D2869" s="856" t="s">
        <v>1662</v>
      </c>
      <c r="E2869" s="856">
        <v>42521</v>
      </c>
      <c r="F2869" s="857" t="s">
        <v>703</v>
      </c>
      <c r="G2869" s="858" t="s">
        <v>697</v>
      </c>
      <c r="H2869" s="859" t="s">
        <v>1310</v>
      </c>
      <c r="I2869" s="251">
        <v>24</v>
      </c>
      <c r="J2869" s="251">
        <v>43554.65</v>
      </c>
      <c r="K2869" s="860">
        <f t="shared" si="408"/>
        <v>1045312</v>
      </c>
      <c r="L2869" s="861" t="s">
        <v>162</v>
      </c>
      <c r="M2869" s="861" t="s">
        <v>857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52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>632</v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826"/>
    </row>
    <row r="2870" spans="1:27" ht="15.75" customHeight="1">
      <c r="A2870" s="827" t="str">
        <f>IF(B2870&lt;&gt;"",IF(AND(B2870&gt;=_TM1,B2870&lt;=_TM2,OR(TH!L2870="1111",TH!M2870="1111")),TH!D2870,""),"")</f>
        <v/>
      </c>
      <c r="B2870" s="36">
        <f t="shared" si="409"/>
        <v>5</v>
      </c>
      <c r="C2870" s="190">
        <f t="shared" si="407"/>
        <v>42521</v>
      </c>
      <c r="D2870" s="856" t="s">
        <v>1662</v>
      </c>
      <c r="E2870" s="856">
        <v>42521</v>
      </c>
      <c r="F2870" s="857" t="s">
        <v>492</v>
      </c>
      <c r="G2870" s="858" t="s">
        <v>697</v>
      </c>
      <c r="H2870" s="859" t="s">
        <v>1310</v>
      </c>
      <c r="I2870" s="251">
        <v>12</v>
      </c>
      <c r="J2870" s="251">
        <v>38124</v>
      </c>
      <c r="K2870" s="860">
        <f t="shared" si="408"/>
        <v>457488</v>
      </c>
      <c r="L2870" s="861" t="s">
        <v>162</v>
      </c>
      <c r="M2870" s="861" t="s">
        <v>857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52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>632</v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826"/>
    </row>
    <row r="2871" spans="1:27" ht="15.75" customHeight="1">
      <c r="A2871" s="827" t="str">
        <f>IF(B2871&lt;&gt;"",IF(AND(B2871&gt;=_TM1,B2871&lt;=_TM2,OR(TH!L2871="1111",TH!M2871="1111")),TH!D2871,""),"")</f>
        <v/>
      </c>
      <c r="B2871" s="36">
        <f t="shared" si="409"/>
        <v>5</v>
      </c>
      <c r="C2871" s="190">
        <f t="shared" si="407"/>
        <v>42521</v>
      </c>
      <c r="D2871" s="856" t="s">
        <v>1662</v>
      </c>
      <c r="E2871" s="856">
        <v>42521</v>
      </c>
      <c r="F2871" s="857" t="s">
        <v>505</v>
      </c>
      <c r="G2871" s="858" t="s">
        <v>697</v>
      </c>
      <c r="H2871" s="859" t="s">
        <v>1310</v>
      </c>
      <c r="I2871" s="251">
        <v>10</v>
      </c>
      <c r="J2871" s="251">
        <v>39302</v>
      </c>
      <c r="K2871" s="860">
        <f t="shared" si="408"/>
        <v>393020</v>
      </c>
      <c r="L2871" s="861" t="s">
        <v>162</v>
      </c>
      <c r="M2871" s="861" t="s">
        <v>857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52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>632</v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826"/>
    </row>
    <row r="2872" spans="1:27" ht="15.75" customHeight="1">
      <c r="A2872" s="827" t="str">
        <f>IF(B2872&lt;&gt;"",IF(AND(B2872&gt;=_TM1,B2872&lt;=_TM2,OR(TH!L2872="1111",TH!M2872="1111")),TH!D2872,""),"")</f>
        <v/>
      </c>
      <c r="B2872" s="36">
        <f t="shared" si="409"/>
        <v>5</v>
      </c>
      <c r="C2872" s="190">
        <f t="shared" si="407"/>
        <v>42521</v>
      </c>
      <c r="D2872" s="856" t="s">
        <v>1662</v>
      </c>
      <c r="E2872" s="48">
        <v>42521</v>
      </c>
      <c r="F2872" s="866" t="s">
        <v>514</v>
      </c>
      <c r="G2872" s="831" t="s">
        <v>697</v>
      </c>
      <c r="H2872" s="859" t="s">
        <v>1310</v>
      </c>
      <c r="I2872" s="251">
        <v>15</v>
      </c>
      <c r="J2872" s="251">
        <v>28428</v>
      </c>
      <c r="K2872" s="860">
        <f t="shared" si="408"/>
        <v>426420</v>
      </c>
      <c r="L2872" s="861" t="s">
        <v>162</v>
      </c>
      <c r="M2872" s="861" t="s">
        <v>857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52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>632</v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826"/>
    </row>
    <row r="2873" spans="1:27" ht="15.75" customHeight="1">
      <c r="A2873" s="827" t="str">
        <f>IF(B2873&lt;&gt;"",IF(AND(B2873&gt;=_TM1,B2873&lt;=_TM2,OR(TH!L2873="1111",TH!M2873="1111")),TH!D2873,""),"")</f>
        <v/>
      </c>
      <c r="B2873" s="36">
        <f t="shared" si="409"/>
        <v>5</v>
      </c>
      <c r="C2873" s="190">
        <f t="shared" si="407"/>
        <v>42521</v>
      </c>
      <c r="D2873" s="856" t="s">
        <v>1662</v>
      </c>
      <c r="E2873" s="48">
        <v>42521</v>
      </c>
      <c r="F2873" s="866" t="s">
        <v>514</v>
      </c>
      <c r="G2873" s="831" t="s">
        <v>697</v>
      </c>
      <c r="H2873" s="859" t="s">
        <v>1310</v>
      </c>
      <c r="I2873" s="251">
        <v>12</v>
      </c>
      <c r="J2873" s="251">
        <v>29099.45</v>
      </c>
      <c r="K2873" s="860">
        <f t="shared" si="408"/>
        <v>349193</v>
      </c>
      <c r="L2873" s="861" t="s">
        <v>162</v>
      </c>
      <c r="M2873" s="861" t="s">
        <v>857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52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>632</v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826"/>
    </row>
    <row r="2874" spans="1:27" ht="15.75" customHeight="1">
      <c r="A2874" s="827" t="str">
        <f>IF(B2874&lt;&gt;"",IF(AND(B2874&gt;=_TM1,B2874&lt;=_TM2,OR(TH!L2874="1111",TH!M2874="1111")),TH!D2874,""),"")</f>
        <v/>
      </c>
      <c r="B2874" s="36">
        <f t="shared" si="409"/>
        <v>5</v>
      </c>
      <c r="C2874" s="190">
        <f t="shared" si="407"/>
        <v>42521</v>
      </c>
      <c r="D2874" s="856" t="s">
        <v>1662</v>
      </c>
      <c r="E2874" s="48">
        <v>42521</v>
      </c>
      <c r="F2874" s="866" t="s">
        <v>553</v>
      </c>
      <c r="G2874" s="831" t="s">
        <v>697</v>
      </c>
      <c r="H2874" s="859" t="s">
        <v>1310</v>
      </c>
      <c r="I2874" s="251">
        <v>36</v>
      </c>
      <c r="J2874" s="251">
        <v>37225</v>
      </c>
      <c r="K2874" s="860">
        <f t="shared" si="408"/>
        <v>1340100</v>
      </c>
      <c r="L2874" s="861" t="s">
        <v>162</v>
      </c>
      <c r="M2874" s="861" t="s">
        <v>857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52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>632</v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826"/>
    </row>
    <row r="2875" spans="1:27" ht="15.75" customHeight="1">
      <c r="A2875" s="827" t="str">
        <f>IF(B2875&lt;&gt;"",IF(AND(B2875&gt;=_TM1,B2875&lt;=_TM2,OR(TH!L2875="1111",TH!M2875="1111")),TH!D2875,""),"")</f>
        <v/>
      </c>
      <c r="B2875" s="36">
        <f t="shared" si="409"/>
        <v>5</v>
      </c>
      <c r="C2875" s="190">
        <f t="shared" si="407"/>
        <v>42521</v>
      </c>
      <c r="D2875" s="856" t="s">
        <v>1662</v>
      </c>
      <c r="E2875" s="48">
        <v>42521</v>
      </c>
      <c r="F2875" s="866" t="s">
        <v>553</v>
      </c>
      <c r="G2875" s="831" t="s">
        <v>697</v>
      </c>
      <c r="H2875" s="859" t="s">
        <v>1310</v>
      </c>
      <c r="I2875" s="251">
        <v>48</v>
      </c>
      <c r="J2875" s="251">
        <v>37190.6</v>
      </c>
      <c r="K2875" s="860">
        <f t="shared" si="408"/>
        <v>1785149</v>
      </c>
      <c r="L2875" s="861" t="s">
        <v>162</v>
      </c>
      <c r="M2875" s="861" t="s">
        <v>857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52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>632</v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826"/>
    </row>
    <row r="2876" spans="1:27" ht="15.75" customHeight="1">
      <c r="A2876" s="827" t="str">
        <f>IF(B2876&lt;&gt;"",IF(AND(B2876&gt;=_TM1,B2876&lt;=_TM2,OR(TH!L2876="1111",TH!M2876="1111")),TH!D2876,""),"")</f>
        <v/>
      </c>
      <c r="B2876" s="36">
        <f t="shared" si="409"/>
        <v>5</v>
      </c>
      <c r="C2876" s="190">
        <f t="shared" si="407"/>
        <v>42521</v>
      </c>
      <c r="D2876" s="856" t="s">
        <v>1662</v>
      </c>
      <c r="E2876" s="48">
        <v>42521</v>
      </c>
      <c r="F2876" s="857" t="s">
        <v>576</v>
      </c>
      <c r="G2876" s="831" t="s">
        <v>697</v>
      </c>
      <c r="H2876" s="859" t="s">
        <v>1310</v>
      </c>
      <c r="I2876" s="251">
        <v>94</v>
      </c>
      <c r="J2876" s="251">
        <v>50135</v>
      </c>
      <c r="K2876" s="860">
        <f t="shared" si="408"/>
        <v>4712690</v>
      </c>
      <c r="L2876" s="861" t="s">
        <v>162</v>
      </c>
      <c r="M2876" s="861" t="s">
        <v>857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52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>632</v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826"/>
    </row>
    <row r="2877" spans="1:27" ht="15.75" customHeight="1">
      <c r="A2877" s="827" t="str">
        <f>IF(B2877&lt;&gt;"",IF(AND(B2877&gt;=_TM1,B2877&lt;=_TM2,OR(TH!L2877="1111",TH!M2877="1111")),TH!D2877,""),"")</f>
        <v/>
      </c>
      <c r="B2877" s="36">
        <f t="shared" si="409"/>
        <v>5</v>
      </c>
      <c r="C2877" s="190">
        <f t="shared" si="407"/>
        <v>42521</v>
      </c>
      <c r="D2877" s="856" t="s">
        <v>1662</v>
      </c>
      <c r="E2877" s="48">
        <v>42521</v>
      </c>
      <c r="F2877" s="866" t="s">
        <v>523</v>
      </c>
      <c r="G2877" s="831" t="s">
        <v>697</v>
      </c>
      <c r="H2877" s="859" t="s">
        <v>1310</v>
      </c>
      <c r="I2877" s="251">
        <v>32</v>
      </c>
      <c r="J2877" s="251">
        <v>28012</v>
      </c>
      <c r="K2877" s="860">
        <f t="shared" si="408"/>
        <v>896384</v>
      </c>
      <c r="L2877" s="861" t="s">
        <v>162</v>
      </c>
      <c r="M2877" s="861" t="s">
        <v>857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52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>632</v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826"/>
    </row>
    <row r="2878" spans="1:27" ht="15.75" customHeight="1">
      <c r="A2878" s="827" t="str">
        <f>IF(B2878&lt;&gt;"",IF(AND(B2878&gt;=_TM1,B2878&lt;=_TM2,OR(TH!L2878="1111",TH!M2878="1111")),TH!D2878,""),"")</f>
        <v/>
      </c>
      <c r="B2878" s="36">
        <f t="shared" si="409"/>
        <v>5</v>
      </c>
      <c r="C2878" s="190">
        <f t="shared" si="407"/>
        <v>42521</v>
      </c>
      <c r="D2878" s="856" t="s">
        <v>1662</v>
      </c>
      <c r="E2878" s="48">
        <v>42521</v>
      </c>
      <c r="F2878" s="866" t="s">
        <v>529</v>
      </c>
      <c r="G2878" s="831" t="s">
        <v>697</v>
      </c>
      <c r="H2878" s="859" t="s">
        <v>1310</v>
      </c>
      <c r="I2878" s="251">
        <v>10</v>
      </c>
      <c r="J2878" s="251">
        <v>16692</v>
      </c>
      <c r="K2878" s="860">
        <f t="shared" si="408"/>
        <v>166920</v>
      </c>
      <c r="L2878" s="861" t="s">
        <v>162</v>
      </c>
      <c r="M2878" s="861" t="s">
        <v>857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52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>632</v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826"/>
    </row>
    <row r="2879" spans="1:27" ht="15.75" customHeight="1">
      <c r="A2879" s="827" t="str">
        <f>IF(B2879&lt;&gt;"",IF(AND(B2879&gt;=_TM1,B2879&lt;=_TM2,OR(TH!L2879="1111",TH!M2879="1111")),TH!D2879,""),"")</f>
        <v/>
      </c>
      <c r="B2879" s="36">
        <f t="shared" si="409"/>
        <v>5</v>
      </c>
      <c r="C2879" s="190">
        <f t="shared" si="407"/>
        <v>42521</v>
      </c>
      <c r="D2879" s="856" t="s">
        <v>1662</v>
      </c>
      <c r="E2879" s="48">
        <v>42521</v>
      </c>
      <c r="F2879" s="866" t="s">
        <v>713</v>
      </c>
      <c r="G2879" s="831" t="s">
        <v>697</v>
      </c>
      <c r="H2879" s="859" t="s">
        <v>1310</v>
      </c>
      <c r="I2879" s="251">
        <v>24</v>
      </c>
      <c r="J2879" s="251">
        <v>8923.3333333333339</v>
      </c>
      <c r="K2879" s="860">
        <f t="shared" si="408"/>
        <v>214160</v>
      </c>
      <c r="L2879" s="861" t="s">
        <v>162</v>
      </c>
      <c r="M2879" s="861" t="s">
        <v>857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52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>632</v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826"/>
    </row>
    <row r="2880" spans="1:27" ht="15.75" customHeight="1">
      <c r="A2880" s="827" t="str">
        <f>IF(B2880&lt;&gt;"",IF(AND(B2880&gt;=_TM1,B2880&lt;=_TM2,OR(TH!L2880="1111",TH!M2880="1111")),TH!D2880,""),"")</f>
        <v/>
      </c>
      <c r="B2880" s="36">
        <f t="shared" si="409"/>
        <v>5</v>
      </c>
      <c r="C2880" s="190">
        <f t="shared" si="407"/>
        <v>42521</v>
      </c>
      <c r="D2880" s="856" t="s">
        <v>1662</v>
      </c>
      <c r="E2880" s="48">
        <v>42521</v>
      </c>
      <c r="F2880" s="866" t="s">
        <v>724</v>
      </c>
      <c r="G2880" s="831" t="s">
        <v>697</v>
      </c>
      <c r="H2880" s="859" t="s">
        <v>1310</v>
      </c>
      <c r="I2880" s="251">
        <v>50</v>
      </c>
      <c r="J2880" s="251">
        <v>23782.3</v>
      </c>
      <c r="K2880" s="860">
        <f t="shared" si="408"/>
        <v>1189115</v>
      </c>
      <c r="L2880" s="861" t="s">
        <v>162</v>
      </c>
      <c r="M2880" s="861" t="s">
        <v>857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52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>632</v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826"/>
    </row>
    <row r="2881" spans="1:27" ht="15.75" customHeight="1">
      <c r="A2881" s="827" t="str">
        <f>IF(B2881&lt;&gt;"",IF(AND(B2881&gt;=_TM1,B2881&lt;=_TM2,OR(TH!L2881="1111",TH!M2881="1111")),TH!D2881,""),"")</f>
        <v/>
      </c>
      <c r="B2881" s="36">
        <f t="shared" si="409"/>
        <v>5</v>
      </c>
      <c r="C2881" s="190">
        <f t="shared" si="407"/>
        <v>42521</v>
      </c>
      <c r="D2881" s="856" t="s">
        <v>1662</v>
      </c>
      <c r="E2881" s="48">
        <v>42521</v>
      </c>
      <c r="F2881" s="866" t="s">
        <v>485</v>
      </c>
      <c r="G2881" s="831" t="s">
        <v>697</v>
      </c>
      <c r="H2881" s="859" t="s">
        <v>1310</v>
      </c>
      <c r="I2881" s="251">
        <v>12</v>
      </c>
      <c r="J2881" s="251">
        <v>43591</v>
      </c>
      <c r="K2881" s="860">
        <f t="shared" si="408"/>
        <v>523092</v>
      </c>
      <c r="L2881" s="861" t="s">
        <v>162</v>
      </c>
      <c r="M2881" s="861" t="s">
        <v>857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52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>632</v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826"/>
    </row>
    <row r="2882" spans="1:27" ht="15.75" customHeight="1">
      <c r="A2882" s="827" t="str">
        <f>IF(B2882&lt;&gt;"",IF(AND(B2882&gt;=_TM1,B2882&lt;=_TM2,OR(TH!L2882="1111",TH!M2882="1111")),TH!D2882,""),"")</f>
        <v/>
      </c>
      <c r="B2882" s="36">
        <f t="shared" si="409"/>
        <v>5</v>
      </c>
      <c r="C2882" s="190">
        <f t="shared" si="407"/>
        <v>42521</v>
      </c>
      <c r="D2882" s="856" t="s">
        <v>1662</v>
      </c>
      <c r="E2882" s="48">
        <v>42521</v>
      </c>
      <c r="F2882" s="857" t="s">
        <v>559</v>
      </c>
      <c r="G2882" s="858" t="s">
        <v>697</v>
      </c>
      <c r="H2882" s="859" t="s">
        <v>1310</v>
      </c>
      <c r="I2882" s="251">
        <v>48</v>
      </c>
      <c r="J2882" s="251">
        <v>45873.791666666664</v>
      </c>
      <c r="K2882" s="860">
        <f t="shared" si="408"/>
        <v>2201942</v>
      </c>
      <c r="L2882" s="861" t="s">
        <v>162</v>
      </c>
      <c r="M2882" s="861" t="s">
        <v>857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52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>632</v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826"/>
    </row>
    <row r="2883" spans="1:27" ht="15.75" customHeight="1">
      <c r="A2883" s="827" t="str">
        <f>IF(B2883&lt;&gt;"",IF(AND(B2883&gt;=_TM1,B2883&lt;=_TM2,OR(TH!L2883="1111",TH!M2883="1111")),TH!D2883,""),"")</f>
        <v/>
      </c>
      <c r="B2883" s="36">
        <f t="shared" si="409"/>
        <v>5</v>
      </c>
      <c r="C2883" s="190">
        <f t="shared" si="407"/>
        <v>42521</v>
      </c>
      <c r="D2883" s="856" t="s">
        <v>1662</v>
      </c>
      <c r="E2883" s="48">
        <v>42521</v>
      </c>
      <c r="F2883" s="857" t="s">
        <v>535</v>
      </c>
      <c r="G2883" s="858" t="s">
        <v>697</v>
      </c>
      <c r="H2883" s="859" t="s">
        <v>1310</v>
      </c>
      <c r="I2883" s="251">
        <v>24</v>
      </c>
      <c r="J2883" s="251">
        <v>44421.05</v>
      </c>
      <c r="K2883" s="860">
        <f t="shared" si="408"/>
        <v>1066105</v>
      </c>
      <c r="L2883" s="861" t="s">
        <v>162</v>
      </c>
      <c r="M2883" s="861" t="s">
        <v>857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52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>632</v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826"/>
    </row>
    <row r="2884" spans="1:27" ht="15.75" customHeight="1">
      <c r="A2884" s="827" t="str">
        <f>IF(B2884&lt;&gt;"",IF(AND(B2884&gt;=_TM1,B2884&lt;=_TM2,OR(TH!L2884="1111",TH!M2884="1111")),TH!D2884,""),"")</f>
        <v/>
      </c>
      <c r="B2884" s="36">
        <f t="shared" si="409"/>
        <v>5</v>
      </c>
      <c r="C2884" s="190">
        <f t="shared" si="407"/>
        <v>42521</v>
      </c>
      <c r="D2884" s="856" t="s">
        <v>1662</v>
      </c>
      <c r="E2884" s="48">
        <v>42521</v>
      </c>
      <c r="F2884" s="857" t="s">
        <v>501</v>
      </c>
      <c r="G2884" s="858" t="s">
        <v>697</v>
      </c>
      <c r="H2884" s="859" t="s">
        <v>1310</v>
      </c>
      <c r="I2884" s="251">
        <v>93</v>
      </c>
      <c r="J2884" s="251">
        <v>46911.946236559139</v>
      </c>
      <c r="K2884" s="860">
        <f t="shared" si="408"/>
        <v>4362811</v>
      </c>
      <c r="L2884" s="861" t="s">
        <v>162</v>
      </c>
      <c r="M2884" s="861" t="s">
        <v>857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52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>632</v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826"/>
    </row>
    <row r="2885" spans="1:27" ht="15.75" customHeight="1">
      <c r="A2885" s="827" t="str">
        <f>IF(B2885&lt;&gt;"",IF(AND(B2885&gt;=_TM1,B2885&lt;=_TM2,OR(TH!L2885="1111",TH!M2885="1111")),TH!D2885,""),"")</f>
        <v/>
      </c>
      <c r="B2885" s="36">
        <f t="shared" si="409"/>
        <v>5</v>
      </c>
      <c r="C2885" s="190">
        <f t="shared" si="407"/>
        <v>42521</v>
      </c>
      <c r="D2885" s="856" t="s">
        <v>1662</v>
      </c>
      <c r="E2885" s="48">
        <v>42521</v>
      </c>
      <c r="F2885" s="857" t="s">
        <v>708</v>
      </c>
      <c r="G2885" s="858" t="s">
        <v>697</v>
      </c>
      <c r="H2885" s="859" t="s">
        <v>1310</v>
      </c>
      <c r="I2885" s="251">
        <v>24</v>
      </c>
      <c r="J2885" s="251">
        <v>48572.55</v>
      </c>
      <c r="K2885" s="860">
        <f t="shared" si="408"/>
        <v>1165741</v>
      </c>
      <c r="L2885" s="861" t="s">
        <v>162</v>
      </c>
      <c r="M2885" s="861" t="s">
        <v>857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52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>632</v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826"/>
    </row>
    <row r="2886" spans="1:27" ht="15.75" customHeight="1">
      <c r="A2886" s="827" t="str">
        <f>IF(B2886&lt;&gt;"",IF(AND(B2886&gt;=_TM1,B2886&lt;=_TM2,OR(TH!L2886="1111",TH!M2886="1111")),TH!D2886,""),"")</f>
        <v/>
      </c>
      <c r="B2886" s="36">
        <f t="shared" si="409"/>
        <v>5</v>
      </c>
      <c r="C2886" s="190">
        <f t="shared" si="407"/>
        <v>42521</v>
      </c>
      <c r="D2886" s="856" t="s">
        <v>1662</v>
      </c>
      <c r="E2886" s="48">
        <v>42521</v>
      </c>
      <c r="F2886" s="857" t="s">
        <v>705</v>
      </c>
      <c r="G2886" s="858" t="s">
        <v>697</v>
      </c>
      <c r="H2886" s="859" t="s">
        <v>1310</v>
      </c>
      <c r="I2886" s="251">
        <v>24</v>
      </c>
      <c r="J2886" s="251">
        <v>56045.25</v>
      </c>
      <c r="K2886" s="860">
        <f t="shared" si="408"/>
        <v>1345086</v>
      </c>
      <c r="L2886" s="861" t="s">
        <v>162</v>
      </c>
      <c r="M2886" s="861" t="s">
        <v>857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52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>632</v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826"/>
    </row>
    <row r="2887" spans="1:27" ht="15.75" customHeight="1">
      <c r="A2887" s="827" t="str">
        <f>IF(B2887&lt;&gt;"",IF(AND(B2887&gt;=_TM1,B2887&lt;=_TM2,OR(TH!L2887="1111",TH!M2887="1111")),TH!D2887,""),"")</f>
        <v/>
      </c>
      <c r="B2887" s="36">
        <f t="shared" si="409"/>
        <v>5</v>
      </c>
      <c r="C2887" s="190">
        <f t="shared" si="407"/>
        <v>42521</v>
      </c>
      <c r="D2887" s="856" t="s">
        <v>1662</v>
      </c>
      <c r="E2887" s="48">
        <v>42521</v>
      </c>
      <c r="F2887" s="857" t="s">
        <v>562</v>
      </c>
      <c r="G2887" s="858" t="s">
        <v>697</v>
      </c>
      <c r="H2887" s="859" t="s">
        <v>1310</v>
      </c>
      <c r="I2887" s="251">
        <v>72</v>
      </c>
      <c r="J2887" s="251">
        <v>12654</v>
      </c>
      <c r="K2887" s="860">
        <f t="shared" si="408"/>
        <v>911088</v>
      </c>
      <c r="L2887" s="861" t="s">
        <v>162</v>
      </c>
      <c r="M2887" s="861" t="s">
        <v>857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52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>632</v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826"/>
    </row>
    <row r="2888" spans="1:27" ht="15.75" customHeight="1">
      <c r="A2888" s="827" t="str">
        <f>IF(B2888&lt;&gt;"",IF(AND(B2888&gt;=_TM1,B2888&lt;=_TM2,OR(TH!L2888="1111",TH!M2888="1111")),TH!D2888,""),"")</f>
        <v/>
      </c>
      <c r="B2888" s="36">
        <f t="shared" si="409"/>
        <v>5</v>
      </c>
      <c r="C2888" s="190">
        <f t="shared" si="407"/>
        <v>42521</v>
      </c>
      <c r="D2888" s="856" t="s">
        <v>1662</v>
      </c>
      <c r="E2888" s="48">
        <v>42521</v>
      </c>
      <c r="F2888" s="857" t="s">
        <v>557</v>
      </c>
      <c r="G2888" s="858" t="s">
        <v>697</v>
      </c>
      <c r="H2888" s="859" t="s">
        <v>1310</v>
      </c>
      <c r="I2888" s="251">
        <v>48</v>
      </c>
      <c r="J2888" s="251">
        <v>43240</v>
      </c>
      <c r="K2888" s="860">
        <f t="shared" si="408"/>
        <v>2075520</v>
      </c>
      <c r="L2888" s="861" t="s">
        <v>162</v>
      </c>
      <c r="M2888" s="861" t="s">
        <v>857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52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>632</v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826"/>
    </row>
    <row r="2889" spans="1:27" ht="15.75" customHeight="1">
      <c r="A2889" s="827" t="str">
        <f>IF(B2889&lt;&gt;"",IF(AND(B2889&gt;=_TM1,B2889&lt;=_TM2,OR(TH!L2889="1111",TH!M2889="1111")),TH!D2889,""),"")</f>
        <v/>
      </c>
      <c r="B2889" s="36">
        <f t="shared" si="409"/>
        <v>5</v>
      </c>
      <c r="C2889" s="190">
        <f t="shared" si="407"/>
        <v>42521</v>
      </c>
      <c r="D2889" s="856" t="s">
        <v>1662</v>
      </c>
      <c r="E2889" s="48">
        <v>42521</v>
      </c>
      <c r="F2889" s="857" t="s">
        <v>557</v>
      </c>
      <c r="G2889" s="858" t="s">
        <v>697</v>
      </c>
      <c r="H2889" s="859" t="s">
        <v>1310</v>
      </c>
      <c r="I2889" s="251">
        <v>24</v>
      </c>
      <c r="J2889" s="251">
        <v>45505</v>
      </c>
      <c r="K2889" s="860">
        <f t="shared" si="408"/>
        <v>1092120</v>
      </c>
      <c r="L2889" s="861" t="s">
        <v>162</v>
      </c>
      <c r="M2889" s="861" t="s">
        <v>857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52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>632</v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826"/>
    </row>
    <row r="2890" spans="1:27" ht="15.75" customHeight="1">
      <c r="A2890" s="827" t="str">
        <f>IF(B2890&lt;&gt;"",IF(AND(B2890&gt;=_TM1,B2890&lt;=_TM2,OR(TH!L2890="1111",TH!M2890="1111")),TH!D2890,""),"")</f>
        <v/>
      </c>
      <c r="B2890" s="36">
        <f t="shared" si="409"/>
        <v>5</v>
      </c>
      <c r="C2890" s="190">
        <f t="shared" si="407"/>
        <v>42521</v>
      </c>
      <c r="D2890" s="856" t="s">
        <v>1662</v>
      </c>
      <c r="E2890" s="48">
        <v>42521</v>
      </c>
      <c r="F2890" s="857" t="s">
        <v>528</v>
      </c>
      <c r="G2890" s="858" t="s">
        <v>697</v>
      </c>
      <c r="H2890" s="859" t="s">
        <v>1310</v>
      </c>
      <c r="I2890" s="251">
        <v>10</v>
      </c>
      <c r="J2890" s="251">
        <v>19073</v>
      </c>
      <c r="K2890" s="860">
        <f t="shared" si="408"/>
        <v>190730</v>
      </c>
      <c r="L2890" s="861" t="s">
        <v>162</v>
      </c>
      <c r="M2890" s="861" t="s">
        <v>857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52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>632</v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826"/>
    </row>
    <row r="2891" spans="1:27" ht="15.75" customHeight="1">
      <c r="A2891" s="827" t="str">
        <f>IF(B2891&lt;&gt;"",IF(AND(B2891&gt;=_TM1,B2891&lt;=_TM2,OR(TH!L2891="1111",TH!M2891="1111")),TH!D2891,""),"")</f>
        <v/>
      </c>
      <c r="B2891" s="36">
        <f t="shared" si="409"/>
        <v>5</v>
      </c>
      <c r="C2891" s="190">
        <f t="shared" si="407"/>
        <v>42521</v>
      </c>
      <c r="D2891" s="856" t="s">
        <v>1662</v>
      </c>
      <c r="E2891" s="48">
        <v>42521</v>
      </c>
      <c r="F2891" s="857" t="s">
        <v>577</v>
      </c>
      <c r="G2891" s="858" t="s">
        <v>697</v>
      </c>
      <c r="H2891" s="859" t="s">
        <v>1310</v>
      </c>
      <c r="I2891" s="251">
        <v>30</v>
      </c>
      <c r="J2891" s="251">
        <v>61919</v>
      </c>
      <c r="K2891" s="860">
        <f t="shared" si="408"/>
        <v>1857570</v>
      </c>
      <c r="L2891" s="861" t="s">
        <v>162</v>
      </c>
      <c r="M2891" s="861" t="s">
        <v>857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52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>632</v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826"/>
    </row>
    <row r="2892" spans="1:27" ht="15.75" customHeight="1">
      <c r="A2892" s="827" t="str">
        <f>IF(B2892&lt;&gt;"",IF(AND(B2892&gt;=_TM1,B2892&lt;=_TM2,OR(TH!L2892="1111",TH!M2892="1111")),TH!D2892,""),"")</f>
        <v/>
      </c>
      <c r="B2892" s="36">
        <f t="shared" si="409"/>
        <v>5</v>
      </c>
      <c r="C2892" s="190">
        <f t="shared" si="407"/>
        <v>42521</v>
      </c>
      <c r="D2892" s="856" t="s">
        <v>1662</v>
      </c>
      <c r="E2892" s="856">
        <v>42521</v>
      </c>
      <c r="F2892" s="857" t="s">
        <v>493</v>
      </c>
      <c r="G2892" s="858" t="s">
        <v>697</v>
      </c>
      <c r="H2892" s="859" t="s">
        <v>1310</v>
      </c>
      <c r="I2892" s="251">
        <v>60</v>
      </c>
      <c r="J2892" s="251">
        <v>52285</v>
      </c>
      <c r="K2892" s="860">
        <f t="shared" si="408"/>
        <v>3137100</v>
      </c>
      <c r="L2892" s="861" t="s">
        <v>162</v>
      </c>
      <c r="M2892" s="861" t="s">
        <v>857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52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>632</v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826"/>
    </row>
    <row r="2893" spans="1:27" ht="15.75" customHeight="1">
      <c r="A2893" s="827" t="str">
        <f>IF(B2893&lt;&gt;"",IF(AND(B2893&gt;=_TM1,B2893&lt;=_TM2,OR(TH!L2893="1111",TH!M2893="1111")),TH!D2893,""),"")</f>
        <v/>
      </c>
      <c r="B2893" s="36">
        <f t="shared" si="409"/>
        <v>5</v>
      </c>
      <c r="C2893" s="190">
        <f t="shared" si="407"/>
        <v>42521</v>
      </c>
      <c r="D2893" s="856" t="s">
        <v>1662</v>
      </c>
      <c r="E2893" s="856">
        <v>42521</v>
      </c>
      <c r="F2893" s="857" t="s">
        <v>519</v>
      </c>
      <c r="G2893" s="858" t="s">
        <v>697</v>
      </c>
      <c r="H2893" s="859" t="s">
        <v>1310</v>
      </c>
      <c r="I2893" s="251">
        <v>12</v>
      </c>
      <c r="J2893" s="251">
        <v>24216</v>
      </c>
      <c r="K2893" s="860">
        <f t="shared" si="408"/>
        <v>290592</v>
      </c>
      <c r="L2893" s="861" t="s">
        <v>162</v>
      </c>
      <c r="M2893" s="861" t="s">
        <v>857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52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>632</v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826"/>
    </row>
    <row r="2894" spans="1:27" ht="15.75" customHeight="1">
      <c r="A2894" s="827" t="str">
        <f>IF(B2894&lt;&gt;"",IF(AND(B2894&gt;=_TM1,B2894&lt;=_TM2,OR(TH!L2894="1111",TH!M2894="1111")),TH!D2894,""),"")</f>
        <v/>
      </c>
      <c r="B2894" s="36">
        <f t="shared" si="409"/>
        <v>5</v>
      </c>
      <c r="C2894" s="190">
        <f t="shared" si="407"/>
        <v>42521</v>
      </c>
      <c r="D2894" s="856" t="s">
        <v>1662</v>
      </c>
      <c r="E2894" s="856">
        <v>42521</v>
      </c>
      <c r="F2894" s="857" t="s">
        <v>515</v>
      </c>
      <c r="G2894" s="858" t="s">
        <v>697</v>
      </c>
      <c r="H2894" s="859" t="s">
        <v>1310</v>
      </c>
      <c r="I2894" s="251">
        <v>17</v>
      </c>
      <c r="J2894" s="251">
        <v>78526.032258064515</v>
      </c>
      <c r="K2894" s="860">
        <f t="shared" si="408"/>
        <v>1334943</v>
      </c>
      <c r="L2894" s="861" t="s">
        <v>162</v>
      </c>
      <c r="M2894" s="861" t="s">
        <v>857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52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>632</v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826"/>
    </row>
    <row r="2895" spans="1:27" ht="15.75" customHeight="1">
      <c r="A2895" s="827" t="str">
        <f>IF(B2895&lt;&gt;"",IF(AND(B2895&gt;=_TM1,B2895&lt;=_TM2,OR(TH!L2895="1111",TH!M2895="1111")),TH!D2895,""),"")</f>
        <v/>
      </c>
      <c r="B2895" s="36">
        <f t="shared" si="409"/>
        <v>5</v>
      </c>
      <c r="C2895" s="190">
        <f t="shared" si="407"/>
        <v>42521</v>
      </c>
      <c r="D2895" s="856" t="s">
        <v>1662</v>
      </c>
      <c r="E2895" s="856">
        <v>42521</v>
      </c>
      <c r="F2895" s="857" t="s">
        <v>515</v>
      </c>
      <c r="G2895" s="858" t="s">
        <v>697</v>
      </c>
      <c r="H2895" s="859" t="s">
        <v>1310</v>
      </c>
      <c r="I2895" s="251">
        <v>6</v>
      </c>
      <c r="J2895" s="251">
        <v>78526.032258064515</v>
      </c>
      <c r="K2895" s="860">
        <f t="shared" si="408"/>
        <v>471156</v>
      </c>
      <c r="L2895" s="861" t="s">
        <v>162</v>
      </c>
      <c r="M2895" s="861" t="s">
        <v>857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52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>632</v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826"/>
    </row>
    <row r="2896" spans="1:27" ht="15.75" customHeight="1">
      <c r="A2896" s="827" t="str">
        <f>IF(B2896&lt;&gt;"",IF(AND(B2896&gt;=_TM1,B2896&lt;=_TM2,OR(TH!L2896="1111",TH!M2896="1111")),TH!D2896,""),"")</f>
        <v/>
      </c>
      <c r="B2896" s="36">
        <f t="shared" si="409"/>
        <v>5</v>
      </c>
      <c r="C2896" s="190">
        <f t="shared" si="407"/>
        <v>42521</v>
      </c>
      <c r="D2896" s="856" t="s">
        <v>1662</v>
      </c>
      <c r="E2896" s="856">
        <v>42521</v>
      </c>
      <c r="F2896" s="857" t="s">
        <v>484</v>
      </c>
      <c r="G2896" s="858" t="s">
        <v>697</v>
      </c>
      <c r="H2896" s="859" t="s">
        <v>1310</v>
      </c>
      <c r="I2896" s="251">
        <v>42</v>
      </c>
      <c r="J2896" s="251">
        <v>32977.35</v>
      </c>
      <c r="K2896" s="860">
        <f t="shared" si="408"/>
        <v>1385049</v>
      </c>
      <c r="L2896" s="861" t="s">
        <v>162</v>
      </c>
      <c r="M2896" s="861" t="s">
        <v>857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52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>632</v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826"/>
    </row>
    <row r="2897" spans="1:27" ht="15.75" customHeight="1">
      <c r="A2897" s="827" t="str">
        <f>IF(B2897&lt;&gt;"",IF(AND(B2897&gt;=_TM1,B2897&lt;=_TM2,OR(TH!L2897="1111",TH!M2897="1111")),TH!D2897,""),"")</f>
        <v/>
      </c>
      <c r="B2897" s="36">
        <f t="shared" si="409"/>
        <v>5</v>
      </c>
      <c r="C2897" s="190">
        <f t="shared" si="407"/>
        <v>42521</v>
      </c>
      <c r="D2897" s="856" t="s">
        <v>1662</v>
      </c>
      <c r="E2897" s="856">
        <v>42521</v>
      </c>
      <c r="F2897" s="857" t="s">
        <v>549</v>
      </c>
      <c r="G2897" s="858" t="s">
        <v>697</v>
      </c>
      <c r="H2897" s="859" t="s">
        <v>1310</v>
      </c>
      <c r="I2897" s="251">
        <v>22</v>
      </c>
      <c r="J2897" s="251">
        <v>42056</v>
      </c>
      <c r="K2897" s="860">
        <f t="shared" si="408"/>
        <v>925232</v>
      </c>
      <c r="L2897" s="861" t="s">
        <v>162</v>
      </c>
      <c r="M2897" s="861" t="s">
        <v>857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52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>632</v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826"/>
    </row>
    <row r="2898" spans="1:27" ht="15.75" customHeight="1">
      <c r="A2898" s="827" t="str">
        <f>IF(B2898&lt;&gt;"",IF(AND(B2898&gt;=_TM1,B2898&lt;=_TM2,OR(TH!L2898="1111",TH!M2898="1111")),TH!D2898,""),"")</f>
        <v/>
      </c>
      <c r="B2898" s="36">
        <f t="shared" si="409"/>
        <v>5</v>
      </c>
      <c r="C2898" s="190">
        <f t="shared" si="407"/>
        <v>42521</v>
      </c>
      <c r="D2898" s="856" t="s">
        <v>1662</v>
      </c>
      <c r="E2898" s="856">
        <v>42521</v>
      </c>
      <c r="F2898" s="857" t="s">
        <v>549</v>
      </c>
      <c r="G2898" s="858" t="s">
        <v>697</v>
      </c>
      <c r="H2898" s="859" t="s">
        <v>1310</v>
      </c>
      <c r="I2898" s="251">
        <v>16</v>
      </c>
      <c r="J2898" s="251">
        <v>44169.3</v>
      </c>
      <c r="K2898" s="860">
        <f t="shared" si="408"/>
        <v>706709</v>
      </c>
      <c r="L2898" s="861" t="s">
        <v>162</v>
      </c>
      <c r="M2898" s="861" t="s">
        <v>857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52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>632</v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826"/>
    </row>
    <row r="2899" spans="1:27" ht="15.75" customHeight="1">
      <c r="A2899" s="827" t="str">
        <f>IF(B2899&lt;&gt;"",IF(AND(B2899&gt;=_TM1,B2899&lt;=_TM2,OR(TH!L2899="1111",TH!M2899="1111")),TH!D2899,""),"")</f>
        <v/>
      </c>
      <c r="B2899" s="36">
        <f t="shared" si="409"/>
        <v>5</v>
      </c>
      <c r="C2899" s="190">
        <f t="shared" si="407"/>
        <v>42521</v>
      </c>
      <c r="D2899" s="856" t="s">
        <v>1662</v>
      </c>
      <c r="E2899" s="856">
        <v>42521</v>
      </c>
      <c r="F2899" s="857" t="s">
        <v>722</v>
      </c>
      <c r="G2899" s="858" t="s">
        <v>697</v>
      </c>
      <c r="H2899" s="859" t="s">
        <v>1310</v>
      </c>
      <c r="I2899" s="251">
        <v>8</v>
      </c>
      <c r="J2899" s="251">
        <v>48016.75</v>
      </c>
      <c r="K2899" s="860">
        <f t="shared" si="408"/>
        <v>384134</v>
      </c>
      <c r="L2899" s="861" t="s">
        <v>162</v>
      </c>
      <c r="M2899" s="861" t="s">
        <v>857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52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>632</v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826"/>
    </row>
    <row r="2900" spans="1:27" ht="15.75" customHeight="1">
      <c r="A2900" s="827" t="str">
        <f>IF(B2900&lt;&gt;"",IF(AND(B2900&gt;=_TM1,B2900&lt;=_TM2,OR(TH!L2900="1111",TH!M2900="1111")),TH!D2900,""),"")</f>
        <v/>
      </c>
      <c r="B2900" s="36">
        <f t="shared" si="409"/>
        <v>5</v>
      </c>
      <c r="C2900" s="190">
        <f t="shared" si="407"/>
        <v>42521</v>
      </c>
      <c r="D2900" s="856" t="s">
        <v>1662</v>
      </c>
      <c r="E2900" s="856">
        <v>42521</v>
      </c>
      <c r="F2900" s="857" t="s">
        <v>504</v>
      </c>
      <c r="G2900" s="858" t="s">
        <v>697</v>
      </c>
      <c r="H2900" s="859" t="s">
        <v>1310</v>
      </c>
      <c r="I2900" s="251">
        <v>5</v>
      </c>
      <c r="J2900" s="251">
        <v>100939</v>
      </c>
      <c r="K2900" s="860">
        <f t="shared" si="408"/>
        <v>504695</v>
      </c>
      <c r="L2900" s="861" t="s">
        <v>162</v>
      </c>
      <c r="M2900" s="861" t="s">
        <v>857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52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>632</v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826"/>
    </row>
    <row r="2901" spans="1:27" ht="15.75" customHeight="1">
      <c r="A2901" s="827" t="str">
        <f>IF(B2901&lt;&gt;"",IF(AND(B2901&gt;=_TM1,B2901&lt;=_TM2,OR(TH!L2901="1111",TH!M2901="1111")),TH!D2901,""),"")</f>
        <v/>
      </c>
      <c r="B2901" s="36">
        <f t="shared" si="409"/>
        <v>5</v>
      </c>
      <c r="C2901" s="190">
        <f t="shared" si="407"/>
        <v>42521</v>
      </c>
      <c r="D2901" s="856" t="s">
        <v>1662</v>
      </c>
      <c r="E2901" s="48">
        <v>42521</v>
      </c>
      <c r="F2901" s="866" t="s">
        <v>698</v>
      </c>
      <c r="G2901" s="831" t="s">
        <v>697</v>
      </c>
      <c r="H2901" s="859" t="s">
        <v>1310</v>
      </c>
      <c r="I2901" s="251">
        <v>15</v>
      </c>
      <c r="J2901" s="251">
        <v>74189</v>
      </c>
      <c r="K2901" s="860">
        <f t="shared" si="408"/>
        <v>1112835</v>
      </c>
      <c r="L2901" s="861" t="s">
        <v>162</v>
      </c>
      <c r="M2901" s="861" t="s">
        <v>857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52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>632</v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826"/>
    </row>
    <row r="2902" spans="1:27" ht="15.75" customHeight="1">
      <c r="A2902" s="827" t="str">
        <f>IF(B2902&lt;&gt;"",IF(AND(B2902&gt;=_TM1,B2902&lt;=_TM2,OR(TH!L2902="1111",TH!M2902="1111")),TH!D2902,""),"")</f>
        <v/>
      </c>
      <c r="B2902" s="36">
        <f t="shared" si="409"/>
        <v>5</v>
      </c>
      <c r="C2902" s="190">
        <f t="shared" ref="C2902:C2933" si="410">E2902</f>
        <v>42521</v>
      </c>
      <c r="D2902" s="856" t="s">
        <v>1662</v>
      </c>
      <c r="E2902" s="48">
        <v>42521</v>
      </c>
      <c r="F2902" s="866" t="s">
        <v>518</v>
      </c>
      <c r="G2902" s="831" t="s">
        <v>697</v>
      </c>
      <c r="H2902" s="859" t="s">
        <v>1310</v>
      </c>
      <c r="I2902" s="251">
        <v>10</v>
      </c>
      <c r="J2902" s="251">
        <v>47956</v>
      </c>
      <c r="K2902" s="860">
        <f t="shared" si="408"/>
        <v>479560</v>
      </c>
      <c r="L2902" s="861" t="s">
        <v>162</v>
      </c>
      <c r="M2902" s="861" t="s">
        <v>857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52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>632</v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826"/>
    </row>
    <row r="2903" spans="1:27" ht="15.75" customHeight="1">
      <c r="A2903" s="827" t="str">
        <f>IF(B2903&lt;&gt;"",IF(AND(B2903&gt;=_TM1,B2903&lt;=_TM2,OR(TH!L2903="1111",TH!M2903="1111")),TH!D2903,""),"")</f>
        <v/>
      </c>
      <c r="B2903" s="36">
        <f t="shared" si="409"/>
        <v>5</v>
      </c>
      <c r="C2903" s="190">
        <f t="shared" si="410"/>
        <v>42521</v>
      </c>
      <c r="D2903" s="856" t="s">
        <v>1662</v>
      </c>
      <c r="E2903" s="48">
        <v>42521</v>
      </c>
      <c r="F2903" s="866" t="s">
        <v>494</v>
      </c>
      <c r="G2903" s="831" t="s">
        <v>697</v>
      </c>
      <c r="H2903" s="859" t="s">
        <v>1310</v>
      </c>
      <c r="I2903" s="251">
        <v>16</v>
      </c>
      <c r="J2903" s="251">
        <v>67288</v>
      </c>
      <c r="K2903" s="860">
        <f t="shared" si="408"/>
        <v>1076608</v>
      </c>
      <c r="L2903" s="861" t="s">
        <v>162</v>
      </c>
      <c r="M2903" s="861" t="s">
        <v>857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52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>632</v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826"/>
    </row>
    <row r="2904" spans="1:27" ht="15.75" customHeight="1">
      <c r="A2904" s="827" t="str">
        <f>IF(B2904&lt;&gt;"",IF(AND(B2904&gt;=_TM1,B2904&lt;=_TM2,OR(TH!L2904="1111",TH!M2904="1111")),TH!D2904,""),"")</f>
        <v/>
      </c>
      <c r="B2904" s="36">
        <f t="shared" si="409"/>
        <v>5</v>
      </c>
      <c r="C2904" s="190">
        <f t="shared" si="410"/>
        <v>42521</v>
      </c>
      <c r="D2904" s="856" t="s">
        <v>1662</v>
      </c>
      <c r="E2904" s="48">
        <v>42521</v>
      </c>
      <c r="F2904" s="866" t="s">
        <v>714</v>
      </c>
      <c r="G2904" s="831" t="s">
        <v>697</v>
      </c>
      <c r="H2904" s="859" t="s">
        <v>1310</v>
      </c>
      <c r="I2904" s="251">
        <v>20</v>
      </c>
      <c r="J2904" s="251">
        <v>43188</v>
      </c>
      <c r="K2904" s="860">
        <f t="shared" si="408"/>
        <v>863760</v>
      </c>
      <c r="L2904" s="861" t="s">
        <v>162</v>
      </c>
      <c r="M2904" s="861" t="s">
        <v>857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52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>632</v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826"/>
    </row>
    <row r="2905" spans="1:27" ht="15.75" customHeight="1">
      <c r="A2905" s="827" t="str">
        <f>IF(B2905&lt;&gt;"",IF(AND(B2905&gt;=_TM1,B2905&lt;=_TM2,OR(TH!L2905="1111",TH!M2905="1111")),TH!D2905,""),"")</f>
        <v/>
      </c>
      <c r="B2905" s="36">
        <f t="shared" si="409"/>
        <v>5</v>
      </c>
      <c r="C2905" s="190">
        <f t="shared" si="410"/>
        <v>42521</v>
      </c>
      <c r="D2905" s="856" t="s">
        <v>1662</v>
      </c>
      <c r="E2905" s="48">
        <v>42521</v>
      </c>
      <c r="F2905" s="866" t="s">
        <v>510</v>
      </c>
      <c r="G2905" s="831" t="s">
        <v>697</v>
      </c>
      <c r="H2905" s="859" t="s">
        <v>1310</v>
      </c>
      <c r="I2905" s="251">
        <v>5</v>
      </c>
      <c r="J2905" s="251">
        <v>57599</v>
      </c>
      <c r="K2905" s="860">
        <f t="shared" si="408"/>
        <v>287995</v>
      </c>
      <c r="L2905" s="861" t="s">
        <v>162</v>
      </c>
      <c r="M2905" s="861" t="s">
        <v>857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52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>632</v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826"/>
    </row>
    <row r="2906" spans="1:27" ht="15.75" customHeight="1">
      <c r="A2906" s="827" t="str">
        <f>IF(B2906&lt;&gt;"",IF(AND(B2906&gt;=_TM1,B2906&lt;=_TM2,OR(TH!L2906="1111",TH!M2906="1111")),TH!D2906,""),"")</f>
        <v/>
      </c>
      <c r="B2906" s="36">
        <f t="shared" si="409"/>
        <v>5</v>
      </c>
      <c r="C2906" s="190">
        <f t="shared" si="410"/>
        <v>42521</v>
      </c>
      <c r="D2906" s="856" t="s">
        <v>1662</v>
      </c>
      <c r="E2906" s="48">
        <v>42521</v>
      </c>
      <c r="F2906" s="866" t="s">
        <v>521</v>
      </c>
      <c r="G2906" s="831" t="s">
        <v>697</v>
      </c>
      <c r="H2906" s="859" t="s">
        <v>1310</v>
      </c>
      <c r="I2906" s="251">
        <v>19</v>
      </c>
      <c r="J2906" s="251">
        <v>40072.947368421053</v>
      </c>
      <c r="K2906" s="860">
        <f t="shared" si="408"/>
        <v>761386</v>
      </c>
      <c r="L2906" s="861" t="s">
        <v>162</v>
      </c>
      <c r="M2906" s="861" t="s">
        <v>857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52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>632</v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826"/>
    </row>
    <row r="2907" spans="1:27" ht="15.75" customHeight="1">
      <c r="A2907" s="827" t="str">
        <f>IF(B2907&lt;&gt;"",IF(AND(B2907&gt;=_TM1,B2907&lt;=_TM2,OR(TH!L2907="1111",TH!M2907="1111")),TH!D2907,""),"")</f>
        <v/>
      </c>
      <c r="B2907" s="36">
        <f t="shared" si="409"/>
        <v>5</v>
      </c>
      <c r="C2907" s="190">
        <f t="shared" si="410"/>
        <v>42521</v>
      </c>
      <c r="D2907" s="856" t="s">
        <v>1662</v>
      </c>
      <c r="E2907" s="48">
        <v>42521</v>
      </c>
      <c r="F2907" s="866" t="s">
        <v>524</v>
      </c>
      <c r="G2907" s="831" t="s">
        <v>697</v>
      </c>
      <c r="H2907" s="859" t="s">
        <v>1310</v>
      </c>
      <c r="I2907" s="251">
        <v>10</v>
      </c>
      <c r="J2907" s="251">
        <v>44247</v>
      </c>
      <c r="K2907" s="860">
        <f t="shared" si="408"/>
        <v>442470</v>
      </c>
      <c r="L2907" s="861" t="s">
        <v>162</v>
      </c>
      <c r="M2907" s="861" t="s">
        <v>857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52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>632</v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826"/>
    </row>
    <row r="2908" spans="1:27" ht="15.75" customHeight="1">
      <c r="A2908" s="827" t="str">
        <f>IF(B2908&lt;&gt;"",IF(AND(B2908&gt;=_TM1,B2908&lt;=_TM2,OR(TH!L2908="1111",TH!M2908="1111")),TH!D2908,""),"")</f>
        <v/>
      </c>
      <c r="B2908" s="36">
        <f t="shared" si="409"/>
        <v>5</v>
      </c>
      <c r="C2908" s="190">
        <f t="shared" si="410"/>
        <v>42521</v>
      </c>
      <c r="D2908" s="856" t="s">
        <v>1662</v>
      </c>
      <c r="E2908" s="48">
        <v>42521</v>
      </c>
      <c r="F2908" s="866" t="s">
        <v>715</v>
      </c>
      <c r="G2908" s="831" t="s">
        <v>697</v>
      </c>
      <c r="H2908" s="859" t="s">
        <v>1310</v>
      </c>
      <c r="I2908" s="251">
        <v>8</v>
      </c>
      <c r="J2908" s="251">
        <v>48550.75</v>
      </c>
      <c r="K2908" s="860">
        <f t="shared" si="408"/>
        <v>388406</v>
      </c>
      <c r="L2908" s="861" t="s">
        <v>162</v>
      </c>
      <c r="M2908" s="861" t="s">
        <v>857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52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>632</v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826"/>
    </row>
    <row r="2909" spans="1:27" ht="15.75" customHeight="1">
      <c r="A2909" s="827" t="str">
        <f>IF(B2909&lt;&gt;"",IF(AND(B2909&gt;=_TM1,B2909&lt;=_TM2,OR(TH!L2909="1111",TH!M2909="1111")),TH!D2909,""),"")</f>
        <v/>
      </c>
      <c r="B2909" s="36">
        <f t="shared" si="409"/>
        <v>5</v>
      </c>
      <c r="C2909" s="190">
        <f t="shared" si="410"/>
        <v>42521</v>
      </c>
      <c r="D2909" s="856" t="s">
        <v>1662</v>
      </c>
      <c r="E2909" s="48">
        <v>42521</v>
      </c>
      <c r="F2909" s="857" t="s">
        <v>533</v>
      </c>
      <c r="G2909" s="858" t="s">
        <v>697</v>
      </c>
      <c r="H2909" s="859" t="s">
        <v>1310</v>
      </c>
      <c r="I2909" s="251">
        <v>24</v>
      </c>
      <c r="J2909" s="251">
        <v>59493</v>
      </c>
      <c r="K2909" s="860">
        <f t="shared" si="408"/>
        <v>1427832</v>
      </c>
      <c r="L2909" s="861" t="s">
        <v>162</v>
      </c>
      <c r="M2909" s="861" t="s">
        <v>857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52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>632</v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826"/>
    </row>
    <row r="2910" spans="1:27" ht="15.75" customHeight="1">
      <c r="A2910" s="827" t="str">
        <f>IF(B2910&lt;&gt;"",IF(AND(B2910&gt;=_TM1,B2910&lt;=_TM2,OR(TH!L2910="1111",TH!M2910="1111")),TH!D2910,""),"")</f>
        <v/>
      </c>
      <c r="B2910" s="36">
        <f t="shared" si="409"/>
        <v>5</v>
      </c>
      <c r="C2910" s="190">
        <f t="shared" si="410"/>
        <v>42521</v>
      </c>
      <c r="D2910" s="856" t="s">
        <v>1662</v>
      </c>
      <c r="E2910" s="48">
        <v>42521</v>
      </c>
      <c r="F2910" s="857" t="s">
        <v>702</v>
      </c>
      <c r="G2910" s="858" t="s">
        <v>697</v>
      </c>
      <c r="H2910" s="859" t="s">
        <v>1310</v>
      </c>
      <c r="I2910" s="251">
        <v>24</v>
      </c>
      <c r="J2910" s="251">
        <v>57019.95</v>
      </c>
      <c r="K2910" s="860">
        <f t="shared" si="408"/>
        <v>1368479</v>
      </c>
      <c r="L2910" s="861" t="s">
        <v>162</v>
      </c>
      <c r="M2910" s="861" t="s">
        <v>857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52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>632</v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826"/>
    </row>
    <row r="2911" spans="1:27" ht="15.75" customHeight="1">
      <c r="A2911" s="827" t="str">
        <f>IF(B2911&lt;&gt;"",IF(AND(B2911&gt;=_TM1,B2911&lt;=_TM2,OR(TH!L2911="1111",TH!M2911="1111")),TH!D2911,""),"")</f>
        <v/>
      </c>
      <c r="B2911" s="36">
        <f t="shared" si="409"/>
        <v>5</v>
      </c>
      <c r="C2911" s="190">
        <f t="shared" si="410"/>
        <v>42521</v>
      </c>
      <c r="D2911" s="856" t="s">
        <v>1662</v>
      </c>
      <c r="E2911" s="48">
        <v>42521</v>
      </c>
      <c r="F2911" s="857" t="s">
        <v>709</v>
      </c>
      <c r="G2911" s="858" t="s">
        <v>697</v>
      </c>
      <c r="H2911" s="859" t="s">
        <v>1310</v>
      </c>
      <c r="I2911" s="251">
        <v>24</v>
      </c>
      <c r="J2911" s="251">
        <v>103480.65</v>
      </c>
      <c r="K2911" s="860">
        <f t="shared" si="408"/>
        <v>2483536</v>
      </c>
      <c r="L2911" s="861" t="s">
        <v>162</v>
      </c>
      <c r="M2911" s="861" t="s">
        <v>857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52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>632</v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826"/>
    </row>
    <row r="2912" spans="1:27" ht="15.75" customHeight="1">
      <c r="A2912" s="827" t="str">
        <f>IF(B2912&lt;&gt;"",IF(AND(B2912&gt;=_TM1,B2912&lt;=_TM2,OR(TH!L2912="1111",TH!M2912="1111")),TH!D2912,""),"")</f>
        <v/>
      </c>
      <c r="B2912" s="36">
        <f t="shared" si="409"/>
        <v>6</v>
      </c>
      <c r="C2912" s="190">
        <f t="shared" si="410"/>
        <v>42527</v>
      </c>
      <c r="D2912" s="856" t="s">
        <v>1662</v>
      </c>
      <c r="E2912" s="48">
        <v>42527</v>
      </c>
      <c r="F2912" s="857" t="s">
        <v>728</v>
      </c>
      <c r="G2912" s="858" t="s">
        <v>733</v>
      </c>
      <c r="H2912" s="859" t="s">
        <v>1310</v>
      </c>
      <c r="I2912" s="251">
        <v>500</v>
      </c>
      <c r="J2912" s="251">
        <v>6589</v>
      </c>
      <c r="K2912" s="860">
        <f t="shared" ref="K2912:K2974" si="411">ROUND(I2912*J2912,0)</f>
        <v>3294500</v>
      </c>
      <c r="L2912" s="861" t="s">
        <v>162</v>
      </c>
      <c r="M2912" s="861" t="s">
        <v>857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52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>632</v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826"/>
    </row>
    <row r="2913" spans="1:27" ht="15.75" customHeight="1">
      <c r="A2913" s="827" t="str">
        <f>IF(B2913&lt;&gt;"",IF(AND(B2913&gt;=_TM1,B2913&lt;=_TM2,OR(TH!L2913="1111",TH!M2913="1111")),TH!D2913,""),"")</f>
        <v/>
      </c>
      <c r="B2913" s="36">
        <f t="shared" si="409"/>
        <v>6</v>
      </c>
      <c r="C2913" s="190">
        <f t="shared" si="410"/>
        <v>42527</v>
      </c>
      <c r="D2913" s="856" t="s">
        <v>1662</v>
      </c>
      <c r="E2913" s="48">
        <v>42527</v>
      </c>
      <c r="F2913" s="857" t="s">
        <v>962</v>
      </c>
      <c r="G2913" s="858" t="s">
        <v>733</v>
      </c>
      <c r="H2913" s="859" t="s">
        <v>1310</v>
      </c>
      <c r="I2913" s="251">
        <v>500</v>
      </c>
      <c r="J2913" s="251">
        <v>6029</v>
      </c>
      <c r="K2913" s="860">
        <f t="shared" si="411"/>
        <v>3014500</v>
      </c>
      <c r="L2913" s="861" t="s">
        <v>162</v>
      </c>
      <c r="M2913" s="861" t="s">
        <v>857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52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>632</v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826"/>
    </row>
    <row r="2914" spans="1:27" ht="15.75" customHeight="1">
      <c r="A2914" s="827" t="str">
        <f>IF(B2914&lt;&gt;"",IF(AND(B2914&gt;=_TM1,B2914&lt;=_TM2,OR(TH!L2914="1111",TH!M2914="1111")),TH!D2914,""),"")</f>
        <v/>
      </c>
      <c r="B2914" s="36">
        <f t="shared" ref="B2914:B2945" si="412">IF(C2914&lt;&gt;"",MONTH(C2914),"")</f>
        <v>6</v>
      </c>
      <c r="C2914" s="190">
        <f t="shared" si="410"/>
        <v>42527</v>
      </c>
      <c r="D2914" s="856" t="s">
        <v>1662</v>
      </c>
      <c r="E2914" s="48">
        <v>42527</v>
      </c>
      <c r="F2914" s="857" t="s">
        <v>729</v>
      </c>
      <c r="G2914" s="858" t="s">
        <v>733</v>
      </c>
      <c r="H2914" s="859" t="s">
        <v>1310</v>
      </c>
      <c r="I2914" s="251">
        <v>500</v>
      </c>
      <c r="J2914" s="251">
        <v>6389</v>
      </c>
      <c r="K2914" s="860">
        <f t="shared" si="411"/>
        <v>3194500</v>
      </c>
      <c r="L2914" s="861" t="s">
        <v>162</v>
      </c>
      <c r="M2914" s="861" t="s">
        <v>857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52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>632</v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826"/>
    </row>
    <row r="2915" spans="1:27" ht="15.75" customHeight="1">
      <c r="A2915" s="827" t="str">
        <f>IF(B2915&lt;&gt;"",IF(AND(B2915&gt;=_TM1,B2915&lt;=_TM2,OR(TH!L2915="1111",TH!M2915="1111")),TH!D2915,""),"")</f>
        <v/>
      </c>
      <c r="B2915" s="36">
        <f t="shared" si="412"/>
        <v>6</v>
      </c>
      <c r="C2915" s="190">
        <f t="shared" si="410"/>
        <v>42527</v>
      </c>
      <c r="D2915" s="856" t="s">
        <v>1662</v>
      </c>
      <c r="E2915" s="48">
        <v>42527</v>
      </c>
      <c r="F2915" s="857" t="s">
        <v>731</v>
      </c>
      <c r="G2915" s="858" t="s">
        <v>733</v>
      </c>
      <c r="H2915" s="859" t="s">
        <v>1310</v>
      </c>
      <c r="I2915" s="251">
        <v>500</v>
      </c>
      <c r="J2915" s="251">
        <v>4828</v>
      </c>
      <c r="K2915" s="860">
        <f t="shared" si="411"/>
        <v>2414000</v>
      </c>
      <c r="L2915" s="861" t="s">
        <v>162</v>
      </c>
      <c r="M2915" s="861" t="s">
        <v>857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52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>632</v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826"/>
    </row>
    <row r="2916" spans="1:27" ht="15.75" customHeight="1">
      <c r="A2916" s="827" t="str">
        <f>IF(B2916&lt;&gt;"",IF(AND(B2916&gt;=_TM1,B2916&lt;=_TM2,OR(TH!L2916="1111",TH!M2916="1111")),TH!D2916,""),"")</f>
        <v/>
      </c>
      <c r="B2916" s="36">
        <f t="shared" si="412"/>
        <v>6</v>
      </c>
      <c r="C2916" s="190">
        <f t="shared" si="410"/>
        <v>42527</v>
      </c>
      <c r="D2916" s="856" t="s">
        <v>1662</v>
      </c>
      <c r="E2916" s="48">
        <v>42527</v>
      </c>
      <c r="F2916" s="857" t="s">
        <v>732</v>
      </c>
      <c r="G2916" s="858" t="s">
        <v>733</v>
      </c>
      <c r="H2916" s="859" t="s">
        <v>1310</v>
      </c>
      <c r="I2916" s="251">
        <v>141</v>
      </c>
      <c r="J2916" s="251">
        <v>12444</v>
      </c>
      <c r="K2916" s="860">
        <f t="shared" si="411"/>
        <v>1754604</v>
      </c>
      <c r="L2916" s="861" t="s">
        <v>162</v>
      </c>
      <c r="M2916" s="861" t="s">
        <v>857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52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>632</v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826"/>
    </row>
    <row r="2917" spans="1:27" ht="15.75" customHeight="1">
      <c r="A2917" s="827" t="str">
        <f>IF(B2917&lt;&gt;"",IF(AND(B2917&gt;=_TM1,B2917&lt;=_TM2,OR(TH!L2917="1111",TH!M2917="1111")),TH!D2917,""),"")</f>
        <v/>
      </c>
      <c r="B2917" s="36">
        <f t="shared" si="412"/>
        <v>6</v>
      </c>
      <c r="C2917" s="190">
        <f t="shared" si="410"/>
        <v>42527</v>
      </c>
      <c r="D2917" s="856" t="s">
        <v>1662</v>
      </c>
      <c r="E2917" s="856">
        <v>42527</v>
      </c>
      <c r="F2917" s="857" t="s">
        <v>736</v>
      </c>
      <c r="G2917" s="858" t="s">
        <v>735</v>
      </c>
      <c r="H2917" s="859" t="s">
        <v>1310</v>
      </c>
      <c r="I2917" s="251">
        <v>35</v>
      </c>
      <c r="J2917" s="251">
        <v>72214</v>
      </c>
      <c r="K2917" s="860">
        <f t="shared" si="411"/>
        <v>2527490</v>
      </c>
      <c r="L2917" s="861" t="s">
        <v>162</v>
      </c>
      <c r="M2917" s="861" t="s">
        <v>857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52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>632</v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826"/>
    </row>
    <row r="2918" spans="1:27" ht="15.75" customHeight="1">
      <c r="A2918" s="827" t="str">
        <f>IF(B2918&lt;&gt;"",IF(AND(B2918&gt;=_TM1,B2918&lt;=_TM2,OR(TH!L2918="1111",TH!M2918="1111")),TH!D2918,""),"")</f>
        <v/>
      </c>
      <c r="B2918" s="36">
        <f t="shared" si="412"/>
        <v>6</v>
      </c>
      <c r="C2918" s="190">
        <f t="shared" si="410"/>
        <v>42530</v>
      </c>
      <c r="D2918" s="856" t="s">
        <v>1662</v>
      </c>
      <c r="E2918" s="856">
        <v>42530</v>
      </c>
      <c r="F2918" s="857" t="s">
        <v>741</v>
      </c>
      <c r="G2918" s="858" t="s">
        <v>740</v>
      </c>
      <c r="H2918" s="859" t="s">
        <v>1310</v>
      </c>
      <c r="I2918" s="251">
        <v>200</v>
      </c>
      <c r="J2918" s="251">
        <v>7872</v>
      </c>
      <c r="K2918" s="860">
        <f t="shared" si="411"/>
        <v>1574400</v>
      </c>
      <c r="L2918" s="861" t="s">
        <v>162</v>
      </c>
      <c r="M2918" s="861" t="s">
        <v>857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52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>632</v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826"/>
    </row>
    <row r="2919" spans="1:27" ht="15.75" customHeight="1">
      <c r="A2919" s="827" t="str">
        <f>IF(B2919&lt;&gt;"",IF(AND(B2919&gt;=_TM1,B2919&lt;=_TM2,OR(TH!L2919="1111",TH!M2919="1111")),TH!D2919,""),"")</f>
        <v/>
      </c>
      <c r="B2919" s="36">
        <f t="shared" si="412"/>
        <v>6</v>
      </c>
      <c r="C2919" s="190">
        <f t="shared" si="410"/>
        <v>42532</v>
      </c>
      <c r="D2919" s="856" t="s">
        <v>1662</v>
      </c>
      <c r="E2919" s="856">
        <v>42532</v>
      </c>
      <c r="F2919" s="857" t="s">
        <v>744</v>
      </c>
      <c r="G2919" s="858" t="s">
        <v>742</v>
      </c>
      <c r="H2919" s="859" t="s">
        <v>1310</v>
      </c>
      <c r="I2919" s="251">
        <v>54</v>
      </c>
      <c r="J2919" s="251">
        <v>17042</v>
      </c>
      <c r="K2919" s="860">
        <f t="shared" si="411"/>
        <v>920268</v>
      </c>
      <c r="L2919" s="861" t="s">
        <v>162</v>
      </c>
      <c r="M2919" s="861" t="s">
        <v>857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52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>632</v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826"/>
    </row>
    <row r="2920" spans="1:27" ht="15.75" customHeight="1">
      <c r="A2920" s="827" t="str">
        <f>IF(B2920&lt;&gt;"",IF(AND(B2920&gt;=_TM1,B2920&lt;=_TM2,OR(TH!L2920="1111",TH!M2920="1111")),TH!D2920,""),"")</f>
        <v/>
      </c>
      <c r="B2920" s="36">
        <f t="shared" si="412"/>
        <v>6</v>
      </c>
      <c r="C2920" s="190">
        <f t="shared" si="410"/>
        <v>42532</v>
      </c>
      <c r="D2920" s="856" t="s">
        <v>1662</v>
      </c>
      <c r="E2920" s="48">
        <v>42532</v>
      </c>
      <c r="F2920" s="866" t="s">
        <v>745</v>
      </c>
      <c r="G2920" s="831" t="s">
        <v>742</v>
      </c>
      <c r="H2920" s="859" t="s">
        <v>1310</v>
      </c>
      <c r="I2920" s="251">
        <v>80</v>
      </c>
      <c r="J2920" s="251">
        <v>25891</v>
      </c>
      <c r="K2920" s="860">
        <f t="shared" si="411"/>
        <v>2071280</v>
      </c>
      <c r="L2920" s="861" t="s">
        <v>162</v>
      </c>
      <c r="M2920" s="861" t="s">
        <v>857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52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>632</v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826"/>
    </row>
    <row r="2921" spans="1:27" ht="15.75" customHeight="1">
      <c r="A2921" s="827" t="str">
        <f>IF(B2921&lt;&gt;"",IF(AND(B2921&gt;=_TM1,B2921&lt;=_TM2,OR(TH!L2921="1111",TH!M2921="1111")),TH!D2921,""),"")</f>
        <v/>
      </c>
      <c r="B2921" s="36">
        <f t="shared" si="412"/>
        <v>6</v>
      </c>
      <c r="C2921" s="190">
        <f t="shared" si="410"/>
        <v>42532</v>
      </c>
      <c r="D2921" s="856" t="s">
        <v>1662</v>
      </c>
      <c r="E2921" s="48">
        <v>42532</v>
      </c>
      <c r="F2921" s="866" t="s">
        <v>859</v>
      </c>
      <c r="G2921" s="831" t="s">
        <v>742</v>
      </c>
      <c r="H2921" s="859" t="s">
        <v>1310</v>
      </c>
      <c r="I2921" s="251">
        <v>104</v>
      </c>
      <c r="J2921" s="251">
        <v>32909</v>
      </c>
      <c r="K2921" s="860">
        <f t="shared" si="411"/>
        <v>3422536</v>
      </c>
      <c r="L2921" s="861" t="s">
        <v>162</v>
      </c>
      <c r="M2921" s="861" t="s">
        <v>857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52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>632</v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826"/>
    </row>
    <row r="2922" spans="1:27" ht="15.75" customHeight="1">
      <c r="A2922" s="827" t="str">
        <f>IF(B2922&lt;&gt;"",IF(AND(B2922&gt;=_TM1,B2922&lt;=_TM2,OR(TH!L2922="1111",TH!M2922="1111")),TH!D2922,""),"")</f>
        <v/>
      </c>
      <c r="B2922" s="36">
        <f t="shared" si="412"/>
        <v>6</v>
      </c>
      <c r="C2922" s="190">
        <f t="shared" si="410"/>
        <v>42532</v>
      </c>
      <c r="D2922" s="856" t="s">
        <v>1662</v>
      </c>
      <c r="E2922" s="48">
        <v>42532</v>
      </c>
      <c r="F2922" s="857" t="s">
        <v>746</v>
      </c>
      <c r="G2922" s="858" t="s">
        <v>742</v>
      </c>
      <c r="H2922" s="859" t="s">
        <v>1310</v>
      </c>
      <c r="I2922" s="251">
        <v>25</v>
      </c>
      <c r="J2922" s="251">
        <v>20400</v>
      </c>
      <c r="K2922" s="860">
        <f t="shared" si="411"/>
        <v>510000</v>
      </c>
      <c r="L2922" s="861" t="s">
        <v>162</v>
      </c>
      <c r="M2922" s="861" t="s">
        <v>857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52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>632</v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826"/>
    </row>
    <row r="2923" spans="1:27" ht="15.75" customHeight="1">
      <c r="A2923" s="827" t="str">
        <f>IF(B2923&lt;&gt;"",IF(AND(B2923&gt;=_TM1,B2923&lt;=_TM2,OR(TH!L2923="1111",TH!M2923="1111")),TH!D2923,""),"")</f>
        <v/>
      </c>
      <c r="B2923" s="36">
        <f t="shared" si="412"/>
        <v>6</v>
      </c>
      <c r="C2923" s="190">
        <f t="shared" si="410"/>
        <v>42532</v>
      </c>
      <c r="D2923" s="856" t="s">
        <v>1662</v>
      </c>
      <c r="E2923" s="48">
        <v>42532</v>
      </c>
      <c r="F2923" s="857" t="s">
        <v>748</v>
      </c>
      <c r="G2923" s="858" t="s">
        <v>742</v>
      </c>
      <c r="H2923" s="859" t="s">
        <v>1310</v>
      </c>
      <c r="I2923" s="251">
        <v>22</v>
      </c>
      <c r="J2923" s="251">
        <v>16608</v>
      </c>
      <c r="K2923" s="860">
        <f t="shared" si="411"/>
        <v>365376</v>
      </c>
      <c r="L2923" s="861" t="s">
        <v>162</v>
      </c>
      <c r="M2923" s="861" t="s">
        <v>857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52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>632</v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826"/>
    </row>
    <row r="2924" spans="1:27" ht="15.75" customHeight="1">
      <c r="A2924" s="827" t="str">
        <f>IF(B2924&lt;&gt;"",IF(AND(B2924&gt;=_TM1,B2924&lt;=_TM2,OR(TH!L2924="1111",TH!M2924="1111")),TH!D2924,""),"")</f>
        <v/>
      </c>
      <c r="B2924" s="36">
        <f t="shared" si="412"/>
        <v>6</v>
      </c>
      <c r="C2924" s="190">
        <f t="shared" si="410"/>
        <v>42532</v>
      </c>
      <c r="D2924" s="856" t="s">
        <v>1662</v>
      </c>
      <c r="E2924" s="863">
        <v>42532</v>
      </c>
      <c r="F2924" s="868" t="s">
        <v>747</v>
      </c>
      <c r="G2924" s="872" t="s">
        <v>742</v>
      </c>
      <c r="H2924" s="859" t="s">
        <v>1310</v>
      </c>
      <c r="I2924" s="251">
        <v>14</v>
      </c>
      <c r="J2924" s="251">
        <v>37854</v>
      </c>
      <c r="K2924" s="860">
        <f t="shared" si="411"/>
        <v>529956</v>
      </c>
      <c r="L2924" s="861" t="s">
        <v>162</v>
      </c>
      <c r="M2924" s="861" t="s">
        <v>857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52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>632</v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826"/>
    </row>
    <row r="2925" spans="1:27" ht="15.75" customHeight="1">
      <c r="A2925" s="827" t="str">
        <f>IF(B2925&lt;&gt;"",IF(AND(B2925&gt;=_TM1,B2925&lt;=_TM2,OR(TH!L2925="1111",TH!M2925="1111")),TH!D2925,""),"")</f>
        <v/>
      </c>
      <c r="B2925" s="36">
        <f t="shared" si="412"/>
        <v>6</v>
      </c>
      <c r="C2925" s="190">
        <f t="shared" si="410"/>
        <v>42532</v>
      </c>
      <c r="D2925" s="856" t="s">
        <v>1662</v>
      </c>
      <c r="E2925" s="863">
        <v>42532</v>
      </c>
      <c r="F2925" s="868" t="s">
        <v>749</v>
      </c>
      <c r="G2925" s="872" t="s">
        <v>742</v>
      </c>
      <c r="H2925" s="859" t="s">
        <v>1310</v>
      </c>
      <c r="I2925" s="251">
        <v>12</v>
      </c>
      <c r="J2925" s="251">
        <v>3155</v>
      </c>
      <c r="K2925" s="860">
        <f t="shared" si="411"/>
        <v>37860</v>
      </c>
      <c r="L2925" s="861" t="s">
        <v>162</v>
      </c>
      <c r="M2925" s="861" t="s">
        <v>857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52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>632</v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826"/>
    </row>
    <row r="2926" spans="1:27" ht="15.75" customHeight="1">
      <c r="A2926" s="827" t="str">
        <f>IF(B2926&lt;&gt;"",IF(AND(B2926&gt;=_TM1,B2926&lt;=_TM2,OR(TH!L2926="1111",TH!M2926="1111")),TH!D2926,""),"")</f>
        <v/>
      </c>
      <c r="B2926" s="36">
        <f t="shared" si="412"/>
        <v>6</v>
      </c>
      <c r="C2926" s="190">
        <f t="shared" si="410"/>
        <v>42532</v>
      </c>
      <c r="D2926" s="856" t="s">
        <v>1662</v>
      </c>
      <c r="E2926" s="856">
        <v>42532</v>
      </c>
      <c r="F2926" s="857" t="s">
        <v>750</v>
      </c>
      <c r="G2926" s="858" t="s">
        <v>742</v>
      </c>
      <c r="H2926" s="859" t="s">
        <v>1310</v>
      </c>
      <c r="I2926" s="251">
        <v>86</v>
      </c>
      <c r="J2926" s="251">
        <v>4124</v>
      </c>
      <c r="K2926" s="860">
        <f t="shared" si="411"/>
        <v>354664</v>
      </c>
      <c r="L2926" s="861" t="s">
        <v>162</v>
      </c>
      <c r="M2926" s="861" t="s">
        <v>857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52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>632</v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826"/>
    </row>
    <row r="2927" spans="1:27" ht="15.75" customHeight="1">
      <c r="A2927" s="827" t="str">
        <f>IF(B2927&lt;&gt;"",IF(AND(B2927&gt;=_TM1,B2927&lt;=_TM2,OR(TH!L2927="1111",TH!M2927="1111")),TH!D2927,""),"")</f>
        <v/>
      </c>
      <c r="B2927" s="36">
        <f t="shared" si="412"/>
        <v>6</v>
      </c>
      <c r="C2927" s="190">
        <f t="shared" si="410"/>
        <v>42532</v>
      </c>
      <c r="D2927" s="856" t="s">
        <v>1662</v>
      </c>
      <c r="E2927" s="856">
        <v>42532</v>
      </c>
      <c r="F2927" s="857" t="s">
        <v>656</v>
      </c>
      <c r="G2927" s="858" t="s">
        <v>751</v>
      </c>
      <c r="H2927" s="859" t="s">
        <v>1310</v>
      </c>
      <c r="I2927" s="251">
        <v>27</v>
      </c>
      <c r="J2927" s="251">
        <v>4285</v>
      </c>
      <c r="K2927" s="860">
        <f t="shared" si="411"/>
        <v>115695</v>
      </c>
      <c r="L2927" s="861" t="s">
        <v>162</v>
      </c>
      <c r="M2927" s="861" t="s">
        <v>857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52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>632</v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826"/>
    </row>
    <row r="2928" spans="1:27" ht="15.75" customHeight="1">
      <c r="A2928" s="827" t="str">
        <f>IF(B2928&lt;&gt;"",IF(AND(B2928&gt;=_TM1,B2928&lt;=_TM2,OR(TH!L2928="1111",TH!M2928="1111")),TH!D2928,""),"")</f>
        <v/>
      </c>
      <c r="B2928" s="36">
        <f t="shared" si="412"/>
        <v>6</v>
      </c>
      <c r="C2928" s="190">
        <f t="shared" si="410"/>
        <v>42532</v>
      </c>
      <c r="D2928" s="856" t="s">
        <v>1662</v>
      </c>
      <c r="E2928" s="856">
        <v>42532</v>
      </c>
      <c r="F2928" s="868" t="s">
        <v>690</v>
      </c>
      <c r="G2928" s="872" t="s">
        <v>751</v>
      </c>
      <c r="H2928" s="859" t="s">
        <v>1310</v>
      </c>
      <c r="I2928" s="251">
        <v>100</v>
      </c>
      <c r="J2928" s="251">
        <v>4557</v>
      </c>
      <c r="K2928" s="860">
        <f t="shared" si="411"/>
        <v>455700</v>
      </c>
      <c r="L2928" s="861" t="s">
        <v>162</v>
      </c>
      <c r="M2928" s="861" t="s">
        <v>857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52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>632</v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826"/>
    </row>
    <row r="2929" spans="1:27" ht="15.75" customHeight="1">
      <c r="A2929" s="827" t="str">
        <f>IF(B2929&lt;&gt;"",IF(AND(B2929&gt;=_TM1,B2929&lt;=_TM2,OR(TH!L2929="1111",TH!M2929="1111")),TH!D2929,""),"")</f>
        <v/>
      </c>
      <c r="B2929" s="36">
        <f t="shared" si="412"/>
        <v>6</v>
      </c>
      <c r="C2929" s="190">
        <f t="shared" si="410"/>
        <v>42532</v>
      </c>
      <c r="D2929" s="856" t="s">
        <v>1662</v>
      </c>
      <c r="E2929" s="856">
        <v>42532</v>
      </c>
      <c r="F2929" s="868" t="s">
        <v>754</v>
      </c>
      <c r="G2929" s="872" t="s">
        <v>751</v>
      </c>
      <c r="H2929" s="859" t="s">
        <v>1310</v>
      </c>
      <c r="I2929" s="251">
        <v>1000</v>
      </c>
      <c r="J2929" s="251">
        <v>763</v>
      </c>
      <c r="K2929" s="860">
        <f t="shared" si="411"/>
        <v>763000</v>
      </c>
      <c r="L2929" s="861" t="s">
        <v>162</v>
      </c>
      <c r="M2929" s="861" t="s">
        <v>857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52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>632</v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826"/>
    </row>
    <row r="2930" spans="1:27" ht="15.75" customHeight="1">
      <c r="A2930" s="827" t="str">
        <f>IF(B2930&lt;&gt;"",IF(AND(B2930&gt;=_TM1,B2930&lt;=_TM2,OR(TH!L2930="1111",TH!M2930="1111")),TH!D2930,""),"")</f>
        <v/>
      </c>
      <c r="B2930" s="36">
        <f t="shared" si="412"/>
        <v>6</v>
      </c>
      <c r="C2930" s="190">
        <f t="shared" si="410"/>
        <v>42532</v>
      </c>
      <c r="D2930" s="856" t="s">
        <v>1662</v>
      </c>
      <c r="E2930" s="856">
        <v>42532</v>
      </c>
      <c r="F2930" s="868" t="s">
        <v>683</v>
      </c>
      <c r="G2930" s="872" t="s">
        <v>751</v>
      </c>
      <c r="H2930" s="859" t="s">
        <v>1310</v>
      </c>
      <c r="I2930" s="251">
        <v>10</v>
      </c>
      <c r="J2930" s="251">
        <v>55421</v>
      </c>
      <c r="K2930" s="860">
        <f t="shared" si="411"/>
        <v>554210</v>
      </c>
      <c r="L2930" s="861" t="s">
        <v>162</v>
      </c>
      <c r="M2930" s="861" t="s">
        <v>857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52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>632</v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826"/>
    </row>
    <row r="2931" spans="1:27" ht="15.75" customHeight="1">
      <c r="A2931" s="827" t="str">
        <f>IF(B2931&lt;&gt;"",IF(AND(B2931&gt;=_TM1,B2931&lt;=_TM2,OR(TH!L2931="1111",TH!M2931="1111")),TH!D2931,""),"")</f>
        <v/>
      </c>
      <c r="B2931" s="36">
        <f t="shared" si="412"/>
        <v>6</v>
      </c>
      <c r="C2931" s="190">
        <f t="shared" si="410"/>
        <v>42532</v>
      </c>
      <c r="D2931" s="856" t="s">
        <v>1662</v>
      </c>
      <c r="E2931" s="856">
        <v>42532</v>
      </c>
      <c r="F2931" s="868" t="s">
        <v>755</v>
      </c>
      <c r="G2931" s="858" t="s">
        <v>751</v>
      </c>
      <c r="H2931" s="859" t="s">
        <v>1310</v>
      </c>
      <c r="I2931" s="251">
        <v>26</v>
      </c>
      <c r="J2931" s="251">
        <v>33168</v>
      </c>
      <c r="K2931" s="860">
        <f t="shared" si="411"/>
        <v>862368</v>
      </c>
      <c r="L2931" s="861" t="s">
        <v>162</v>
      </c>
      <c r="M2931" s="861" t="s">
        <v>857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52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>632</v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826"/>
    </row>
    <row r="2932" spans="1:27" ht="15.75" customHeight="1">
      <c r="A2932" s="827" t="str">
        <f>IF(B2932&lt;&gt;"",IF(AND(B2932&gt;=_TM1,B2932&lt;=_TM2,OR(TH!L2932="1111",TH!M2932="1111")),TH!D2932,""),"")</f>
        <v/>
      </c>
      <c r="B2932" s="36">
        <f t="shared" si="412"/>
        <v>6</v>
      </c>
      <c r="C2932" s="190">
        <f t="shared" si="410"/>
        <v>42532</v>
      </c>
      <c r="D2932" s="856" t="s">
        <v>1662</v>
      </c>
      <c r="E2932" s="856">
        <v>42532</v>
      </c>
      <c r="F2932" s="868" t="s">
        <v>756</v>
      </c>
      <c r="G2932" s="858" t="s">
        <v>751</v>
      </c>
      <c r="H2932" s="859" t="s">
        <v>1310</v>
      </c>
      <c r="I2932" s="251">
        <v>14</v>
      </c>
      <c r="J2932" s="251">
        <v>51418</v>
      </c>
      <c r="K2932" s="860">
        <f t="shared" si="411"/>
        <v>719852</v>
      </c>
      <c r="L2932" s="861" t="s">
        <v>162</v>
      </c>
      <c r="M2932" s="861" t="s">
        <v>857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52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>632</v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826"/>
    </row>
    <row r="2933" spans="1:27" ht="15.75" customHeight="1">
      <c r="A2933" s="827" t="str">
        <f>IF(B2933&lt;&gt;"",IF(AND(B2933&gt;=_TM1,B2933&lt;=_TM2,OR(TH!L2933="1111",TH!M2933="1111")),TH!D2933,""),"")</f>
        <v/>
      </c>
      <c r="B2933" s="36">
        <f t="shared" si="412"/>
        <v>6</v>
      </c>
      <c r="C2933" s="190">
        <f t="shared" si="410"/>
        <v>42532</v>
      </c>
      <c r="D2933" s="856" t="s">
        <v>1662</v>
      </c>
      <c r="E2933" s="856">
        <v>42532</v>
      </c>
      <c r="F2933" s="857" t="s">
        <v>757</v>
      </c>
      <c r="G2933" s="858" t="s">
        <v>751</v>
      </c>
      <c r="H2933" s="859" t="s">
        <v>1310</v>
      </c>
      <c r="I2933" s="251">
        <v>10</v>
      </c>
      <c r="J2933" s="251">
        <v>57766</v>
      </c>
      <c r="K2933" s="860">
        <f t="shared" si="411"/>
        <v>577660</v>
      </c>
      <c r="L2933" s="861" t="s">
        <v>162</v>
      </c>
      <c r="M2933" s="861" t="s">
        <v>857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52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>632</v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826"/>
    </row>
    <row r="2934" spans="1:27" ht="15.75" customHeight="1">
      <c r="A2934" s="827" t="str">
        <f>IF(B2934&lt;&gt;"",IF(AND(B2934&gt;=_TM1,B2934&lt;=_TM2,OR(TH!L2934="1111",TH!M2934="1111")),TH!D2934,""),"")</f>
        <v/>
      </c>
      <c r="B2934" s="36">
        <f t="shared" si="412"/>
        <v>6</v>
      </c>
      <c r="C2934" s="190">
        <f t="shared" ref="C2934:C2965" si="413">E2934</f>
        <v>42532</v>
      </c>
      <c r="D2934" s="856" t="s">
        <v>1662</v>
      </c>
      <c r="E2934" s="906">
        <v>42532</v>
      </c>
      <c r="F2934" s="908" t="s">
        <v>758</v>
      </c>
      <c r="G2934" s="831" t="s">
        <v>751</v>
      </c>
      <c r="H2934" s="859" t="s">
        <v>1310</v>
      </c>
      <c r="I2934" s="251">
        <v>32</v>
      </c>
      <c r="J2934" s="251">
        <v>40482</v>
      </c>
      <c r="K2934" s="860">
        <f t="shared" si="411"/>
        <v>1295424</v>
      </c>
      <c r="L2934" s="861" t="s">
        <v>162</v>
      </c>
      <c r="M2934" s="861" t="s">
        <v>857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52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>632</v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826"/>
    </row>
    <row r="2935" spans="1:27" ht="15.75" customHeight="1">
      <c r="A2935" s="827" t="str">
        <f>IF(B2935&lt;&gt;"",IF(AND(B2935&gt;=_TM1,B2935&lt;=_TM2,OR(TH!L2935="1111",TH!M2935="1111")),TH!D2935,""),"")</f>
        <v/>
      </c>
      <c r="B2935" s="36">
        <f t="shared" si="412"/>
        <v>6</v>
      </c>
      <c r="C2935" s="190">
        <f t="shared" si="413"/>
        <v>42532</v>
      </c>
      <c r="D2935" s="856" t="s">
        <v>1662</v>
      </c>
      <c r="E2935" s="856">
        <v>42532</v>
      </c>
      <c r="F2935" s="857" t="s">
        <v>759</v>
      </c>
      <c r="G2935" s="858" t="s">
        <v>751</v>
      </c>
      <c r="H2935" s="859" t="s">
        <v>1310</v>
      </c>
      <c r="I2935" s="251">
        <v>2</v>
      </c>
      <c r="J2935" s="251">
        <v>42242</v>
      </c>
      <c r="K2935" s="860">
        <f t="shared" si="411"/>
        <v>84484</v>
      </c>
      <c r="L2935" s="861" t="s">
        <v>162</v>
      </c>
      <c r="M2935" s="861" t="s">
        <v>857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52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>632</v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826"/>
    </row>
    <row r="2936" spans="1:27" ht="15.75" customHeight="1">
      <c r="A2936" s="827" t="str">
        <f>IF(B2936&lt;&gt;"",IF(AND(B2936&gt;=_TM1,B2936&lt;=_TM2,OR(TH!L2936="1111",TH!M2936="1111")),TH!D2936,""),"")</f>
        <v/>
      </c>
      <c r="B2936" s="36">
        <f t="shared" si="412"/>
        <v>6</v>
      </c>
      <c r="C2936" s="190">
        <f t="shared" si="413"/>
        <v>42532</v>
      </c>
      <c r="D2936" s="856" t="s">
        <v>1662</v>
      </c>
      <c r="E2936" s="856">
        <v>42532</v>
      </c>
      <c r="F2936" s="857" t="s">
        <v>760</v>
      </c>
      <c r="G2936" s="858" t="s">
        <v>751</v>
      </c>
      <c r="H2936" s="859" t="s">
        <v>1310</v>
      </c>
      <c r="I2936" s="251">
        <v>32</v>
      </c>
      <c r="J2936" s="251">
        <v>39732</v>
      </c>
      <c r="K2936" s="860">
        <f t="shared" si="411"/>
        <v>1271424</v>
      </c>
      <c r="L2936" s="861" t="s">
        <v>162</v>
      </c>
      <c r="M2936" s="861" t="s">
        <v>857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52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>632</v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826"/>
    </row>
    <row r="2937" spans="1:27" ht="15.75" customHeight="1">
      <c r="A2937" s="827" t="str">
        <f>IF(B2937&lt;&gt;"",IF(AND(B2937&gt;=_TM1,B2937&lt;=_TM2,OR(TH!L2937="1111",TH!M2937="1111")),TH!D2937,""),"")</f>
        <v/>
      </c>
      <c r="B2937" s="36">
        <f t="shared" si="412"/>
        <v>6</v>
      </c>
      <c r="C2937" s="190">
        <f t="shared" si="413"/>
        <v>42532</v>
      </c>
      <c r="D2937" s="856" t="s">
        <v>1662</v>
      </c>
      <c r="E2937" s="856">
        <v>42532</v>
      </c>
      <c r="F2937" s="857" t="s">
        <v>761</v>
      </c>
      <c r="G2937" s="858" t="s">
        <v>751</v>
      </c>
      <c r="H2937" s="859" t="s">
        <v>1310</v>
      </c>
      <c r="I2937" s="251">
        <v>18</v>
      </c>
      <c r="J2937" s="251">
        <v>71461</v>
      </c>
      <c r="K2937" s="860">
        <f t="shared" si="411"/>
        <v>1286298</v>
      </c>
      <c r="L2937" s="861" t="s">
        <v>162</v>
      </c>
      <c r="M2937" s="861" t="s">
        <v>857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52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>632</v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826"/>
    </row>
    <row r="2938" spans="1:27" ht="15.75" customHeight="1">
      <c r="A2938" s="827" t="str">
        <f>IF(B2938&lt;&gt;"",IF(AND(B2938&gt;=_TM1,B2938&lt;=_TM2,OR(TH!L2938="1111",TH!M2938="1111")),TH!D2938,""),"")</f>
        <v/>
      </c>
      <c r="B2938" s="36">
        <f t="shared" si="412"/>
        <v>6</v>
      </c>
      <c r="C2938" s="190">
        <f t="shared" si="413"/>
        <v>42532</v>
      </c>
      <c r="D2938" s="856" t="s">
        <v>1662</v>
      </c>
      <c r="E2938" s="856">
        <v>42532</v>
      </c>
      <c r="F2938" s="857" t="s">
        <v>762</v>
      </c>
      <c r="G2938" s="858" t="s">
        <v>751</v>
      </c>
      <c r="H2938" s="859" t="s">
        <v>1310</v>
      </c>
      <c r="I2938" s="251">
        <v>19</v>
      </c>
      <c r="J2938" s="251">
        <v>51043</v>
      </c>
      <c r="K2938" s="860">
        <f t="shared" si="411"/>
        <v>969817</v>
      </c>
      <c r="L2938" s="861" t="s">
        <v>162</v>
      </c>
      <c r="M2938" s="861" t="s">
        <v>857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52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>632</v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826"/>
    </row>
    <row r="2939" spans="1:27" ht="15.75" customHeight="1">
      <c r="A2939" s="827" t="str">
        <f>IF(B2939&lt;&gt;"",IF(AND(B2939&gt;=_TM1,B2939&lt;=_TM2,OR(TH!L2939="1111",TH!M2939="1111")),TH!D2939,""),"")</f>
        <v/>
      </c>
      <c r="B2939" s="36">
        <f t="shared" si="412"/>
        <v>6</v>
      </c>
      <c r="C2939" s="190">
        <f t="shared" si="413"/>
        <v>42532</v>
      </c>
      <c r="D2939" s="856" t="s">
        <v>1662</v>
      </c>
      <c r="E2939" s="906">
        <v>42532</v>
      </c>
      <c r="F2939" s="868" t="s">
        <v>763</v>
      </c>
      <c r="G2939" s="831" t="s">
        <v>751</v>
      </c>
      <c r="H2939" s="859" t="s">
        <v>1310</v>
      </c>
      <c r="I2939" s="251">
        <v>88</v>
      </c>
      <c r="J2939" s="251">
        <v>68337.136363636368</v>
      </c>
      <c r="K2939" s="860">
        <f t="shared" si="411"/>
        <v>6013668</v>
      </c>
      <c r="L2939" s="861" t="s">
        <v>162</v>
      </c>
      <c r="M2939" s="861" t="s">
        <v>857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52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>632</v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826"/>
    </row>
    <row r="2940" spans="1:27" ht="15.75" customHeight="1">
      <c r="A2940" s="827" t="str">
        <f>IF(B2940&lt;&gt;"",IF(AND(B2940&gt;=_TM1,B2940&lt;=_TM2,OR(TH!L2940="1111",TH!M2940="1111")),TH!D2940,""),"")</f>
        <v/>
      </c>
      <c r="B2940" s="36">
        <f t="shared" si="412"/>
        <v>6</v>
      </c>
      <c r="C2940" s="190">
        <f t="shared" si="413"/>
        <v>42532</v>
      </c>
      <c r="D2940" s="856" t="s">
        <v>1662</v>
      </c>
      <c r="E2940" s="906">
        <v>42532</v>
      </c>
      <c r="F2940" s="49" t="s">
        <v>764</v>
      </c>
      <c r="G2940" s="831" t="s">
        <v>751</v>
      </c>
      <c r="H2940" s="859" t="s">
        <v>1310</v>
      </c>
      <c r="I2940" s="251">
        <v>38</v>
      </c>
      <c r="J2940" s="251">
        <v>84346</v>
      </c>
      <c r="K2940" s="860">
        <f t="shared" si="411"/>
        <v>3205148</v>
      </c>
      <c r="L2940" s="861" t="s">
        <v>162</v>
      </c>
      <c r="M2940" s="861" t="s">
        <v>857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52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>632</v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826"/>
    </row>
    <row r="2941" spans="1:27" ht="15.75" customHeight="1">
      <c r="A2941" s="827" t="str">
        <f>IF(B2941&lt;&gt;"",IF(AND(B2941&gt;=_TM1,B2941&lt;=_TM2,OR(TH!L2941="1111",TH!M2941="1111")),TH!D2941,""),"")</f>
        <v/>
      </c>
      <c r="B2941" s="36">
        <f t="shared" si="412"/>
        <v>6</v>
      </c>
      <c r="C2941" s="190">
        <f t="shared" si="413"/>
        <v>42532</v>
      </c>
      <c r="D2941" s="856" t="s">
        <v>1662</v>
      </c>
      <c r="E2941" s="906">
        <v>42532</v>
      </c>
      <c r="F2941" s="868" t="s">
        <v>765</v>
      </c>
      <c r="G2941" s="831" t="s">
        <v>751</v>
      </c>
      <c r="H2941" s="859" t="s">
        <v>1310</v>
      </c>
      <c r="I2941" s="251">
        <v>40</v>
      </c>
      <c r="J2941" s="251">
        <v>72380</v>
      </c>
      <c r="K2941" s="860">
        <f t="shared" si="411"/>
        <v>2895200</v>
      </c>
      <c r="L2941" s="861" t="s">
        <v>162</v>
      </c>
      <c r="M2941" s="861" t="s">
        <v>857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52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>632</v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826"/>
    </row>
    <row r="2942" spans="1:27" ht="15.75" customHeight="1">
      <c r="A2942" s="827" t="str">
        <f>IF(B2942&lt;&gt;"",IF(AND(B2942&gt;=_TM1,B2942&lt;=_TM2,OR(TH!L2942="1111",TH!M2942="1111")),TH!D2942,""),"")</f>
        <v/>
      </c>
      <c r="B2942" s="36">
        <f t="shared" si="412"/>
        <v>6</v>
      </c>
      <c r="C2942" s="190">
        <f t="shared" si="413"/>
        <v>42532</v>
      </c>
      <c r="D2942" s="856" t="s">
        <v>1662</v>
      </c>
      <c r="E2942" s="906">
        <v>42532</v>
      </c>
      <c r="F2942" s="868" t="s">
        <v>454</v>
      </c>
      <c r="G2942" s="831" t="s">
        <v>751</v>
      </c>
      <c r="H2942" s="859" t="s">
        <v>1310</v>
      </c>
      <c r="I2942" s="251">
        <v>40</v>
      </c>
      <c r="J2942" s="251">
        <v>73996</v>
      </c>
      <c r="K2942" s="860">
        <f t="shared" si="411"/>
        <v>2959840</v>
      </c>
      <c r="L2942" s="861" t="s">
        <v>162</v>
      </c>
      <c r="M2942" s="861" t="s">
        <v>857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52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>632</v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826"/>
    </row>
    <row r="2943" spans="1:27" ht="15.75" customHeight="1">
      <c r="A2943" s="827" t="str">
        <f>IF(B2943&lt;&gt;"",IF(AND(B2943&gt;=_TM1,B2943&lt;=_TM2,OR(TH!L2943="1111",TH!M2943="1111")),TH!D2943,""),"")</f>
        <v/>
      </c>
      <c r="B2943" s="36">
        <f t="shared" si="412"/>
        <v>6</v>
      </c>
      <c r="C2943" s="190">
        <f t="shared" si="413"/>
        <v>42532</v>
      </c>
      <c r="D2943" s="856" t="s">
        <v>1662</v>
      </c>
      <c r="E2943" s="906">
        <v>42532</v>
      </c>
      <c r="F2943" s="868" t="s">
        <v>1011</v>
      </c>
      <c r="G2943" s="831" t="s">
        <v>751</v>
      </c>
      <c r="H2943" s="859" t="s">
        <v>1310</v>
      </c>
      <c r="I2943" s="251">
        <v>20</v>
      </c>
      <c r="J2943" s="251">
        <v>77984</v>
      </c>
      <c r="K2943" s="860">
        <f t="shared" si="411"/>
        <v>1559680</v>
      </c>
      <c r="L2943" s="861" t="s">
        <v>162</v>
      </c>
      <c r="M2943" s="861" t="s">
        <v>857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52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>632</v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826"/>
    </row>
    <row r="2944" spans="1:27" ht="15.75" customHeight="1">
      <c r="A2944" s="827" t="str">
        <f>IF(B2944&lt;&gt;"",IF(AND(B2944&gt;=_TM1,B2944&lt;=_TM2,OR(TH!L2944="1111",TH!M2944="1111")),TH!D2944,""),"")</f>
        <v/>
      </c>
      <c r="B2944" s="36">
        <f t="shared" si="412"/>
        <v>6</v>
      </c>
      <c r="C2944" s="190">
        <f t="shared" si="413"/>
        <v>42532</v>
      </c>
      <c r="D2944" s="856" t="s">
        <v>1662</v>
      </c>
      <c r="E2944" s="906">
        <v>42532</v>
      </c>
      <c r="F2944" s="49" t="s">
        <v>459</v>
      </c>
      <c r="G2944" s="831" t="s">
        <v>751</v>
      </c>
      <c r="H2944" s="859" t="s">
        <v>1310</v>
      </c>
      <c r="I2944" s="251">
        <v>155</v>
      </c>
      <c r="J2944" s="251">
        <v>15747</v>
      </c>
      <c r="K2944" s="860">
        <f t="shared" si="411"/>
        <v>2440785</v>
      </c>
      <c r="L2944" s="861" t="s">
        <v>162</v>
      </c>
      <c r="M2944" s="861" t="s">
        <v>857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52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>632</v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826"/>
    </row>
    <row r="2945" spans="1:27" ht="15.75" customHeight="1">
      <c r="A2945" s="827" t="str">
        <f>IF(B2945&lt;&gt;"",IF(AND(B2945&gt;=_TM1,B2945&lt;=_TM2,OR(TH!L2945="1111",TH!M2945="1111")),TH!D2945,""),"")</f>
        <v/>
      </c>
      <c r="B2945" s="36">
        <f t="shared" si="412"/>
        <v>6</v>
      </c>
      <c r="C2945" s="190">
        <f t="shared" si="413"/>
        <v>42532</v>
      </c>
      <c r="D2945" s="856" t="s">
        <v>1662</v>
      </c>
      <c r="E2945" s="906">
        <v>42532</v>
      </c>
      <c r="F2945" s="49" t="s">
        <v>459</v>
      </c>
      <c r="G2945" s="831" t="s">
        <v>751</v>
      </c>
      <c r="H2945" s="859" t="s">
        <v>1310</v>
      </c>
      <c r="I2945" s="251">
        <v>155</v>
      </c>
      <c r="J2945" s="251">
        <v>10762</v>
      </c>
      <c r="K2945" s="860">
        <f t="shared" si="411"/>
        <v>1668110</v>
      </c>
      <c r="L2945" s="861" t="s">
        <v>162</v>
      </c>
      <c r="M2945" s="861" t="s">
        <v>857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52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>632</v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826"/>
    </row>
    <row r="2946" spans="1:27" ht="15.75" customHeight="1">
      <c r="A2946" s="827" t="str">
        <f>IF(B2946&lt;&gt;"",IF(AND(B2946&gt;=_TM1,B2946&lt;=_TM2,OR(TH!L2946="1111",TH!M2946="1111")),TH!D2946,""),"")</f>
        <v/>
      </c>
      <c r="B2946" s="36">
        <f t="shared" ref="B2946:B2977" si="414">IF(C2946&lt;&gt;"",MONTH(C2946),"")</f>
        <v>6</v>
      </c>
      <c r="C2946" s="190">
        <f t="shared" si="413"/>
        <v>42532</v>
      </c>
      <c r="D2946" s="856" t="s">
        <v>1662</v>
      </c>
      <c r="E2946" s="906">
        <v>42532</v>
      </c>
      <c r="F2946" s="868" t="s">
        <v>767</v>
      </c>
      <c r="G2946" s="831" t="s">
        <v>751</v>
      </c>
      <c r="H2946" s="859" t="s">
        <v>1310</v>
      </c>
      <c r="I2946" s="251">
        <v>100</v>
      </c>
      <c r="J2946" s="251">
        <v>6153</v>
      </c>
      <c r="K2946" s="860">
        <f t="shared" si="411"/>
        <v>615300</v>
      </c>
      <c r="L2946" s="861" t="s">
        <v>162</v>
      </c>
      <c r="M2946" s="861" t="s">
        <v>857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52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>632</v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826"/>
    </row>
    <row r="2947" spans="1:27" ht="15.75" customHeight="1">
      <c r="A2947" s="827" t="str">
        <f>IF(B2947&lt;&gt;"",IF(AND(B2947&gt;=_TM1,B2947&lt;=_TM2,OR(TH!L2947="1111",TH!M2947="1111")),TH!D2947,""),"")</f>
        <v/>
      </c>
      <c r="B2947" s="36">
        <f t="shared" si="414"/>
        <v>6</v>
      </c>
      <c r="C2947" s="190">
        <f t="shared" si="413"/>
        <v>42532</v>
      </c>
      <c r="D2947" s="856" t="s">
        <v>1662</v>
      </c>
      <c r="E2947" s="906">
        <v>42532</v>
      </c>
      <c r="F2947" s="49" t="s">
        <v>768</v>
      </c>
      <c r="G2947" s="831" t="s">
        <v>751</v>
      </c>
      <c r="H2947" s="859" t="s">
        <v>1310</v>
      </c>
      <c r="I2947" s="251">
        <v>100</v>
      </c>
      <c r="J2947" s="251">
        <v>6153</v>
      </c>
      <c r="K2947" s="860">
        <f t="shared" si="411"/>
        <v>615300</v>
      </c>
      <c r="L2947" s="861" t="s">
        <v>162</v>
      </c>
      <c r="M2947" s="861" t="s">
        <v>857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52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>632</v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826"/>
    </row>
    <row r="2948" spans="1:27" ht="15.75" customHeight="1">
      <c r="A2948" s="827" t="str">
        <f>IF(B2948&lt;&gt;"",IF(AND(B2948&gt;=_TM1,B2948&lt;=_TM2,OR(TH!L2948="1111",TH!M2948="1111")),TH!D2948,""),"")</f>
        <v/>
      </c>
      <c r="B2948" s="36">
        <f t="shared" si="414"/>
        <v>6</v>
      </c>
      <c r="C2948" s="190">
        <f t="shared" si="413"/>
        <v>42532</v>
      </c>
      <c r="D2948" s="856" t="s">
        <v>1662</v>
      </c>
      <c r="E2948" s="906">
        <v>42532</v>
      </c>
      <c r="F2948" s="857" t="s">
        <v>627</v>
      </c>
      <c r="G2948" s="858" t="s">
        <v>751</v>
      </c>
      <c r="H2948" s="859" t="s">
        <v>1310</v>
      </c>
      <c r="I2948" s="251">
        <v>1000</v>
      </c>
      <c r="J2948" s="251">
        <v>6209</v>
      </c>
      <c r="K2948" s="860">
        <f t="shared" si="411"/>
        <v>6209000</v>
      </c>
      <c r="L2948" s="861" t="s">
        <v>162</v>
      </c>
      <c r="M2948" s="861" t="s">
        <v>857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52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>632</v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826"/>
    </row>
    <row r="2949" spans="1:27" ht="15.75" customHeight="1">
      <c r="A2949" s="827" t="str">
        <f>IF(B2949&lt;&gt;"",IF(AND(B2949&gt;=_TM1,B2949&lt;=_TM2,OR(TH!L2949="1111",TH!M2949="1111")),TH!D2949,""),"")</f>
        <v/>
      </c>
      <c r="B2949" s="36">
        <f t="shared" si="414"/>
        <v>6</v>
      </c>
      <c r="C2949" s="190">
        <f t="shared" si="413"/>
        <v>42532</v>
      </c>
      <c r="D2949" s="856" t="s">
        <v>1662</v>
      </c>
      <c r="E2949" s="856">
        <v>42532</v>
      </c>
      <c r="F2949" s="857" t="s">
        <v>671</v>
      </c>
      <c r="G2949" s="909" t="s">
        <v>751</v>
      </c>
      <c r="H2949" s="859" t="s">
        <v>1310</v>
      </c>
      <c r="I2949" s="251">
        <v>25</v>
      </c>
      <c r="J2949" s="251">
        <v>110639</v>
      </c>
      <c r="K2949" s="860">
        <f t="shared" si="411"/>
        <v>2765975</v>
      </c>
      <c r="L2949" s="861" t="s">
        <v>162</v>
      </c>
      <c r="M2949" s="861" t="s">
        <v>857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52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>632</v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826"/>
    </row>
    <row r="2950" spans="1:27" ht="15.75" customHeight="1">
      <c r="A2950" s="827" t="str">
        <f>IF(B2950&lt;&gt;"",IF(AND(B2950&gt;=_TM1,B2950&lt;=_TM2,OR(TH!L2950="1111",TH!M2950="1111")),TH!D2950,""),"")</f>
        <v/>
      </c>
      <c r="B2950" s="36">
        <f t="shared" si="414"/>
        <v>6</v>
      </c>
      <c r="C2950" s="190">
        <f t="shared" si="413"/>
        <v>42532</v>
      </c>
      <c r="D2950" s="856" t="s">
        <v>1662</v>
      </c>
      <c r="E2950" s="856">
        <v>42532</v>
      </c>
      <c r="F2950" s="857" t="s">
        <v>674</v>
      </c>
      <c r="G2950" s="909" t="s">
        <v>751</v>
      </c>
      <c r="H2950" s="859" t="s">
        <v>1310</v>
      </c>
      <c r="I2950" s="251">
        <v>48</v>
      </c>
      <c r="J2950" s="251">
        <v>40511</v>
      </c>
      <c r="K2950" s="860">
        <f t="shared" si="411"/>
        <v>1944528</v>
      </c>
      <c r="L2950" s="861" t="s">
        <v>162</v>
      </c>
      <c r="M2950" s="861" t="s">
        <v>857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52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>632</v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826"/>
    </row>
    <row r="2951" spans="1:27" ht="15.75" customHeight="1">
      <c r="A2951" s="827" t="str">
        <f>IF(B2951&lt;&gt;"",IF(AND(B2951&gt;=_TM1,B2951&lt;=_TM2,OR(TH!L2951="1111",TH!M2951="1111")),TH!D2951,""),"")</f>
        <v/>
      </c>
      <c r="B2951" s="36">
        <f t="shared" si="414"/>
        <v>6</v>
      </c>
      <c r="C2951" s="190">
        <f t="shared" si="413"/>
        <v>42532</v>
      </c>
      <c r="D2951" s="856" t="s">
        <v>1662</v>
      </c>
      <c r="E2951" s="906">
        <v>42532</v>
      </c>
      <c r="F2951" s="868" t="s">
        <v>670</v>
      </c>
      <c r="G2951" s="831" t="s">
        <v>751</v>
      </c>
      <c r="H2951" s="859" t="s">
        <v>1310</v>
      </c>
      <c r="I2951" s="251">
        <v>27</v>
      </c>
      <c r="J2951" s="251">
        <v>104596</v>
      </c>
      <c r="K2951" s="860">
        <f t="shared" si="411"/>
        <v>2824092</v>
      </c>
      <c r="L2951" s="861" t="s">
        <v>162</v>
      </c>
      <c r="M2951" s="861" t="s">
        <v>857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52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>632</v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826"/>
    </row>
    <row r="2952" spans="1:27" ht="15.75" customHeight="1">
      <c r="A2952" s="827" t="str">
        <f>IF(B2952&lt;&gt;"",IF(AND(B2952&gt;=_TM1,B2952&lt;=_TM2,OR(TH!L2952="1111",TH!M2952="1111")),TH!D2952,""),"")</f>
        <v/>
      </c>
      <c r="B2952" s="36">
        <f t="shared" si="414"/>
        <v>6</v>
      </c>
      <c r="C2952" s="190">
        <f t="shared" si="413"/>
        <v>42532</v>
      </c>
      <c r="D2952" s="856" t="s">
        <v>1662</v>
      </c>
      <c r="E2952" s="906">
        <v>42532</v>
      </c>
      <c r="F2952" s="868" t="s">
        <v>769</v>
      </c>
      <c r="G2952" s="831" t="s">
        <v>751</v>
      </c>
      <c r="H2952" s="859" t="s">
        <v>1310</v>
      </c>
      <c r="I2952" s="251">
        <v>180</v>
      </c>
      <c r="J2952" s="251">
        <v>14141</v>
      </c>
      <c r="K2952" s="860">
        <f t="shared" si="411"/>
        <v>2545380</v>
      </c>
      <c r="L2952" s="861" t="s">
        <v>162</v>
      </c>
      <c r="M2952" s="861" t="s">
        <v>857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52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>632</v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826"/>
    </row>
    <row r="2953" spans="1:27" ht="15.75" customHeight="1">
      <c r="A2953" s="827" t="str">
        <f>IF(B2953&lt;&gt;"",IF(AND(B2953&gt;=_TM1,B2953&lt;=_TM2,OR(TH!L2953="1111",TH!M2953="1111")),TH!D2953,""),"")</f>
        <v/>
      </c>
      <c r="B2953" s="36">
        <f t="shared" si="414"/>
        <v>6</v>
      </c>
      <c r="C2953" s="190">
        <f t="shared" si="413"/>
        <v>42532</v>
      </c>
      <c r="D2953" s="856" t="s">
        <v>1662</v>
      </c>
      <c r="E2953" s="906">
        <v>42532</v>
      </c>
      <c r="F2953" s="49" t="s">
        <v>770</v>
      </c>
      <c r="G2953" s="831" t="s">
        <v>751</v>
      </c>
      <c r="H2953" s="859" t="s">
        <v>1310</v>
      </c>
      <c r="I2953" s="251">
        <v>60</v>
      </c>
      <c r="J2953" s="251">
        <v>24907</v>
      </c>
      <c r="K2953" s="860">
        <f t="shared" si="411"/>
        <v>1494420</v>
      </c>
      <c r="L2953" s="861" t="s">
        <v>162</v>
      </c>
      <c r="M2953" s="861" t="s">
        <v>857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52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>632</v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826"/>
    </row>
    <row r="2954" spans="1:27" ht="15.75" customHeight="1">
      <c r="A2954" s="827" t="str">
        <f>IF(B2954&lt;&gt;"",IF(AND(B2954&gt;=_TM1,B2954&lt;=_TM2,OR(TH!L2954="1111",TH!M2954="1111")),TH!D2954,""),"")</f>
        <v/>
      </c>
      <c r="B2954" s="36">
        <f t="shared" si="414"/>
        <v>6</v>
      </c>
      <c r="C2954" s="190">
        <f t="shared" si="413"/>
        <v>42532</v>
      </c>
      <c r="D2954" s="856" t="s">
        <v>1662</v>
      </c>
      <c r="E2954" s="906">
        <v>42532</v>
      </c>
      <c r="F2954" s="49" t="s">
        <v>771</v>
      </c>
      <c r="G2954" s="831" t="s">
        <v>751</v>
      </c>
      <c r="H2954" s="859" t="s">
        <v>1310</v>
      </c>
      <c r="I2954" s="251">
        <v>200</v>
      </c>
      <c r="J2954" s="251">
        <v>11518</v>
      </c>
      <c r="K2954" s="860">
        <f t="shared" si="411"/>
        <v>2303600</v>
      </c>
      <c r="L2954" s="861" t="s">
        <v>162</v>
      </c>
      <c r="M2954" s="861" t="s">
        <v>857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52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>632</v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826"/>
    </row>
    <row r="2955" spans="1:27" ht="15.75" customHeight="1">
      <c r="A2955" s="827" t="str">
        <f>IF(B2955&lt;&gt;"",IF(AND(B2955&gt;=_TM1,B2955&lt;=_TM2,OR(TH!L2955="1111",TH!M2955="1111")),TH!D2955,""),"")</f>
        <v/>
      </c>
      <c r="B2955" s="36">
        <f t="shared" si="414"/>
        <v>6</v>
      </c>
      <c r="C2955" s="190">
        <f t="shared" si="413"/>
        <v>42532</v>
      </c>
      <c r="D2955" s="856" t="s">
        <v>1662</v>
      </c>
      <c r="E2955" s="906">
        <v>42532</v>
      </c>
      <c r="F2955" s="908" t="s">
        <v>732</v>
      </c>
      <c r="G2955" s="831" t="s">
        <v>751</v>
      </c>
      <c r="H2955" s="859" t="s">
        <v>1310</v>
      </c>
      <c r="I2955" s="251">
        <v>9</v>
      </c>
      <c r="J2955" s="251">
        <v>12444</v>
      </c>
      <c r="K2955" s="860">
        <f t="shared" si="411"/>
        <v>111996</v>
      </c>
      <c r="L2955" s="861" t="s">
        <v>162</v>
      </c>
      <c r="M2955" s="861" t="s">
        <v>857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52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>632</v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826"/>
    </row>
    <row r="2956" spans="1:27" ht="15.75" customHeight="1">
      <c r="A2956" s="827" t="str">
        <f>IF(B2956&lt;&gt;"",IF(AND(B2956&gt;=_TM1,B2956&lt;=_TM2,OR(TH!L2956="1111",TH!M2956="1111")),TH!D2956,""),"")</f>
        <v/>
      </c>
      <c r="B2956" s="36">
        <f t="shared" si="414"/>
        <v>6</v>
      </c>
      <c r="C2956" s="190">
        <f t="shared" si="413"/>
        <v>42532</v>
      </c>
      <c r="D2956" s="856" t="s">
        <v>1662</v>
      </c>
      <c r="E2956" s="906">
        <v>42532</v>
      </c>
      <c r="F2956" s="868" t="s">
        <v>773</v>
      </c>
      <c r="G2956" s="831" t="s">
        <v>751</v>
      </c>
      <c r="H2956" s="859" t="s">
        <v>1310</v>
      </c>
      <c r="I2956" s="251">
        <v>75</v>
      </c>
      <c r="J2956" s="251">
        <v>26567</v>
      </c>
      <c r="K2956" s="860">
        <f t="shared" si="411"/>
        <v>1992525</v>
      </c>
      <c r="L2956" s="861" t="s">
        <v>162</v>
      </c>
      <c r="M2956" s="861" t="s">
        <v>857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52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>632</v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826"/>
    </row>
    <row r="2957" spans="1:27" ht="15.75" customHeight="1">
      <c r="A2957" s="827" t="str">
        <f>IF(B2957&lt;&gt;"",IF(AND(B2957&gt;=_TM1,B2957&lt;=_TM2,OR(TH!L2957="1111",TH!M2957="1111")),TH!D2957,""),"")</f>
        <v/>
      </c>
      <c r="B2957" s="36">
        <f t="shared" si="414"/>
        <v>6</v>
      </c>
      <c r="C2957" s="190">
        <f t="shared" si="413"/>
        <v>42532</v>
      </c>
      <c r="D2957" s="856" t="s">
        <v>1662</v>
      </c>
      <c r="E2957" s="906">
        <v>42532</v>
      </c>
      <c r="F2957" s="49" t="s">
        <v>774</v>
      </c>
      <c r="G2957" s="831" t="s">
        <v>751</v>
      </c>
      <c r="H2957" s="859" t="s">
        <v>1310</v>
      </c>
      <c r="I2957" s="251">
        <v>40</v>
      </c>
      <c r="J2957" s="251">
        <v>24407</v>
      </c>
      <c r="K2957" s="860">
        <f t="shared" si="411"/>
        <v>976280</v>
      </c>
      <c r="L2957" s="861" t="s">
        <v>162</v>
      </c>
      <c r="M2957" s="861" t="s">
        <v>857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52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>632</v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826"/>
    </row>
    <row r="2958" spans="1:27" ht="15.75" customHeight="1">
      <c r="A2958" s="827" t="str">
        <f>IF(B2958&lt;&gt;"",IF(AND(B2958&gt;=_TM1,B2958&lt;=_TM2,OR(TH!L2958="1111",TH!M2958="1111")),TH!D2958,""),"")</f>
        <v/>
      </c>
      <c r="B2958" s="36">
        <f t="shared" si="414"/>
        <v>6</v>
      </c>
      <c r="C2958" s="190">
        <f t="shared" si="413"/>
        <v>42532</v>
      </c>
      <c r="D2958" s="856" t="s">
        <v>1662</v>
      </c>
      <c r="E2958" s="906">
        <v>42532</v>
      </c>
      <c r="F2958" s="868" t="s">
        <v>432</v>
      </c>
      <c r="G2958" s="831" t="s">
        <v>751</v>
      </c>
      <c r="H2958" s="859" t="s">
        <v>1310</v>
      </c>
      <c r="I2958" s="251">
        <v>180</v>
      </c>
      <c r="J2958" s="251">
        <v>16181</v>
      </c>
      <c r="K2958" s="860">
        <f t="shared" si="411"/>
        <v>2912580</v>
      </c>
      <c r="L2958" s="861" t="s">
        <v>162</v>
      </c>
      <c r="M2958" s="861" t="s">
        <v>857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52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>632</v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826"/>
    </row>
    <row r="2959" spans="1:27" ht="15.75" customHeight="1">
      <c r="A2959" s="827" t="str">
        <f>IF(B2959&lt;&gt;"",IF(AND(B2959&gt;=_TM1,B2959&lt;=_TM2,OR(TH!L2959="1111",TH!M2959="1111")),TH!D2959,""),"")</f>
        <v/>
      </c>
      <c r="B2959" s="36">
        <f t="shared" si="414"/>
        <v>6</v>
      </c>
      <c r="C2959" s="190">
        <f t="shared" si="413"/>
        <v>42532</v>
      </c>
      <c r="D2959" s="856" t="s">
        <v>1662</v>
      </c>
      <c r="E2959" s="906">
        <v>42532</v>
      </c>
      <c r="F2959" s="49" t="s">
        <v>1014</v>
      </c>
      <c r="G2959" s="831" t="s">
        <v>751</v>
      </c>
      <c r="H2959" s="859" t="s">
        <v>1310</v>
      </c>
      <c r="I2959" s="251">
        <v>44</v>
      </c>
      <c r="J2959" s="251">
        <v>64232</v>
      </c>
      <c r="K2959" s="860">
        <f t="shared" si="411"/>
        <v>2826208</v>
      </c>
      <c r="L2959" s="861" t="s">
        <v>162</v>
      </c>
      <c r="M2959" s="861" t="s">
        <v>857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52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>632</v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826"/>
    </row>
    <row r="2960" spans="1:27" ht="15.75" customHeight="1">
      <c r="A2960" s="827" t="str">
        <f>IF(B2960&lt;&gt;"",IF(AND(B2960&gt;=_TM1,B2960&lt;=_TM2,OR(TH!L2960="1111",TH!M2960="1111")),TH!D2960,""),"")</f>
        <v/>
      </c>
      <c r="B2960" s="36">
        <f t="shared" si="414"/>
        <v>6</v>
      </c>
      <c r="C2960" s="190">
        <f t="shared" si="413"/>
        <v>42535</v>
      </c>
      <c r="D2960" s="856" t="s">
        <v>1662</v>
      </c>
      <c r="E2960" s="906">
        <v>42535</v>
      </c>
      <c r="F2960" s="49" t="s">
        <v>451</v>
      </c>
      <c r="G2960" s="831" t="s">
        <v>775</v>
      </c>
      <c r="H2960" s="859" t="s">
        <v>1310</v>
      </c>
      <c r="I2960" s="251">
        <v>3900</v>
      </c>
      <c r="J2960" s="251">
        <v>17760</v>
      </c>
      <c r="K2960" s="860">
        <f t="shared" si="411"/>
        <v>69264000</v>
      </c>
      <c r="L2960" s="861" t="s">
        <v>162</v>
      </c>
      <c r="M2960" s="861" t="s">
        <v>857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52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>632</v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>x</v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826"/>
    </row>
    <row r="2961" spans="1:27" ht="15.75" customHeight="1">
      <c r="A2961" s="827" t="str">
        <f>IF(B2961&lt;&gt;"",IF(AND(B2961&gt;=_TM1,B2961&lt;=_TM2,OR(TH!L2961="1111",TH!M2961="1111")),TH!D2961,""),"")</f>
        <v/>
      </c>
      <c r="B2961" s="36">
        <f t="shared" si="414"/>
        <v>6</v>
      </c>
      <c r="C2961" s="190">
        <f t="shared" si="413"/>
        <v>42535</v>
      </c>
      <c r="D2961" s="856" t="s">
        <v>1662</v>
      </c>
      <c r="E2961" s="906">
        <v>42535</v>
      </c>
      <c r="F2961" s="868" t="s">
        <v>450</v>
      </c>
      <c r="G2961" s="831" t="s">
        <v>775</v>
      </c>
      <c r="H2961" s="859" t="s">
        <v>1310</v>
      </c>
      <c r="I2961" s="251">
        <v>3500</v>
      </c>
      <c r="J2961" s="251">
        <v>17760</v>
      </c>
      <c r="K2961" s="860">
        <f t="shared" si="411"/>
        <v>62160000</v>
      </c>
      <c r="L2961" s="861" t="s">
        <v>162</v>
      </c>
      <c r="M2961" s="861" t="s">
        <v>857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52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>632</v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826"/>
    </row>
    <row r="2962" spans="1:27" ht="15.75" customHeight="1">
      <c r="A2962" s="827" t="str">
        <f>IF(B2962&lt;&gt;"",IF(AND(B2962&gt;=_TM1,B2962&lt;=_TM2,OR(TH!L2962="1111",TH!M2962="1111")),TH!D2962,""),"")</f>
        <v/>
      </c>
      <c r="B2962" s="36">
        <f t="shared" si="414"/>
        <v>6</v>
      </c>
      <c r="C2962" s="190">
        <f t="shared" si="413"/>
        <v>42539</v>
      </c>
      <c r="D2962" s="856" t="s">
        <v>1662</v>
      </c>
      <c r="E2962" s="906">
        <v>42539</v>
      </c>
      <c r="F2962" s="49" t="s">
        <v>451</v>
      </c>
      <c r="G2962" s="831" t="s">
        <v>782</v>
      </c>
      <c r="H2962" s="859" t="s">
        <v>1310</v>
      </c>
      <c r="I2962" s="251">
        <v>1000</v>
      </c>
      <c r="J2962" s="251">
        <v>10080</v>
      </c>
      <c r="K2962" s="860">
        <f t="shared" si="411"/>
        <v>10080000</v>
      </c>
      <c r="L2962" s="861" t="s">
        <v>162</v>
      </c>
      <c r="M2962" s="861" t="s">
        <v>857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52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>632</v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>x</v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826"/>
    </row>
    <row r="2963" spans="1:27" ht="15.75" customHeight="1">
      <c r="A2963" s="827" t="str">
        <f>IF(B2963&lt;&gt;"",IF(AND(B2963&gt;=_TM1,B2963&lt;=_TM2,OR(TH!L2963="1111",TH!M2963="1111")),TH!D2963,""),"")</f>
        <v/>
      </c>
      <c r="B2963" s="36">
        <f t="shared" si="414"/>
        <v>6</v>
      </c>
      <c r="C2963" s="190">
        <f t="shared" si="413"/>
        <v>42544</v>
      </c>
      <c r="D2963" s="856" t="s">
        <v>1662</v>
      </c>
      <c r="E2963" s="906">
        <v>42544</v>
      </c>
      <c r="F2963" s="868" t="s">
        <v>627</v>
      </c>
      <c r="G2963" s="831" t="s">
        <v>784</v>
      </c>
      <c r="H2963" s="859" t="s">
        <v>1310</v>
      </c>
      <c r="I2963" s="251">
        <v>1090</v>
      </c>
      <c r="J2963" s="251">
        <v>6258</v>
      </c>
      <c r="K2963" s="860">
        <f t="shared" si="411"/>
        <v>6821220</v>
      </c>
      <c r="L2963" s="861" t="s">
        <v>162</v>
      </c>
      <c r="M2963" s="861" t="s">
        <v>857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52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>632</v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826"/>
    </row>
    <row r="2964" spans="1:27" ht="15.75" customHeight="1">
      <c r="A2964" s="827" t="str">
        <f>IF(B2964&lt;&gt;"",IF(AND(B2964&gt;=_TM1,B2964&lt;=_TM2,OR(TH!L2964="1111",TH!M2964="1111")),TH!D2964,""),"")</f>
        <v/>
      </c>
      <c r="B2964" s="36">
        <f t="shared" si="414"/>
        <v>6</v>
      </c>
      <c r="C2964" s="190">
        <f t="shared" si="413"/>
        <v>42544</v>
      </c>
      <c r="D2964" s="856" t="s">
        <v>1662</v>
      </c>
      <c r="E2964" s="906">
        <v>42544</v>
      </c>
      <c r="F2964" s="49" t="s">
        <v>656</v>
      </c>
      <c r="G2964" s="831" t="s">
        <v>784</v>
      </c>
      <c r="H2964" s="859" t="s">
        <v>1310</v>
      </c>
      <c r="I2964" s="251">
        <v>308</v>
      </c>
      <c r="J2964" s="251">
        <v>4285</v>
      </c>
      <c r="K2964" s="860">
        <f t="shared" si="411"/>
        <v>1319780</v>
      </c>
      <c r="L2964" s="861" t="s">
        <v>162</v>
      </c>
      <c r="M2964" s="861" t="s">
        <v>857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52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>632</v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826"/>
    </row>
    <row r="2965" spans="1:27" ht="15.75" customHeight="1">
      <c r="A2965" s="827" t="str">
        <f>IF(B2965&lt;&gt;"",IF(AND(B2965&gt;=_TM1,B2965&lt;=_TM2,OR(TH!L2965="1111",TH!M2965="1111")),TH!D2965,""),"")</f>
        <v/>
      </c>
      <c r="B2965" s="36">
        <f t="shared" si="414"/>
        <v>6</v>
      </c>
      <c r="C2965" s="190">
        <f t="shared" si="413"/>
        <v>42549</v>
      </c>
      <c r="D2965" s="856" t="s">
        <v>1662</v>
      </c>
      <c r="E2965" s="906">
        <v>42549</v>
      </c>
      <c r="F2965" s="49" t="s">
        <v>451</v>
      </c>
      <c r="G2965" s="831" t="s">
        <v>794</v>
      </c>
      <c r="H2965" s="859" t="s">
        <v>1310</v>
      </c>
      <c r="I2965" s="251">
        <v>1420</v>
      </c>
      <c r="J2965" s="251">
        <v>10560</v>
      </c>
      <c r="K2965" s="860">
        <f t="shared" si="411"/>
        <v>14995200</v>
      </c>
      <c r="L2965" s="861" t="s">
        <v>162</v>
      </c>
      <c r="M2965" s="861" t="s">
        <v>857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52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>632</v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>x</v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826"/>
    </row>
    <row r="2966" spans="1:27" ht="15.75" customHeight="1">
      <c r="A2966" s="827" t="str">
        <f>IF(B2966&lt;&gt;"",IF(AND(B2966&gt;=_TM1,B2966&lt;=_TM2,OR(TH!L2966="1111",TH!M2966="1111")),TH!D2966,""),"")</f>
        <v/>
      </c>
      <c r="B2966" s="36">
        <f t="shared" si="414"/>
        <v>6</v>
      </c>
      <c r="C2966" s="190">
        <f t="shared" ref="C2966:C3011" si="415">E2966</f>
        <v>42550</v>
      </c>
      <c r="D2966" s="856" t="s">
        <v>1662</v>
      </c>
      <c r="E2966" s="906">
        <v>42550</v>
      </c>
      <c r="F2966" s="908" t="s">
        <v>451</v>
      </c>
      <c r="G2966" s="831" t="s">
        <v>795</v>
      </c>
      <c r="H2966" s="859" t="s">
        <v>1310</v>
      </c>
      <c r="I2966" s="251">
        <v>80</v>
      </c>
      <c r="J2966" s="251">
        <v>10560</v>
      </c>
      <c r="K2966" s="860">
        <f t="shared" si="411"/>
        <v>844800</v>
      </c>
      <c r="L2966" s="861" t="s">
        <v>162</v>
      </c>
      <c r="M2966" s="861" t="s">
        <v>857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52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>632</v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>x</v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826"/>
    </row>
    <row r="2967" spans="1:27" ht="15.75" customHeight="1">
      <c r="A2967" s="827" t="str">
        <f>IF(B2967&lt;&gt;"",IF(AND(B2967&gt;=_TM1,B2967&lt;=_TM2,OR(TH!L2967="1111",TH!M2967="1111")),TH!D2967,""),"")</f>
        <v/>
      </c>
      <c r="B2967" s="36">
        <f t="shared" si="414"/>
        <v>6</v>
      </c>
      <c r="C2967" s="190">
        <f t="shared" si="415"/>
        <v>42550</v>
      </c>
      <c r="D2967" s="856" t="s">
        <v>1662</v>
      </c>
      <c r="E2967" s="906">
        <v>42550</v>
      </c>
      <c r="F2967" s="868" t="s">
        <v>451</v>
      </c>
      <c r="G2967" s="831" t="s">
        <v>795</v>
      </c>
      <c r="H2967" s="859" t="s">
        <v>1310</v>
      </c>
      <c r="I2967" s="251">
        <v>11</v>
      </c>
      <c r="J2967" s="251">
        <v>14250</v>
      </c>
      <c r="K2967" s="860">
        <f t="shared" si="411"/>
        <v>156750</v>
      </c>
      <c r="L2967" s="861" t="s">
        <v>162</v>
      </c>
      <c r="M2967" s="861" t="s">
        <v>857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52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>632</v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>x</v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826"/>
    </row>
    <row r="2968" spans="1:27" ht="15.75" customHeight="1">
      <c r="A2968" s="827" t="str">
        <f>IF(B2968&lt;&gt;"",IF(AND(B2968&gt;=_TM1,B2968&lt;=_TM2,OR(TH!L2968="1111",TH!M2968="1111")),TH!D2968,""),"")</f>
        <v/>
      </c>
      <c r="B2968" s="36">
        <f t="shared" si="414"/>
        <v>6</v>
      </c>
      <c r="C2968" s="190">
        <f t="shared" si="415"/>
        <v>42551</v>
      </c>
      <c r="D2968" s="856" t="s">
        <v>1662</v>
      </c>
      <c r="E2968" s="906">
        <v>42551</v>
      </c>
      <c r="F2968" s="49" t="s">
        <v>834</v>
      </c>
      <c r="G2968" s="831" t="s">
        <v>804</v>
      </c>
      <c r="H2968" s="859" t="s">
        <v>1310</v>
      </c>
      <c r="I2968" s="251">
        <v>15</v>
      </c>
      <c r="J2968" s="251">
        <v>91164</v>
      </c>
      <c r="K2968" s="860">
        <f t="shared" si="411"/>
        <v>1367460</v>
      </c>
      <c r="L2968" s="861" t="s">
        <v>162</v>
      </c>
      <c r="M2968" s="861" t="s">
        <v>857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52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>632</v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826"/>
    </row>
    <row r="2969" spans="1:27" ht="15.75" customHeight="1">
      <c r="A2969" s="827" t="str">
        <f>IF(B2969&lt;&gt;"",IF(AND(B2969&gt;=_TM1,B2969&lt;=_TM2,OR(TH!L2969="1111",TH!M2969="1111")),TH!D2969,""),"")</f>
        <v/>
      </c>
      <c r="B2969" s="36">
        <f t="shared" si="414"/>
        <v>6</v>
      </c>
      <c r="C2969" s="190">
        <f t="shared" si="415"/>
        <v>42551</v>
      </c>
      <c r="D2969" s="856" t="s">
        <v>1662</v>
      </c>
      <c r="E2969" s="906">
        <v>42551</v>
      </c>
      <c r="F2969" s="868" t="s">
        <v>539</v>
      </c>
      <c r="G2969" s="831" t="s">
        <v>804</v>
      </c>
      <c r="H2969" s="859" t="s">
        <v>1310</v>
      </c>
      <c r="I2969" s="251">
        <v>6</v>
      </c>
      <c r="J2969" s="251">
        <v>137834</v>
      </c>
      <c r="K2969" s="860">
        <f t="shared" si="411"/>
        <v>827004</v>
      </c>
      <c r="L2969" s="861" t="s">
        <v>162</v>
      </c>
      <c r="M2969" s="861" t="s">
        <v>857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52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>632</v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826"/>
    </row>
    <row r="2970" spans="1:27" ht="15.75" customHeight="1">
      <c r="A2970" s="827" t="str">
        <f>IF(B2970&lt;&gt;"",IF(AND(B2970&gt;=_TM1,B2970&lt;=_TM2,OR(TH!L2970="1111",TH!M2970="1111")),TH!D2970,""),"")</f>
        <v/>
      </c>
      <c r="B2970" s="36">
        <f t="shared" si="414"/>
        <v>6</v>
      </c>
      <c r="C2970" s="190">
        <f t="shared" si="415"/>
        <v>42551</v>
      </c>
      <c r="D2970" s="856" t="s">
        <v>1662</v>
      </c>
      <c r="E2970" s="906">
        <v>42551</v>
      </c>
      <c r="F2970" s="49" t="s">
        <v>536</v>
      </c>
      <c r="G2970" s="831" t="s">
        <v>804</v>
      </c>
      <c r="H2970" s="859" t="s">
        <v>1310</v>
      </c>
      <c r="I2970" s="251">
        <v>50</v>
      </c>
      <c r="J2970" s="251">
        <v>58806</v>
      </c>
      <c r="K2970" s="860">
        <f t="shared" si="411"/>
        <v>2940300</v>
      </c>
      <c r="L2970" s="861" t="s">
        <v>162</v>
      </c>
      <c r="M2970" s="861" t="s">
        <v>857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52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>632</v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826"/>
    </row>
    <row r="2971" spans="1:27" ht="15.75" customHeight="1">
      <c r="A2971" s="827" t="str">
        <f>IF(B2971&lt;&gt;"",IF(AND(B2971&gt;=_TM1,B2971&lt;=_TM2,OR(TH!L2971="1111",TH!M2971="1111")),TH!D2971,""),"")</f>
        <v/>
      </c>
      <c r="B2971" s="36">
        <f t="shared" si="414"/>
        <v>6</v>
      </c>
      <c r="C2971" s="190">
        <f t="shared" si="415"/>
        <v>42551</v>
      </c>
      <c r="D2971" s="856" t="s">
        <v>1662</v>
      </c>
      <c r="E2971" s="906">
        <v>42551</v>
      </c>
      <c r="F2971" s="49" t="s">
        <v>490</v>
      </c>
      <c r="G2971" s="831" t="s">
        <v>804</v>
      </c>
      <c r="H2971" s="859" t="s">
        <v>1310</v>
      </c>
      <c r="I2971" s="251">
        <v>18</v>
      </c>
      <c r="J2971" s="251">
        <v>155330.70000000001</v>
      </c>
      <c r="K2971" s="860">
        <f t="shared" si="411"/>
        <v>2795953</v>
      </c>
      <c r="L2971" s="861" t="s">
        <v>162</v>
      </c>
      <c r="M2971" s="861" t="s">
        <v>857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52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>632</v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826"/>
    </row>
    <row r="2972" spans="1:27" ht="15.75" customHeight="1">
      <c r="A2972" s="827" t="str">
        <f>IF(B2972&lt;&gt;"",IF(AND(B2972&gt;=_TM1,B2972&lt;=_TM2,OR(TH!L2972="1111",TH!M2972="1111")),TH!D2972,""),"")</f>
        <v/>
      </c>
      <c r="B2972" s="36">
        <f t="shared" si="414"/>
        <v>6</v>
      </c>
      <c r="C2972" s="190">
        <f t="shared" si="415"/>
        <v>42551</v>
      </c>
      <c r="D2972" s="856" t="s">
        <v>1662</v>
      </c>
      <c r="E2972" s="906">
        <v>42551</v>
      </c>
      <c r="F2972" s="868" t="s">
        <v>710</v>
      </c>
      <c r="G2972" s="831" t="s">
        <v>804</v>
      </c>
      <c r="H2972" s="859" t="s">
        <v>1310</v>
      </c>
      <c r="I2972" s="251">
        <v>20</v>
      </c>
      <c r="J2972" s="251">
        <v>68527</v>
      </c>
      <c r="K2972" s="860">
        <f t="shared" si="411"/>
        <v>1370540</v>
      </c>
      <c r="L2972" s="861" t="s">
        <v>162</v>
      </c>
      <c r="M2972" s="861" t="s">
        <v>857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52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>632</v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826"/>
    </row>
    <row r="2973" spans="1:27" ht="15.75" customHeight="1">
      <c r="A2973" s="827" t="str">
        <f>IF(B2973&lt;&gt;"",IF(AND(B2973&gt;=_TM1,B2973&lt;=_TM2,OR(TH!L2973="1111",TH!M2973="1111")),TH!D2973,""),"")</f>
        <v/>
      </c>
      <c r="B2973" s="36">
        <f t="shared" si="414"/>
        <v>6</v>
      </c>
      <c r="C2973" s="190">
        <f t="shared" si="415"/>
        <v>42551</v>
      </c>
      <c r="D2973" s="856" t="s">
        <v>1662</v>
      </c>
      <c r="E2973" s="906">
        <v>42551</v>
      </c>
      <c r="F2973" s="49" t="s">
        <v>534</v>
      </c>
      <c r="G2973" s="831" t="s">
        <v>804</v>
      </c>
      <c r="H2973" s="859" t="s">
        <v>1310</v>
      </c>
      <c r="I2973" s="251">
        <v>20</v>
      </c>
      <c r="J2973" s="251">
        <v>85763.15</v>
      </c>
      <c r="K2973" s="860">
        <f t="shared" si="411"/>
        <v>1715263</v>
      </c>
      <c r="L2973" s="861" t="s">
        <v>162</v>
      </c>
      <c r="M2973" s="861" t="s">
        <v>857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52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>632</v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826"/>
    </row>
    <row r="2974" spans="1:27" ht="15.75" customHeight="1">
      <c r="A2974" s="827" t="str">
        <f>IF(B2974&lt;&gt;"",IF(AND(B2974&gt;=_TM1,B2974&lt;=_TM2,OR(TH!L2974="1111",TH!M2974="1111")),TH!D2974,""),"")</f>
        <v/>
      </c>
      <c r="B2974" s="36">
        <f t="shared" si="414"/>
        <v>6</v>
      </c>
      <c r="C2974" s="190">
        <f t="shared" si="415"/>
        <v>42551</v>
      </c>
      <c r="D2974" s="856" t="s">
        <v>1662</v>
      </c>
      <c r="E2974" s="906">
        <v>42551</v>
      </c>
      <c r="F2974" s="868" t="s">
        <v>534</v>
      </c>
      <c r="G2974" s="831" t="s">
        <v>804</v>
      </c>
      <c r="H2974" s="859" t="s">
        <v>1310</v>
      </c>
      <c r="I2974" s="251">
        <v>20</v>
      </c>
      <c r="J2974" s="251">
        <v>86666</v>
      </c>
      <c r="K2974" s="860">
        <f t="shared" si="411"/>
        <v>1733320</v>
      </c>
      <c r="L2974" s="861" t="s">
        <v>162</v>
      </c>
      <c r="M2974" s="861" t="s">
        <v>857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52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>632</v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826"/>
    </row>
    <row r="2975" spans="1:27" ht="15.75" customHeight="1">
      <c r="A2975" s="827" t="str">
        <f>IF(B2975&lt;&gt;"",IF(AND(B2975&gt;=_TM1,B2975&lt;=_TM2,OR(TH!L2975="1111",TH!M2975="1111")),TH!D2975,""),"")</f>
        <v/>
      </c>
      <c r="B2975" s="36">
        <f t="shared" si="414"/>
        <v>6</v>
      </c>
      <c r="C2975" s="190">
        <f t="shared" si="415"/>
        <v>42551</v>
      </c>
      <c r="D2975" s="856" t="s">
        <v>1662</v>
      </c>
      <c r="E2975" s="906">
        <v>42551</v>
      </c>
      <c r="F2975" s="49" t="s">
        <v>816</v>
      </c>
      <c r="G2975" s="831" t="s">
        <v>804</v>
      </c>
      <c r="H2975" s="859" t="s">
        <v>1310</v>
      </c>
      <c r="I2975" s="251">
        <v>6</v>
      </c>
      <c r="J2975" s="251">
        <v>203928.9</v>
      </c>
      <c r="K2975" s="860">
        <f t="shared" ref="K2975:K3026" si="416">ROUND(I2975*J2975,0)</f>
        <v>1223573</v>
      </c>
      <c r="L2975" s="861" t="s">
        <v>162</v>
      </c>
      <c r="M2975" s="861" t="s">
        <v>857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52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>632</v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826"/>
    </row>
    <row r="2976" spans="1:27" ht="15.75" customHeight="1">
      <c r="A2976" s="827" t="str">
        <f>IF(B2976&lt;&gt;"",IF(AND(B2976&gt;=_TM1,B2976&lt;=_TM2,OR(TH!L2976="1111",TH!M2976="1111")),TH!D2976,""),"")</f>
        <v/>
      </c>
      <c r="B2976" s="36">
        <f t="shared" si="414"/>
        <v>6</v>
      </c>
      <c r="C2976" s="190">
        <f t="shared" si="415"/>
        <v>42551</v>
      </c>
      <c r="D2976" s="856" t="s">
        <v>1662</v>
      </c>
      <c r="E2976" s="906">
        <v>42551</v>
      </c>
      <c r="F2976" s="49" t="s">
        <v>707</v>
      </c>
      <c r="G2976" s="831" t="s">
        <v>804</v>
      </c>
      <c r="H2976" s="859" t="s">
        <v>1310</v>
      </c>
      <c r="I2976" s="251">
        <v>18</v>
      </c>
      <c r="J2976" s="251">
        <v>115869.6</v>
      </c>
      <c r="K2976" s="860">
        <f t="shared" si="416"/>
        <v>2085653</v>
      </c>
      <c r="L2976" s="861" t="s">
        <v>162</v>
      </c>
      <c r="M2976" s="861" t="s">
        <v>857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52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>632</v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826"/>
    </row>
    <row r="2977" spans="1:27" ht="15.75" customHeight="1">
      <c r="A2977" s="827" t="str">
        <f>IF(B2977&lt;&gt;"",IF(AND(B2977&gt;=_TM1,B2977&lt;=_TM2,OR(TH!L2977="1111",TH!M2977="1111")),TH!D2977,""),"")</f>
        <v/>
      </c>
      <c r="B2977" s="36">
        <f t="shared" si="414"/>
        <v>6</v>
      </c>
      <c r="C2977" s="190">
        <f t="shared" si="415"/>
        <v>42551</v>
      </c>
      <c r="D2977" s="856" t="s">
        <v>1662</v>
      </c>
      <c r="E2977" s="906">
        <v>42551</v>
      </c>
      <c r="F2977" s="908" t="s">
        <v>707</v>
      </c>
      <c r="G2977" s="831" t="s">
        <v>804</v>
      </c>
      <c r="H2977" s="859" t="s">
        <v>1310</v>
      </c>
      <c r="I2977" s="251">
        <v>4</v>
      </c>
      <c r="J2977" s="251">
        <v>118863</v>
      </c>
      <c r="K2977" s="860">
        <f t="shared" si="416"/>
        <v>475452</v>
      </c>
      <c r="L2977" s="861" t="s">
        <v>162</v>
      </c>
      <c r="M2977" s="861" t="s">
        <v>857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52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>632</v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826"/>
    </row>
    <row r="2978" spans="1:27" ht="15.75" customHeight="1">
      <c r="A2978" s="827" t="str">
        <f>IF(B2978&lt;&gt;"",IF(AND(B2978&gt;=_TM1,B2978&lt;=_TM2,OR(TH!L2978="1111",TH!M2978="1111")),TH!D2978,""),"")</f>
        <v/>
      </c>
      <c r="B2978" s="36">
        <f t="shared" ref="B2978:B3041" si="417">IF(C2978&lt;&gt;"",MONTH(C2978),"")</f>
        <v>6</v>
      </c>
      <c r="C2978" s="190">
        <f t="shared" si="415"/>
        <v>42551</v>
      </c>
      <c r="D2978" s="856" t="s">
        <v>1662</v>
      </c>
      <c r="E2978" s="906">
        <v>42551</v>
      </c>
      <c r="F2978" s="868" t="s">
        <v>817</v>
      </c>
      <c r="G2978" s="831" t="s">
        <v>804</v>
      </c>
      <c r="H2978" s="859" t="s">
        <v>1310</v>
      </c>
      <c r="I2978" s="251">
        <v>16</v>
      </c>
      <c r="J2978" s="251">
        <v>143041.5</v>
      </c>
      <c r="K2978" s="860">
        <f t="shared" si="416"/>
        <v>2288664</v>
      </c>
      <c r="L2978" s="861" t="s">
        <v>162</v>
      </c>
      <c r="M2978" s="861" t="s">
        <v>857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52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>632</v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826"/>
    </row>
    <row r="2979" spans="1:27" ht="15.75" customHeight="1">
      <c r="A2979" s="827" t="str">
        <f>IF(B2979&lt;&gt;"",IF(AND(B2979&gt;=_TM1,B2979&lt;=_TM2,OR(TH!L2979="1111",TH!M2979="1111")),TH!D2979,""),"")</f>
        <v/>
      </c>
      <c r="B2979" s="36">
        <f t="shared" si="417"/>
        <v>6</v>
      </c>
      <c r="C2979" s="190">
        <f t="shared" si="415"/>
        <v>42551</v>
      </c>
      <c r="D2979" s="856" t="s">
        <v>1662</v>
      </c>
      <c r="E2979" s="906">
        <v>42551</v>
      </c>
      <c r="F2979" s="49" t="s">
        <v>526</v>
      </c>
      <c r="G2979" s="831" t="s">
        <v>804</v>
      </c>
      <c r="H2979" s="859" t="s">
        <v>1310</v>
      </c>
      <c r="I2979" s="251">
        <v>8</v>
      </c>
      <c r="J2979" s="251">
        <v>44769</v>
      </c>
      <c r="K2979" s="860">
        <f t="shared" si="416"/>
        <v>358152</v>
      </c>
      <c r="L2979" s="861" t="s">
        <v>162</v>
      </c>
      <c r="M2979" s="861" t="s">
        <v>857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52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>632</v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826"/>
    </row>
    <row r="2980" spans="1:27" ht="15.75" customHeight="1">
      <c r="A2980" s="827" t="str">
        <f>IF(B2980&lt;&gt;"",IF(AND(B2980&gt;=_TM1,B2980&lt;=_TM2,OR(TH!L2980="1111",TH!M2980="1111")),TH!D2980,""),"")</f>
        <v/>
      </c>
      <c r="B2980" s="36">
        <f t="shared" si="417"/>
        <v>6</v>
      </c>
      <c r="C2980" s="190">
        <f t="shared" si="415"/>
        <v>42551</v>
      </c>
      <c r="D2980" s="856" t="s">
        <v>1662</v>
      </c>
      <c r="E2980" s="906">
        <v>42551</v>
      </c>
      <c r="F2980" s="868" t="s">
        <v>820</v>
      </c>
      <c r="G2980" s="831" t="s">
        <v>804</v>
      </c>
      <c r="H2980" s="859" t="s">
        <v>1310</v>
      </c>
      <c r="I2980" s="251">
        <v>6</v>
      </c>
      <c r="J2980" s="251">
        <v>98313.600000000006</v>
      </c>
      <c r="K2980" s="860">
        <f t="shared" si="416"/>
        <v>589882</v>
      </c>
      <c r="L2980" s="861" t="s">
        <v>162</v>
      </c>
      <c r="M2980" s="861" t="s">
        <v>857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52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>632</v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826"/>
    </row>
    <row r="2981" spans="1:27" ht="15.75" customHeight="1">
      <c r="A2981" s="827" t="str">
        <f>IF(B2981&lt;&gt;"",IF(AND(B2981&gt;=_TM1,B2981&lt;=_TM2,OR(TH!L2981="1111",TH!M2981="1111")),TH!D2981,""),"")</f>
        <v/>
      </c>
      <c r="B2981" s="36">
        <f t="shared" si="417"/>
        <v>6</v>
      </c>
      <c r="C2981" s="190">
        <f t="shared" si="415"/>
        <v>42551</v>
      </c>
      <c r="D2981" s="856" t="s">
        <v>1662</v>
      </c>
      <c r="E2981" s="906">
        <v>42551</v>
      </c>
      <c r="F2981" s="49" t="s">
        <v>823</v>
      </c>
      <c r="G2981" s="831" t="s">
        <v>804</v>
      </c>
      <c r="H2981" s="859" t="s">
        <v>1310</v>
      </c>
      <c r="I2981" s="251">
        <v>3</v>
      </c>
      <c r="J2981" s="251">
        <v>177495.15</v>
      </c>
      <c r="K2981" s="860">
        <f t="shared" si="416"/>
        <v>532485</v>
      </c>
      <c r="L2981" s="861" t="s">
        <v>162</v>
      </c>
      <c r="M2981" s="861" t="s">
        <v>857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52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>632</v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826"/>
    </row>
    <row r="2982" spans="1:27" ht="15.75" customHeight="1">
      <c r="A2982" s="827" t="str">
        <f>IF(B2982&lt;&gt;"",IF(AND(B2982&gt;=_TM1,B2982&lt;=_TM2,OR(TH!L2982="1111",TH!M2982="1111")),TH!D2982,""),"")</f>
        <v/>
      </c>
      <c r="B2982" s="36">
        <f t="shared" si="417"/>
        <v>6</v>
      </c>
      <c r="C2982" s="190">
        <f t="shared" si="415"/>
        <v>42551</v>
      </c>
      <c r="D2982" s="856" t="s">
        <v>1662</v>
      </c>
      <c r="E2982" s="906">
        <v>42551</v>
      </c>
      <c r="F2982" s="868" t="s">
        <v>822</v>
      </c>
      <c r="G2982" s="831" t="s">
        <v>804</v>
      </c>
      <c r="H2982" s="859" t="s">
        <v>1310</v>
      </c>
      <c r="I2982" s="251">
        <v>16</v>
      </c>
      <c r="J2982" s="251">
        <v>107091.6</v>
      </c>
      <c r="K2982" s="860">
        <f t="shared" ref="K2982:K3011" si="418">ROUND(I2982*J2982,0)</f>
        <v>1713466</v>
      </c>
      <c r="L2982" s="861" t="s">
        <v>162</v>
      </c>
      <c r="M2982" s="861" t="s">
        <v>857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52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>632</v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826"/>
    </row>
    <row r="2983" spans="1:27" ht="15.75" customHeight="1">
      <c r="A2983" s="827" t="str">
        <f>IF(B2983&lt;&gt;"",IF(AND(B2983&gt;=_TM1,B2983&lt;=_TM2,OR(TH!L2983="1111",TH!M2983="1111")),TH!D2983,""),"")</f>
        <v/>
      </c>
      <c r="B2983" s="36">
        <f t="shared" si="417"/>
        <v>6</v>
      </c>
      <c r="C2983" s="190">
        <f t="shared" si="415"/>
        <v>42551</v>
      </c>
      <c r="D2983" s="856" t="s">
        <v>1662</v>
      </c>
      <c r="E2983" s="906">
        <v>42551</v>
      </c>
      <c r="F2983" s="49" t="s">
        <v>828</v>
      </c>
      <c r="G2983" s="831" t="s">
        <v>804</v>
      </c>
      <c r="H2983" s="859" t="s">
        <v>1310</v>
      </c>
      <c r="I2983" s="251">
        <v>10</v>
      </c>
      <c r="J2983" s="251">
        <v>67593</v>
      </c>
      <c r="K2983" s="860">
        <f t="shared" si="418"/>
        <v>675930</v>
      </c>
      <c r="L2983" s="861" t="s">
        <v>162</v>
      </c>
      <c r="M2983" s="861" t="s">
        <v>857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52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>632</v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826"/>
    </row>
    <row r="2984" spans="1:27" ht="15.75" customHeight="1">
      <c r="A2984" s="827" t="str">
        <f>IF(B2984&lt;&gt;"",IF(AND(B2984&gt;=_TM1,B2984&lt;=_TM2,OR(TH!L2984="1111",TH!M2984="1111")),TH!D2984,""),"")</f>
        <v/>
      </c>
      <c r="B2984" s="36">
        <f t="shared" si="417"/>
        <v>6</v>
      </c>
      <c r="C2984" s="190">
        <f t="shared" si="415"/>
        <v>42551</v>
      </c>
      <c r="D2984" s="856" t="s">
        <v>1662</v>
      </c>
      <c r="E2984" s="906">
        <v>42551</v>
      </c>
      <c r="F2984" s="868" t="s">
        <v>807</v>
      </c>
      <c r="G2984" s="831" t="s">
        <v>804</v>
      </c>
      <c r="H2984" s="859" t="s">
        <v>1310</v>
      </c>
      <c r="I2984" s="251">
        <v>24</v>
      </c>
      <c r="J2984" s="251">
        <v>7564.85</v>
      </c>
      <c r="K2984" s="860">
        <f t="shared" si="418"/>
        <v>181556</v>
      </c>
      <c r="L2984" s="861" t="s">
        <v>162</v>
      </c>
      <c r="M2984" s="861" t="s">
        <v>857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52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>632</v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826"/>
    </row>
    <row r="2985" spans="1:27" ht="15.75" customHeight="1">
      <c r="A2985" s="827" t="str">
        <f>IF(B2985&lt;&gt;"",IF(AND(B2985&gt;=_TM1,B2985&lt;=_TM2,OR(TH!L2985="1111",TH!M2985="1111")),TH!D2985,""),"")</f>
        <v/>
      </c>
      <c r="B2985" s="36">
        <f t="shared" si="417"/>
        <v>6</v>
      </c>
      <c r="C2985" s="190">
        <f t="shared" si="415"/>
        <v>42551</v>
      </c>
      <c r="D2985" s="856" t="s">
        <v>1662</v>
      </c>
      <c r="E2985" s="906">
        <v>42551</v>
      </c>
      <c r="F2985" s="49" t="s">
        <v>808</v>
      </c>
      <c r="G2985" s="831" t="s">
        <v>804</v>
      </c>
      <c r="H2985" s="859" t="s">
        <v>1310</v>
      </c>
      <c r="I2985" s="251">
        <v>18</v>
      </c>
      <c r="J2985" s="251">
        <v>11253.7</v>
      </c>
      <c r="K2985" s="860">
        <f t="shared" si="418"/>
        <v>202567</v>
      </c>
      <c r="L2985" s="861" t="s">
        <v>162</v>
      </c>
      <c r="M2985" s="861" t="s">
        <v>857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52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>632</v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826"/>
    </row>
    <row r="2986" spans="1:27" ht="15.75" customHeight="1">
      <c r="A2986" s="827" t="str">
        <f>IF(B2986&lt;&gt;"",IF(AND(B2986&gt;=_TM1,B2986&lt;=_TM2,OR(TH!L2986="1111",TH!M2986="1111")),TH!D2986,""),"")</f>
        <v/>
      </c>
      <c r="B2986" s="36">
        <f t="shared" si="417"/>
        <v>6</v>
      </c>
      <c r="C2986" s="190">
        <f t="shared" si="415"/>
        <v>42551</v>
      </c>
      <c r="D2986" s="856" t="s">
        <v>1662</v>
      </c>
      <c r="E2986" s="906">
        <v>42551</v>
      </c>
      <c r="F2986" s="49" t="s">
        <v>699</v>
      </c>
      <c r="G2986" s="831" t="s">
        <v>804</v>
      </c>
      <c r="H2986" s="859" t="s">
        <v>1310</v>
      </c>
      <c r="I2986" s="251">
        <v>24</v>
      </c>
      <c r="J2986" s="251">
        <v>14380.15</v>
      </c>
      <c r="K2986" s="860">
        <f t="shared" si="418"/>
        <v>345124</v>
      </c>
      <c r="L2986" s="861" t="s">
        <v>162</v>
      </c>
      <c r="M2986" s="861" t="s">
        <v>857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52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>632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826"/>
    </row>
    <row r="2987" spans="1:27" ht="15.75" customHeight="1">
      <c r="A2987" s="827" t="str">
        <f>IF(B2987&lt;&gt;"",IF(AND(B2987&gt;=_TM1,B2987&lt;=_TM2,OR(TH!L2987="1111",TH!M2987="1111")),TH!D2987,""),"")</f>
        <v/>
      </c>
      <c r="B2987" s="36">
        <f t="shared" si="417"/>
        <v>6</v>
      </c>
      <c r="C2987" s="190">
        <f t="shared" si="415"/>
        <v>42551</v>
      </c>
      <c r="D2987" s="856" t="s">
        <v>1662</v>
      </c>
      <c r="E2987" s="906">
        <v>42551</v>
      </c>
      <c r="F2987" s="868" t="s">
        <v>810</v>
      </c>
      <c r="G2987" s="831" t="s">
        <v>804</v>
      </c>
      <c r="H2987" s="859" t="s">
        <v>1310</v>
      </c>
      <c r="I2987" s="251">
        <v>16</v>
      </c>
      <c r="J2987" s="251">
        <v>30930.1</v>
      </c>
      <c r="K2987" s="860">
        <f t="shared" si="418"/>
        <v>494882</v>
      </c>
      <c r="L2987" s="861" t="s">
        <v>162</v>
      </c>
      <c r="M2987" s="861" t="s">
        <v>857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52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>632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826"/>
    </row>
    <row r="2988" spans="1:27" ht="15.75" customHeight="1">
      <c r="A2988" s="827" t="str">
        <f>IF(B2988&lt;&gt;"",IF(AND(B2988&gt;=_TM1,B2988&lt;=_TM2,OR(TH!L2988="1111",TH!M2988="1111")),TH!D2988,""),"")</f>
        <v/>
      </c>
      <c r="B2988" s="36">
        <f t="shared" si="417"/>
        <v>6</v>
      </c>
      <c r="C2988" s="190">
        <f t="shared" si="415"/>
        <v>42551</v>
      </c>
      <c r="D2988" s="856" t="s">
        <v>1662</v>
      </c>
      <c r="E2988" s="906">
        <v>42551</v>
      </c>
      <c r="F2988" s="49" t="s">
        <v>525</v>
      </c>
      <c r="G2988" s="831" t="s">
        <v>804</v>
      </c>
      <c r="H2988" s="859" t="s">
        <v>1310</v>
      </c>
      <c r="I2988" s="251">
        <v>254</v>
      </c>
      <c r="J2988" s="251">
        <v>16775</v>
      </c>
      <c r="K2988" s="860">
        <f t="shared" si="418"/>
        <v>4260850</v>
      </c>
      <c r="L2988" s="861" t="s">
        <v>162</v>
      </c>
      <c r="M2988" s="861" t="s">
        <v>857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52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>632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826"/>
    </row>
    <row r="2989" spans="1:27" ht="15.75" customHeight="1">
      <c r="A2989" s="827" t="str">
        <f>IF(B2989&lt;&gt;"",IF(AND(B2989&gt;=_TM1,B2989&lt;=_TM2,OR(TH!L2989="1111",TH!M2989="1111")),TH!D2989,""),"")</f>
        <v/>
      </c>
      <c r="B2989" s="36">
        <f t="shared" si="417"/>
        <v>6</v>
      </c>
      <c r="C2989" s="190">
        <f t="shared" si="415"/>
        <v>42551</v>
      </c>
      <c r="D2989" s="856" t="s">
        <v>1662</v>
      </c>
      <c r="E2989" s="906">
        <v>42551</v>
      </c>
      <c r="F2989" s="868" t="s">
        <v>812</v>
      </c>
      <c r="G2989" s="831" t="s">
        <v>804</v>
      </c>
      <c r="H2989" s="859" t="s">
        <v>1310</v>
      </c>
      <c r="I2989" s="251">
        <v>20</v>
      </c>
      <c r="J2989" s="251">
        <v>16012.25</v>
      </c>
      <c r="K2989" s="860">
        <f t="shared" si="418"/>
        <v>320245</v>
      </c>
      <c r="L2989" s="861" t="s">
        <v>162</v>
      </c>
      <c r="M2989" s="861" t="s">
        <v>857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52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>632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826"/>
    </row>
    <row r="2990" spans="1:27" ht="15.75" customHeight="1">
      <c r="A2990" s="827" t="str">
        <f>IF(B2990&lt;&gt;"",IF(AND(B2990&gt;=_TM1,B2990&lt;=_TM2,OR(TH!L2990="1111",TH!M2990="1111")),TH!D2990,""),"")</f>
        <v/>
      </c>
      <c r="B2990" s="36">
        <f t="shared" si="417"/>
        <v>6</v>
      </c>
      <c r="C2990" s="190">
        <f t="shared" si="415"/>
        <v>42551</v>
      </c>
      <c r="D2990" s="856" t="s">
        <v>1662</v>
      </c>
      <c r="E2990" s="906">
        <v>42551</v>
      </c>
      <c r="F2990" s="49" t="s">
        <v>711</v>
      </c>
      <c r="G2990" s="831" t="s">
        <v>804</v>
      </c>
      <c r="H2990" s="859" t="s">
        <v>1310</v>
      </c>
      <c r="I2990" s="251">
        <v>54</v>
      </c>
      <c r="J2990" s="251">
        <v>17347</v>
      </c>
      <c r="K2990" s="860">
        <f t="shared" si="418"/>
        <v>936738</v>
      </c>
      <c r="L2990" s="861" t="s">
        <v>162</v>
      </c>
      <c r="M2990" s="861" t="s">
        <v>857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52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826"/>
    </row>
    <row r="2991" spans="1:27" ht="15.75" customHeight="1">
      <c r="A2991" s="827" t="str">
        <f>IF(B2991&lt;&gt;"",IF(AND(B2991&gt;=_TM1,B2991&lt;=_TM2,OR(TH!L2991="1111",TH!M2991="1111")),TH!D2991,""),"")</f>
        <v/>
      </c>
      <c r="B2991" s="36">
        <f t="shared" si="417"/>
        <v>6</v>
      </c>
      <c r="C2991" s="190">
        <f t="shared" si="415"/>
        <v>42551</v>
      </c>
      <c r="D2991" s="856" t="s">
        <v>1662</v>
      </c>
      <c r="E2991" s="906">
        <v>42551</v>
      </c>
      <c r="F2991" s="49" t="s">
        <v>511</v>
      </c>
      <c r="G2991" s="831" t="s">
        <v>804</v>
      </c>
      <c r="H2991" s="859" t="s">
        <v>1310</v>
      </c>
      <c r="I2991" s="251">
        <v>48</v>
      </c>
      <c r="J2991" s="251">
        <v>28764.1</v>
      </c>
      <c r="K2991" s="860">
        <f t="shared" si="418"/>
        <v>1380677</v>
      </c>
      <c r="L2991" s="861" t="s">
        <v>162</v>
      </c>
      <c r="M2991" s="861" t="s">
        <v>857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52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826"/>
    </row>
    <row r="2992" spans="1:27" ht="15.75" customHeight="1">
      <c r="A2992" s="827" t="str">
        <f>IF(B2992&lt;&gt;"",IF(AND(B2992&gt;=_TM1,B2992&lt;=_TM2,OR(TH!L2992="1111",TH!M2992="1111")),TH!D2992,""),"")</f>
        <v/>
      </c>
      <c r="B2992" s="36">
        <f t="shared" si="417"/>
        <v>6</v>
      </c>
      <c r="C2992" s="190">
        <f t="shared" si="415"/>
        <v>42551</v>
      </c>
      <c r="D2992" s="856" t="s">
        <v>1662</v>
      </c>
      <c r="E2992" s="906">
        <v>42551</v>
      </c>
      <c r="F2992" s="908" t="s">
        <v>811</v>
      </c>
      <c r="G2992" s="831" t="s">
        <v>804</v>
      </c>
      <c r="H2992" s="859" t="s">
        <v>1310</v>
      </c>
      <c r="I2992" s="251">
        <v>5</v>
      </c>
      <c r="J2992" s="251">
        <v>40402.6</v>
      </c>
      <c r="K2992" s="860">
        <f t="shared" si="418"/>
        <v>202013</v>
      </c>
      <c r="L2992" s="861" t="s">
        <v>162</v>
      </c>
      <c r="M2992" s="861" t="s">
        <v>857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52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826"/>
    </row>
    <row r="2993" spans="1:27" ht="15.75" customHeight="1">
      <c r="A2993" s="827" t="str">
        <f>IF(B2993&lt;&gt;"",IF(AND(B2993&gt;=_TM1,B2993&lt;=_TM2,OR(TH!L2993="1111",TH!M2993="1111")),TH!D2993,""),"")</f>
        <v/>
      </c>
      <c r="B2993" s="36">
        <f t="shared" si="417"/>
        <v>6</v>
      </c>
      <c r="C2993" s="190">
        <f t="shared" si="415"/>
        <v>42551</v>
      </c>
      <c r="D2993" s="856" t="s">
        <v>1662</v>
      </c>
      <c r="E2993" s="906">
        <v>42551</v>
      </c>
      <c r="F2993" s="868" t="s">
        <v>700</v>
      </c>
      <c r="G2993" s="831" t="s">
        <v>804</v>
      </c>
      <c r="H2993" s="859" t="s">
        <v>1310</v>
      </c>
      <c r="I2993" s="251">
        <v>36</v>
      </c>
      <c r="J2993" s="251">
        <v>19733.400000000001</v>
      </c>
      <c r="K2993" s="860">
        <f t="shared" si="418"/>
        <v>710402</v>
      </c>
      <c r="L2993" s="861" t="s">
        <v>162</v>
      </c>
      <c r="M2993" s="861" t="s">
        <v>857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52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826"/>
    </row>
    <row r="2994" spans="1:27" ht="15.75" customHeight="1">
      <c r="A2994" s="827" t="str">
        <f>IF(B2994&lt;&gt;"",IF(AND(B2994&gt;=_TM1,B2994&lt;=_TM2,OR(TH!L2994="1111",TH!M2994="1111")),TH!D2994,""),"")</f>
        <v/>
      </c>
      <c r="B2994" s="36">
        <f t="shared" si="417"/>
        <v>6</v>
      </c>
      <c r="C2994" s="190">
        <f t="shared" si="415"/>
        <v>42551</v>
      </c>
      <c r="D2994" s="856" t="s">
        <v>1662</v>
      </c>
      <c r="E2994" s="906">
        <v>42551</v>
      </c>
      <c r="F2994" s="49" t="s">
        <v>814</v>
      </c>
      <c r="G2994" s="831" t="s">
        <v>804</v>
      </c>
      <c r="H2994" s="859" t="s">
        <v>1310</v>
      </c>
      <c r="I2994" s="251">
        <v>24</v>
      </c>
      <c r="J2994" s="251">
        <v>20153.291666666668</v>
      </c>
      <c r="K2994" s="860">
        <f t="shared" si="418"/>
        <v>483679</v>
      </c>
      <c r="L2994" s="861" t="s">
        <v>162</v>
      </c>
      <c r="M2994" s="861" t="s">
        <v>857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52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826"/>
    </row>
    <row r="2995" spans="1:27" ht="15.75" customHeight="1">
      <c r="A2995" s="827" t="str">
        <f>IF(B2995&lt;&gt;"",IF(AND(B2995&gt;=_TM1,B2995&lt;=_TM2,OR(TH!L2995="1111",TH!M2995="1111")),TH!D2995,""),"")</f>
        <v/>
      </c>
      <c r="B2995" s="36">
        <f t="shared" si="417"/>
        <v>6</v>
      </c>
      <c r="C2995" s="190">
        <f t="shared" si="415"/>
        <v>42551</v>
      </c>
      <c r="D2995" s="856" t="s">
        <v>1662</v>
      </c>
      <c r="E2995" s="906">
        <v>42551</v>
      </c>
      <c r="F2995" s="868" t="s">
        <v>805</v>
      </c>
      <c r="G2995" s="831" t="s">
        <v>804</v>
      </c>
      <c r="H2995" s="859" t="s">
        <v>1310</v>
      </c>
      <c r="I2995" s="251">
        <v>24</v>
      </c>
      <c r="J2995" s="251">
        <v>20402.208333333332</v>
      </c>
      <c r="K2995" s="860">
        <f t="shared" si="418"/>
        <v>489653</v>
      </c>
      <c r="L2995" s="861" t="s">
        <v>162</v>
      </c>
      <c r="M2995" s="861" t="s">
        <v>857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52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826"/>
    </row>
    <row r="2996" spans="1:27" ht="15.75" customHeight="1">
      <c r="A2996" s="827" t="str">
        <f>IF(B2996&lt;&gt;"",IF(AND(B2996&gt;=_TM1,B2996&lt;=_TM2,OR(TH!L2996="1111",TH!M2996="1111")),TH!D2996,""),"")</f>
        <v/>
      </c>
      <c r="B2996" s="36">
        <f t="shared" si="417"/>
        <v>6</v>
      </c>
      <c r="C2996" s="190">
        <f t="shared" si="415"/>
        <v>42551</v>
      </c>
      <c r="D2996" s="856" t="s">
        <v>1662</v>
      </c>
      <c r="E2996" s="906">
        <v>42551</v>
      </c>
      <c r="F2996" s="49" t="s">
        <v>552</v>
      </c>
      <c r="G2996" s="831" t="s">
        <v>804</v>
      </c>
      <c r="H2996" s="859" t="s">
        <v>1310</v>
      </c>
      <c r="I2996" s="251">
        <v>84</v>
      </c>
      <c r="J2996" s="251">
        <v>32851</v>
      </c>
      <c r="K2996" s="860">
        <f t="shared" si="418"/>
        <v>2759484</v>
      </c>
      <c r="L2996" s="861" t="s">
        <v>162</v>
      </c>
      <c r="M2996" s="861" t="s">
        <v>857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52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826"/>
    </row>
    <row r="2997" spans="1:27" ht="15.75" customHeight="1">
      <c r="A2997" s="827" t="str">
        <f>IF(B2997&lt;&gt;"",IF(AND(B2997&gt;=_TM1,B2997&lt;=_TM2,OR(TH!L2997="1111",TH!M2997="1111")),TH!D2997,""),"")</f>
        <v/>
      </c>
      <c r="B2997" s="36">
        <f t="shared" si="417"/>
        <v>6</v>
      </c>
      <c r="C2997" s="190">
        <f t="shared" si="415"/>
        <v>42551</v>
      </c>
      <c r="D2997" s="856" t="s">
        <v>1662</v>
      </c>
      <c r="E2997" s="906">
        <v>42551</v>
      </c>
      <c r="F2997" s="868" t="s">
        <v>806</v>
      </c>
      <c r="G2997" s="831" t="s">
        <v>804</v>
      </c>
      <c r="H2997" s="859" t="s">
        <v>1310</v>
      </c>
      <c r="I2997" s="251">
        <v>36</v>
      </c>
      <c r="J2997" s="251">
        <v>30887.361111111109</v>
      </c>
      <c r="K2997" s="860">
        <f t="shared" si="418"/>
        <v>1111945</v>
      </c>
      <c r="L2997" s="861" t="s">
        <v>162</v>
      </c>
      <c r="M2997" s="861" t="s">
        <v>857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52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826"/>
    </row>
    <row r="2998" spans="1:27" ht="15.75" customHeight="1">
      <c r="A2998" s="827" t="str">
        <f>IF(B2998&lt;&gt;"",IF(AND(B2998&gt;=_TM1,B2998&lt;=_TM2,OR(TH!L2998="1111",TH!M2998="1111")),TH!D2998,""),"")</f>
        <v/>
      </c>
      <c r="B2998" s="36">
        <f t="shared" si="417"/>
        <v>6</v>
      </c>
      <c r="C2998" s="190">
        <f t="shared" si="415"/>
        <v>42551</v>
      </c>
      <c r="D2998" s="856" t="s">
        <v>1662</v>
      </c>
      <c r="E2998" s="906">
        <v>42551</v>
      </c>
      <c r="F2998" s="49" t="s">
        <v>824</v>
      </c>
      <c r="G2998" s="831" t="s">
        <v>804</v>
      </c>
      <c r="H2998" s="859" t="s">
        <v>1310</v>
      </c>
      <c r="I2998" s="251">
        <v>20</v>
      </c>
      <c r="J2998" s="251">
        <v>35730.449999999997</v>
      </c>
      <c r="K2998" s="860">
        <f t="shared" si="418"/>
        <v>714609</v>
      </c>
      <c r="L2998" s="861" t="s">
        <v>162</v>
      </c>
      <c r="M2998" s="861" t="s">
        <v>857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52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826"/>
    </row>
    <row r="2999" spans="1:27" ht="15.75" customHeight="1">
      <c r="A2999" s="827" t="str">
        <f>IF(B2999&lt;&gt;"",IF(AND(B2999&gt;=_TM1,B2999&lt;=_TM2,OR(TH!L2999="1111",TH!M2999="1111")),TH!D2999,""),"")</f>
        <v/>
      </c>
      <c r="B2999" s="36">
        <f t="shared" si="417"/>
        <v>6</v>
      </c>
      <c r="C2999" s="190">
        <f t="shared" si="415"/>
        <v>42551</v>
      </c>
      <c r="D2999" s="856" t="s">
        <v>1662</v>
      </c>
      <c r="E2999" s="906">
        <v>42551</v>
      </c>
      <c r="F2999" s="868" t="s">
        <v>704</v>
      </c>
      <c r="G2999" s="831" t="s">
        <v>804</v>
      </c>
      <c r="H2999" s="859" t="s">
        <v>1310</v>
      </c>
      <c r="I2999" s="251">
        <v>20</v>
      </c>
      <c r="J2999" s="251">
        <v>36418</v>
      </c>
      <c r="K2999" s="860">
        <f t="shared" si="418"/>
        <v>728360</v>
      </c>
      <c r="L2999" s="861" t="s">
        <v>162</v>
      </c>
      <c r="M2999" s="861" t="s">
        <v>857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52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826"/>
    </row>
    <row r="3000" spans="1:27" ht="15.75" customHeight="1">
      <c r="A3000" s="827" t="str">
        <f>IF(B3000&lt;&gt;"",IF(AND(B3000&gt;=_TM1,B3000&lt;=_TM2,OR(TH!L3000="1111",TH!M3000="1111")),TH!D3000,""),"")</f>
        <v/>
      </c>
      <c r="B3000" s="36">
        <f t="shared" si="417"/>
        <v>6</v>
      </c>
      <c r="C3000" s="190">
        <f t="shared" si="415"/>
        <v>42551</v>
      </c>
      <c r="D3000" s="856" t="s">
        <v>1662</v>
      </c>
      <c r="E3000" s="906">
        <v>42551</v>
      </c>
      <c r="F3000" s="49" t="s">
        <v>825</v>
      </c>
      <c r="G3000" s="831" t="s">
        <v>804</v>
      </c>
      <c r="H3000" s="859" t="s">
        <v>1310</v>
      </c>
      <c r="I3000" s="251">
        <v>36</v>
      </c>
      <c r="J3000" s="251">
        <v>36695.65</v>
      </c>
      <c r="K3000" s="860">
        <f t="shared" si="418"/>
        <v>1321043</v>
      </c>
      <c r="L3000" s="861" t="s">
        <v>162</v>
      </c>
      <c r="M3000" s="861" t="s">
        <v>857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52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826"/>
    </row>
    <row r="3001" spans="1:27" ht="15.75" customHeight="1">
      <c r="A3001" s="827" t="str">
        <f>IF(B3001&lt;&gt;"",IF(AND(B3001&gt;=_TM1,B3001&lt;=_TM2,OR(TH!L3001="1111",TH!M3001="1111")),TH!D3001,""),"")</f>
        <v/>
      </c>
      <c r="B3001" s="36">
        <f t="shared" si="417"/>
        <v>6</v>
      </c>
      <c r="C3001" s="190">
        <f t="shared" si="415"/>
        <v>42551</v>
      </c>
      <c r="D3001" s="856" t="s">
        <v>1662</v>
      </c>
      <c r="E3001" s="906">
        <v>42551</v>
      </c>
      <c r="F3001" s="49" t="s">
        <v>825</v>
      </c>
      <c r="G3001" s="831" t="s">
        <v>804</v>
      </c>
      <c r="H3001" s="859" t="s">
        <v>1310</v>
      </c>
      <c r="I3001" s="251">
        <v>50</v>
      </c>
      <c r="J3001" s="251">
        <v>36980</v>
      </c>
      <c r="K3001" s="860">
        <f t="shared" si="418"/>
        <v>1849000</v>
      </c>
      <c r="L3001" s="861" t="s">
        <v>162</v>
      </c>
      <c r="M3001" s="861" t="s">
        <v>857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52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826"/>
    </row>
    <row r="3002" spans="1:27" ht="15.75" customHeight="1">
      <c r="A3002" s="827" t="str">
        <f>IF(B3002&lt;&gt;"",IF(AND(B3002&gt;=_TM1,B3002&lt;=_TM2,OR(TH!L3002="1111",TH!M3002="1111")),TH!D3002,""),"")</f>
        <v/>
      </c>
      <c r="B3002" s="36">
        <f t="shared" si="417"/>
        <v>6</v>
      </c>
      <c r="C3002" s="190">
        <f t="shared" si="415"/>
        <v>42551</v>
      </c>
      <c r="D3002" s="856" t="s">
        <v>1662</v>
      </c>
      <c r="E3002" s="906">
        <v>42551</v>
      </c>
      <c r="F3002" s="868" t="s">
        <v>809</v>
      </c>
      <c r="G3002" s="831" t="s">
        <v>804</v>
      </c>
      <c r="H3002" s="859" t="s">
        <v>1310</v>
      </c>
      <c r="I3002" s="251">
        <v>416</v>
      </c>
      <c r="J3002" s="251">
        <v>39723.508298755187</v>
      </c>
      <c r="K3002" s="860">
        <f t="shared" si="418"/>
        <v>16524979</v>
      </c>
      <c r="L3002" s="861" t="s">
        <v>162</v>
      </c>
      <c r="M3002" s="861" t="s">
        <v>857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52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826"/>
    </row>
    <row r="3003" spans="1:27" ht="15.75" customHeight="1">
      <c r="A3003" s="827" t="str">
        <f>IF(B3003&lt;&gt;"",IF(AND(B3003&gt;=_TM1,B3003&lt;=_TM2,OR(TH!L3003="1111",TH!M3003="1111")),TH!D3003,""),"")</f>
        <v/>
      </c>
      <c r="B3003" s="36">
        <f t="shared" si="417"/>
        <v>6</v>
      </c>
      <c r="C3003" s="190">
        <f t="shared" si="415"/>
        <v>42551</v>
      </c>
      <c r="D3003" s="856" t="s">
        <v>1662</v>
      </c>
      <c r="E3003" s="906">
        <v>42551</v>
      </c>
      <c r="F3003" s="49" t="s">
        <v>809</v>
      </c>
      <c r="G3003" s="831" t="s">
        <v>804</v>
      </c>
      <c r="H3003" s="859" t="s">
        <v>1310</v>
      </c>
      <c r="I3003" s="251">
        <v>18</v>
      </c>
      <c r="J3003" s="251">
        <v>39723.508298755187</v>
      </c>
      <c r="K3003" s="860">
        <f t="shared" si="418"/>
        <v>715023</v>
      </c>
      <c r="L3003" s="861" t="s">
        <v>162</v>
      </c>
      <c r="M3003" s="861" t="s">
        <v>857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52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826"/>
    </row>
    <row r="3004" spans="1:27" ht="15.75" customHeight="1">
      <c r="A3004" s="827" t="str">
        <f>IF(B3004&lt;&gt;"",IF(AND(B3004&gt;=_TM1,B3004&lt;=_TM2,OR(TH!L3004="1111",TH!M3004="1111")),TH!D3004,""),"")</f>
        <v/>
      </c>
      <c r="B3004" s="36">
        <f t="shared" si="417"/>
        <v>6</v>
      </c>
      <c r="C3004" s="190">
        <f t="shared" si="415"/>
        <v>42551</v>
      </c>
      <c r="D3004" s="856" t="s">
        <v>1662</v>
      </c>
      <c r="E3004" s="906">
        <v>42551</v>
      </c>
      <c r="F3004" s="868" t="s">
        <v>809</v>
      </c>
      <c r="G3004" s="831" t="s">
        <v>804</v>
      </c>
      <c r="H3004" s="859" t="s">
        <v>1310</v>
      </c>
      <c r="I3004" s="251">
        <v>48</v>
      </c>
      <c r="J3004" s="251">
        <v>39723.520833333336</v>
      </c>
      <c r="K3004" s="860">
        <f t="shared" si="418"/>
        <v>1906729</v>
      </c>
      <c r="L3004" s="861" t="s">
        <v>162</v>
      </c>
      <c r="M3004" s="861" t="s">
        <v>857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52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826"/>
    </row>
    <row r="3005" spans="1:27" ht="15.75" customHeight="1">
      <c r="A3005" s="827" t="str">
        <f>IF(B3005&lt;&gt;"",IF(AND(B3005&gt;=_TM1,B3005&lt;=_TM2,OR(TH!L3005="1111",TH!M3005="1111")),TH!D3005,""),"")</f>
        <v/>
      </c>
      <c r="B3005" s="36">
        <f t="shared" si="417"/>
        <v>6</v>
      </c>
      <c r="C3005" s="190">
        <f t="shared" si="415"/>
        <v>42551</v>
      </c>
      <c r="D3005" s="856" t="s">
        <v>1662</v>
      </c>
      <c r="E3005" s="906">
        <v>42551</v>
      </c>
      <c r="F3005" s="49" t="s">
        <v>553</v>
      </c>
      <c r="G3005" s="831" t="s">
        <v>804</v>
      </c>
      <c r="H3005" s="859" t="s">
        <v>1310</v>
      </c>
      <c r="I3005" s="251">
        <v>48</v>
      </c>
      <c r="J3005" s="251">
        <v>37168.75</v>
      </c>
      <c r="K3005" s="860">
        <f t="shared" si="418"/>
        <v>1784100</v>
      </c>
      <c r="L3005" s="861" t="s">
        <v>162</v>
      </c>
      <c r="M3005" s="861" t="s">
        <v>857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52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826"/>
    </row>
    <row r="3006" spans="1:27" ht="15.75" customHeight="1">
      <c r="A3006" s="827" t="str">
        <f>IF(B3006&lt;&gt;"",IF(AND(B3006&gt;=_TM1,B3006&lt;=_TM2,OR(TH!L3006="1111",TH!M3006="1111")),TH!D3006,""),"")</f>
        <v/>
      </c>
      <c r="B3006" s="36">
        <f t="shared" si="417"/>
        <v>6</v>
      </c>
      <c r="C3006" s="190">
        <f t="shared" si="415"/>
        <v>42551</v>
      </c>
      <c r="D3006" s="856" t="s">
        <v>1662</v>
      </c>
      <c r="E3006" s="906">
        <v>42551</v>
      </c>
      <c r="F3006" s="49" t="s">
        <v>815</v>
      </c>
      <c r="G3006" s="831" t="s">
        <v>804</v>
      </c>
      <c r="H3006" s="859" t="s">
        <v>1310</v>
      </c>
      <c r="I3006" s="251">
        <v>24</v>
      </c>
      <c r="J3006" s="251">
        <v>43434.958333333336</v>
      </c>
      <c r="K3006" s="860">
        <f t="shared" si="418"/>
        <v>1042439</v>
      </c>
      <c r="L3006" s="861" t="s">
        <v>162</v>
      </c>
      <c r="M3006" s="861" t="s">
        <v>857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52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826"/>
    </row>
    <row r="3007" spans="1:27" ht="15.75" customHeight="1">
      <c r="A3007" s="827" t="str">
        <f>IF(B3007&lt;&gt;"",IF(AND(B3007&gt;=_TM1,B3007&lt;=_TM2,OR(TH!L3007="1111",TH!M3007="1111")),TH!D3007,""),"")</f>
        <v/>
      </c>
      <c r="B3007" s="36">
        <f t="shared" si="417"/>
        <v>6</v>
      </c>
      <c r="C3007" s="190">
        <f t="shared" si="415"/>
        <v>42551</v>
      </c>
      <c r="D3007" s="856" t="s">
        <v>1662</v>
      </c>
      <c r="E3007" s="906">
        <v>42551</v>
      </c>
      <c r="F3007" s="908" t="s">
        <v>821</v>
      </c>
      <c r="G3007" s="831" t="s">
        <v>804</v>
      </c>
      <c r="H3007" s="859" t="s">
        <v>1310</v>
      </c>
      <c r="I3007" s="251">
        <v>36</v>
      </c>
      <c r="J3007" s="251">
        <v>45997.055555555555</v>
      </c>
      <c r="K3007" s="860">
        <f t="shared" si="418"/>
        <v>1655894</v>
      </c>
      <c r="L3007" s="861" t="s">
        <v>162</v>
      </c>
      <c r="M3007" s="861" t="s">
        <v>857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52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826"/>
    </row>
    <row r="3008" spans="1:27" ht="15.75" customHeight="1">
      <c r="A3008" s="827" t="str">
        <f>IF(B3008&lt;&gt;"",IF(AND(B3008&gt;=_TM1,B3008&lt;=_TM2,OR(TH!L3008="1111",TH!M3008="1111")),TH!D3008,""),"")</f>
        <v/>
      </c>
      <c r="B3008" s="36">
        <f t="shared" si="417"/>
        <v>6</v>
      </c>
      <c r="C3008" s="190">
        <f t="shared" si="415"/>
        <v>42551</v>
      </c>
      <c r="D3008" s="856" t="s">
        <v>1662</v>
      </c>
      <c r="E3008" s="906">
        <v>42551</v>
      </c>
      <c r="F3008" s="868" t="s">
        <v>832</v>
      </c>
      <c r="G3008" s="831" t="s">
        <v>804</v>
      </c>
      <c r="H3008" s="859" t="s">
        <v>1310</v>
      </c>
      <c r="I3008" s="251">
        <v>40</v>
      </c>
      <c r="J3008" s="251">
        <v>21594</v>
      </c>
      <c r="K3008" s="860">
        <f t="shared" si="418"/>
        <v>863760</v>
      </c>
      <c r="L3008" s="861" t="s">
        <v>162</v>
      </c>
      <c r="M3008" s="861" t="s">
        <v>857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52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826"/>
    </row>
    <row r="3009" spans="1:27" ht="15.75" customHeight="1">
      <c r="A3009" s="827" t="str">
        <f>IF(B3009&lt;&gt;"",IF(AND(B3009&gt;=_TM1,B3009&lt;=_TM2,OR(TH!L3009="1111",TH!M3009="1111")),TH!D3009,""),"")</f>
        <v/>
      </c>
      <c r="B3009" s="36">
        <f t="shared" si="417"/>
        <v>6</v>
      </c>
      <c r="C3009" s="190">
        <f t="shared" si="415"/>
        <v>42551</v>
      </c>
      <c r="D3009" s="856" t="s">
        <v>1662</v>
      </c>
      <c r="E3009" s="906">
        <v>42551</v>
      </c>
      <c r="F3009" s="49" t="s">
        <v>503</v>
      </c>
      <c r="G3009" s="831" t="s">
        <v>804</v>
      </c>
      <c r="H3009" s="859" t="s">
        <v>1310</v>
      </c>
      <c r="I3009" s="251">
        <v>10</v>
      </c>
      <c r="J3009" s="251">
        <v>40027.300000000003</v>
      </c>
      <c r="K3009" s="860">
        <f t="shared" si="418"/>
        <v>400273</v>
      </c>
      <c r="L3009" s="861" t="s">
        <v>162</v>
      </c>
      <c r="M3009" s="861" t="s">
        <v>857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52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826"/>
    </row>
    <row r="3010" spans="1:27" ht="15.75" customHeight="1">
      <c r="A3010" s="827" t="str">
        <f>IF(B3010&lt;&gt;"",IF(AND(B3010&gt;=_TM1,B3010&lt;=_TM2,OR(TH!L3010="1111",TH!M3010="1111")),TH!D3010,""),"")</f>
        <v/>
      </c>
      <c r="B3010" s="36">
        <f t="shared" si="417"/>
        <v>6</v>
      </c>
      <c r="C3010" s="190">
        <f t="shared" si="415"/>
        <v>42551</v>
      </c>
      <c r="D3010" s="856" t="s">
        <v>1662</v>
      </c>
      <c r="E3010" s="906">
        <v>42551</v>
      </c>
      <c r="F3010" s="868" t="s">
        <v>826</v>
      </c>
      <c r="G3010" s="831" t="s">
        <v>804</v>
      </c>
      <c r="H3010" s="859" t="s">
        <v>1310</v>
      </c>
      <c r="I3010" s="251">
        <v>24</v>
      </c>
      <c r="J3010" s="251">
        <v>44464.75</v>
      </c>
      <c r="K3010" s="860">
        <f t="shared" si="418"/>
        <v>1067154</v>
      </c>
      <c r="L3010" s="861" t="s">
        <v>162</v>
      </c>
      <c r="M3010" s="861" t="s">
        <v>857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52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826"/>
    </row>
    <row r="3011" spans="1:27" ht="15.75" customHeight="1">
      <c r="A3011" s="827" t="str">
        <f>IF(B3011&lt;&gt;"",IF(AND(B3011&gt;=_TM1,B3011&lt;=_TM2,OR(TH!L3011="1111",TH!M3011="1111")),TH!D3011,""),"")</f>
        <v/>
      </c>
      <c r="B3011" s="36">
        <f t="shared" si="417"/>
        <v>6</v>
      </c>
      <c r="C3011" s="190">
        <f t="shared" si="415"/>
        <v>42551</v>
      </c>
      <c r="D3011" s="856" t="s">
        <v>1662</v>
      </c>
      <c r="E3011" s="906">
        <v>42551</v>
      </c>
      <c r="F3011" s="49" t="s">
        <v>559</v>
      </c>
      <c r="G3011" s="831" t="s">
        <v>804</v>
      </c>
      <c r="H3011" s="859" t="s">
        <v>1310</v>
      </c>
      <c r="I3011" s="251">
        <v>24</v>
      </c>
      <c r="J3011" s="251">
        <v>44421.05</v>
      </c>
      <c r="K3011" s="860">
        <f t="shared" si="418"/>
        <v>1066105</v>
      </c>
      <c r="L3011" s="861" t="s">
        <v>162</v>
      </c>
      <c r="M3011" s="861" t="s">
        <v>857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52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826"/>
    </row>
    <row r="3012" spans="1:27" ht="15.75" customHeight="1">
      <c r="A3012" s="827" t="str">
        <f>IF(B3012&lt;&gt;"",IF(AND(B3012&gt;=_TM1,B3012&lt;=_TM2,OR(TH!L3012="1111",TH!M3012="1111")),TH!D3012,""),"")</f>
        <v/>
      </c>
      <c r="B3012" s="36">
        <f t="shared" si="417"/>
        <v>6</v>
      </c>
      <c r="C3012" s="190">
        <f t="shared" ref="C3012:C3036" si="419">E3012</f>
        <v>42551</v>
      </c>
      <c r="D3012" s="856" t="s">
        <v>1662</v>
      </c>
      <c r="E3012" s="906">
        <v>42551</v>
      </c>
      <c r="F3012" s="868" t="s">
        <v>535</v>
      </c>
      <c r="G3012" s="831" t="s">
        <v>804</v>
      </c>
      <c r="H3012" s="859" t="s">
        <v>1310</v>
      </c>
      <c r="I3012" s="251">
        <v>20</v>
      </c>
      <c r="J3012" s="251">
        <v>46747.6</v>
      </c>
      <c r="K3012" s="860">
        <f t="shared" si="416"/>
        <v>934952</v>
      </c>
      <c r="L3012" s="861" t="s">
        <v>162</v>
      </c>
      <c r="M3012" s="861" t="s">
        <v>857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52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826"/>
    </row>
    <row r="3013" spans="1:27" ht="15.75" customHeight="1">
      <c r="A3013" s="827" t="str">
        <f>IF(B3013&lt;&gt;"",IF(AND(B3013&gt;=_TM1,B3013&lt;=_TM2,OR(TH!L3013="1111",TH!M3013="1111")),TH!D3013,""),"")</f>
        <v/>
      </c>
      <c r="B3013" s="36">
        <f t="shared" si="417"/>
        <v>6</v>
      </c>
      <c r="C3013" s="190">
        <f t="shared" si="419"/>
        <v>42551</v>
      </c>
      <c r="D3013" s="856" t="s">
        <v>1662</v>
      </c>
      <c r="E3013" s="906">
        <v>42551</v>
      </c>
      <c r="F3013" s="49" t="s">
        <v>813</v>
      </c>
      <c r="G3013" s="831" t="s">
        <v>804</v>
      </c>
      <c r="H3013" s="859" t="s">
        <v>1310</v>
      </c>
      <c r="I3013" s="251">
        <v>70</v>
      </c>
      <c r="J3013" s="251">
        <v>46496.800000000003</v>
      </c>
      <c r="K3013" s="860">
        <f t="shared" si="416"/>
        <v>3254776</v>
      </c>
      <c r="L3013" s="861" t="s">
        <v>162</v>
      </c>
      <c r="M3013" s="861" t="s">
        <v>857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52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826"/>
    </row>
    <row r="3014" spans="1:27" ht="15.75" customHeight="1">
      <c r="A3014" s="827" t="str">
        <f>IF(B3014&lt;&gt;"",IF(AND(B3014&gt;=_TM1,B3014&lt;=_TM2,OR(TH!L3014="1111",TH!M3014="1111")),TH!D3014,""),"")</f>
        <v/>
      </c>
      <c r="B3014" s="36">
        <f t="shared" si="417"/>
        <v>6</v>
      </c>
      <c r="C3014" s="190">
        <f t="shared" si="419"/>
        <v>42551</v>
      </c>
      <c r="D3014" s="856" t="s">
        <v>1662</v>
      </c>
      <c r="E3014" s="906">
        <v>42551</v>
      </c>
      <c r="F3014" s="868" t="s">
        <v>813</v>
      </c>
      <c r="G3014" s="831" t="s">
        <v>804</v>
      </c>
      <c r="H3014" s="859" t="s">
        <v>1310</v>
      </c>
      <c r="I3014" s="251">
        <v>100</v>
      </c>
      <c r="J3014" s="251">
        <v>47825</v>
      </c>
      <c r="K3014" s="860">
        <f t="shared" si="416"/>
        <v>4782500</v>
      </c>
      <c r="L3014" s="861" t="s">
        <v>162</v>
      </c>
      <c r="M3014" s="861" t="s">
        <v>857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52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826"/>
    </row>
    <row r="3015" spans="1:27" ht="15.75" customHeight="1">
      <c r="A3015" s="827" t="str">
        <f>IF(B3015&lt;&gt;"",IF(AND(B3015&gt;=_TM1,B3015&lt;=_TM2,OR(TH!L3015="1111",TH!M3015="1111")),TH!D3015,""),"")</f>
        <v/>
      </c>
      <c r="B3015" s="36">
        <f t="shared" si="417"/>
        <v>6</v>
      </c>
      <c r="C3015" s="190">
        <f t="shared" si="419"/>
        <v>42551</v>
      </c>
      <c r="D3015" s="856" t="s">
        <v>1662</v>
      </c>
      <c r="E3015" s="906">
        <v>42551</v>
      </c>
      <c r="F3015" s="49" t="s">
        <v>708</v>
      </c>
      <c r="G3015" s="831" t="s">
        <v>804</v>
      </c>
      <c r="H3015" s="859" t="s">
        <v>1310</v>
      </c>
      <c r="I3015" s="251">
        <v>46</v>
      </c>
      <c r="J3015" s="251">
        <v>48572.55</v>
      </c>
      <c r="K3015" s="860">
        <f t="shared" si="416"/>
        <v>2234337</v>
      </c>
      <c r="L3015" s="861" t="s">
        <v>162</v>
      </c>
      <c r="M3015" s="861" t="s">
        <v>857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52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826"/>
    </row>
    <row r="3016" spans="1:27" ht="15.75" customHeight="1">
      <c r="A3016" s="827" t="str">
        <f>IF(B3016&lt;&gt;"",IF(AND(B3016&gt;=_TM1,B3016&lt;=_TM2,OR(TH!L3016="1111",TH!M3016="1111")),TH!D3016,""),"")</f>
        <v/>
      </c>
      <c r="B3016" s="36">
        <f t="shared" si="417"/>
        <v>6</v>
      </c>
      <c r="C3016" s="190">
        <f t="shared" si="419"/>
        <v>42551</v>
      </c>
      <c r="D3016" s="856" t="s">
        <v>1662</v>
      </c>
      <c r="E3016" s="906">
        <v>42551</v>
      </c>
      <c r="F3016" s="49" t="s">
        <v>705</v>
      </c>
      <c r="G3016" s="831" t="s">
        <v>804</v>
      </c>
      <c r="H3016" s="859" t="s">
        <v>1310</v>
      </c>
      <c r="I3016" s="251">
        <v>12</v>
      </c>
      <c r="J3016" s="251">
        <v>61944.75</v>
      </c>
      <c r="K3016" s="860">
        <f t="shared" si="416"/>
        <v>743337</v>
      </c>
      <c r="L3016" s="861" t="s">
        <v>162</v>
      </c>
      <c r="M3016" s="861" t="s">
        <v>857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52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826"/>
    </row>
    <row r="3017" spans="1:27" ht="15.75" customHeight="1">
      <c r="A3017" s="827" t="str">
        <f>IF(B3017&lt;&gt;"",IF(AND(B3017&gt;=_TM1,B3017&lt;=_TM2,OR(TH!L3017="1111",TH!M3017="1111")),TH!D3017,""),"")</f>
        <v/>
      </c>
      <c r="B3017" s="36">
        <f t="shared" si="417"/>
        <v>6</v>
      </c>
      <c r="C3017" s="190">
        <f t="shared" si="419"/>
        <v>42551</v>
      </c>
      <c r="D3017" s="856" t="s">
        <v>1662</v>
      </c>
      <c r="E3017" s="906">
        <v>42551</v>
      </c>
      <c r="F3017" s="868" t="s">
        <v>705</v>
      </c>
      <c r="G3017" s="831" t="s">
        <v>804</v>
      </c>
      <c r="H3017" s="859" t="s">
        <v>1310</v>
      </c>
      <c r="I3017" s="251">
        <v>20</v>
      </c>
      <c r="J3017" s="251">
        <v>60484</v>
      </c>
      <c r="K3017" s="860">
        <f t="shared" si="416"/>
        <v>1209680</v>
      </c>
      <c r="L3017" s="861" t="s">
        <v>162</v>
      </c>
      <c r="M3017" s="861" t="s">
        <v>857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52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826"/>
    </row>
    <row r="3018" spans="1:27" ht="15.75" customHeight="1">
      <c r="A3018" s="827" t="str">
        <f>IF(B3018&lt;&gt;"",IF(AND(B3018&gt;=_TM1,B3018&lt;=_TM2,OR(TH!L3018="1111",TH!M3018="1111")),TH!D3018,""),"")</f>
        <v/>
      </c>
      <c r="B3018" s="36">
        <f t="shared" si="417"/>
        <v>6</v>
      </c>
      <c r="C3018" s="190">
        <f t="shared" si="419"/>
        <v>42551</v>
      </c>
      <c r="D3018" s="856" t="s">
        <v>1662</v>
      </c>
      <c r="E3018" s="906">
        <v>42551</v>
      </c>
      <c r="F3018" s="49" t="s">
        <v>537</v>
      </c>
      <c r="G3018" s="831" t="s">
        <v>804</v>
      </c>
      <c r="H3018" s="859" t="s">
        <v>1310</v>
      </c>
      <c r="I3018" s="251">
        <v>48</v>
      </c>
      <c r="J3018" s="251">
        <v>30042.799999999999</v>
      </c>
      <c r="K3018" s="860">
        <f t="shared" si="416"/>
        <v>1442054</v>
      </c>
      <c r="L3018" s="861" t="s">
        <v>162</v>
      </c>
      <c r="M3018" s="861" t="s">
        <v>857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52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826"/>
    </row>
    <row r="3019" spans="1:27" ht="15.75" customHeight="1">
      <c r="A3019" s="827" t="str">
        <f>IF(B3019&lt;&gt;"",IF(AND(B3019&gt;=_TM1,B3019&lt;=_TM2,OR(TH!L3019="1111",TH!M3019="1111")),TH!D3019,""),"")</f>
        <v/>
      </c>
      <c r="B3019" s="36">
        <f t="shared" si="417"/>
        <v>6</v>
      </c>
      <c r="C3019" s="190">
        <f t="shared" si="419"/>
        <v>42551</v>
      </c>
      <c r="D3019" s="856" t="s">
        <v>1662</v>
      </c>
      <c r="E3019" s="906">
        <v>42551</v>
      </c>
      <c r="F3019" s="868" t="s">
        <v>493</v>
      </c>
      <c r="G3019" s="831" t="s">
        <v>804</v>
      </c>
      <c r="H3019" s="859" t="s">
        <v>1310</v>
      </c>
      <c r="I3019" s="251">
        <v>32</v>
      </c>
      <c r="J3019" s="251">
        <v>48056.7</v>
      </c>
      <c r="K3019" s="860">
        <f t="shared" si="416"/>
        <v>1537814</v>
      </c>
      <c r="L3019" s="861" t="s">
        <v>162</v>
      </c>
      <c r="M3019" s="861" t="s">
        <v>857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52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826"/>
    </row>
    <row r="3020" spans="1:27" ht="15.75" customHeight="1">
      <c r="A3020" s="827" t="str">
        <f>IF(B3020&lt;&gt;"",IF(AND(B3020&gt;=_TM1,B3020&lt;=_TM2,OR(TH!L3020="1111",TH!M3020="1111")),TH!D3020,""),"")</f>
        <v/>
      </c>
      <c r="B3020" s="36">
        <f t="shared" si="417"/>
        <v>6</v>
      </c>
      <c r="C3020" s="190">
        <f t="shared" si="419"/>
        <v>42551</v>
      </c>
      <c r="D3020" s="856" t="s">
        <v>1662</v>
      </c>
      <c r="E3020" s="906">
        <v>42551</v>
      </c>
      <c r="F3020" s="49" t="s">
        <v>493</v>
      </c>
      <c r="G3020" s="831" t="s">
        <v>804</v>
      </c>
      <c r="H3020" s="859" t="s">
        <v>1310</v>
      </c>
      <c r="I3020" s="251">
        <v>4</v>
      </c>
      <c r="J3020" s="251">
        <v>53114.5</v>
      </c>
      <c r="K3020" s="860">
        <f t="shared" si="416"/>
        <v>212458</v>
      </c>
      <c r="L3020" s="861" t="s">
        <v>162</v>
      </c>
      <c r="M3020" s="861" t="s">
        <v>857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52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826"/>
    </row>
    <row r="3021" spans="1:27" ht="15.75" customHeight="1">
      <c r="A3021" s="827" t="str">
        <f>IF(B3021&lt;&gt;"",IF(AND(B3021&gt;=_TM1,B3021&lt;=_TM2,OR(TH!L3021="1111",TH!M3021="1111")),TH!D3021,""),"")</f>
        <v/>
      </c>
      <c r="B3021" s="36">
        <f t="shared" si="417"/>
        <v>6</v>
      </c>
      <c r="C3021" s="190">
        <f t="shared" si="419"/>
        <v>42551</v>
      </c>
      <c r="D3021" s="856" t="s">
        <v>1662</v>
      </c>
      <c r="E3021" s="906">
        <v>42551</v>
      </c>
      <c r="F3021" s="49" t="s">
        <v>515</v>
      </c>
      <c r="G3021" s="831" t="s">
        <v>804</v>
      </c>
      <c r="H3021" s="859" t="s">
        <v>1310</v>
      </c>
      <c r="I3021" s="251">
        <v>4</v>
      </c>
      <c r="J3021" s="251">
        <v>78526.032258064515</v>
      </c>
      <c r="K3021" s="860">
        <f t="shared" si="416"/>
        <v>314104</v>
      </c>
      <c r="L3021" s="861" t="s">
        <v>162</v>
      </c>
      <c r="M3021" s="861" t="s">
        <v>857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52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826"/>
    </row>
    <row r="3022" spans="1:27" ht="15.75" customHeight="1">
      <c r="A3022" s="827" t="str">
        <f>IF(B3022&lt;&gt;"",IF(AND(B3022&gt;=_TM1,B3022&lt;=_TM2,OR(TH!L3022="1111",TH!M3022="1111")),TH!D3022,""),"")</f>
        <v/>
      </c>
      <c r="B3022" s="36">
        <f t="shared" si="417"/>
        <v>6</v>
      </c>
      <c r="C3022" s="190">
        <f t="shared" si="419"/>
        <v>42551</v>
      </c>
      <c r="D3022" s="856" t="s">
        <v>1662</v>
      </c>
      <c r="E3022" s="906">
        <v>42551</v>
      </c>
      <c r="F3022" s="908" t="s">
        <v>515</v>
      </c>
      <c r="G3022" s="831" t="s">
        <v>804</v>
      </c>
      <c r="H3022" s="859" t="s">
        <v>1310</v>
      </c>
      <c r="I3022" s="251">
        <v>4</v>
      </c>
      <c r="J3022" s="251">
        <v>78526.032258064515</v>
      </c>
      <c r="K3022" s="860">
        <f t="shared" si="416"/>
        <v>314104</v>
      </c>
      <c r="L3022" s="861" t="s">
        <v>162</v>
      </c>
      <c r="M3022" s="861" t="s">
        <v>857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52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826"/>
    </row>
    <row r="3023" spans="1:27" ht="15.75" customHeight="1">
      <c r="A3023" s="827" t="str">
        <f>IF(B3023&lt;&gt;"",IF(AND(B3023&gt;=_TM1,B3023&lt;=_TM2,OR(TH!L3023="1111",TH!M3023="1111")),TH!D3023,""),"")</f>
        <v/>
      </c>
      <c r="B3023" s="36">
        <f t="shared" si="417"/>
        <v>6</v>
      </c>
      <c r="C3023" s="190">
        <f t="shared" si="419"/>
        <v>42551</v>
      </c>
      <c r="D3023" s="856" t="s">
        <v>1662</v>
      </c>
      <c r="E3023" s="906">
        <v>42551</v>
      </c>
      <c r="F3023" s="868" t="s">
        <v>484</v>
      </c>
      <c r="G3023" s="831" t="s">
        <v>804</v>
      </c>
      <c r="H3023" s="859" t="s">
        <v>1310</v>
      </c>
      <c r="I3023" s="251">
        <v>10</v>
      </c>
      <c r="J3023" s="251">
        <v>37679</v>
      </c>
      <c r="K3023" s="860">
        <f t="shared" si="416"/>
        <v>376790</v>
      </c>
      <c r="L3023" s="861" t="s">
        <v>162</v>
      </c>
      <c r="M3023" s="861" t="s">
        <v>857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52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826"/>
    </row>
    <row r="3024" spans="1:27" ht="15.75" customHeight="1">
      <c r="A3024" s="827" t="str">
        <f>IF(B3024&lt;&gt;"",IF(AND(B3024&gt;=_TM1,B3024&lt;=_TM2,OR(TH!L3024="1111",TH!M3024="1111")),TH!D3024,""),"")</f>
        <v/>
      </c>
      <c r="B3024" s="36">
        <f t="shared" si="417"/>
        <v>6</v>
      </c>
      <c r="C3024" s="190">
        <f t="shared" si="419"/>
        <v>42551</v>
      </c>
      <c r="D3024" s="856" t="s">
        <v>1662</v>
      </c>
      <c r="E3024" s="906">
        <v>42551</v>
      </c>
      <c r="F3024" s="49" t="s">
        <v>818</v>
      </c>
      <c r="G3024" s="831" t="s">
        <v>804</v>
      </c>
      <c r="H3024" s="859" t="s">
        <v>1310</v>
      </c>
      <c r="I3024" s="251">
        <v>4</v>
      </c>
      <c r="J3024" s="251">
        <v>76535.8</v>
      </c>
      <c r="K3024" s="860">
        <f t="shared" si="416"/>
        <v>306143</v>
      </c>
      <c r="L3024" s="861" t="s">
        <v>162</v>
      </c>
      <c r="M3024" s="861" t="s">
        <v>857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52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826"/>
    </row>
    <row r="3025" spans="1:27" ht="15.75" customHeight="1">
      <c r="A3025" s="827" t="str">
        <f>IF(B3025&lt;&gt;"",IF(AND(B3025&gt;=_TM1,B3025&lt;=_TM2,OR(TH!L3025="1111",TH!M3025="1111")),TH!D3025,""),"")</f>
        <v/>
      </c>
      <c r="B3025" s="36">
        <f t="shared" si="417"/>
        <v>6</v>
      </c>
      <c r="C3025" s="190">
        <f t="shared" si="419"/>
        <v>42551</v>
      </c>
      <c r="D3025" s="856" t="s">
        <v>1662</v>
      </c>
      <c r="E3025" s="906">
        <v>42551</v>
      </c>
      <c r="F3025" s="868" t="s">
        <v>883</v>
      </c>
      <c r="G3025" s="831" t="s">
        <v>804</v>
      </c>
      <c r="H3025" s="859" t="s">
        <v>1310</v>
      </c>
      <c r="I3025" s="251">
        <v>7</v>
      </c>
      <c r="J3025" s="251">
        <v>47006</v>
      </c>
      <c r="K3025" s="860">
        <f t="shared" si="416"/>
        <v>329042</v>
      </c>
      <c r="L3025" s="861" t="s">
        <v>162</v>
      </c>
      <c r="M3025" s="861" t="s">
        <v>857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52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826"/>
    </row>
    <row r="3026" spans="1:27" ht="15.75" customHeight="1">
      <c r="A3026" s="827" t="str">
        <f>IF(B3026&lt;&gt;"",IF(AND(B3026&gt;=_TM1,B3026&lt;=_TM2,OR(TH!L3026="1111",TH!M3026="1111")),TH!D3026,""),"")</f>
        <v/>
      </c>
      <c r="B3026" s="36">
        <f t="shared" si="417"/>
        <v>6</v>
      </c>
      <c r="C3026" s="190">
        <f t="shared" si="419"/>
        <v>42551</v>
      </c>
      <c r="D3026" s="856" t="s">
        <v>1662</v>
      </c>
      <c r="E3026" s="906">
        <v>42551</v>
      </c>
      <c r="F3026" s="49" t="s">
        <v>494</v>
      </c>
      <c r="G3026" s="831" t="s">
        <v>804</v>
      </c>
      <c r="H3026" s="859" t="s">
        <v>1310</v>
      </c>
      <c r="I3026" s="251">
        <v>10</v>
      </c>
      <c r="J3026" s="251">
        <v>68276.5</v>
      </c>
      <c r="K3026" s="860">
        <f t="shared" si="416"/>
        <v>682765</v>
      </c>
      <c r="L3026" s="861" t="s">
        <v>162</v>
      </c>
      <c r="M3026" s="861" t="s">
        <v>857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52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826"/>
    </row>
    <row r="3027" spans="1:27" ht="15.75" customHeight="1">
      <c r="A3027" s="827" t="str">
        <f>IF(B3027&lt;&gt;"",IF(AND(B3027&gt;=_TM1,B3027&lt;=_TM2,OR(TH!L3027="1111",TH!M3027="1111")),TH!D3027,""),"")</f>
        <v/>
      </c>
      <c r="B3027" s="36">
        <f t="shared" si="417"/>
        <v>6</v>
      </c>
      <c r="C3027" s="190">
        <f t="shared" si="419"/>
        <v>42551</v>
      </c>
      <c r="D3027" s="856" t="s">
        <v>1662</v>
      </c>
      <c r="E3027" s="906">
        <v>42551</v>
      </c>
      <c r="F3027" s="868" t="s">
        <v>830</v>
      </c>
      <c r="G3027" s="831" t="s">
        <v>804</v>
      </c>
      <c r="H3027" s="859" t="s">
        <v>1310</v>
      </c>
      <c r="I3027" s="251">
        <v>25</v>
      </c>
      <c r="J3027" s="251">
        <v>31090</v>
      </c>
      <c r="K3027" s="860">
        <f t="shared" ref="K3027:K3045" si="420">ROUND(I3027*J3027,0)</f>
        <v>777250</v>
      </c>
      <c r="L3027" s="861" t="s">
        <v>162</v>
      </c>
      <c r="M3027" s="861" t="s">
        <v>857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52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826"/>
    </row>
    <row r="3028" spans="1:27" ht="15.75" customHeight="1">
      <c r="A3028" s="827" t="str">
        <f>IF(B3028&lt;&gt;"",IF(AND(B3028&gt;=_TM1,B3028&lt;=_TM2,OR(TH!L3028="1111",TH!M3028="1111")),TH!D3028,""),"")</f>
        <v/>
      </c>
      <c r="B3028" s="36">
        <f t="shared" si="417"/>
        <v>6</v>
      </c>
      <c r="C3028" s="190">
        <f t="shared" si="419"/>
        <v>42551</v>
      </c>
      <c r="D3028" s="856" t="s">
        <v>1662</v>
      </c>
      <c r="E3028" s="906">
        <v>42551</v>
      </c>
      <c r="F3028" s="49" t="s">
        <v>827</v>
      </c>
      <c r="G3028" s="831" t="s">
        <v>804</v>
      </c>
      <c r="H3028" s="859" t="s">
        <v>1310</v>
      </c>
      <c r="I3028" s="251">
        <v>10</v>
      </c>
      <c r="J3028" s="251">
        <v>98119</v>
      </c>
      <c r="K3028" s="860">
        <f t="shared" si="420"/>
        <v>981190</v>
      </c>
      <c r="L3028" s="861" t="s">
        <v>162</v>
      </c>
      <c r="M3028" s="861" t="s">
        <v>857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52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826"/>
    </row>
    <row r="3029" spans="1:27" ht="15.75" customHeight="1">
      <c r="A3029" s="827" t="str">
        <f>IF(B3029&lt;&gt;"",IF(AND(B3029&gt;=_TM1,B3029&lt;=_TM2,OR(TH!L3029="1111",TH!M3029="1111")),TH!D3029,""),"")</f>
        <v/>
      </c>
      <c r="B3029" s="36">
        <f t="shared" si="417"/>
        <v>6</v>
      </c>
      <c r="C3029" s="190">
        <f t="shared" si="419"/>
        <v>42551</v>
      </c>
      <c r="D3029" s="856" t="s">
        <v>1662</v>
      </c>
      <c r="E3029" s="906">
        <v>42551</v>
      </c>
      <c r="F3029" s="868" t="s">
        <v>833</v>
      </c>
      <c r="G3029" s="831" t="s">
        <v>804</v>
      </c>
      <c r="H3029" s="859" t="s">
        <v>1310</v>
      </c>
      <c r="I3029" s="251">
        <v>30</v>
      </c>
      <c r="J3029" s="251">
        <v>45177</v>
      </c>
      <c r="K3029" s="860">
        <f t="shared" si="420"/>
        <v>1355310</v>
      </c>
      <c r="L3029" s="861" t="s">
        <v>162</v>
      </c>
      <c r="M3029" s="861" t="s">
        <v>857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52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826"/>
    </row>
    <row r="3030" spans="1:27" ht="15.75" customHeight="1">
      <c r="A3030" s="827" t="str">
        <f>IF(B3030&lt;&gt;"",IF(AND(B3030&gt;=_TM1,B3030&lt;=_TM2,OR(TH!L3030="1111",TH!M3030="1111")),TH!D3030,""),"")</f>
        <v/>
      </c>
      <c r="B3030" s="36">
        <f t="shared" si="417"/>
        <v>6</v>
      </c>
      <c r="C3030" s="190">
        <f t="shared" si="419"/>
        <v>42551</v>
      </c>
      <c r="D3030" s="856" t="s">
        <v>1662</v>
      </c>
      <c r="E3030" s="906">
        <v>42551</v>
      </c>
      <c r="F3030" s="49" t="s">
        <v>829</v>
      </c>
      <c r="G3030" s="831" t="s">
        <v>804</v>
      </c>
      <c r="H3030" s="859" t="s">
        <v>1310</v>
      </c>
      <c r="I3030" s="251">
        <v>20</v>
      </c>
      <c r="J3030" s="251">
        <v>44917</v>
      </c>
      <c r="K3030" s="860">
        <f t="shared" si="420"/>
        <v>898340</v>
      </c>
      <c r="L3030" s="861" t="s">
        <v>162</v>
      </c>
      <c r="M3030" s="861" t="s">
        <v>857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52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826"/>
    </row>
    <row r="3031" spans="1:27" ht="15.75" customHeight="1">
      <c r="A3031" s="827" t="str">
        <f>IF(B3031&lt;&gt;"",IF(AND(B3031&gt;=_TM1,B3031&lt;=_TM2,OR(TH!L3031="1111",TH!M3031="1111")),TH!D3031,""),"")</f>
        <v/>
      </c>
      <c r="B3031" s="36">
        <f t="shared" si="417"/>
        <v>6</v>
      </c>
      <c r="C3031" s="190">
        <f t="shared" si="419"/>
        <v>42551</v>
      </c>
      <c r="D3031" s="856" t="s">
        <v>1662</v>
      </c>
      <c r="E3031" s="906">
        <v>42551</v>
      </c>
      <c r="F3031" s="49" t="s">
        <v>819</v>
      </c>
      <c r="G3031" s="831" t="s">
        <v>804</v>
      </c>
      <c r="H3031" s="859" t="s">
        <v>1310</v>
      </c>
      <c r="I3031" s="251">
        <v>4</v>
      </c>
      <c r="J3031" s="251">
        <v>116655.25</v>
      </c>
      <c r="K3031" s="860">
        <f t="shared" si="420"/>
        <v>466621</v>
      </c>
      <c r="L3031" s="861" t="s">
        <v>162</v>
      </c>
      <c r="M3031" s="861" t="s">
        <v>857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52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826"/>
    </row>
    <row r="3032" spans="1:27" ht="15.75" customHeight="1">
      <c r="A3032" s="827" t="str">
        <f>IF(B3032&lt;&gt;"",IF(AND(B3032&gt;=_TM1,B3032&lt;=_TM2,OR(TH!L3032="1111",TH!M3032="1111")),TH!D3032,""),"")</f>
        <v/>
      </c>
      <c r="B3032" s="36">
        <f t="shared" si="417"/>
        <v>6</v>
      </c>
      <c r="C3032" s="190">
        <f t="shared" si="419"/>
        <v>42551</v>
      </c>
      <c r="D3032" s="856" t="s">
        <v>1662</v>
      </c>
      <c r="E3032" s="906">
        <v>42551</v>
      </c>
      <c r="F3032" s="868" t="s">
        <v>538</v>
      </c>
      <c r="G3032" s="831" t="s">
        <v>804</v>
      </c>
      <c r="H3032" s="859" t="s">
        <v>1310</v>
      </c>
      <c r="I3032" s="251">
        <v>36</v>
      </c>
      <c r="J3032" s="251">
        <v>67731</v>
      </c>
      <c r="K3032" s="860">
        <f t="shared" si="420"/>
        <v>2438316</v>
      </c>
      <c r="L3032" s="861" t="s">
        <v>162</v>
      </c>
      <c r="M3032" s="861" t="s">
        <v>857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52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826"/>
    </row>
    <row r="3033" spans="1:27" ht="15.75" customHeight="1">
      <c r="A3033" s="827" t="str">
        <f>IF(B3033&lt;&gt;"",IF(AND(B3033&gt;=_TM1,B3033&lt;=_TM2,OR(TH!L3033="1111",TH!M3033="1111")),TH!D3033,""),"")</f>
        <v/>
      </c>
      <c r="B3033" s="36">
        <f t="shared" si="417"/>
        <v>6</v>
      </c>
      <c r="C3033" s="190">
        <f t="shared" si="419"/>
        <v>42551</v>
      </c>
      <c r="D3033" s="856" t="s">
        <v>1662</v>
      </c>
      <c r="E3033" s="906">
        <v>42551</v>
      </c>
      <c r="F3033" s="49" t="s">
        <v>538</v>
      </c>
      <c r="G3033" s="831" t="s">
        <v>804</v>
      </c>
      <c r="H3033" s="859" t="s">
        <v>1310</v>
      </c>
      <c r="I3033" s="251">
        <v>30</v>
      </c>
      <c r="J3033" s="251">
        <v>69735</v>
      </c>
      <c r="K3033" s="860">
        <f t="shared" si="420"/>
        <v>2092050</v>
      </c>
      <c r="L3033" s="861" t="s">
        <v>162</v>
      </c>
      <c r="M3033" s="861" t="s">
        <v>857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52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826"/>
    </row>
    <row r="3034" spans="1:27" ht="15.75" customHeight="1">
      <c r="A3034" s="827" t="str">
        <f>IF(B3034&lt;&gt;"",IF(AND(B3034&gt;=_TM1,B3034&lt;=_TM2,OR(TH!L3034="1111",TH!M3034="1111")),TH!D3034,""),"")</f>
        <v/>
      </c>
      <c r="B3034" s="36">
        <f t="shared" si="417"/>
        <v>6</v>
      </c>
      <c r="C3034" s="190">
        <f t="shared" si="419"/>
        <v>42551</v>
      </c>
      <c r="D3034" s="856" t="s">
        <v>1662</v>
      </c>
      <c r="E3034" s="906">
        <v>42551</v>
      </c>
      <c r="F3034" s="868" t="s">
        <v>831</v>
      </c>
      <c r="G3034" s="831" t="s">
        <v>804</v>
      </c>
      <c r="H3034" s="859" t="s">
        <v>1310</v>
      </c>
      <c r="I3034" s="251">
        <v>25</v>
      </c>
      <c r="J3034" s="251">
        <v>40497</v>
      </c>
      <c r="K3034" s="860">
        <f t="shared" si="420"/>
        <v>1012425</v>
      </c>
      <c r="L3034" s="861" t="s">
        <v>162</v>
      </c>
      <c r="M3034" s="861" t="s">
        <v>857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52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826"/>
    </row>
    <row r="3035" spans="1:27" ht="15.75" customHeight="1">
      <c r="A3035" s="827" t="str">
        <f>IF(B3035&lt;&gt;"",IF(AND(B3035&gt;=_TM1,B3035&lt;=_TM2,OR(TH!L3035="1111",TH!M3035="1111")),TH!D3035,""),"")</f>
        <v/>
      </c>
      <c r="B3035" s="36">
        <f t="shared" si="417"/>
        <v>6</v>
      </c>
      <c r="C3035" s="190">
        <f t="shared" si="419"/>
        <v>42551</v>
      </c>
      <c r="D3035" s="856" t="s">
        <v>1662</v>
      </c>
      <c r="E3035" s="906">
        <v>42551</v>
      </c>
      <c r="F3035" s="49" t="s">
        <v>702</v>
      </c>
      <c r="G3035" s="831" t="s">
        <v>804</v>
      </c>
      <c r="H3035" s="859" t="s">
        <v>1310</v>
      </c>
      <c r="I3035" s="251">
        <v>6</v>
      </c>
      <c r="J3035" s="251">
        <v>64744</v>
      </c>
      <c r="K3035" s="860">
        <f t="shared" si="420"/>
        <v>388464</v>
      </c>
      <c r="L3035" s="861" t="s">
        <v>162</v>
      </c>
      <c r="M3035" s="861" t="s">
        <v>857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52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826"/>
    </row>
    <row r="3036" spans="1:27" ht="15.75" customHeight="1">
      <c r="A3036" s="827" t="str">
        <f>IF(B3036&lt;&gt;"",IF(AND(B3036&gt;=_TM1,B3036&lt;=_TM2,OR(TH!L3036="1111",TH!M3036="1111")),TH!D3036,""),"")</f>
        <v/>
      </c>
      <c r="B3036" s="36">
        <f t="shared" si="417"/>
        <v>6</v>
      </c>
      <c r="C3036" s="190">
        <f t="shared" si="419"/>
        <v>42551</v>
      </c>
      <c r="D3036" s="856" t="s">
        <v>1662</v>
      </c>
      <c r="E3036" s="906">
        <v>42551</v>
      </c>
      <c r="F3036" s="49" t="s">
        <v>709</v>
      </c>
      <c r="G3036" s="831" t="s">
        <v>804</v>
      </c>
      <c r="H3036" s="859" t="s">
        <v>1310</v>
      </c>
      <c r="I3036" s="251">
        <v>12</v>
      </c>
      <c r="J3036" s="251">
        <v>114373.35</v>
      </c>
      <c r="K3036" s="860">
        <f t="shared" si="420"/>
        <v>1372480</v>
      </c>
      <c r="L3036" s="861" t="s">
        <v>162</v>
      </c>
      <c r="M3036" s="861" t="s">
        <v>857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52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826"/>
    </row>
    <row r="3037" spans="1:27" s="887" customFormat="1" ht="15.75" customHeight="1">
      <c r="A3037" s="827" t="str">
        <f>IF(B3037&lt;&gt;"",IF(AND(B3037&gt;=_TM1,B3037&lt;=_TM2,OR(TH!L3037="1111",TH!M3037="1111")),TH!D3037,""),"")</f>
        <v/>
      </c>
      <c r="B3037" s="876">
        <f t="shared" si="417"/>
        <v>4</v>
      </c>
      <c r="C3037" s="877">
        <f t="shared" ref="C3037:C3055" si="421">E3037</f>
        <v>42472</v>
      </c>
      <c r="D3037" s="856" t="s">
        <v>1662</v>
      </c>
      <c r="E3037" s="912">
        <v>42472</v>
      </c>
      <c r="F3037" s="891" t="s">
        <v>641</v>
      </c>
      <c r="G3037" s="913" t="s">
        <v>640</v>
      </c>
      <c r="H3037" s="881" t="s">
        <v>1310</v>
      </c>
      <c r="I3037" s="882">
        <v>474</v>
      </c>
      <c r="J3037" s="882">
        <v>9963.1518987341769</v>
      </c>
      <c r="K3037" s="883">
        <f t="shared" si="420"/>
        <v>4722534</v>
      </c>
      <c r="L3037" s="884" t="s">
        <v>162</v>
      </c>
      <c r="M3037" s="884" t="s">
        <v>857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52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885"/>
    </row>
    <row r="3038" spans="1:27" ht="15.75" customHeight="1">
      <c r="A3038" s="827" t="str">
        <f>IF(B3038&lt;&gt;"",IF(AND(B3038&gt;=_TM1,B3038&lt;=_TM2,OR(TH!L3038="1111",TH!M3038="1111")),TH!D3038,""),"")</f>
        <v/>
      </c>
      <c r="B3038" s="36">
        <f t="shared" si="417"/>
        <v>4</v>
      </c>
      <c r="C3038" s="190">
        <f t="shared" si="421"/>
        <v>42486</v>
      </c>
      <c r="D3038" s="856" t="s">
        <v>1662</v>
      </c>
      <c r="E3038" s="906">
        <v>42486</v>
      </c>
      <c r="F3038" s="868" t="s">
        <v>664</v>
      </c>
      <c r="G3038" s="831" t="s">
        <v>663</v>
      </c>
      <c r="H3038" s="859" t="s">
        <v>1310</v>
      </c>
      <c r="I3038" s="251">
        <v>200</v>
      </c>
      <c r="J3038" s="251">
        <v>87313.414999999994</v>
      </c>
      <c r="K3038" s="860">
        <f t="shared" si="420"/>
        <v>17462683</v>
      </c>
      <c r="L3038" s="861" t="s">
        <v>162</v>
      </c>
      <c r="M3038" s="861" t="s">
        <v>857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52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826"/>
    </row>
    <row r="3039" spans="1:27" ht="15.75" customHeight="1">
      <c r="A3039" s="827" t="str">
        <f>IF(B3039&lt;&gt;"",IF(AND(B3039&gt;=_TM1,B3039&lt;=_TM2,OR(TH!L3039="1111",TH!M3039="1111")),TH!D3039,""),"")</f>
        <v/>
      </c>
      <c r="B3039" s="36">
        <f t="shared" si="417"/>
        <v>4</v>
      </c>
      <c r="C3039" s="190">
        <f t="shared" si="421"/>
        <v>42488</v>
      </c>
      <c r="D3039" s="856" t="s">
        <v>1662</v>
      </c>
      <c r="E3039" s="906">
        <v>42488</v>
      </c>
      <c r="F3039" s="49" t="s">
        <v>683</v>
      </c>
      <c r="G3039" s="831" t="s">
        <v>666</v>
      </c>
      <c r="H3039" s="859" t="s">
        <v>1310</v>
      </c>
      <c r="I3039" s="251">
        <v>210</v>
      </c>
      <c r="J3039" s="251">
        <v>63592.5</v>
      </c>
      <c r="K3039" s="860">
        <f t="shared" si="420"/>
        <v>13354425</v>
      </c>
      <c r="L3039" s="861" t="s">
        <v>162</v>
      </c>
      <c r="M3039" s="861" t="s">
        <v>857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52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826"/>
    </row>
    <row r="3040" spans="1:27" ht="15.75" customHeight="1">
      <c r="A3040" s="827" t="str">
        <f>IF(B3040&lt;&gt;"",IF(AND(B3040&gt;=_TM1,B3040&lt;=_TM2,OR(TH!L3040="1111",TH!M3040="1111")),TH!D3040,""),"")</f>
        <v/>
      </c>
      <c r="B3040" s="36">
        <f t="shared" si="417"/>
        <v>4</v>
      </c>
      <c r="C3040" s="190">
        <f t="shared" si="421"/>
        <v>42489</v>
      </c>
      <c r="D3040" s="856" t="s">
        <v>1662</v>
      </c>
      <c r="E3040" s="906">
        <v>42489</v>
      </c>
      <c r="F3040" s="49" t="s">
        <v>675</v>
      </c>
      <c r="G3040" s="831" t="s">
        <v>669</v>
      </c>
      <c r="H3040" s="859" t="s">
        <v>1310</v>
      </c>
      <c r="I3040" s="251">
        <v>90</v>
      </c>
      <c r="J3040" s="251">
        <v>38751.933333333334</v>
      </c>
      <c r="K3040" s="860">
        <f t="shared" si="420"/>
        <v>3487674</v>
      </c>
      <c r="L3040" s="861" t="s">
        <v>162</v>
      </c>
      <c r="M3040" s="861" t="s">
        <v>857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52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826"/>
    </row>
    <row r="3041" spans="1:27" ht="15.75" customHeight="1">
      <c r="A3041" s="827" t="str">
        <f>IF(B3041&lt;&gt;"",IF(AND(B3041&gt;=_TM1,B3041&lt;=_TM2,OR(TH!L3041="1111",TH!M3041="1111")),TH!D3041,""),"")</f>
        <v/>
      </c>
      <c r="B3041" s="36">
        <f t="shared" si="417"/>
        <v>5</v>
      </c>
      <c r="C3041" s="190">
        <f t="shared" si="421"/>
        <v>42521</v>
      </c>
      <c r="D3041" s="856" t="s">
        <v>1662</v>
      </c>
      <c r="E3041" s="906">
        <v>42521</v>
      </c>
      <c r="F3041" s="908" t="s">
        <v>568</v>
      </c>
      <c r="G3041" s="831" t="s">
        <v>697</v>
      </c>
      <c r="H3041" s="859" t="s">
        <v>1310</v>
      </c>
      <c r="I3041" s="251">
        <v>36</v>
      </c>
      <c r="J3041" s="251">
        <v>12468.583333333334</v>
      </c>
      <c r="K3041" s="860">
        <f t="shared" si="420"/>
        <v>448869</v>
      </c>
      <c r="L3041" s="861" t="s">
        <v>162</v>
      </c>
      <c r="M3041" s="861" t="s">
        <v>857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52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826"/>
    </row>
    <row r="3042" spans="1:27" ht="15.75" customHeight="1">
      <c r="A3042" s="827" t="str">
        <f>IF(B3042&lt;&gt;"",IF(AND(B3042&gt;=_TM1,B3042&lt;=_TM2,OR(TH!L3042="1111",TH!M3042="1111")),TH!D3042,""),"")</f>
        <v/>
      </c>
      <c r="B3042" s="36">
        <f t="shared" ref="B3042:B3143" si="422">IF(C3042&lt;&gt;"",MONTH(C3042),"")</f>
        <v>5</v>
      </c>
      <c r="C3042" s="190">
        <f t="shared" si="421"/>
        <v>42521</v>
      </c>
      <c r="D3042" s="856" t="s">
        <v>1662</v>
      </c>
      <c r="E3042" s="906">
        <v>42521</v>
      </c>
      <c r="F3042" s="868" t="s">
        <v>558</v>
      </c>
      <c r="G3042" s="831" t="s">
        <v>697</v>
      </c>
      <c r="H3042" s="859" t="s">
        <v>1310</v>
      </c>
      <c r="I3042" s="251">
        <v>12</v>
      </c>
      <c r="J3042" s="251">
        <v>37503.583333333336</v>
      </c>
      <c r="K3042" s="860">
        <f t="shared" si="420"/>
        <v>450043</v>
      </c>
      <c r="L3042" s="861" t="s">
        <v>162</v>
      </c>
      <c r="M3042" s="861" t="s">
        <v>857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52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826"/>
    </row>
    <row r="3043" spans="1:27" ht="15.75" customHeight="1">
      <c r="A3043" s="827" t="str">
        <f>IF(B3043&lt;&gt;"",IF(AND(B3043&gt;=_TM1,B3043&lt;=_TM2,OR(TH!L3043="1111",TH!M3043="1111")),TH!D3043,""),"")</f>
        <v/>
      </c>
      <c r="B3043" s="36">
        <f t="shared" si="422"/>
        <v>6</v>
      </c>
      <c r="C3043" s="190">
        <f t="shared" si="421"/>
        <v>42527</v>
      </c>
      <c r="D3043" s="856" t="s">
        <v>1662</v>
      </c>
      <c r="E3043" s="906">
        <v>42527</v>
      </c>
      <c r="F3043" s="49" t="s">
        <v>730</v>
      </c>
      <c r="G3043" s="831" t="s">
        <v>733</v>
      </c>
      <c r="H3043" s="859" t="s">
        <v>1310</v>
      </c>
      <c r="I3043" s="251">
        <v>1050</v>
      </c>
      <c r="J3043" s="251">
        <v>4052.9114285714286</v>
      </c>
      <c r="K3043" s="860">
        <f t="shared" si="420"/>
        <v>4255557</v>
      </c>
      <c r="L3043" s="861" t="s">
        <v>162</v>
      </c>
      <c r="M3043" s="861" t="s">
        <v>857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52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826"/>
    </row>
    <row r="3044" spans="1:27" ht="15.75" customHeight="1">
      <c r="A3044" s="827" t="str">
        <f>IF(B3044&lt;&gt;"",IF(AND(B3044&gt;=_TM1,B3044&lt;=_TM2,OR(TH!L3044="1111",TH!M3044="1111")),TH!D3044,""),"")</f>
        <v/>
      </c>
      <c r="B3044" s="36">
        <f t="shared" si="422"/>
        <v>6</v>
      </c>
      <c r="C3044" s="190">
        <f t="shared" si="421"/>
        <v>42528</v>
      </c>
      <c r="D3044" s="856" t="s">
        <v>1662</v>
      </c>
      <c r="E3044" s="906">
        <v>42528</v>
      </c>
      <c r="F3044" s="868" t="s">
        <v>1222</v>
      </c>
      <c r="G3044" s="831" t="s">
        <v>737</v>
      </c>
      <c r="H3044" s="859" t="s">
        <v>1310</v>
      </c>
      <c r="I3044" s="251">
        <v>1373</v>
      </c>
      <c r="J3044" s="251">
        <v>6610.9446467589223</v>
      </c>
      <c r="K3044" s="860">
        <f t="shared" si="420"/>
        <v>9076827</v>
      </c>
      <c r="L3044" s="861" t="s">
        <v>162</v>
      </c>
      <c r="M3044" s="861" t="s">
        <v>857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52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826"/>
    </row>
    <row r="3045" spans="1:27" ht="15.75" customHeight="1">
      <c r="A3045" s="827" t="str">
        <f>IF(B3045&lt;&gt;"",IF(AND(B3045&gt;=_TM1,B3045&lt;=_TM2,OR(TH!L3045="1111",TH!M3045="1111")),TH!D3045,""),"")</f>
        <v/>
      </c>
      <c r="B3045" s="36">
        <f t="shared" si="422"/>
        <v>6</v>
      </c>
      <c r="C3045" s="190">
        <f t="shared" si="421"/>
        <v>42532</v>
      </c>
      <c r="D3045" s="856" t="s">
        <v>1662</v>
      </c>
      <c r="E3045" s="906">
        <v>42532</v>
      </c>
      <c r="F3045" s="49" t="s">
        <v>765</v>
      </c>
      <c r="G3045" s="831" t="s">
        <v>751</v>
      </c>
      <c r="H3045" s="859" t="s">
        <v>1310</v>
      </c>
      <c r="I3045" s="251">
        <v>10</v>
      </c>
      <c r="J3045" s="251">
        <v>72724.3</v>
      </c>
      <c r="K3045" s="860">
        <f t="shared" si="420"/>
        <v>727243</v>
      </c>
      <c r="L3045" s="861" t="s">
        <v>162</v>
      </c>
      <c r="M3045" s="861" t="s">
        <v>857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52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826"/>
    </row>
    <row r="3046" spans="1:27" ht="15.75" customHeight="1">
      <c r="A3046" s="827" t="str">
        <f>IF(B3046&lt;&gt;"",IF(AND(B3046&gt;=_TM1,B3046&lt;=_TM2,OR(TH!L3046="1111",TH!M3046="1111")),TH!D3046,""),"")</f>
        <v/>
      </c>
      <c r="B3046" s="36">
        <f t="shared" si="422"/>
        <v>6</v>
      </c>
      <c r="C3046" s="190">
        <f t="shared" si="421"/>
        <v>42532</v>
      </c>
      <c r="D3046" s="856" t="s">
        <v>1662</v>
      </c>
      <c r="E3046" s="906">
        <v>42532</v>
      </c>
      <c r="F3046" s="868" t="s">
        <v>732</v>
      </c>
      <c r="G3046" s="831" t="s">
        <v>751</v>
      </c>
      <c r="H3046" s="859" t="s">
        <v>1310</v>
      </c>
      <c r="I3046" s="251">
        <v>30</v>
      </c>
      <c r="J3046" s="251">
        <v>6033</v>
      </c>
      <c r="K3046" s="860">
        <f t="shared" ref="K3046:K3064" si="423">ROUND(I3046*J3046,0)</f>
        <v>180990</v>
      </c>
      <c r="L3046" s="861" t="s">
        <v>162</v>
      </c>
      <c r="M3046" s="861" t="s">
        <v>857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52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826"/>
    </row>
    <row r="3047" spans="1:27" ht="15.75" customHeight="1">
      <c r="A3047" s="827" t="str">
        <f>IF(B3047&lt;&gt;"",IF(AND(B3047&gt;=_TM1,B3047&lt;=_TM2,OR(TH!L3047="1111",TH!M3047="1111")),TH!D3047,""),"")</f>
        <v/>
      </c>
      <c r="B3047" s="36">
        <f t="shared" si="422"/>
        <v>6</v>
      </c>
      <c r="C3047" s="190">
        <f t="shared" si="421"/>
        <v>42536</v>
      </c>
      <c r="D3047" s="856" t="s">
        <v>1662</v>
      </c>
      <c r="E3047" s="906">
        <v>42536</v>
      </c>
      <c r="F3047" s="49" t="s">
        <v>780</v>
      </c>
      <c r="G3047" s="831" t="s">
        <v>779</v>
      </c>
      <c r="H3047" s="859" t="s">
        <v>1310</v>
      </c>
      <c r="I3047" s="251">
        <v>75</v>
      </c>
      <c r="J3047" s="251">
        <v>15618.586666666666</v>
      </c>
      <c r="K3047" s="860">
        <f t="shared" si="423"/>
        <v>1171394</v>
      </c>
      <c r="L3047" s="861" t="s">
        <v>162</v>
      </c>
      <c r="M3047" s="861" t="s">
        <v>857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52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826"/>
    </row>
    <row r="3048" spans="1:27" ht="15.75" customHeight="1">
      <c r="A3048" s="827" t="str">
        <f>IF(B3048&lt;&gt;"",IF(AND(B3048&gt;=_TM1,B3048&lt;=_TM2,OR(TH!L3048="1111",TH!M3048="1111")),TH!D3048,""),"")</f>
        <v/>
      </c>
      <c r="B3048" s="36">
        <f t="shared" si="422"/>
        <v>6</v>
      </c>
      <c r="C3048" s="190">
        <f t="shared" si="421"/>
        <v>42536</v>
      </c>
      <c r="D3048" s="856" t="s">
        <v>1662</v>
      </c>
      <c r="E3048" s="906">
        <v>42536</v>
      </c>
      <c r="F3048" s="868" t="s">
        <v>781</v>
      </c>
      <c r="G3048" s="831" t="s">
        <v>779</v>
      </c>
      <c r="H3048" s="859" t="s">
        <v>1310</v>
      </c>
      <c r="I3048" s="251">
        <v>300</v>
      </c>
      <c r="J3048" s="251">
        <v>4930.5933333333332</v>
      </c>
      <c r="K3048" s="860">
        <f t="shared" si="423"/>
        <v>1479178</v>
      </c>
      <c r="L3048" s="861" t="s">
        <v>162</v>
      </c>
      <c r="M3048" s="861" t="s">
        <v>857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52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826"/>
    </row>
    <row r="3049" spans="1:27" ht="15.75" customHeight="1">
      <c r="A3049" s="827" t="str">
        <f>IF(B3049&lt;&gt;"",IF(AND(B3049&gt;=_TM1,B3049&lt;=_TM2,OR(TH!L3049="1111",TH!M3049="1111")),TH!D3049,""),"")</f>
        <v/>
      </c>
      <c r="B3049" s="36">
        <f t="shared" si="422"/>
        <v>6</v>
      </c>
      <c r="C3049" s="190">
        <f t="shared" si="421"/>
        <v>42548</v>
      </c>
      <c r="D3049" s="856" t="s">
        <v>1662</v>
      </c>
      <c r="E3049" s="906">
        <v>42548</v>
      </c>
      <c r="F3049" s="49" t="s">
        <v>790</v>
      </c>
      <c r="G3049" s="831" t="s">
        <v>789</v>
      </c>
      <c r="H3049" s="859" t="s">
        <v>1310</v>
      </c>
      <c r="I3049" s="251">
        <v>7</v>
      </c>
      <c r="J3049" s="251">
        <v>117547</v>
      </c>
      <c r="K3049" s="860">
        <f t="shared" si="423"/>
        <v>822829</v>
      </c>
      <c r="L3049" s="861" t="s">
        <v>162</v>
      </c>
      <c r="M3049" s="861" t="s">
        <v>857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52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826"/>
    </row>
    <row r="3050" spans="1:27" ht="15.75" customHeight="1">
      <c r="A3050" s="827" t="str">
        <f>IF(B3050&lt;&gt;"",IF(AND(B3050&gt;=_TM1,B3050&lt;=_TM2,OR(TH!L3050="1111",TH!M3050="1111")),TH!D3050,""),"")</f>
        <v/>
      </c>
      <c r="B3050" s="36">
        <f t="shared" si="422"/>
        <v>6</v>
      </c>
      <c r="C3050" s="190">
        <f t="shared" si="421"/>
        <v>42548</v>
      </c>
      <c r="D3050" s="856" t="s">
        <v>1662</v>
      </c>
      <c r="E3050" s="906">
        <v>42548</v>
      </c>
      <c r="F3050" s="49" t="s">
        <v>791</v>
      </c>
      <c r="G3050" s="831" t="s">
        <v>789</v>
      </c>
      <c r="H3050" s="859" t="s">
        <v>1310</v>
      </c>
      <c r="I3050" s="251">
        <v>15</v>
      </c>
      <c r="J3050" s="251">
        <v>22674.6</v>
      </c>
      <c r="K3050" s="860">
        <f t="shared" si="423"/>
        <v>340119</v>
      </c>
      <c r="L3050" s="861" t="s">
        <v>162</v>
      </c>
      <c r="M3050" s="861" t="s">
        <v>857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52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826"/>
    </row>
    <row r="3051" spans="1:27" ht="15.75" customHeight="1">
      <c r="A3051" s="827" t="str">
        <f>IF(B3051&lt;&gt;"",IF(AND(B3051&gt;=_TM1,B3051&lt;=_TM2,OR(TH!L3051="1111",TH!M3051="1111")),TH!D3051,""),"")</f>
        <v/>
      </c>
      <c r="B3051" s="36">
        <f t="shared" si="422"/>
        <v>6</v>
      </c>
      <c r="C3051" s="190">
        <f t="shared" si="421"/>
        <v>42548</v>
      </c>
      <c r="D3051" s="856" t="s">
        <v>1662</v>
      </c>
      <c r="E3051" s="906">
        <v>42548</v>
      </c>
      <c r="F3051" s="868" t="s">
        <v>792</v>
      </c>
      <c r="G3051" s="831" t="s">
        <v>789</v>
      </c>
      <c r="H3051" s="859" t="s">
        <v>1310</v>
      </c>
      <c r="I3051" s="251">
        <v>304</v>
      </c>
      <c r="J3051" s="251">
        <v>30955.598684210527</v>
      </c>
      <c r="K3051" s="860">
        <f t="shared" si="423"/>
        <v>9410502</v>
      </c>
      <c r="L3051" s="861" t="s">
        <v>162</v>
      </c>
      <c r="M3051" s="861" t="s">
        <v>857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52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826"/>
    </row>
    <row r="3052" spans="1:27" ht="15.75" customHeight="1">
      <c r="A3052" s="827" t="str">
        <f>IF(B3052&lt;&gt;"",IF(AND(B3052&gt;=_TM1,B3052&lt;=_TM2,OR(TH!L3052="1111",TH!M3052="1111")),TH!D3052,""),"")</f>
        <v/>
      </c>
      <c r="B3052" s="36">
        <f t="shared" si="422"/>
        <v>6</v>
      </c>
      <c r="C3052" s="190">
        <f t="shared" si="421"/>
        <v>42548</v>
      </c>
      <c r="D3052" s="856" t="s">
        <v>1662</v>
      </c>
      <c r="E3052" s="906">
        <v>42548</v>
      </c>
      <c r="F3052" s="49" t="s">
        <v>793</v>
      </c>
      <c r="G3052" s="831" t="s">
        <v>789</v>
      </c>
      <c r="H3052" s="859" t="s">
        <v>1310</v>
      </c>
      <c r="I3052" s="251">
        <v>50</v>
      </c>
      <c r="J3052" s="251">
        <v>41826.6</v>
      </c>
      <c r="K3052" s="860">
        <f t="shared" si="423"/>
        <v>2091330</v>
      </c>
      <c r="L3052" s="861" t="s">
        <v>162</v>
      </c>
      <c r="M3052" s="861" t="s">
        <v>857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52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826"/>
    </row>
    <row r="3053" spans="1:27" ht="15.75" customHeight="1">
      <c r="A3053" s="827" t="str">
        <f>IF(B3053&lt;&gt;"",IF(AND(B3053&gt;=_TM1,B3053&lt;=_TM2,OR(TH!L3053="1111",TH!M3053="1111")),TH!D3053,""),"")</f>
        <v/>
      </c>
      <c r="B3053" s="36">
        <f t="shared" si="422"/>
        <v>6</v>
      </c>
      <c r="C3053" s="190">
        <f t="shared" si="421"/>
        <v>42550</v>
      </c>
      <c r="D3053" s="856" t="s">
        <v>1662</v>
      </c>
      <c r="E3053" s="906">
        <v>42550</v>
      </c>
      <c r="F3053" s="868" t="s">
        <v>451</v>
      </c>
      <c r="G3053" s="831" t="s">
        <v>795</v>
      </c>
      <c r="H3053" s="859" t="s">
        <v>1310</v>
      </c>
      <c r="I3053" s="251">
        <v>5</v>
      </c>
      <c r="J3053" s="251">
        <v>6907.8</v>
      </c>
      <c r="K3053" s="860">
        <f t="shared" si="423"/>
        <v>34539</v>
      </c>
      <c r="L3053" s="861" t="s">
        <v>162</v>
      </c>
      <c r="M3053" s="861" t="s">
        <v>857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52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>x</v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826"/>
    </row>
    <row r="3054" spans="1:27" ht="15.75" customHeight="1">
      <c r="A3054" s="827" t="str">
        <f>IF(B3054&lt;&gt;"",IF(AND(B3054&gt;=_TM1,B3054&lt;=_TM2,OR(TH!L3054="1111",TH!M3054="1111")),TH!D3054,""),"")</f>
        <v/>
      </c>
      <c r="B3054" s="36">
        <f t="shared" si="422"/>
        <v>6</v>
      </c>
      <c r="C3054" s="190">
        <f t="shared" si="421"/>
        <v>42551</v>
      </c>
      <c r="D3054" s="856" t="s">
        <v>1662</v>
      </c>
      <c r="E3054" s="906">
        <v>42551</v>
      </c>
      <c r="F3054" s="49" t="s">
        <v>1305</v>
      </c>
      <c r="G3054" s="831" t="s">
        <v>798</v>
      </c>
      <c r="H3054" s="859" t="s">
        <v>1310</v>
      </c>
      <c r="I3054" s="251">
        <v>3</v>
      </c>
      <c r="J3054" s="251">
        <v>6668</v>
      </c>
      <c r="K3054" s="860">
        <f t="shared" si="423"/>
        <v>20004</v>
      </c>
      <c r="L3054" s="861" t="s">
        <v>162</v>
      </c>
      <c r="M3054" s="861" t="s">
        <v>857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52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826"/>
    </row>
    <row r="3055" spans="1:27" ht="15.75" customHeight="1">
      <c r="A3055" s="827" t="str">
        <f>IF(B3055&lt;&gt;"",IF(AND(B3055&gt;=_TM1,B3055&lt;=_TM2,OR(TH!L3055="1111",TH!M3055="1111")),TH!D3055,""),"")</f>
        <v/>
      </c>
      <c r="B3055" s="36">
        <f t="shared" si="422"/>
        <v>6</v>
      </c>
      <c r="C3055" s="190">
        <f t="shared" si="421"/>
        <v>42551</v>
      </c>
      <c r="D3055" s="856" t="s">
        <v>1662</v>
      </c>
      <c r="E3055" s="906">
        <v>42551</v>
      </c>
      <c r="F3055" s="49" t="s">
        <v>1306</v>
      </c>
      <c r="G3055" s="831" t="s">
        <v>798</v>
      </c>
      <c r="H3055" s="859" t="s">
        <v>1310</v>
      </c>
      <c r="I3055" s="251">
        <v>4</v>
      </c>
      <c r="J3055" s="251">
        <v>16383.5</v>
      </c>
      <c r="K3055" s="860">
        <f t="shared" si="423"/>
        <v>65534</v>
      </c>
      <c r="L3055" s="861" t="s">
        <v>162</v>
      </c>
      <c r="M3055" s="861" t="s">
        <v>857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52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826"/>
    </row>
    <row r="3056" spans="1:27" ht="15.75" customHeight="1">
      <c r="A3056" s="827" t="str">
        <f>IF(B3056&lt;&gt;"",IF(AND(B3056&gt;=_TM1,B3056&lt;=_TM2,OR(TH!L3056="1111",TH!M3056="1111")),TH!D3056,""),"")</f>
        <v/>
      </c>
      <c r="B3056" s="36">
        <f t="shared" si="422"/>
        <v>6</v>
      </c>
      <c r="C3056" s="190">
        <f t="shared" ref="C3056:C3131" si="424">E3056</f>
        <v>42551</v>
      </c>
      <c r="D3056" s="856" t="s">
        <v>1662</v>
      </c>
      <c r="E3056" s="906">
        <v>42551</v>
      </c>
      <c r="F3056" s="49" t="s">
        <v>1307</v>
      </c>
      <c r="G3056" s="831" t="s">
        <v>798</v>
      </c>
      <c r="H3056" s="859" t="s">
        <v>1310</v>
      </c>
      <c r="I3056" s="251">
        <v>5</v>
      </c>
      <c r="J3056" s="251">
        <v>193400.6</v>
      </c>
      <c r="K3056" s="860">
        <f t="shared" si="423"/>
        <v>967003</v>
      </c>
      <c r="L3056" s="861" t="s">
        <v>162</v>
      </c>
      <c r="M3056" s="861" t="s">
        <v>857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52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826"/>
    </row>
    <row r="3057" spans="1:27" ht="15.75" customHeight="1">
      <c r="A3057" s="827" t="str">
        <f>IF(B3057&lt;&gt;"",IF(AND(B3057&gt;=_TM1,B3057&lt;=_TM2,OR(TH!L3057="1111",TH!M3057="1111")),TH!D3057,""),"")</f>
        <v/>
      </c>
      <c r="B3057" s="36">
        <f t="shared" si="422"/>
        <v>6</v>
      </c>
      <c r="C3057" s="190">
        <f t="shared" si="424"/>
        <v>42551</v>
      </c>
      <c r="D3057" s="856" t="s">
        <v>1662</v>
      </c>
      <c r="E3057" s="906">
        <v>42551</v>
      </c>
      <c r="F3057" s="868" t="s">
        <v>1308</v>
      </c>
      <c r="G3057" s="831" t="s">
        <v>798</v>
      </c>
      <c r="H3057" s="859" t="s">
        <v>1310</v>
      </c>
      <c r="I3057" s="251">
        <v>25</v>
      </c>
      <c r="J3057" s="251">
        <v>25066.6</v>
      </c>
      <c r="K3057" s="860">
        <f t="shared" si="423"/>
        <v>626665</v>
      </c>
      <c r="L3057" s="861" t="s">
        <v>162</v>
      </c>
      <c r="M3057" s="861" t="s">
        <v>857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52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826"/>
    </row>
    <row r="3058" spans="1:27" ht="15.75" customHeight="1">
      <c r="A3058" s="827" t="str">
        <f>IF(B3058&lt;&gt;"",IF(AND(B3058&gt;=_TM1,B3058&lt;=_TM2,OR(TH!L3058="1111",TH!M3058="1111")),TH!D3058,""),"")</f>
        <v/>
      </c>
      <c r="B3058" s="36">
        <f t="shared" si="422"/>
        <v>6</v>
      </c>
      <c r="C3058" s="190">
        <f t="shared" si="424"/>
        <v>42551</v>
      </c>
      <c r="D3058" s="856" t="s">
        <v>1662</v>
      </c>
      <c r="E3058" s="906">
        <v>42551</v>
      </c>
      <c r="F3058" s="49" t="s">
        <v>1178</v>
      </c>
      <c r="G3058" s="831" t="s">
        <v>798</v>
      </c>
      <c r="H3058" s="859" t="s">
        <v>1310</v>
      </c>
      <c r="I3058" s="251">
        <v>375</v>
      </c>
      <c r="J3058" s="251">
        <v>33135.994666666666</v>
      </c>
      <c r="K3058" s="860">
        <f t="shared" si="423"/>
        <v>12425998</v>
      </c>
      <c r="L3058" s="861" t="s">
        <v>162</v>
      </c>
      <c r="M3058" s="861" t="s">
        <v>857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52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826"/>
    </row>
    <row r="3059" spans="1:27" ht="15.75" customHeight="1">
      <c r="A3059" s="827" t="str">
        <f>IF(B3059&lt;&gt;"",IF(AND(B3059&gt;=_TM1,B3059&lt;=_TM2,OR(TH!L3059="1111",TH!M3059="1111")),TH!D3059,""),"")</f>
        <v/>
      </c>
      <c r="B3059" s="36">
        <f t="shared" si="422"/>
        <v>6</v>
      </c>
      <c r="C3059" s="190">
        <f t="shared" si="424"/>
        <v>42551</v>
      </c>
      <c r="D3059" s="856" t="s">
        <v>1662</v>
      </c>
      <c r="E3059" s="906">
        <v>42551</v>
      </c>
      <c r="F3059" s="49" t="s">
        <v>802</v>
      </c>
      <c r="G3059" s="831" t="s">
        <v>799</v>
      </c>
      <c r="H3059" s="859" t="s">
        <v>1310</v>
      </c>
      <c r="I3059" s="251">
        <v>1000</v>
      </c>
      <c r="J3059" s="251">
        <v>1369.5920000000001</v>
      </c>
      <c r="K3059" s="860">
        <f t="shared" si="423"/>
        <v>1369592</v>
      </c>
      <c r="L3059" s="861" t="s">
        <v>162</v>
      </c>
      <c r="M3059" s="861" t="s">
        <v>857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52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826"/>
    </row>
    <row r="3060" spans="1:27" ht="15.75" customHeight="1">
      <c r="A3060" s="827" t="str">
        <f>IF(B3060&lt;&gt;"",IF(AND(B3060&gt;=_TM1,B3060&lt;=_TM2,OR(TH!L3060="1111",TH!M3060="1111")),TH!D3060,""),"")</f>
        <v/>
      </c>
      <c r="B3060" s="36">
        <f t="shared" si="422"/>
        <v>6</v>
      </c>
      <c r="C3060" s="190">
        <f t="shared" si="424"/>
        <v>42551</v>
      </c>
      <c r="D3060" s="856" t="s">
        <v>1662</v>
      </c>
      <c r="E3060" s="906">
        <v>42551</v>
      </c>
      <c r="F3060" s="908" t="s">
        <v>809</v>
      </c>
      <c r="G3060" s="831" t="s">
        <v>804</v>
      </c>
      <c r="H3060" s="859" t="s">
        <v>1310</v>
      </c>
      <c r="I3060" s="251">
        <v>112</v>
      </c>
      <c r="J3060" s="251">
        <v>48589.080357142855</v>
      </c>
      <c r="K3060" s="860">
        <f t="shared" si="423"/>
        <v>5441977</v>
      </c>
      <c r="L3060" s="861" t="s">
        <v>162</v>
      </c>
      <c r="M3060" s="861" t="s">
        <v>857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52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826"/>
    </row>
    <row r="3061" spans="1:27" ht="15.75" customHeight="1">
      <c r="A3061" s="827" t="str">
        <f>IF(B3061&lt;&gt;"",IF(AND(B3061&gt;=_TM1,B3061&lt;=_TM2,OR(TH!L3061="1111",TH!M3061="1111")),TH!D3061,""),"")</f>
        <v/>
      </c>
      <c r="B3061" s="36">
        <f t="shared" si="422"/>
        <v>4</v>
      </c>
      <c r="C3061" s="190">
        <f t="shared" si="424"/>
        <v>42464</v>
      </c>
      <c r="D3061" s="856" t="s">
        <v>1662</v>
      </c>
      <c r="E3061" s="906">
        <v>42464</v>
      </c>
      <c r="F3061" s="868" t="s">
        <v>627</v>
      </c>
      <c r="G3061" s="831" t="s">
        <v>629</v>
      </c>
      <c r="H3061" s="859" t="s">
        <v>1310</v>
      </c>
      <c r="I3061" s="251">
        <v>995</v>
      </c>
      <c r="J3061" s="251">
        <v>6790.0994974874375</v>
      </c>
      <c r="K3061" s="860">
        <f t="shared" si="423"/>
        <v>6756149</v>
      </c>
      <c r="L3061" s="861" t="s">
        <v>162</v>
      </c>
      <c r="M3061" s="861" t="s">
        <v>857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52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826"/>
    </row>
    <row r="3062" spans="1:27" ht="15.75" customHeight="1">
      <c r="A3062" s="827" t="str">
        <f>IF(B3062&lt;&gt;"",IF(AND(B3062&gt;=_TM1,B3062&lt;=_TM2,OR(TH!L3062="1111",TH!M3062="1111")),TH!D3062,""),"")</f>
        <v/>
      </c>
      <c r="B3062" s="36">
        <f t="shared" si="422"/>
        <v>4</v>
      </c>
      <c r="C3062" s="190">
        <f t="shared" si="424"/>
        <v>42466</v>
      </c>
      <c r="D3062" s="856" t="s">
        <v>1662</v>
      </c>
      <c r="E3062" s="906">
        <v>42466</v>
      </c>
      <c r="F3062" s="49" t="s">
        <v>637</v>
      </c>
      <c r="G3062" s="831" t="s">
        <v>635</v>
      </c>
      <c r="H3062" s="859" t="s">
        <v>1310</v>
      </c>
      <c r="I3062" s="251">
        <v>254</v>
      </c>
      <c r="J3062" s="251">
        <v>6772.6377952755902</v>
      </c>
      <c r="K3062" s="860">
        <f t="shared" si="423"/>
        <v>1720250</v>
      </c>
      <c r="L3062" s="861" t="s">
        <v>162</v>
      </c>
      <c r="M3062" s="861" t="s">
        <v>857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52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826"/>
    </row>
    <row r="3063" spans="1:27" ht="15.75" customHeight="1">
      <c r="A3063" s="827" t="str">
        <f>IF(B3063&lt;&gt;"",IF(AND(B3063&gt;=_TM1,B3063&lt;=_TM2,OR(TH!L3063="1111",TH!M3063="1111")),TH!D3063,""),"")</f>
        <v/>
      </c>
      <c r="B3063" s="36">
        <f t="shared" si="422"/>
        <v>4</v>
      </c>
      <c r="C3063" s="190">
        <f t="shared" si="424"/>
        <v>42467</v>
      </c>
      <c r="D3063" s="856" t="s">
        <v>1662</v>
      </c>
      <c r="E3063" s="906">
        <v>42467</v>
      </c>
      <c r="F3063" s="868" t="s">
        <v>479</v>
      </c>
      <c r="G3063" s="831" t="s">
        <v>638</v>
      </c>
      <c r="H3063" s="859" t="s">
        <v>1310</v>
      </c>
      <c r="I3063" s="251">
        <v>300</v>
      </c>
      <c r="J3063" s="251">
        <v>8211.7066666666669</v>
      </c>
      <c r="K3063" s="860">
        <f t="shared" si="423"/>
        <v>2463512</v>
      </c>
      <c r="L3063" s="861" t="s">
        <v>162</v>
      </c>
      <c r="M3063" s="861" t="s">
        <v>857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52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826"/>
    </row>
    <row r="3064" spans="1:27" ht="15.75" customHeight="1">
      <c r="A3064" s="827" t="str">
        <f>IF(B3064&lt;&gt;"",IF(AND(B3064&gt;=_TM1,B3064&lt;=_TM2,OR(TH!L3064="1111",TH!M3064="1111")),TH!D3064,""),"")</f>
        <v/>
      </c>
      <c r="B3064" s="36">
        <f t="shared" si="422"/>
        <v>4</v>
      </c>
      <c r="C3064" s="190">
        <f t="shared" si="424"/>
        <v>42480</v>
      </c>
      <c r="D3064" s="856" t="s">
        <v>1662</v>
      </c>
      <c r="E3064" s="906">
        <v>42480</v>
      </c>
      <c r="F3064" s="49" t="s">
        <v>572</v>
      </c>
      <c r="G3064" s="831" t="s">
        <v>650</v>
      </c>
      <c r="H3064" s="859" t="s">
        <v>1310</v>
      </c>
      <c r="I3064" s="251">
        <v>500</v>
      </c>
      <c r="J3064" s="251">
        <v>12379.814</v>
      </c>
      <c r="K3064" s="860">
        <f t="shared" si="423"/>
        <v>6189907</v>
      </c>
      <c r="L3064" s="861" t="s">
        <v>162</v>
      </c>
      <c r="M3064" s="861" t="s">
        <v>857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52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826"/>
    </row>
    <row r="3065" spans="1:27" ht="15.75" customHeight="1">
      <c r="A3065" s="827" t="str">
        <f>IF(B3065&lt;&gt;"",IF(AND(B3065&gt;=_TM1,B3065&lt;=_TM2,OR(TH!L3065="1111",TH!M3065="1111")),TH!D3065,""),"")</f>
        <v/>
      </c>
      <c r="B3065" s="36">
        <f t="shared" si="422"/>
        <v>4</v>
      </c>
      <c r="C3065" s="190">
        <f t="shared" si="424"/>
        <v>42481</v>
      </c>
      <c r="D3065" s="856" t="s">
        <v>1662</v>
      </c>
      <c r="E3065" s="906">
        <v>42481</v>
      </c>
      <c r="F3065" s="868" t="s">
        <v>659</v>
      </c>
      <c r="G3065" s="831" t="s">
        <v>657</v>
      </c>
      <c r="H3065" s="859" t="s">
        <v>1310</v>
      </c>
      <c r="I3065" s="251">
        <v>1000</v>
      </c>
      <c r="J3065" s="251">
        <v>9724.7080000000005</v>
      </c>
      <c r="K3065" s="860">
        <f t="shared" ref="K3065:K3140" si="425">ROUND(I3065*J3065,0)</f>
        <v>9724708</v>
      </c>
      <c r="L3065" s="861" t="s">
        <v>162</v>
      </c>
      <c r="M3065" s="861" t="s">
        <v>857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52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826"/>
    </row>
    <row r="3066" spans="1:27" ht="15.75" customHeight="1">
      <c r="A3066" s="827" t="str">
        <f>IF(B3066&lt;&gt;"",IF(AND(B3066&gt;=_TM1,B3066&lt;=_TM2,OR(TH!L3066="1111",TH!M3066="1111")),TH!D3066,""),"")</f>
        <v/>
      </c>
      <c r="B3066" s="36">
        <f t="shared" si="422"/>
        <v>4</v>
      </c>
      <c r="C3066" s="190">
        <f t="shared" si="424"/>
        <v>42485</v>
      </c>
      <c r="D3066" s="856" t="s">
        <v>1662</v>
      </c>
      <c r="E3066" s="906">
        <v>42485</v>
      </c>
      <c r="F3066" s="49" t="s">
        <v>1178</v>
      </c>
      <c r="G3066" s="831" t="s">
        <v>661</v>
      </c>
      <c r="H3066" s="859" t="s">
        <v>1310</v>
      </c>
      <c r="I3066" s="251">
        <v>1000</v>
      </c>
      <c r="J3066" s="251">
        <v>32249.196</v>
      </c>
      <c r="K3066" s="860">
        <f t="shared" si="425"/>
        <v>32249196</v>
      </c>
      <c r="L3066" s="861" t="s">
        <v>162</v>
      </c>
      <c r="M3066" s="861" t="s">
        <v>857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52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826"/>
    </row>
    <row r="3067" spans="1:27" ht="15.75" customHeight="1">
      <c r="A3067" s="827" t="str">
        <f>IF(B3067&lt;&gt;"",IF(AND(B3067&gt;=_TM1,B3067&lt;=_TM2,OR(TH!L3067="1111",TH!M3067="1111")),TH!D3067,""),"")</f>
        <v/>
      </c>
      <c r="B3067" s="36">
        <f t="shared" si="422"/>
        <v>4</v>
      </c>
      <c r="C3067" s="190">
        <f t="shared" si="424"/>
        <v>42485</v>
      </c>
      <c r="D3067" s="856" t="s">
        <v>1662</v>
      </c>
      <c r="E3067" s="906">
        <v>42485</v>
      </c>
      <c r="F3067" s="868" t="s">
        <v>1179</v>
      </c>
      <c r="G3067" s="831" t="s">
        <v>661</v>
      </c>
      <c r="H3067" s="859" t="s">
        <v>1310</v>
      </c>
      <c r="I3067" s="251">
        <v>1100</v>
      </c>
      <c r="J3067" s="251">
        <v>31845.439090909091</v>
      </c>
      <c r="K3067" s="860">
        <f t="shared" si="425"/>
        <v>35029983</v>
      </c>
      <c r="L3067" s="861" t="s">
        <v>162</v>
      </c>
      <c r="M3067" s="861" t="s">
        <v>857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52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826"/>
    </row>
    <row r="3068" spans="1:27" ht="15.75" customHeight="1">
      <c r="A3068" s="827" t="str">
        <f>IF(B3068&lt;&gt;"",IF(AND(B3068&gt;=_TM1,B3068&lt;=_TM2,OR(TH!L3068="1111",TH!M3068="1111")),TH!D3068,""),"")</f>
        <v/>
      </c>
      <c r="B3068" s="36">
        <f t="shared" si="422"/>
        <v>4</v>
      </c>
      <c r="C3068" s="190">
        <f t="shared" si="424"/>
        <v>42489</v>
      </c>
      <c r="D3068" s="856" t="s">
        <v>1662</v>
      </c>
      <c r="E3068" s="906">
        <v>42489</v>
      </c>
      <c r="F3068" s="49" t="s">
        <v>536</v>
      </c>
      <c r="G3068" s="831" t="s">
        <v>669</v>
      </c>
      <c r="H3068" s="859" t="s">
        <v>1310</v>
      </c>
      <c r="I3068" s="251">
        <v>50</v>
      </c>
      <c r="J3068" s="251">
        <v>59790.8</v>
      </c>
      <c r="K3068" s="860">
        <f t="shared" si="425"/>
        <v>2989540</v>
      </c>
      <c r="L3068" s="861" t="s">
        <v>162</v>
      </c>
      <c r="M3068" s="861" t="s">
        <v>857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52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826"/>
    </row>
    <row r="3069" spans="1:27" ht="15.75" customHeight="1">
      <c r="A3069" s="827" t="str">
        <f>IF(B3069&lt;&gt;"",IF(AND(B3069&gt;=_TM1,B3069&lt;=_TM2,OR(TH!L3069="1111",TH!M3069="1111")),TH!D3069,""),"")</f>
        <v/>
      </c>
      <c r="B3069" s="36">
        <f t="shared" si="422"/>
        <v>4</v>
      </c>
      <c r="C3069" s="190">
        <f t="shared" si="424"/>
        <v>42489</v>
      </c>
      <c r="D3069" s="856" t="s">
        <v>1662</v>
      </c>
      <c r="E3069" s="906">
        <v>42489</v>
      </c>
      <c r="F3069" s="49" t="s">
        <v>670</v>
      </c>
      <c r="G3069" s="831" t="s">
        <v>669</v>
      </c>
      <c r="H3069" s="859" t="s">
        <v>1310</v>
      </c>
      <c r="I3069" s="251">
        <v>23</v>
      </c>
      <c r="J3069" s="251">
        <v>128487.21739130435</v>
      </c>
      <c r="K3069" s="860">
        <f t="shared" si="425"/>
        <v>2955206</v>
      </c>
      <c r="L3069" s="861" t="s">
        <v>162</v>
      </c>
      <c r="M3069" s="861" t="s">
        <v>857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52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826"/>
    </row>
    <row r="3070" spans="1:27" ht="15.75" customHeight="1">
      <c r="A3070" s="827" t="str">
        <f>IF(B3070&lt;&gt;"",IF(AND(B3070&gt;=_TM1,B3070&lt;=_TM2,OR(TH!L3070="1111",TH!M3070="1111")),TH!D3070,""),"")</f>
        <v/>
      </c>
      <c r="B3070" s="36">
        <f t="shared" si="422"/>
        <v>4</v>
      </c>
      <c r="C3070" s="190">
        <f t="shared" si="424"/>
        <v>42489</v>
      </c>
      <c r="D3070" s="856" t="s">
        <v>1662</v>
      </c>
      <c r="E3070" s="906">
        <v>42489</v>
      </c>
      <c r="F3070" s="868" t="s">
        <v>670</v>
      </c>
      <c r="G3070" s="831" t="s">
        <v>669</v>
      </c>
      <c r="H3070" s="859" t="s">
        <v>1310</v>
      </c>
      <c r="I3070" s="251">
        <v>8</v>
      </c>
      <c r="J3070" s="251">
        <v>123268.625</v>
      </c>
      <c r="K3070" s="860">
        <f t="shared" si="425"/>
        <v>986149</v>
      </c>
      <c r="L3070" s="861" t="s">
        <v>162</v>
      </c>
      <c r="M3070" s="861" t="s">
        <v>857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52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826"/>
    </row>
    <row r="3071" spans="1:27" ht="15.75" customHeight="1">
      <c r="A3071" s="827" t="str">
        <f>IF(B3071&lt;&gt;"",IF(AND(B3071&gt;=_TM1,B3071&lt;=_TM2,OR(TH!L3071="1111",TH!M3071="1111")),TH!D3071,""),"")</f>
        <v/>
      </c>
      <c r="B3071" s="36">
        <f t="shared" si="422"/>
        <v>4</v>
      </c>
      <c r="C3071" s="190">
        <f t="shared" si="424"/>
        <v>42489</v>
      </c>
      <c r="D3071" s="856" t="s">
        <v>1662</v>
      </c>
      <c r="E3071" s="906">
        <v>42489</v>
      </c>
      <c r="F3071" s="49" t="s">
        <v>542</v>
      </c>
      <c r="G3071" s="831" t="s">
        <v>669</v>
      </c>
      <c r="H3071" s="859" t="s">
        <v>1310</v>
      </c>
      <c r="I3071" s="251">
        <v>134</v>
      </c>
      <c r="J3071" s="251">
        <v>41795.738805970148</v>
      </c>
      <c r="K3071" s="860">
        <f t="shared" si="425"/>
        <v>5600629</v>
      </c>
      <c r="L3071" s="861" t="s">
        <v>162</v>
      </c>
      <c r="M3071" s="861" t="s">
        <v>857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52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826"/>
    </row>
    <row r="3072" spans="1:27" ht="15.75" customHeight="1">
      <c r="A3072" s="827" t="str">
        <f>IF(B3072&lt;&gt;"",IF(AND(B3072&gt;=_TM1,B3072&lt;=_TM2,OR(TH!L3072="1111",TH!M3072="1111")),TH!D3072,""),"")</f>
        <v/>
      </c>
      <c r="B3072" s="36">
        <f t="shared" si="422"/>
        <v>4</v>
      </c>
      <c r="C3072" s="190">
        <f t="shared" si="424"/>
        <v>42489</v>
      </c>
      <c r="D3072" s="856" t="s">
        <v>1662</v>
      </c>
      <c r="E3072" s="906">
        <v>42489</v>
      </c>
      <c r="F3072" s="868" t="s">
        <v>463</v>
      </c>
      <c r="G3072" s="831" t="s">
        <v>669</v>
      </c>
      <c r="H3072" s="859" t="s">
        <v>1310</v>
      </c>
      <c r="I3072" s="251">
        <v>90</v>
      </c>
      <c r="J3072" s="251">
        <v>42518.033333333333</v>
      </c>
      <c r="K3072" s="860">
        <f t="shared" si="425"/>
        <v>3826623</v>
      </c>
      <c r="L3072" s="861" t="s">
        <v>162</v>
      </c>
      <c r="M3072" s="861" t="s">
        <v>857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52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826"/>
    </row>
    <row r="3073" spans="1:27" ht="15.75" customHeight="1">
      <c r="A3073" s="827" t="str">
        <f>IF(B3073&lt;&gt;"",IF(AND(B3073&gt;=_TM1,B3073&lt;=_TM2,OR(TH!L3073="1111",TH!M3073="1111")),TH!D3073,""),"")</f>
        <v/>
      </c>
      <c r="B3073" s="36">
        <f t="shared" si="422"/>
        <v>4</v>
      </c>
      <c r="C3073" s="190">
        <f t="shared" si="424"/>
        <v>42489</v>
      </c>
      <c r="D3073" s="856" t="s">
        <v>1662</v>
      </c>
      <c r="E3073" s="906">
        <v>42489</v>
      </c>
      <c r="F3073" s="49" t="s">
        <v>673</v>
      </c>
      <c r="G3073" s="831" t="s">
        <v>669</v>
      </c>
      <c r="H3073" s="859" t="s">
        <v>1310</v>
      </c>
      <c r="I3073" s="251">
        <v>64</v>
      </c>
      <c r="J3073" s="251">
        <v>43805.84375</v>
      </c>
      <c r="K3073" s="860">
        <f t="shared" si="425"/>
        <v>2803574</v>
      </c>
      <c r="L3073" s="861" t="s">
        <v>162</v>
      </c>
      <c r="M3073" s="861" t="s">
        <v>857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52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826"/>
    </row>
    <row r="3074" spans="1:27" ht="15.75" customHeight="1">
      <c r="A3074" s="827" t="str">
        <f>IF(B3074&lt;&gt;"",IF(AND(B3074&gt;=_TM1,B3074&lt;=_TM2,OR(TH!L3074="1111",TH!M3074="1111")),TH!D3074,""),"")</f>
        <v/>
      </c>
      <c r="B3074" s="36">
        <f t="shared" si="422"/>
        <v>4</v>
      </c>
      <c r="C3074" s="190">
        <f t="shared" si="424"/>
        <v>42489</v>
      </c>
      <c r="D3074" s="856" t="s">
        <v>1662</v>
      </c>
      <c r="E3074" s="906">
        <v>42489</v>
      </c>
      <c r="F3074" s="49" t="s">
        <v>462</v>
      </c>
      <c r="G3074" s="831" t="s">
        <v>669</v>
      </c>
      <c r="H3074" s="859" t="s">
        <v>1310</v>
      </c>
      <c r="I3074" s="251">
        <v>144</v>
      </c>
      <c r="J3074" s="251">
        <v>47203.090277777781</v>
      </c>
      <c r="K3074" s="860">
        <f t="shared" si="425"/>
        <v>6797245</v>
      </c>
      <c r="L3074" s="861" t="s">
        <v>162</v>
      </c>
      <c r="M3074" s="861" t="s">
        <v>857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52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826"/>
    </row>
    <row r="3075" spans="1:27" ht="15.75" customHeight="1">
      <c r="A3075" s="827" t="str">
        <f>IF(B3075&lt;&gt;"",IF(AND(B3075&gt;=_TM1,B3075&lt;=_TM2,OR(TH!L3075="1111",TH!M3075="1111")),TH!D3075,""),"")</f>
        <v/>
      </c>
      <c r="B3075" s="36">
        <f t="shared" si="422"/>
        <v>4</v>
      </c>
      <c r="C3075" s="190">
        <f t="shared" ref="C3075:C3112" si="426">E3075</f>
        <v>42489</v>
      </c>
      <c r="D3075" s="856" t="s">
        <v>1662</v>
      </c>
      <c r="E3075" s="906">
        <v>42489</v>
      </c>
      <c r="F3075" s="49" t="s">
        <v>477</v>
      </c>
      <c r="G3075" s="831" t="s">
        <v>669</v>
      </c>
      <c r="H3075" s="859" t="s">
        <v>1310</v>
      </c>
      <c r="I3075" s="251">
        <v>350</v>
      </c>
      <c r="J3075" s="251">
        <v>63845.185714285712</v>
      </c>
      <c r="K3075" s="860">
        <f t="shared" ref="K3075:K3112" si="427">ROUND(I3075*J3075,0)</f>
        <v>22345815</v>
      </c>
      <c r="L3075" s="861" t="s">
        <v>162</v>
      </c>
      <c r="M3075" s="861" t="s">
        <v>857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52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826"/>
    </row>
    <row r="3076" spans="1:27" ht="15.75" customHeight="1">
      <c r="A3076" s="827" t="str">
        <f>IF(B3076&lt;&gt;"",IF(AND(B3076&gt;=_TM1,B3076&lt;=_TM2,OR(TH!L3076="1111",TH!M3076="1111")),TH!D3076,""),"")</f>
        <v/>
      </c>
      <c r="B3076" s="36">
        <f t="shared" si="422"/>
        <v>4</v>
      </c>
      <c r="C3076" s="190">
        <f t="shared" si="426"/>
        <v>42489</v>
      </c>
      <c r="D3076" s="856" t="s">
        <v>1662</v>
      </c>
      <c r="E3076" s="906">
        <v>42489</v>
      </c>
      <c r="F3076" s="868" t="s">
        <v>538</v>
      </c>
      <c r="G3076" s="831" t="s">
        <v>669</v>
      </c>
      <c r="H3076" s="859" t="s">
        <v>1310</v>
      </c>
      <c r="I3076" s="251">
        <v>76</v>
      </c>
      <c r="J3076" s="251">
        <v>69438.671052631573</v>
      </c>
      <c r="K3076" s="860">
        <f t="shared" si="427"/>
        <v>5277339</v>
      </c>
      <c r="L3076" s="861" t="s">
        <v>162</v>
      </c>
      <c r="M3076" s="861" t="s">
        <v>857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52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826"/>
    </row>
    <row r="3077" spans="1:27" ht="15.75" customHeight="1">
      <c r="A3077" s="827" t="str">
        <f>IF(B3077&lt;&gt;"",IF(AND(B3077&gt;=_TM1,B3077&lt;=_TM2,OR(TH!L3077="1111",TH!M3077="1111")),TH!D3077,""),"")</f>
        <v/>
      </c>
      <c r="B3077" s="36">
        <f t="shared" si="422"/>
        <v>4</v>
      </c>
      <c r="C3077" s="190">
        <f t="shared" si="426"/>
        <v>42489</v>
      </c>
      <c r="D3077" s="856" t="s">
        <v>1662</v>
      </c>
      <c r="E3077" s="906">
        <v>42489</v>
      </c>
      <c r="F3077" s="49" t="s">
        <v>671</v>
      </c>
      <c r="G3077" s="831" t="s">
        <v>669</v>
      </c>
      <c r="H3077" s="859" t="s">
        <v>1310</v>
      </c>
      <c r="I3077" s="251">
        <v>20</v>
      </c>
      <c r="J3077" s="251">
        <v>120515.6</v>
      </c>
      <c r="K3077" s="860">
        <f t="shared" si="427"/>
        <v>2410312</v>
      </c>
      <c r="L3077" s="861" t="s">
        <v>162</v>
      </c>
      <c r="M3077" s="861" t="s">
        <v>857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52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826"/>
    </row>
    <row r="3078" spans="1:27" ht="15.75" customHeight="1">
      <c r="A3078" s="827" t="str">
        <f>IF(B3078&lt;&gt;"",IF(AND(B3078&gt;=_TM1,B3078&lt;=_TM2,OR(TH!L3078="1111",TH!M3078="1111")),TH!D3078,""),"")</f>
        <v/>
      </c>
      <c r="B3078" s="36">
        <f t="shared" si="422"/>
        <v>5</v>
      </c>
      <c r="C3078" s="190">
        <f t="shared" si="426"/>
        <v>42502</v>
      </c>
      <c r="D3078" s="856" t="s">
        <v>1662</v>
      </c>
      <c r="E3078" s="906">
        <v>42502</v>
      </c>
      <c r="F3078" s="49" t="s">
        <v>627</v>
      </c>
      <c r="G3078" s="831" t="s">
        <v>686</v>
      </c>
      <c r="H3078" s="859" t="s">
        <v>1310</v>
      </c>
      <c r="I3078" s="251">
        <v>1097</v>
      </c>
      <c r="J3078" s="251">
        <v>6762.231540565178</v>
      </c>
      <c r="K3078" s="860">
        <f t="shared" si="427"/>
        <v>7418168</v>
      </c>
      <c r="L3078" s="861" t="s">
        <v>162</v>
      </c>
      <c r="M3078" s="861" t="s">
        <v>857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52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826"/>
    </row>
    <row r="3079" spans="1:27" ht="15.75" customHeight="1">
      <c r="A3079" s="827" t="str">
        <f>IF(B3079&lt;&gt;"",IF(AND(B3079&gt;=_TM1,B3079&lt;=_TM2,OR(TH!L3079="1111",TH!M3079="1111")),TH!D3079,""),"")</f>
        <v/>
      </c>
      <c r="B3079" s="36">
        <f t="shared" si="422"/>
        <v>5</v>
      </c>
      <c r="C3079" s="190">
        <f t="shared" si="426"/>
        <v>42516</v>
      </c>
      <c r="D3079" s="856" t="s">
        <v>1662</v>
      </c>
      <c r="E3079" s="906">
        <v>42516</v>
      </c>
      <c r="F3079" s="908" t="s">
        <v>627</v>
      </c>
      <c r="G3079" s="831" t="s">
        <v>691</v>
      </c>
      <c r="H3079" s="859" t="s">
        <v>1310</v>
      </c>
      <c r="I3079" s="251">
        <v>1392</v>
      </c>
      <c r="J3079" s="251">
        <v>6757.9260057471265</v>
      </c>
      <c r="K3079" s="860">
        <f t="shared" si="427"/>
        <v>9407033</v>
      </c>
      <c r="L3079" s="861" t="s">
        <v>162</v>
      </c>
      <c r="M3079" s="861" t="s">
        <v>857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52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826"/>
    </row>
    <row r="3080" spans="1:27" ht="15.75" customHeight="1">
      <c r="A3080" s="827" t="str">
        <f>IF(B3080&lt;&gt;"",IF(AND(B3080&gt;=_TM1,B3080&lt;=_TM2,OR(TH!L3080="1111",TH!M3080="1111")),TH!D3080,""),"")</f>
        <v/>
      </c>
      <c r="B3080" s="36">
        <f t="shared" si="422"/>
        <v>5</v>
      </c>
      <c r="C3080" s="190">
        <f t="shared" si="426"/>
        <v>42516</v>
      </c>
      <c r="D3080" s="856" t="s">
        <v>1662</v>
      </c>
      <c r="E3080" s="906">
        <v>42516</v>
      </c>
      <c r="F3080" s="868" t="s">
        <v>696</v>
      </c>
      <c r="G3080" s="831" t="s">
        <v>692</v>
      </c>
      <c r="H3080" s="859" t="s">
        <v>1310</v>
      </c>
      <c r="I3080" s="251">
        <v>1000</v>
      </c>
      <c r="J3080" s="251">
        <v>11807.191999999999</v>
      </c>
      <c r="K3080" s="860">
        <f t="shared" si="427"/>
        <v>11807192</v>
      </c>
      <c r="L3080" s="861" t="s">
        <v>162</v>
      </c>
      <c r="M3080" s="861" t="s">
        <v>857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52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826"/>
    </row>
    <row r="3081" spans="1:27" ht="15.75" customHeight="1">
      <c r="A3081" s="827" t="str">
        <f>IF(B3081&lt;&gt;"",IF(AND(B3081&gt;=_TM1,B3081&lt;=_TM2,OR(TH!L3081="1111",TH!M3081="1111")),TH!D3081,""),"")</f>
        <v/>
      </c>
      <c r="B3081" s="36">
        <f t="shared" si="422"/>
        <v>5</v>
      </c>
      <c r="C3081" s="190">
        <f t="shared" si="426"/>
        <v>42516</v>
      </c>
      <c r="D3081" s="856" t="s">
        <v>1662</v>
      </c>
      <c r="E3081" s="906">
        <v>42516</v>
      </c>
      <c r="F3081" s="49" t="s">
        <v>1178</v>
      </c>
      <c r="G3081" s="831" t="s">
        <v>693</v>
      </c>
      <c r="H3081" s="859" t="s">
        <v>1310</v>
      </c>
      <c r="I3081" s="251">
        <v>1250</v>
      </c>
      <c r="J3081" s="251">
        <v>32110.871999999999</v>
      </c>
      <c r="K3081" s="860">
        <f t="shared" si="427"/>
        <v>40138590</v>
      </c>
      <c r="L3081" s="861" t="s">
        <v>162</v>
      </c>
      <c r="M3081" s="861" t="s">
        <v>857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52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826"/>
    </row>
    <row r="3082" spans="1:27" ht="15.75" customHeight="1">
      <c r="A3082" s="827" t="str">
        <f>IF(B3082&lt;&gt;"",IF(AND(B3082&gt;=_TM1,B3082&lt;=_TM2,OR(TH!L3082="1111",TH!M3082="1111")),TH!D3082,""),"")</f>
        <v/>
      </c>
      <c r="B3082" s="36">
        <f t="shared" si="422"/>
        <v>5</v>
      </c>
      <c r="C3082" s="190">
        <f t="shared" si="426"/>
        <v>42516</v>
      </c>
      <c r="D3082" s="856" t="s">
        <v>1662</v>
      </c>
      <c r="E3082" s="906">
        <v>42516</v>
      </c>
      <c r="F3082" s="868" t="s">
        <v>1179</v>
      </c>
      <c r="G3082" s="831" t="s">
        <v>693</v>
      </c>
      <c r="H3082" s="859" t="s">
        <v>1310</v>
      </c>
      <c r="I3082" s="251">
        <v>1300</v>
      </c>
      <c r="J3082" s="251">
        <v>31545.641538461539</v>
      </c>
      <c r="K3082" s="860">
        <f t="shared" si="427"/>
        <v>41009334</v>
      </c>
      <c r="L3082" s="861" t="s">
        <v>162</v>
      </c>
      <c r="M3082" s="861" t="s">
        <v>857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52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826"/>
    </row>
    <row r="3083" spans="1:27" ht="15.75" customHeight="1">
      <c r="A3083" s="827" t="str">
        <f>IF(B3083&lt;&gt;"",IF(AND(B3083&gt;=_TM1,B3083&lt;=_TM2,OR(TH!L3083="1111",TH!M3083="1111")),TH!D3083,""),"")</f>
        <v/>
      </c>
      <c r="B3083" s="36">
        <f t="shared" si="422"/>
        <v>5</v>
      </c>
      <c r="C3083" s="190">
        <f t="shared" si="426"/>
        <v>42517</v>
      </c>
      <c r="D3083" s="856" t="s">
        <v>1662</v>
      </c>
      <c r="E3083" s="906">
        <v>42517</v>
      </c>
      <c r="F3083" s="49" t="s">
        <v>627</v>
      </c>
      <c r="G3083" s="831" t="s">
        <v>694</v>
      </c>
      <c r="H3083" s="859" t="s">
        <v>1310</v>
      </c>
      <c r="I3083" s="251">
        <v>1516</v>
      </c>
      <c r="J3083" s="251">
        <v>6776.7473614775727</v>
      </c>
      <c r="K3083" s="860">
        <f t="shared" si="427"/>
        <v>10273549</v>
      </c>
      <c r="L3083" s="861" t="s">
        <v>162</v>
      </c>
      <c r="M3083" s="861" t="s">
        <v>857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52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826"/>
    </row>
    <row r="3084" spans="1:27" ht="15.75" customHeight="1">
      <c r="A3084" s="827" t="str">
        <f>IF(B3084&lt;&gt;"",IF(AND(B3084&gt;=_TM1,B3084&lt;=_TM2,OR(TH!L3084="1111",TH!M3084="1111")),TH!D3084,""),"")</f>
        <v/>
      </c>
      <c r="B3084" s="36">
        <f t="shared" si="422"/>
        <v>5</v>
      </c>
      <c r="C3084" s="190">
        <f t="shared" si="426"/>
        <v>42521</v>
      </c>
      <c r="D3084" s="856" t="s">
        <v>1662</v>
      </c>
      <c r="E3084" s="906">
        <v>42521</v>
      </c>
      <c r="F3084" s="868" t="s">
        <v>525</v>
      </c>
      <c r="G3084" s="831" t="s">
        <v>697</v>
      </c>
      <c r="H3084" s="859" t="s">
        <v>1310</v>
      </c>
      <c r="I3084" s="251">
        <v>534</v>
      </c>
      <c r="J3084" s="251">
        <v>17545.322097378277</v>
      </c>
      <c r="K3084" s="860">
        <f t="shared" si="427"/>
        <v>9369202</v>
      </c>
      <c r="L3084" s="861" t="s">
        <v>162</v>
      </c>
      <c r="M3084" s="861" t="s">
        <v>857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52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826"/>
    </row>
    <row r="3085" spans="1:27" ht="15.75" customHeight="1">
      <c r="A3085" s="827" t="str">
        <f>IF(B3085&lt;&gt;"",IF(AND(B3085&gt;=_TM1,B3085&lt;=_TM2,OR(TH!L3085="1111",TH!M3085="1111")),TH!D3085,""),"")</f>
        <v/>
      </c>
      <c r="B3085" s="36">
        <f t="shared" si="422"/>
        <v>5</v>
      </c>
      <c r="C3085" s="190">
        <f t="shared" si="426"/>
        <v>42521</v>
      </c>
      <c r="D3085" s="856" t="s">
        <v>1662</v>
      </c>
      <c r="E3085" s="906">
        <v>42521</v>
      </c>
      <c r="F3085" s="49" t="s">
        <v>477</v>
      </c>
      <c r="G3085" s="831" t="s">
        <v>697</v>
      </c>
      <c r="H3085" s="859" t="s">
        <v>1310</v>
      </c>
      <c r="I3085" s="251">
        <v>170</v>
      </c>
      <c r="J3085" s="251">
        <v>65698.647058823524</v>
      </c>
      <c r="K3085" s="860">
        <f t="shared" si="427"/>
        <v>11168770</v>
      </c>
      <c r="L3085" s="861" t="s">
        <v>162</v>
      </c>
      <c r="M3085" s="861" t="s">
        <v>857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52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826"/>
    </row>
    <row r="3086" spans="1:27" ht="15.75" customHeight="1">
      <c r="A3086" s="827" t="str">
        <f>IF(B3086&lt;&gt;"",IF(AND(B3086&gt;=_TM1,B3086&lt;=_TM2,OR(TH!L3086="1111",TH!M3086="1111")),TH!D3086,""),"")</f>
        <v/>
      </c>
      <c r="B3086" s="36">
        <f t="shared" si="422"/>
        <v>6</v>
      </c>
      <c r="C3086" s="190">
        <f t="shared" si="426"/>
        <v>42523</v>
      </c>
      <c r="D3086" s="856" t="s">
        <v>1662</v>
      </c>
      <c r="E3086" s="906">
        <v>42523</v>
      </c>
      <c r="F3086" s="868" t="s">
        <v>696</v>
      </c>
      <c r="G3086" s="831" t="s">
        <v>726</v>
      </c>
      <c r="H3086" s="859" t="s">
        <v>1310</v>
      </c>
      <c r="I3086" s="251">
        <v>1000</v>
      </c>
      <c r="J3086" s="251">
        <v>13696.317999999999</v>
      </c>
      <c r="K3086" s="860">
        <f t="shared" si="427"/>
        <v>13696318</v>
      </c>
      <c r="L3086" s="861" t="s">
        <v>162</v>
      </c>
      <c r="M3086" s="861" t="s">
        <v>857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52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826"/>
    </row>
    <row r="3087" spans="1:27" ht="15.75" customHeight="1">
      <c r="A3087" s="827" t="str">
        <f>IF(B3087&lt;&gt;"",IF(AND(B3087&gt;=_TM1,B3087&lt;=_TM2,OR(TH!L3087="1111",TH!M3087="1111")),TH!D3087,""),"")</f>
        <v/>
      </c>
      <c r="B3087" s="36">
        <f t="shared" si="422"/>
        <v>6</v>
      </c>
      <c r="C3087" s="190">
        <f t="shared" si="426"/>
        <v>42527</v>
      </c>
      <c r="D3087" s="856" t="s">
        <v>1662</v>
      </c>
      <c r="E3087" s="906">
        <v>42527</v>
      </c>
      <c r="F3087" s="49" t="s">
        <v>921</v>
      </c>
      <c r="G3087" s="831" t="s">
        <v>733</v>
      </c>
      <c r="H3087" s="859" t="s">
        <v>1310</v>
      </c>
      <c r="I3087" s="251">
        <v>2000</v>
      </c>
      <c r="J3087" s="251">
        <v>6901.8615</v>
      </c>
      <c r="K3087" s="860">
        <f t="shared" si="427"/>
        <v>13803723</v>
      </c>
      <c r="L3087" s="861" t="s">
        <v>162</v>
      </c>
      <c r="M3087" s="861" t="s">
        <v>857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52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826"/>
    </row>
    <row r="3088" spans="1:27" ht="15.75" customHeight="1">
      <c r="A3088" s="827" t="str">
        <f>IF(B3088&lt;&gt;"",IF(AND(B3088&gt;=_TM1,B3088&lt;=_TM2,OR(TH!L3088="1111",TH!M3088="1111")),TH!D3088,""),"")</f>
        <v/>
      </c>
      <c r="B3088" s="36">
        <f t="shared" si="422"/>
        <v>6</v>
      </c>
      <c r="C3088" s="190">
        <f t="shared" si="426"/>
        <v>42527</v>
      </c>
      <c r="D3088" s="856" t="s">
        <v>1662</v>
      </c>
      <c r="E3088" s="906">
        <v>42527</v>
      </c>
      <c r="F3088" s="49" t="s">
        <v>637</v>
      </c>
      <c r="G3088" s="831" t="s">
        <v>733</v>
      </c>
      <c r="H3088" s="859" t="s">
        <v>1310</v>
      </c>
      <c r="I3088" s="251">
        <v>2050</v>
      </c>
      <c r="J3088" s="251">
        <v>6129.2404878048783</v>
      </c>
      <c r="K3088" s="860">
        <f t="shared" si="427"/>
        <v>12564943</v>
      </c>
      <c r="L3088" s="861" t="s">
        <v>162</v>
      </c>
      <c r="M3088" s="861" t="s">
        <v>857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52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826"/>
    </row>
    <row r="3089" spans="1:27" ht="15.75" customHeight="1">
      <c r="A3089" s="827" t="str">
        <f>IF(B3089&lt;&gt;"",IF(AND(B3089&gt;=_TM1,B3089&lt;=_TM2,OR(TH!L3089="1111",TH!M3089="1111")),TH!D3089,""),"")</f>
        <v/>
      </c>
      <c r="B3089" s="36">
        <f t="shared" si="422"/>
        <v>6</v>
      </c>
      <c r="C3089" s="190">
        <f t="shared" si="426"/>
        <v>42532</v>
      </c>
      <c r="D3089" s="856" t="s">
        <v>1662</v>
      </c>
      <c r="E3089" s="906">
        <v>42532</v>
      </c>
      <c r="F3089" s="868" t="s">
        <v>656</v>
      </c>
      <c r="G3089" s="831" t="s">
        <v>751</v>
      </c>
      <c r="H3089" s="859" t="s">
        <v>1310</v>
      </c>
      <c r="I3089" s="251">
        <v>5000</v>
      </c>
      <c r="J3089" s="251">
        <v>4656.5320000000002</v>
      </c>
      <c r="K3089" s="860">
        <f t="shared" si="427"/>
        <v>23282660</v>
      </c>
      <c r="L3089" s="861" t="s">
        <v>162</v>
      </c>
      <c r="M3089" s="861" t="s">
        <v>857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52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826"/>
    </row>
    <row r="3090" spans="1:27" ht="15.75" customHeight="1">
      <c r="A3090" s="827" t="str">
        <f>IF(B3090&lt;&gt;"",IF(AND(B3090&gt;=_TM1,B3090&lt;=_TM2,OR(TH!L3090="1111",TH!M3090="1111")),TH!D3090,""),"")</f>
        <v/>
      </c>
      <c r="B3090" s="36">
        <f t="shared" si="422"/>
        <v>6</v>
      </c>
      <c r="C3090" s="190">
        <f t="shared" si="426"/>
        <v>42532</v>
      </c>
      <c r="D3090" s="856" t="s">
        <v>1662</v>
      </c>
      <c r="E3090" s="906">
        <v>42532</v>
      </c>
      <c r="F3090" s="49" t="s">
        <v>664</v>
      </c>
      <c r="G3090" s="831" t="s">
        <v>751</v>
      </c>
      <c r="H3090" s="859" t="s">
        <v>1310</v>
      </c>
      <c r="I3090" s="251">
        <v>210</v>
      </c>
      <c r="J3090" s="251">
        <v>86211.923809523811</v>
      </c>
      <c r="K3090" s="860">
        <f t="shared" si="427"/>
        <v>18104504</v>
      </c>
      <c r="L3090" s="861" t="s">
        <v>162</v>
      </c>
      <c r="M3090" s="861" t="s">
        <v>857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52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826"/>
    </row>
    <row r="3091" spans="1:27" ht="15.75" customHeight="1">
      <c r="A3091" s="827" t="str">
        <f>IF(B3091&lt;&gt;"",IF(AND(B3091&gt;=_TM1,B3091&lt;=_TM2,OR(TH!L3091="1111",TH!M3091="1111")),TH!D3091,""),"")</f>
        <v/>
      </c>
      <c r="B3091" s="36">
        <f t="shared" si="422"/>
        <v>6</v>
      </c>
      <c r="C3091" s="190">
        <f t="shared" si="426"/>
        <v>42532</v>
      </c>
      <c r="D3091" s="856" t="s">
        <v>1662</v>
      </c>
      <c r="E3091" s="906">
        <v>42532</v>
      </c>
      <c r="F3091" s="868" t="s">
        <v>766</v>
      </c>
      <c r="G3091" s="831" t="s">
        <v>751</v>
      </c>
      <c r="H3091" s="859" t="s">
        <v>1310</v>
      </c>
      <c r="I3091" s="251">
        <v>600</v>
      </c>
      <c r="J3091" s="251">
        <v>13625.065000000001</v>
      </c>
      <c r="K3091" s="860">
        <f t="shared" si="427"/>
        <v>8175039</v>
      </c>
      <c r="L3091" s="861" t="s">
        <v>162</v>
      </c>
      <c r="M3091" s="861" t="s">
        <v>857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52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826"/>
    </row>
    <row r="3092" spans="1:27" ht="15.75" customHeight="1">
      <c r="A3092" s="827" t="str">
        <f>IF(B3092&lt;&gt;"",IF(AND(B3092&gt;=_TM1,B3092&lt;=_TM2,OR(TH!L3092="1111",TH!M3092="1111")),TH!D3092,""),"")</f>
        <v/>
      </c>
      <c r="B3092" s="36">
        <f t="shared" si="422"/>
        <v>6</v>
      </c>
      <c r="C3092" s="190">
        <f t="shared" si="426"/>
        <v>42532</v>
      </c>
      <c r="D3092" s="856" t="s">
        <v>1662</v>
      </c>
      <c r="E3092" s="906">
        <v>42532</v>
      </c>
      <c r="F3092" s="49" t="s">
        <v>772</v>
      </c>
      <c r="G3092" s="831" t="s">
        <v>751</v>
      </c>
      <c r="H3092" s="859" t="s">
        <v>1310</v>
      </c>
      <c r="I3092" s="251">
        <v>150</v>
      </c>
      <c r="J3092" s="251">
        <v>11425.993333333334</v>
      </c>
      <c r="K3092" s="860">
        <f t="shared" si="427"/>
        <v>1713899</v>
      </c>
      <c r="L3092" s="861" t="s">
        <v>162</v>
      </c>
      <c r="M3092" s="861" t="s">
        <v>857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52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826"/>
    </row>
    <row r="3093" spans="1:27" ht="15.75" customHeight="1">
      <c r="A3093" s="827" t="str">
        <f>IF(B3093&lt;&gt;"",IF(AND(B3093&gt;=_TM1,B3093&lt;=_TM2,OR(TH!L3093="1111",TH!M3093="1111")),TH!D3093,""),"")</f>
        <v/>
      </c>
      <c r="B3093" s="36">
        <f t="shared" si="422"/>
        <v>6</v>
      </c>
      <c r="C3093" s="190">
        <f t="shared" si="426"/>
        <v>42535</v>
      </c>
      <c r="D3093" s="856" t="s">
        <v>1662</v>
      </c>
      <c r="E3093" s="906">
        <v>42535</v>
      </c>
      <c r="F3093" s="49" t="s">
        <v>1178</v>
      </c>
      <c r="G3093" s="831" t="s">
        <v>775</v>
      </c>
      <c r="H3093" s="859" t="s">
        <v>1310</v>
      </c>
      <c r="I3093" s="251">
        <v>1250</v>
      </c>
      <c r="J3093" s="251">
        <v>34798.815999999999</v>
      </c>
      <c r="K3093" s="860">
        <f t="shared" si="427"/>
        <v>43498520</v>
      </c>
      <c r="L3093" s="861" t="s">
        <v>162</v>
      </c>
      <c r="M3093" s="861" t="s">
        <v>857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52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826"/>
    </row>
    <row r="3094" spans="1:27" ht="15.75" customHeight="1">
      <c r="A3094" s="827" t="str">
        <f>IF(B3094&lt;&gt;"",IF(AND(B3094&gt;=_TM1,B3094&lt;=_TM2,OR(TH!L3094="1111",TH!M3094="1111")),TH!D3094,""),"")</f>
        <v/>
      </c>
      <c r="B3094" s="36">
        <f t="shared" si="422"/>
        <v>6</v>
      </c>
      <c r="C3094" s="190">
        <f t="shared" si="426"/>
        <v>42535</v>
      </c>
      <c r="D3094" s="856" t="s">
        <v>1662</v>
      </c>
      <c r="E3094" s="906">
        <v>42535</v>
      </c>
      <c r="F3094" s="49" t="s">
        <v>1179</v>
      </c>
      <c r="G3094" s="831" t="s">
        <v>775</v>
      </c>
      <c r="H3094" s="859" t="s">
        <v>1310</v>
      </c>
      <c r="I3094" s="251">
        <v>1300</v>
      </c>
      <c r="J3094" s="251">
        <v>32390.096923076922</v>
      </c>
      <c r="K3094" s="860">
        <f t="shared" si="427"/>
        <v>42107126</v>
      </c>
      <c r="L3094" s="861" t="s">
        <v>162</v>
      </c>
      <c r="M3094" s="861" t="s">
        <v>857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52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826"/>
    </row>
    <row r="3095" spans="1:27" ht="15.75" customHeight="1">
      <c r="A3095" s="827" t="str">
        <f>IF(B3095&lt;&gt;"",IF(AND(B3095&gt;=_TM1,B3095&lt;=_TM2,OR(TH!L3095="1111",TH!M3095="1111")),TH!D3095,""),"")</f>
        <v/>
      </c>
      <c r="B3095" s="36">
        <f t="shared" si="422"/>
        <v>6</v>
      </c>
      <c r="C3095" s="190">
        <f t="shared" si="426"/>
        <v>42536</v>
      </c>
      <c r="D3095" s="856" t="s">
        <v>1662</v>
      </c>
      <c r="E3095" s="906">
        <v>42536</v>
      </c>
      <c r="F3095" s="868" t="s">
        <v>659</v>
      </c>
      <c r="G3095" s="831" t="s">
        <v>778</v>
      </c>
      <c r="H3095" s="859" t="s">
        <v>1310</v>
      </c>
      <c r="I3095" s="251">
        <v>1000</v>
      </c>
      <c r="J3095" s="251">
        <v>9700.3320000000003</v>
      </c>
      <c r="K3095" s="860">
        <f t="shared" si="427"/>
        <v>9700332</v>
      </c>
      <c r="L3095" s="861" t="s">
        <v>162</v>
      </c>
      <c r="M3095" s="861" t="s">
        <v>857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52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826"/>
    </row>
    <row r="3096" spans="1:27" ht="15.75" customHeight="1">
      <c r="A3096" s="827" t="str">
        <f>IF(B3096&lt;&gt;"",IF(AND(B3096&gt;=_TM1,B3096&lt;=_TM2,OR(TH!L3096="1111",TH!M3096="1111")),TH!D3096,""),"")</f>
        <v/>
      </c>
      <c r="B3096" s="36">
        <f t="shared" si="422"/>
        <v>6</v>
      </c>
      <c r="C3096" s="190">
        <f t="shared" si="426"/>
        <v>42544</v>
      </c>
      <c r="D3096" s="856" t="s">
        <v>1662</v>
      </c>
      <c r="E3096" s="906">
        <v>42544</v>
      </c>
      <c r="F3096" s="49" t="s">
        <v>921</v>
      </c>
      <c r="G3096" s="831" t="s">
        <v>784</v>
      </c>
      <c r="H3096" s="859" t="s">
        <v>1310</v>
      </c>
      <c r="I3096" s="251">
        <v>2000</v>
      </c>
      <c r="J3096" s="251">
        <v>6951.3819999999996</v>
      </c>
      <c r="K3096" s="860">
        <f t="shared" si="427"/>
        <v>13902764</v>
      </c>
      <c r="L3096" s="861" t="s">
        <v>162</v>
      </c>
      <c r="M3096" s="861" t="s">
        <v>857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52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826"/>
    </row>
    <row r="3097" spans="1:27" ht="15.75" customHeight="1">
      <c r="A3097" s="827" t="str">
        <f>IF(B3097&lt;&gt;"",IF(AND(B3097&gt;=_TM1,B3097&lt;=_TM2,OR(TH!L3097="1111",TH!M3097="1111")),TH!D3097,""),"")</f>
        <v/>
      </c>
      <c r="B3097" s="36">
        <f t="shared" si="422"/>
        <v>6</v>
      </c>
      <c r="C3097" s="190">
        <f t="shared" si="426"/>
        <v>42544</v>
      </c>
      <c r="D3097" s="856" t="s">
        <v>1662</v>
      </c>
      <c r="E3097" s="906">
        <v>42544</v>
      </c>
      <c r="F3097" s="49" t="s">
        <v>637</v>
      </c>
      <c r="G3097" s="831" t="s">
        <v>784</v>
      </c>
      <c r="H3097" s="859" t="s">
        <v>1310</v>
      </c>
      <c r="I3097" s="251">
        <v>2000</v>
      </c>
      <c r="J3097" s="251">
        <v>6137.357</v>
      </c>
      <c r="K3097" s="860">
        <f t="shared" si="427"/>
        <v>12274714</v>
      </c>
      <c r="L3097" s="861" t="s">
        <v>162</v>
      </c>
      <c r="M3097" s="861" t="s">
        <v>857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52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826"/>
    </row>
    <row r="3098" spans="1:27" ht="15.75" customHeight="1">
      <c r="A3098" s="827" t="str">
        <f>IF(B3098&lt;&gt;"",IF(AND(B3098&gt;=_TM1,B3098&lt;=_TM2,OR(TH!L3098="1111",TH!M3098="1111")),TH!D3098,""),"")</f>
        <v/>
      </c>
      <c r="B3098" s="36">
        <f t="shared" si="422"/>
        <v>6</v>
      </c>
      <c r="C3098" s="190">
        <f t="shared" si="426"/>
        <v>42548</v>
      </c>
      <c r="D3098" s="856" t="s">
        <v>1662</v>
      </c>
      <c r="E3098" s="906">
        <v>42548</v>
      </c>
      <c r="F3098" s="908" t="s">
        <v>1302</v>
      </c>
      <c r="G3098" s="831" t="s">
        <v>786</v>
      </c>
      <c r="H3098" s="859" t="s">
        <v>1310</v>
      </c>
      <c r="I3098" s="251">
        <v>57</v>
      </c>
      <c r="J3098" s="251">
        <v>26453.438596491229</v>
      </c>
      <c r="K3098" s="860">
        <f t="shared" si="427"/>
        <v>1507846</v>
      </c>
      <c r="L3098" s="861" t="s">
        <v>162</v>
      </c>
      <c r="M3098" s="861" t="s">
        <v>857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52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826"/>
    </row>
    <row r="3099" spans="1:27" ht="15.75" customHeight="1">
      <c r="A3099" s="827" t="str">
        <f>IF(B3099&lt;&gt;"",IF(AND(B3099&gt;=_TM1,B3099&lt;=_TM2,OR(TH!L3099="1111",TH!M3099="1111")),TH!D3099,""),"")</f>
        <v/>
      </c>
      <c r="B3099" s="36">
        <f t="shared" si="422"/>
        <v>6</v>
      </c>
      <c r="C3099" s="190">
        <f t="shared" si="426"/>
        <v>42548</v>
      </c>
      <c r="D3099" s="856" t="s">
        <v>1662</v>
      </c>
      <c r="E3099" s="906">
        <v>42548</v>
      </c>
      <c r="F3099" s="868" t="s">
        <v>659</v>
      </c>
      <c r="G3099" s="831" t="s">
        <v>788</v>
      </c>
      <c r="H3099" s="859" t="s">
        <v>1310</v>
      </c>
      <c r="I3099" s="251">
        <v>984</v>
      </c>
      <c r="J3099" s="251">
        <v>9581.2388211382113</v>
      </c>
      <c r="K3099" s="860">
        <f t="shared" si="427"/>
        <v>9427939</v>
      </c>
      <c r="L3099" s="861" t="s">
        <v>162</v>
      </c>
      <c r="M3099" s="861" t="s">
        <v>857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52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826"/>
    </row>
    <row r="3100" spans="1:27" ht="15.75" customHeight="1">
      <c r="A3100" s="827" t="str">
        <f>IF(B3100&lt;&gt;"",IF(AND(B3100&gt;=_TM1,B3100&lt;=_TM2,OR(TH!L3100="1111",TH!M3100="1111")),TH!D3100,""),"")</f>
        <v/>
      </c>
      <c r="B3100" s="36">
        <f t="shared" si="422"/>
        <v>6</v>
      </c>
      <c r="C3100" s="190">
        <f t="shared" si="426"/>
        <v>42551</v>
      </c>
      <c r="D3100" s="856" t="s">
        <v>1662</v>
      </c>
      <c r="E3100" s="906">
        <v>42551</v>
      </c>
      <c r="F3100" s="49" t="s">
        <v>1178</v>
      </c>
      <c r="G3100" s="831" t="s">
        <v>803</v>
      </c>
      <c r="H3100" s="859" t="s">
        <v>1310</v>
      </c>
      <c r="I3100" s="251">
        <v>1275</v>
      </c>
      <c r="J3100" s="251">
        <v>30909.839215686276</v>
      </c>
      <c r="K3100" s="860">
        <f t="shared" si="427"/>
        <v>39410045</v>
      </c>
      <c r="L3100" s="861" t="s">
        <v>162</v>
      </c>
      <c r="M3100" s="861" t="s">
        <v>857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52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826"/>
    </row>
    <row r="3101" spans="1:27" ht="15.75" customHeight="1">
      <c r="A3101" s="827" t="str">
        <f>IF(B3101&lt;&gt;"",IF(AND(B3101&gt;=_TM1,B3101&lt;=_TM2,OR(TH!L3101="1111",TH!M3101="1111")),TH!D3101,""),"")</f>
        <v/>
      </c>
      <c r="B3101" s="36">
        <f t="shared" si="422"/>
        <v>6</v>
      </c>
      <c r="C3101" s="190">
        <f t="shared" si="426"/>
        <v>42551</v>
      </c>
      <c r="D3101" s="856" t="s">
        <v>1662</v>
      </c>
      <c r="E3101" s="906">
        <v>42551</v>
      </c>
      <c r="F3101" s="868" t="s">
        <v>1302</v>
      </c>
      <c r="G3101" s="831" t="s">
        <v>803</v>
      </c>
      <c r="H3101" s="859" t="s">
        <v>1310</v>
      </c>
      <c r="I3101" s="251">
        <v>997</v>
      </c>
      <c r="J3101" s="251">
        <v>32496.396188565697</v>
      </c>
      <c r="K3101" s="860">
        <f t="shared" si="427"/>
        <v>32398907</v>
      </c>
      <c r="L3101" s="861" t="s">
        <v>162</v>
      </c>
      <c r="M3101" s="861" t="s">
        <v>857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52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826"/>
    </row>
    <row r="3102" spans="1:27" ht="15.75" customHeight="1">
      <c r="A3102" s="827" t="str">
        <f>IF(B3102&lt;&gt;"",IF(AND(B3102&gt;=_TM1,B3102&lt;=_TM2,OR(TH!L3102="1111",TH!M3102="1111")),TH!D3102,""),"")</f>
        <v/>
      </c>
      <c r="B3102" s="36">
        <f t="shared" si="422"/>
        <v>6</v>
      </c>
      <c r="C3102" s="190">
        <f t="shared" si="426"/>
        <v>42551</v>
      </c>
      <c r="D3102" s="856" t="s">
        <v>1662</v>
      </c>
      <c r="E3102" s="906">
        <v>42551</v>
      </c>
      <c r="F3102" s="49" t="s">
        <v>477</v>
      </c>
      <c r="G3102" s="831" t="s">
        <v>804</v>
      </c>
      <c r="H3102" s="859" t="s">
        <v>1310</v>
      </c>
      <c r="I3102" s="251">
        <v>180</v>
      </c>
      <c r="J3102" s="251">
        <v>66042.622222222228</v>
      </c>
      <c r="K3102" s="860">
        <f t="shared" si="427"/>
        <v>11887672</v>
      </c>
      <c r="L3102" s="861" t="s">
        <v>162</v>
      </c>
      <c r="M3102" s="861" t="s">
        <v>857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52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826"/>
    </row>
    <row r="3103" spans="1:27" s="848" customFormat="1" ht="15.75" customHeight="1">
      <c r="A3103" s="827" t="str">
        <f>IF(B3103&lt;&gt;"",IF(AND(B3103&gt;=_TM1,B3103&lt;=_TM2,OR(TH!L3103="1111",TH!M3103="1111")),TH!D3103,""),"")</f>
        <v/>
      </c>
      <c r="B3103" s="838">
        <f t="shared" si="422"/>
        <v>7</v>
      </c>
      <c r="C3103" s="839">
        <f t="shared" si="426"/>
        <v>42562</v>
      </c>
      <c r="D3103" s="839" t="s">
        <v>1662</v>
      </c>
      <c r="E3103" s="849">
        <v>42562</v>
      </c>
      <c r="F3103" s="935" t="s">
        <v>479</v>
      </c>
      <c r="G3103" s="936" t="s">
        <v>1431</v>
      </c>
      <c r="H3103" s="841" t="s">
        <v>1310</v>
      </c>
      <c r="I3103" s="842">
        <v>300</v>
      </c>
      <c r="J3103" s="842">
        <v>7628</v>
      </c>
      <c r="K3103" s="843">
        <f t="shared" si="427"/>
        <v>2288400</v>
      </c>
      <c r="L3103" s="844" t="s">
        <v>162</v>
      </c>
      <c r="M3103" s="844" t="s">
        <v>857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52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>x</v>
      </c>
      <c r="AA3103" s="846"/>
    </row>
    <row r="3104" spans="1:27" ht="15.75" customHeight="1">
      <c r="A3104" s="827" t="str">
        <f>IF(B3104&lt;&gt;"",IF(AND(B3104&gt;=_TM1,B3104&lt;=_TM2,OR(TH!L3104="1111",TH!M3104="1111")),TH!D3104,""),"")</f>
        <v/>
      </c>
      <c r="B3104" s="36">
        <f t="shared" si="422"/>
        <v>7</v>
      </c>
      <c r="C3104" s="190">
        <f t="shared" si="426"/>
        <v>42565</v>
      </c>
      <c r="D3104" s="856" t="s">
        <v>1662</v>
      </c>
      <c r="E3104" s="906">
        <v>42565</v>
      </c>
      <c r="F3104" s="49" t="s">
        <v>1433</v>
      </c>
      <c r="G3104" s="831" t="s">
        <v>1432</v>
      </c>
      <c r="H3104" s="859" t="s">
        <v>1310</v>
      </c>
      <c r="I3104" s="251">
        <v>60</v>
      </c>
      <c r="J3104" s="251">
        <v>36917</v>
      </c>
      <c r="K3104" s="860">
        <f t="shared" si="427"/>
        <v>2215020</v>
      </c>
      <c r="L3104" s="861" t="s">
        <v>162</v>
      </c>
      <c r="M3104" s="861" t="s">
        <v>857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52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>x</v>
      </c>
      <c r="AA3104" s="826"/>
    </row>
    <row r="3105" spans="1:27" ht="15.75" customHeight="1">
      <c r="A3105" s="827" t="str">
        <f>IF(B3105&lt;&gt;"",IF(AND(B3105&gt;=_TM1,B3105&lt;=_TM2,OR(TH!L3105="1111",TH!M3105="1111")),TH!D3105,""),"")</f>
        <v/>
      </c>
      <c r="B3105" s="36">
        <f t="shared" si="422"/>
        <v>7</v>
      </c>
      <c r="C3105" s="190">
        <f t="shared" si="426"/>
        <v>42565</v>
      </c>
      <c r="D3105" s="856" t="s">
        <v>1662</v>
      </c>
      <c r="E3105" s="906">
        <v>42565</v>
      </c>
      <c r="F3105" s="868" t="s">
        <v>1434</v>
      </c>
      <c r="G3105" s="831" t="s">
        <v>1432</v>
      </c>
      <c r="H3105" s="859" t="s">
        <v>1310</v>
      </c>
      <c r="I3105" s="251">
        <v>80</v>
      </c>
      <c r="J3105" s="251">
        <v>32566</v>
      </c>
      <c r="K3105" s="860">
        <f t="shared" si="427"/>
        <v>2605280</v>
      </c>
      <c r="L3105" s="861" t="s">
        <v>162</v>
      </c>
      <c r="M3105" s="861" t="s">
        <v>857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52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>x</v>
      </c>
      <c r="AA3105" s="826"/>
    </row>
    <row r="3106" spans="1:27" ht="15.75" customHeight="1">
      <c r="A3106" s="827" t="str">
        <f>IF(B3106&lt;&gt;"",IF(AND(B3106&gt;=_TM1,B3106&lt;=_TM2,OR(TH!L3106="1111",TH!M3106="1111")),TH!D3106,""),"")</f>
        <v/>
      </c>
      <c r="B3106" s="36">
        <f t="shared" si="422"/>
        <v>7</v>
      </c>
      <c r="C3106" s="190">
        <f t="shared" si="426"/>
        <v>42565</v>
      </c>
      <c r="D3106" s="856" t="s">
        <v>1662</v>
      </c>
      <c r="E3106" s="906">
        <v>42565</v>
      </c>
      <c r="F3106" s="49" t="s">
        <v>867</v>
      </c>
      <c r="G3106" s="831" t="s">
        <v>1432</v>
      </c>
      <c r="H3106" s="859" t="s">
        <v>1310</v>
      </c>
      <c r="I3106" s="251">
        <v>64</v>
      </c>
      <c r="J3106" s="251">
        <v>26526.6</v>
      </c>
      <c r="K3106" s="860">
        <f t="shared" si="427"/>
        <v>1697702</v>
      </c>
      <c r="L3106" s="861" t="s">
        <v>162</v>
      </c>
      <c r="M3106" s="861" t="s">
        <v>857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52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>x</v>
      </c>
      <c r="AA3106" s="826"/>
    </row>
    <row r="3107" spans="1:27" ht="15.75" customHeight="1">
      <c r="A3107" s="827" t="str">
        <f>IF(B3107&lt;&gt;"",IF(AND(B3107&gt;=_TM1,B3107&lt;=_TM2,OR(TH!L3107="1111",TH!M3107="1111")),TH!D3107,""),"")</f>
        <v/>
      </c>
      <c r="B3107" s="36">
        <f t="shared" si="422"/>
        <v>7</v>
      </c>
      <c r="C3107" s="190">
        <f t="shared" si="426"/>
        <v>42565</v>
      </c>
      <c r="D3107" s="856" t="s">
        <v>1662</v>
      </c>
      <c r="E3107" s="906">
        <v>42565</v>
      </c>
      <c r="F3107" s="49" t="s">
        <v>1435</v>
      </c>
      <c r="G3107" s="831" t="s">
        <v>1432</v>
      </c>
      <c r="H3107" s="859" t="s">
        <v>1310</v>
      </c>
      <c r="I3107" s="251">
        <v>55</v>
      </c>
      <c r="J3107" s="251">
        <v>43827</v>
      </c>
      <c r="K3107" s="860">
        <f t="shared" si="427"/>
        <v>2410485</v>
      </c>
      <c r="L3107" s="861" t="s">
        <v>162</v>
      </c>
      <c r="M3107" s="861" t="s">
        <v>857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52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>x</v>
      </c>
      <c r="AA3107" s="826"/>
    </row>
    <row r="3108" spans="1:27" ht="15.75" customHeight="1">
      <c r="A3108" s="827" t="str">
        <f>IF(B3108&lt;&gt;"",IF(AND(B3108&gt;=_TM1,B3108&lt;=_TM2,OR(TH!L3108="1111",TH!M3108="1111")),TH!D3108,""),"")</f>
        <v/>
      </c>
      <c r="B3108" s="36">
        <f t="shared" si="422"/>
        <v>7</v>
      </c>
      <c r="C3108" s="190">
        <f t="shared" si="426"/>
        <v>42566</v>
      </c>
      <c r="D3108" s="856" t="s">
        <v>1662</v>
      </c>
      <c r="E3108" s="906">
        <v>42566</v>
      </c>
      <c r="F3108" s="868" t="s">
        <v>1438</v>
      </c>
      <c r="G3108" s="831" t="s">
        <v>1436</v>
      </c>
      <c r="H3108" s="859" t="s">
        <v>1310</v>
      </c>
      <c r="I3108" s="251">
        <v>12</v>
      </c>
      <c r="J3108" s="251">
        <v>58264</v>
      </c>
      <c r="K3108" s="860">
        <f t="shared" si="427"/>
        <v>699168</v>
      </c>
      <c r="L3108" s="861" t="s">
        <v>162</v>
      </c>
      <c r="M3108" s="861" t="s">
        <v>857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52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>x</v>
      </c>
      <c r="AA3108" s="826"/>
    </row>
    <row r="3109" spans="1:27" ht="15.75" customHeight="1">
      <c r="A3109" s="827" t="str">
        <f>IF(B3109&lt;&gt;"",IF(AND(B3109&gt;=_TM1,B3109&lt;=_TM2,OR(TH!L3109="1111",TH!M3109="1111")),TH!D3109,""),"")</f>
        <v/>
      </c>
      <c r="B3109" s="36">
        <f t="shared" si="422"/>
        <v>7</v>
      </c>
      <c r="C3109" s="190">
        <f t="shared" si="426"/>
        <v>42566</v>
      </c>
      <c r="D3109" s="856" t="s">
        <v>1662</v>
      </c>
      <c r="E3109" s="906">
        <v>42566</v>
      </c>
      <c r="F3109" s="49" t="s">
        <v>1439</v>
      </c>
      <c r="G3109" s="831" t="s">
        <v>1436</v>
      </c>
      <c r="H3109" s="859" t="s">
        <v>1310</v>
      </c>
      <c r="I3109" s="251">
        <v>12</v>
      </c>
      <c r="J3109" s="251">
        <v>39561</v>
      </c>
      <c r="K3109" s="860">
        <f t="shared" si="427"/>
        <v>474732</v>
      </c>
      <c r="L3109" s="861" t="s">
        <v>162</v>
      </c>
      <c r="M3109" s="861" t="s">
        <v>857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52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>x</v>
      </c>
      <c r="AA3109" s="826"/>
    </row>
    <row r="3110" spans="1:27" ht="15.75" customHeight="1">
      <c r="A3110" s="827" t="str">
        <f>IF(B3110&lt;&gt;"",IF(AND(B3110&gt;=_TM1,B3110&lt;=_TM2,OR(TH!L3110="1111",TH!M3110="1111")),TH!D3110,""),"")</f>
        <v/>
      </c>
      <c r="B3110" s="36">
        <f t="shared" si="422"/>
        <v>7</v>
      </c>
      <c r="C3110" s="190">
        <f t="shared" si="426"/>
        <v>42566</v>
      </c>
      <c r="D3110" s="856" t="s">
        <v>1662</v>
      </c>
      <c r="E3110" s="906">
        <v>42566</v>
      </c>
      <c r="F3110" s="868" t="s">
        <v>1441</v>
      </c>
      <c r="G3110" s="831" t="s">
        <v>1436</v>
      </c>
      <c r="H3110" s="859" t="s">
        <v>1310</v>
      </c>
      <c r="I3110" s="251">
        <v>81</v>
      </c>
      <c r="J3110" s="251">
        <v>7851</v>
      </c>
      <c r="K3110" s="860">
        <f t="shared" si="427"/>
        <v>635931</v>
      </c>
      <c r="L3110" s="861" t="s">
        <v>162</v>
      </c>
      <c r="M3110" s="861" t="s">
        <v>857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52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>x</v>
      </c>
      <c r="AA3110" s="826"/>
    </row>
    <row r="3111" spans="1:27" ht="15.75" customHeight="1">
      <c r="A3111" s="827" t="str">
        <f>IF(B3111&lt;&gt;"",IF(AND(B3111&gt;=_TM1,B3111&lt;=_TM2,OR(TH!L3111="1111",TH!M3111="1111")),TH!D3111,""),"")</f>
        <v/>
      </c>
      <c r="B3111" s="36">
        <f t="shared" si="422"/>
        <v>7</v>
      </c>
      <c r="C3111" s="190">
        <f t="shared" si="426"/>
        <v>42569</v>
      </c>
      <c r="D3111" s="856" t="s">
        <v>1662</v>
      </c>
      <c r="E3111" s="906">
        <v>42569</v>
      </c>
      <c r="F3111" s="49" t="s">
        <v>1444</v>
      </c>
      <c r="G3111" s="831" t="s">
        <v>1442</v>
      </c>
      <c r="H3111" s="859" t="s">
        <v>1310</v>
      </c>
      <c r="I3111" s="251">
        <v>200</v>
      </c>
      <c r="J3111" s="251">
        <v>12330</v>
      </c>
      <c r="K3111" s="860">
        <f t="shared" si="427"/>
        <v>2466000</v>
      </c>
      <c r="L3111" s="861" t="s">
        <v>162</v>
      </c>
      <c r="M3111" s="861" t="s">
        <v>857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52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>x</v>
      </c>
      <c r="AA3111" s="826"/>
    </row>
    <row r="3112" spans="1:27" ht="15.75" customHeight="1">
      <c r="A3112" s="827" t="str">
        <f>IF(B3112&lt;&gt;"",IF(AND(B3112&gt;=_TM1,B3112&lt;=_TM2,OR(TH!L3112="1111",TH!M3112="1111")),TH!D3112,""),"")</f>
        <v/>
      </c>
      <c r="B3112" s="36">
        <f t="shared" si="422"/>
        <v>7</v>
      </c>
      <c r="C3112" s="190">
        <f t="shared" si="426"/>
        <v>42579</v>
      </c>
      <c r="D3112" s="856" t="s">
        <v>1662</v>
      </c>
      <c r="E3112" s="906">
        <v>42579</v>
      </c>
      <c r="F3112" s="49" t="s">
        <v>1450</v>
      </c>
      <c r="G3112" s="831" t="s">
        <v>1448</v>
      </c>
      <c r="H3112" s="859" t="s">
        <v>1310</v>
      </c>
      <c r="I3112" s="251">
        <v>500</v>
      </c>
      <c r="J3112" s="251">
        <v>28433</v>
      </c>
      <c r="K3112" s="860">
        <f t="shared" si="427"/>
        <v>14216500</v>
      </c>
      <c r="L3112" s="861" t="s">
        <v>162</v>
      </c>
      <c r="M3112" s="861" t="s">
        <v>857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52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>x</v>
      </c>
      <c r="AA3112" s="826"/>
    </row>
    <row r="3113" spans="1:27" ht="15.75" customHeight="1">
      <c r="A3113" s="827" t="str">
        <f>IF(B3113&lt;&gt;"",IF(AND(B3113&gt;=_TM1,B3113&lt;=_TM2,OR(TH!L3113="1111",TH!M3113="1111")),TH!D3113,""),"")</f>
        <v/>
      </c>
      <c r="B3113" s="36">
        <f t="shared" si="422"/>
        <v>7</v>
      </c>
      <c r="C3113" s="190">
        <f t="shared" si="424"/>
        <v>42580</v>
      </c>
      <c r="D3113" s="856" t="s">
        <v>1662</v>
      </c>
      <c r="E3113" s="906">
        <v>42580</v>
      </c>
      <c r="F3113" s="49" t="s">
        <v>451</v>
      </c>
      <c r="G3113" s="831" t="s">
        <v>1452</v>
      </c>
      <c r="H3113" s="859" t="s">
        <v>1310</v>
      </c>
      <c r="I3113" s="251">
        <v>1400</v>
      </c>
      <c r="J3113" s="251">
        <v>17760</v>
      </c>
      <c r="K3113" s="860">
        <f t="shared" si="425"/>
        <v>24864000</v>
      </c>
      <c r="L3113" s="861" t="s">
        <v>162</v>
      </c>
      <c r="M3113" s="861" t="s">
        <v>857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52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>x</v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>x</v>
      </c>
      <c r="AA3113" s="826"/>
    </row>
    <row r="3114" spans="1:27" ht="15.75" customHeight="1">
      <c r="A3114" s="827" t="str">
        <f>IF(B3114&lt;&gt;"",IF(AND(B3114&gt;=_TM1,B3114&lt;=_TM2,OR(TH!L3114="1111",TH!M3114="1111")),TH!D3114,""),"")</f>
        <v/>
      </c>
      <c r="B3114" s="36">
        <f t="shared" si="422"/>
        <v>7</v>
      </c>
      <c r="C3114" s="190">
        <f t="shared" si="424"/>
        <v>42580</v>
      </c>
      <c r="D3114" s="856" t="s">
        <v>1662</v>
      </c>
      <c r="E3114" s="906">
        <v>42580</v>
      </c>
      <c r="F3114" s="868" t="s">
        <v>451</v>
      </c>
      <c r="G3114" s="831" t="s">
        <v>1452</v>
      </c>
      <c r="H3114" s="859" t="s">
        <v>1310</v>
      </c>
      <c r="I3114" s="251">
        <v>2900</v>
      </c>
      <c r="J3114" s="251">
        <v>17575</v>
      </c>
      <c r="K3114" s="860">
        <f t="shared" si="425"/>
        <v>50967500</v>
      </c>
      <c r="L3114" s="861" t="s">
        <v>162</v>
      </c>
      <c r="M3114" s="861" t="s">
        <v>857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52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>x</v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>x</v>
      </c>
      <c r="AA3114" s="826"/>
    </row>
    <row r="3115" spans="1:27" ht="15.75" customHeight="1">
      <c r="A3115" s="827" t="str">
        <f>IF(B3115&lt;&gt;"",IF(AND(B3115&gt;=_TM1,B3115&lt;=_TM2,OR(TH!L3115="1111",TH!M3115="1111")),TH!D3115,""),"")</f>
        <v/>
      </c>
      <c r="B3115" s="36">
        <f t="shared" si="422"/>
        <v>7</v>
      </c>
      <c r="C3115" s="190">
        <f t="shared" si="424"/>
        <v>42580</v>
      </c>
      <c r="D3115" s="856" t="s">
        <v>1662</v>
      </c>
      <c r="E3115" s="906">
        <v>42580</v>
      </c>
      <c r="F3115" s="49" t="s">
        <v>450</v>
      </c>
      <c r="G3115" s="831" t="s">
        <v>1452</v>
      </c>
      <c r="H3115" s="859" t="s">
        <v>1310</v>
      </c>
      <c r="I3115" s="251">
        <v>1150</v>
      </c>
      <c r="J3115" s="251">
        <v>17760</v>
      </c>
      <c r="K3115" s="860">
        <f t="shared" si="425"/>
        <v>20424000</v>
      </c>
      <c r="L3115" s="861" t="s">
        <v>162</v>
      </c>
      <c r="M3115" s="861" t="s">
        <v>857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52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>x</v>
      </c>
      <c r="AA3115" s="826"/>
    </row>
    <row r="3116" spans="1:27" ht="15.75" customHeight="1">
      <c r="A3116" s="827" t="str">
        <f>IF(B3116&lt;&gt;"",IF(AND(B3116&gt;=_TM1,B3116&lt;=_TM2,OR(TH!L3116="1111",TH!M3116="1111")),TH!D3116,""),"")</f>
        <v/>
      </c>
      <c r="B3116" s="36">
        <f t="shared" si="422"/>
        <v>7</v>
      </c>
      <c r="C3116" s="190">
        <f t="shared" si="424"/>
        <v>42580</v>
      </c>
      <c r="D3116" s="856" t="s">
        <v>1662</v>
      </c>
      <c r="E3116" s="906">
        <v>42580</v>
      </c>
      <c r="F3116" s="49" t="s">
        <v>450</v>
      </c>
      <c r="G3116" s="831" t="s">
        <v>1452</v>
      </c>
      <c r="H3116" s="859" t="s">
        <v>1310</v>
      </c>
      <c r="I3116" s="251">
        <v>2850</v>
      </c>
      <c r="J3116" s="251">
        <v>17575</v>
      </c>
      <c r="K3116" s="860">
        <f t="shared" si="425"/>
        <v>50088750</v>
      </c>
      <c r="L3116" s="861" t="s">
        <v>162</v>
      </c>
      <c r="M3116" s="861" t="s">
        <v>857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52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>x</v>
      </c>
      <c r="AA3116" s="826"/>
    </row>
    <row r="3117" spans="1:27" ht="15.75" customHeight="1">
      <c r="A3117" s="827" t="str">
        <f>IF(B3117&lt;&gt;"",IF(AND(B3117&gt;=_TM1,B3117&lt;=_TM2,OR(TH!L3117="1111",TH!M3117="1111")),TH!D3117,""),"")</f>
        <v/>
      </c>
      <c r="B3117" s="36">
        <f t="shared" si="422"/>
        <v>7</v>
      </c>
      <c r="C3117" s="190">
        <f t="shared" si="424"/>
        <v>42580</v>
      </c>
      <c r="D3117" s="856" t="s">
        <v>1662</v>
      </c>
      <c r="E3117" s="906">
        <v>42580</v>
      </c>
      <c r="F3117" s="908" t="s">
        <v>1455</v>
      </c>
      <c r="G3117" s="831" t="s">
        <v>1453</v>
      </c>
      <c r="H3117" s="859" t="s">
        <v>1310</v>
      </c>
      <c r="I3117" s="251">
        <v>2100</v>
      </c>
      <c r="J3117" s="251">
        <v>8160</v>
      </c>
      <c r="K3117" s="860">
        <f t="shared" si="425"/>
        <v>17136000</v>
      </c>
      <c r="L3117" s="861" t="s">
        <v>162</v>
      </c>
      <c r="M3117" s="861" t="s">
        <v>857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52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>x</v>
      </c>
      <c r="AA3117" s="826"/>
    </row>
    <row r="3118" spans="1:27" ht="15.75" customHeight="1">
      <c r="A3118" s="827" t="str">
        <f>IF(B3118&lt;&gt;"",IF(AND(B3118&gt;=_TM1,B3118&lt;=_TM2,OR(TH!L3118="1111",TH!M3118="1111")),TH!D3118,""),"")</f>
        <v/>
      </c>
      <c r="B3118" s="36">
        <f t="shared" si="422"/>
        <v>7</v>
      </c>
      <c r="C3118" s="190">
        <f t="shared" si="424"/>
        <v>42581</v>
      </c>
      <c r="D3118" s="856" t="s">
        <v>1662</v>
      </c>
      <c r="E3118" s="906">
        <v>42581</v>
      </c>
      <c r="F3118" s="868" t="s">
        <v>809</v>
      </c>
      <c r="G3118" s="831" t="s">
        <v>1470</v>
      </c>
      <c r="H3118" s="859" t="s">
        <v>1310</v>
      </c>
      <c r="I3118" s="251">
        <v>12</v>
      </c>
      <c r="J3118" s="251">
        <v>42400</v>
      </c>
      <c r="K3118" s="860">
        <f t="shared" si="425"/>
        <v>508800</v>
      </c>
      <c r="L3118" s="861" t="s">
        <v>162</v>
      </c>
      <c r="M3118" s="861" t="s">
        <v>857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52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>x</v>
      </c>
      <c r="AA3118" s="826"/>
    </row>
    <row r="3119" spans="1:27" ht="15.75" customHeight="1">
      <c r="A3119" s="827" t="str">
        <f>IF(B3119&lt;&gt;"",IF(AND(B3119&gt;=_TM1,B3119&lt;=_TM2,OR(TH!L3119="1111",TH!M3119="1111")),TH!D3119,""),"")</f>
        <v/>
      </c>
      <c r="B3119" s="36">
        <f t="shared" si="422"/>
        <v>7</v>
      </c>
      <c r="C3119" s="190">
        <f t="shared" si="424"/>
        <v>42581</v>
      </c>
      <c r="D3119" s="856" t="s">
        <v>1662</v>
      </c>
      <c r="E3119" s="906">
        <v>42581</v>
      </c>
      <c r="F3119" s="49" t="s">
        <v>1456</v>
      </c>
      <c r="G3119" s="831" t="s">
        <v>1470</v>
      </c>
      <c r="H3119" s="859" t="s">
        <v>1310</v>
      </c>
      <c r="I3119" s="251">
        <v>12</v>
      </c>
      <c r="J3119" s="251">
        <v>45300</v>
      </c>
      <c r="K3119" s="860">
        <f t="shared" si="425"/>
        <v>543600</v>
      </c>
      <c r="L3119" s="861" t="s">
        <v>162</v>
      </c>
      <c r="M3119" s="861" t="s">
        <v>857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52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>x</v>
      </c>
      <c r="AA3119" s="826"/>
    </row>
    <row r="3120" spans="1:27" ht="15.75" customHeight="1">
      <c r="A3120" s="827" t="str">
        <f>IF(B3120&lt;&gt;"",IF(AND(B3120&gt;=_TM1,B3120&lt;=_TM2,OR(TH!L3120="1111",TH!M3120="1111")),TH!D3120,""),"")</f>
        <v/>
      </c>
      <c r="B3120" s="36">
        <f t="shared" si="422"/>
        <v>7</v>
      </c>
      <c r="C3120" s="190">
        <f t="shared" si="424"/>
        <v>42581</v>
      </c>
      <c r="D3120" s="856" t="s">
        <v>1662</v>
      </c>
      <c r="E3120" s="906">
        <v>42581</v>
      </c>
      <c r="F3120" s="868" t="s">
        <v>821</v>
      </c>
      <c r="G3120" s="831" t="s">
        <v>1470</v>
      </c>
      <c r="H3120" s="859" t="s">
        <v>1310</v>
      </c>
      <c r="I3120" s="251">
        <v>12</v>
      </c>
      <c r="J3120" s="251">
        <v>49500</v>
      </c>
      <c r="K3120" s="860">
        <f t="shared" si="425"/>
        <v>594000</v>
      </c>
      <c r="L3120" s="861" t="s">
        <v>162</v>
      </c>
      <c r="M3120" s="861" t="s">
        <v>857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52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>x</v>
      </c>
      <c r="AA3120" s="826"/>
    </row>
    <row r="3121" spans="1:27" ht="15.75" customHeight="1">
      <c r="A3121" s="827" t="str">
        <f>IF(B3121&lt;&gt;"",IF(AND(B3121&gt;=_TM1,B3121&lt;=_TM2,OR(TH!L3121="1111",TH!M3121="1111")),TH!D3121,""),"")</f>
        <v/>
      </c>
      <c r="B3121" s="36">
        <f t="shared" si="422"/>
        <v>7</v>
      </c>
      <c r="C3121" s="190">
        <f t="shared" si="424"/>
        <v>42581</v>
      </c>
      <c r="D3121" s="856" t="s">
        <v>1662</v>
      </c>
      <c r="E3121" s="906">
        <v>42581</v>
      </c>
      <c r="F3121" s="49" t="s">
        <v>818</v>
      </c>
      <c r="G3121" s="831" t="s">
        <v>1470</v>
      </c>
      <c r="H3121" s="859" t="s">
        <v>1310</v>
      </c>
      <c r="I3121" s="251">
        <v>9</v>
      </c>
      <c r="J3121" s="251">
        <v>77341</v>
      </c>
      <c r="K3121" s="860">
        <f t="shared" si="425"/>
        <v>696069</v>
      </c>
      <c r="L3121" s="861" t="s">
        <v>162</v>
      </c>
      <c r="M3121" s="861" t="s">
        <v>857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52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>x</v>
      </c>
      <c r="AA3121" s="826"/>
    </row>
    <row r="3122" spans="1:27" ht="15.75" customHeight="1">
      <c r="A3122" s="827" t="str">
        <f>IF(B3122&lt;&gt;"",IF(AND(B3122&gt;=_TM1,B3122&lt;=_TM2,OR(TH!L3122="1111",TH!M3122="1111")),TH!D3122,""),"")</f>
        <v/>
      </c>
      <c r="B3122" s="36">
        <f t="shared" si="422"/>
        <v>7</v>
      </c>
      <c r="C3122" s="190">
        <f t="shared" si="424"/>
        <v>42581</v>
      </c>
      <c r="D3122" s="856" t="s">
        <v>1662</v>
      </c>
      <c r="E3122" s="906">
        <v>42581</v>
      </c>
      <c r="F3122" s="868" t="s">
        <v>878</v>
      </c>
      <c r="G3122" s="831" t="s">
        <v>1470</v>
      </c>
      <c r="H3122" s="859" t="s">
        <v>1310</v>
      </c>
      <c r="I3122" s="251">
        <v>14</v>
      </c>
      <c r="J3122" s="251">
        <v>43357</v>
      </c>
      <c r="K3122" s="860">
        <f t="shared" si="425"/>
        <v>606998</v>
      </c>
      <c r="L3122" s="861" t="s">
        <v>162</v>
      </c>
      <c r="M3122" s="861" t="s">
        <v>857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52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>x</v>
      </c>
      <c r="AA3122" s="826"/>
    </row>
    <row r="3123" spans="1:27" ht="15.75" customHeight="1">
      <c r="A3123" s="827" t="str">
        <f>IF(B3123&lt;&gt;"",IF(AND(B3123&gt;=_TM1,B3123&lt;=_TM2,OR(TH!L3123="1111",TH!M3123="1111")),TH!D3123,""),"")</f>
        <v/>
      </c>
      <c r="B3123" s="36">
        <f t="shared" si="422"/>
        <v>7</v>
      </c>
      <c r="C3123" s="190">
        <f t="shared" si="424"/>
        <v>42581</v>
      </c>
      <c r="D3123" s="856" t="s">
        <v>1662</v>
      </c>
      <c r="E3123" s="906">
        <v>42581</v>
      </c>
      <c r="F3123" s="49" t="s">
        <v>494</v>
      </c>
      <c r="G3123" s="831" t="s">
        <v>1470</v>
      </c>
      <c r="H3123" s="859" t="s">
        <v>1310</v>
      </c>
      <c r="I3123" s="251">
        <v>12</v>
      </c>
      <c r="J3123" s="251">
        <v>71747.5</v>
      </c>
      <c r="K3123" s="860">
        <f t="shared" si="425"/>
        <v>860970</v>
      </c>
      <c r="L3123" s="861" t="s">
        <v>162</v>
      </c>
      <c r="M3123" s="861" t="s">
        <v>857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52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>x</v>
      </c>
      <c r="AA3123" s="826"/>
    </row>
    <row r="3124" spans="1:27" ht="15.75" customHeight="1">
      <c r="A3124" s="827" t="str">
        <f>IF(B3124&lt;&gt;"",IF(AND(B3124&gt;=_TM1,B3124&lt;=_TM2,OR(TH!L3124="1111",TH!M3124="1111")),TH!D3124,""),"")</f>
        <v/>
      </c>
      <c r="B3124" s="36">
        <f t="shared" si="422"/>
        <v>7</v>
      </c>
      <c r="C3124" s="190">
        <f t="shared" si="424"/>
        <v>42581</v>
      </c>
      <c r="D3124" s="856" t="s">
        <v>1662</v>
      </c>
      <c r="E3124" s="906">
        <v>42581</v>
      </c>
      <c r="F3124" s="868" t="s">
        <v>809</v>
      </c>
      <c r="G3124" s="831" t="s">
        <v>1470</v>
      </c>
      <c r="H3124" s="859" t="s">
        <v>1310</v>
      </c>
      <c r="I3124" s="251">
        <v>24</v>
      </c>
      <c r="J3124" s="251">
        <v>42400</v>
      </c>
      <c r="K3124" s="860">
        <f t="shared" si="425"/>
        <v>1017600</v>
      </c>
      <c r="L3124" s="861" t="s">
        <v>162</v>
      </c>
      <c r="M3124" s="861" t="s">
        <v>857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52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>x</v>
      </c>
      <c r="AA3124" s="826"/>
    </row>
    <row r="3125" spans="1:27" ht="15.75" customHeight="1">
      <c r="A3125" s="827" t="str">
        <f>IF(B3125&lt;&gt;"",IF(AND(B3125&gt;=_TM1,B3125&lt;=_TM2,OR(TH!L3125="1111",TH!M3125="1111")),TH!D3125,""),"")</f>
        <v/>
      </c>
      <c r="B3125" s="36">
        <f t="shared" si="422"/>
        <v>7</v>
      </c>
      <c r="C3125" s="190">
        <f t="shared" si="424"/>
        <v>42581</v>
      </c>
      <c r="D3125" s="856" t="s">
        <v>1662</v>
      </c>
      <c r="E3125" s="906">
        <v>42581</v>
      </c>
      <c r="F3125" s="49" t="s">
        <v>820</v>
      </c>
      <c r="G3125" s="831" t="s">
        <v>1470</v>
      </c>
      <c r="H3125" s="859" t="s">
        <v>1310</v>
      </c>
      <c r="I3125" s="251">
        <v>8</v>
      </c>
      <c r="J3125" s="251">
        <v>99348</v>
      </c>
      <c r="K3125" s="860">
        <f t="shared" si="425"/>
        <v>794784</v>
      </c>
      <c r="L3125" s="861" t="s">
        <v>162</v>
      </c>
      <c r="M3125" s="861" t="s">
        <v>857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52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>x</v>
      </c>
      <c r="AA3125" s="826"/>
    </row>
    <row r="3126" spans="1:27" ht="15.75" customHeight="1">
      <c r="A3126" s="827" t="str">
        <f>IF(B3126&lt;&gt;"",IF(AND(B3126&gt;=_TM1,B3126&lt;=_TM2,OR(TH!L3126="1111",TH!M3126="1111")),TH!D3126,""),"")</f>
        <v/>
      </c>
      <c r="B3126" s="36">
        <f t="shared" si="422"/>
        <v>7</v>
      </c>
      <c r="C3126" s="190">
        <f t="shared" si="424"/>
        <v>42581</v>
      </c>
      <c r="D3126" s="856" t="s">
        <v>1662</v>
      </c>
      <c r="E3126" s="906">
        <v>42581</v>
      </c>
      <c r="F3126" s="49" t="s">
        <v>809</v>
      </c>
      <c r="G3126" s="831" t="s">
        <v>1470</v>
      </c>
      <c r="H3126" s="859" t="s">
        <v>1310</v>
      </c>
      <c r="I3126" s="251">
        <v>12</v>
      </c>
      <c r="J3126" s="251">
        <v>42400</v>
      </c>
      <c r="K3126" s="860">
        <f t="shared" si="425"/>
        <v>508800</v>
      </c>
      <c r="L3126" s="861" t="s">
        <v>162</v>
      </c>
      <c r="M3126" s="861" t="s">
        <v>857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52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>x</v>
      </c>
      <c r="AA3126" s="826"/>
    </row>
    <row r="3127" spans="1:27" ht="15.75" customHeight="1">
      <c r="A3127" s="827" t="str">
        <f>IF(B3127&lt;&gt;"",IF(AND(B3127&gt;=_TM1,B3127&lt;=_TM2,OR(TH!L3127="1111",TH!M3127="1111")),TH!D3127,""),"")</f>
        <v/>
      </c>
      <c r="B3127" s="36">
        <f t="shared" si="422"/>
        <v>7</v>
      </c>
      <c r="C3127" s="190">
        <f t="shared" si="424"/>
        <v>42581</v>
      </c>
      <c r="D3127" s="856" t="s">
        <v>1662</v>
      </c>
      <c r="E3127" s="906">
        <v>42581</v>
      </c>
      <c r="F3127" s="868" t="s">
        <v>822</v>
      </c>
      <c r="G3127" s="831" t="s">
        <v>1470</v>
      </c>
      <c r="H3127" s="859" t="s">
        <v>1310</v>
      </c>
      <c r="I3127" s="251">
        <v>12</v>
      </c>
      <c r="J3127" s="251">
        <v>108192</v>
      </c>
      <c r="K3127" s="860">
        <f t="shared" si="425"/>
        <v>1298304</v>
      </c>
      <c r="L3127" s="861" t="s">
        <v>162</v>
      </c>
      <c r="M3127" s="861" t="s">
        <v>857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52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>x</v>
      </c>
      <c r="AA3127" s="826"/>
    </row>
    <row r="3128" spans="1:27" ht="15.75" customHeight="1">
      <c r="A3128" s="827" t="str">
        <f>IF(B3128&lt;&gt;"",IF(AND(B3128&gt;=_TM1,B3128&lt;=_TM2,OR(TH!L3128="1111",TH!M3128="1111")),TH!D3128,""),"")</f>
        <v/>
      </c>
      <c r="B3128" s="36">
        <f t="shared" si="422"/>
        <v>7</v>
      </c>
      <c r="C3128" s="190">
        <f t="shared" si="424"/>
        <v>42581</v>
      </c>
      <c r="D3128" s="856" t="s">
        <v>1662</v>
      </c>
      <c r="E3128" s="906">
        <v>42581</v>
      </c>
      <c r="F3128" s="49" t="s">
        <v>882</v>
      </c>
      <c r="G3128" s="831" t="s">
        <v>1470</v>
      </c>
      <c r="H3128" s="859" t="s">
        <v>1310</v>
      </c>
      <c r="I3128" s="251">
        <v>16</v>
      </c>
      <c r="J3128" s="251">
        <v>66576</v>
      </c>
      <c r="K3128" s="860">
        <f t="shared" si="425"/>
        <v>1065216</v>
      </c>
      <c r="L3128" s="861" t="s">
        <v>162</v>
      </c>
      <c r="M3128" s="861" t="s">
        <v>857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52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>x</v>
      </c>
      <c r="AA3128" s="826"/>
    </row>
    <row r="3129" spans="1:27" ht="15.75" customHeight="1">
      <c r="A3129" s="827" t="str">
        <f>IF(B3129&lt;&gt;"",IF(AND(B3129&gt;=_TM1,B3129&lt;=_TM2,OR(TH!L3129="1111",TH!M3129="1111")),TH!D3129,""),"")</f>
        <v/>
      </c>
      <c r="B3129" s="36">
        <f t="shared" si="422"/>
        <v>7</v>
      </c>
      <c r="C3129" s="190">
        <f t="shared" si="424"/>
        <v>42581</v>
      </c>
      <c r="D3129" s="856" t="s">
        <v>1662</v>
      </c>
      <c r="E3129" s="906">
        <v>42581</v>
      </c>
      <c r="F3129" s="868" t="s">
        <v>883</v>
      </c>
      <c r="G3129" s="831" t="s">
        <v>1470</v>
      </c>
      <c r="H3129" s="859" t="s">
        <v>1310</v>
      </c>
      <c r="I3129" s="251">
        <v>7</v>
      </c>
      <c r="J3129" s="251">
        <v>45501</v>
      </c>
      <c r="K3129" s="860">
        <f t="shared" si="425"/>
        <v>318507</v>
      </c>
      <c r="L3129" s="861" t="s">
        <v>162</v>
      </c>
      <c r="M3129" s="861" t="s">
        <v>857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52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>x</v>
      </c>
      <c r="AA3129" s="826"/>
    </row>
    <row r="3130" spans="1:27" ht="15.75" customHeight="1">
      <c r="A3130" s="827" t="str">
        <f>IF(B3130&lt;&gt;"",IF(AND(B3130&gt;=_TM1,B3130&lt;=_TM2,OR(TH!L3130="1111",TH!M3130="1111")),TH!D3130,""),"")</f>
        <v/>
      </c>
      <c r="B3130" s="36">
        <f t="shared" si="422"/>
        <v>7</v>
      </c>
      <c r="C3130" s="190">
        <f t="shared" si="424"/>
        <v>42581</v>
      </c>
      <c r="D3130" s="856" t="s">
        <v>1662</v>
      </c>
      <c r="E3130" s="906">
        <v>42581</v>
      </c>
      <c r="F3130" s="49" t="s">
        <v>818</v>
      </c>
      <c r="G3130" s="831" t="s">
        <v>1470</v>
      </c>
      <c r="H3130" s="859" t="s">
        <v>1310</v>
      </c>
      <c r="I3130" s="251">
        <v>4</v>
      </c>
      <c r="J3130" s="251">
        <v>77341</v>
      </c>
      <c r="K3130" s="860">
        <f t="shared" si="425"/>
        <v>309364</v>
      </c>
      <c r="L3130" s="861" t="s">
        <v>162</v>
      </c>
      <c r="M3130" s="861" t="s">
        <v>857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52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>x</v>
      </c>
      <c r="AA3130" s="826"/>
    </row>
    <row r="3131" spans="1:27" ht="15.75" customHeight="1">
      <c r="A3131" s="827" t="str">
        <f>IF(B3131&lt;&gt;"",IF(AND(B3131&gt;=_TM1,B3131&lt;=_TM2,OR(TH!L3131="1111",TH!M3131="1111")),TH!D3131,""),"")</f>
        <v/>
      </c>
      <c r="B3131" s="36">
        <f t="shared" si="422"/>
        <v>7</v>
      </c>
      <c r="C3131" s="190">
        <f t="shared" si="424"/>
        <v>42581</v>
      </c>
      <c r="D3131" s="856" t="s">
        <v>1662</v>
      </c>
      <c r="E3131" s="906">
        <v>42581</v>
      </c>
      <c r="F3131" s="49" t="s">
        <v>873</v>
      </c>
      <c r="G3131" s="831" t="s">
        <v>1470</v>
      </c>
      <c r="H3131" s="859" t="s">
        <v>1310</v>
      </c>
      <c r="I3131" s="251">
        <v>12</v>
      </c>
      <c r="J3131" s="251">
        <v>43183</v>
      </c>
      <c r="K3131" s="860">
        <f t="shared" si="425"/>
        <v>518196</v>
      </c>
      <c r="L3131" s="861" t="s">
        <v>162</v>
      </c>
      <c r="M3131" s="861" t="s">
        <v>857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52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>x</v>
      </c>
      <c r="AA3131" s="826"/>
    </row>
    <row r="3132" spans="1:27" ht="15.75" customHeight="1">
      <c r="A3132" s="827" t="str">
        <f>IF(B3132&lt;&gt;"",IF(AND(B3132&gt;=_TM1,B3132&lt;=_TM2,OR(TH!L3132="1111",TH!M3132="1111")),TH!D3132,""),"")</f>
        <v/>
      </c>
      <c r="B3132" s="36">
        <f t="shared" si="422"/>
        <v>7</v>
      </c>
      <c r="C3132" s="190">
        <f t="shared" ref="C3132:C3385" si="428">E3132</f>
        <v>42581</v>
      </c>
      <c r="D3132" s="856" t="s">
        <v>1662</v>
      </c>
      <c r="E3132" s="906">
        <v>42581</v>
      </c>
      <c r="F3132" s="49" t="s">
        <v>874</v>
      </c>
      <c r="G3132" s="831" t="s">
        <v>1470</v>
      </c>
      <c r="H3132" s="859" t="s">
        <v>1310</v>
      </c>
      <c r="I3132" s="251">
        <v>6</v>
      </c>
      <c r="J3132" s="251">
        <v>34428</v>
      </c>
      <c r="K3132" s="860">
        <f t="shared" si="425"/>
        <v>206568</v>
      </c>
      <c r="L3132" s="861" t="s">
        <v>162</v>
      </c>
      <c r="M3132" s="861" t="s">
        <v>857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52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>x</v>
      </c>
      <c r="AA3132" s="826"/>
    </row>
    <row r="3133" spans="1:27" ht="15.75" customHeight="1">
      <c r="A3133" s="827" t="str">
        <f>IF(B3133&lt;&gt;"",IF(AND(B3133&gt;=_TM1,B3133&lt;=_TM2,OR(TH!L3133="1111",TH!M3133="1111")),TH!D3133,""),"")</f>
        <v/>
      </c>
      <c r="B3133" s="36">
        <f t="shared" si="422"/>
        <v>7</v>
      </c>
      <c r="C3133" s="190">
        <f t="shared" si="428"/>
        <v>42581</v>
      </c>
      <c r="D3133" s="856" t="s">
        <v>1662</v>
      </c>
      <c r="E3133" s="906">
        <v>42581</v>
      </c>
      <c r="F3133" s="868" t="s">
        <v>875</v>
      </c>
      <c r="G3133" s="831" t="s">
        <v>1470</v>
      </c>
      <c r="H3133" s="859" t="s">
        <v>1310</v>
      </c>
      <c r="I3133" s="251">
        <v>8</v>
      </c>
      <c r="J3133" s="251">
        <v>53255</v>
      </c>
      <c r="K3133" s="860">
        <f t="shared" si="425"/>
        <v>426040</v>
      </c>
      <c r="L3133" s="861" t="s">
        <v>162</v>
      </c>
      <c r="M3133" s="861" t="s">
        <v>857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52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>x</v>
      </c>
      <c r="AA3133" s="826"/>
    </row>
    <row r="3134" spans="1:27" ht="15.75" customHeight="1">
      <c r="A3134" s="827" t="str">
        <f>IF(B3134&lt;&gt;"",IF(AND(B3134&gt;=_TM1,B3134&lt;=_TM2,OR(TH!L3134="1111",TH!M3134="1111")),TH!D3134,""),"")</f>
        <v/>
      </c>
      <c r="B3134" s="36">
        <f t="shared" si="422"/>
        <v>7</v>
      </c>
      <c r="C3134" s="190">
        <f t="shared" si="428"/>
        <v>42581</v>
      </c>
      <c r="D3134" s="856" t="s">
        <v>1662</v>
      </c>
      <c r="E3134" s="906">
        <v>42581</v>
      </c>
      <c r="F3134" s="49" t="s">
        <v>809</v>
      </c>
      <c r="G3134" s="831" t="s">
        <v>1470</v>
      </c>
      <c r="H3134" s="859" t="s">
        <v>1310</v>
      </c>
      <c r="I3134" s="251">
        <v>8</v>
      </c>
      <c r="J3134" s="251">
        <v>42400</v>
      </c>
      <c r="K3134" s="860">
        <f t="shared" si="425"/>
        <v>339200</v>
      </c>
      <c r="L3134" s="861" t="s">
        <v>162</v>
      </c>
      <c r="M3134" s="861" t="s">
        <v>857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52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>x</v>
      </c>
      <c r="AA3134" s="826"/>
    </row>
    <row r="3135" spans="1:27" ht="15.75" customHeight="1">
      <c r="A3135" s="827" t="str">
        <f>IF(B3135&lt;&gt;"",IF(AND(B3135&gt;=_TM1,B3135&lt;=_TM2,OR(TH!L3135="1111",TH!M3135="1111")),TH!D3135,""),"")</f>
        <v/>
      </c>
      <c r="B3135" s="36">
        <f t="shared" si="422"/>
        <v>7</v>
      </c>
      <c r="C3135" s="190">
        <f t="shared" si="428"/>
        <v>42581</v>
      </c>
      <c r="D3135" s="856" t="s">
        <v>1662</v>
      </c>
      <c r="E3135" s="906">
        <v>42581</v>
      </c>
      <c r="F3135" s="49" t="s">
        <v>864</v>
      </c>
      <c r="G3135" s="831" t="s">
        <v>1470</v>
      </c>
      <c r="H3135" s="859" t="s">
        <v>1310</v>
      </c>
      <c r="I3135" s="251">
        <v>15</v>
      </c>
      <c r="J3135" s="251">
        <v>113827</v>
      </c>
      <c r="K3135" s="860">
        <f t="shared" si="425"/>
        <v>1707405</v>
      </c>
      <c r="L3135" s="861" t="s">
        <v>162</v>
      </c>
      <c r="M3135" s="861" t="s">
        <v>857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52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>x</v>
      </c>
      <c r="AA3135" s="826"/>
    </row>
    <row r="3136" spans="1:27" ht="15.75" customHeight="1">
      <c r="A3136" s="827" t="str">
        <f>IF(B3136&lt;&gt;"",IF(AND(B3136&gt;=_TM1,B3136&lt;=_TM2,OR(TH!L3136="1111",TH!M3136="1111")),TH!D3136,""),"")</f>
        <v/>
      </c>
      <c r="B3136" s="36">
        <f t="shared" si="422"/>
        <v>7</v>
      </c>
      <c r="C3136" s="190">
        <f t="shared" si="428"/>
        <v>42581</v>
      </c>
      <c r="D3136" s="856" t="s">
        <v>1662</v>
      </c>
      <c r="E3136" s="906">
        <v>42581</v>
      </c>
      <c r="F3136" s="908" t="s">
        <v>451</v>
      </c>
      <c r="G3136" s="831" t="s">
        <v>1470</v>
      </c>
      <c r="H3136" s="859" t="s">
        <v>1310</v>
      </c>
      <c r="I3136" s="251">
        <v>150</v>
      </c>
      <c r="J3136" s="251">
        <v>10500</v>
      </c>
      <c r="K3136" s="860">
        <f t="shared" si="425"/>
        <v>1575000</v>
      </c>
      <c r="L3136" s="861" t="s">
        <v>162</v>
      </c>
      <c r="M3136" s="861" t="s">
        <v>857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52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>x</v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>x</v>
      </c>
      <c r="AA3136" s="826"/>
    </row>
    <row r="3137" spans="1:27" ht="15.75" customHeight="1">
      <c r="A3137" s="827" t="str">
        <f>IF(B3137&lt;&gt;"",IF(AND(B3137&gt;=_TM1,B3137&lt;=_TM2,OR(TH!L3137="1111",TH!M3137="1111")),TH!D3137,""),"")</f>
        <v/>
      </c>
      <c r="B3137" s="36">
        <f t="shared" si="422"/>
        <v>7</v>
      </c>
      <c r="C3137" s="190">
        <f t="shared" si="428"/>
        <v>42581</v>
      </c>
      <c r="D3137" s="856" t="s">
        <v>1662</v>
      </c>
      <c r="E3137" s="906">
        <v>42581</v>
      </c>
      <c r="F3137" s="868" t="s">
        <v>451</v>
      </c>
      <c r="G3137" s="831" t="s">
        <v>1470</v>
      </c>
      <c r="H3137" s="859" t="s">
        <v>1310</v>
      </c>
      <c r="I3137" s="251">
        <v>1147</v>
      </c>
      <c r="J3137" s="251">
        <v>10500</v>
      </c>
      <c r="K3137" s="860">
        <f t="shared" si="425"/>
        <v>12043500</v>
      </c>
      <c r="L3137" s="861" t="s">
        <v>162</v>
      </c>
      <c r="M3137" s="861" t="s">
        <v>857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52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>x</v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>x</v>
      </c>
      <c r="AA3137" s="826"/>
    </row>
    <row r="3138" spans="1:27" ht="15.75" customHeight="1">
      <c r="A3138" s="827" t="str">
        <f>IF(B3138&lt;&gt;"",IF(AND(B3138&gt;=_TM1,B3138&lt;=_TM2,OR(TH!L3138="1111",TH!M3138="1111")),TH!D3138,""),"")</f>
        <v/>
      </c>
      <c r="B3138" s="36">
        <f t="shared" si="422"/>
        <v>7</v>
      </c>
      <c r="C3138" s="190">
        <f t="shared" si="428"/>
        <v>42581</v>
      </c>
      <c r="D3138" s="856" t="s">
        <v>1662</v>
      </c>
      <c r="E3138" s="906">
        <v>42581</v>
      </c>
      <c r="F3138" s="49" t="s">
        <v>490</v>
      </c>
      <c r="G3138" s="831" t="s">
        <v>1470</v>
      </c>
      <c r="H3138" s="859" t="s">
        <v>1310</v>
      </c>
      <c r="I3138" s="251">
        <v>4</v>
      </c>
      <c r="J3138" s="251">
        <v>156966</v>
      </c>
      <c r="K3138" s="860">
        <f t="shared" si="425"/>
        <v>627864</v>
      </c>
      <c r="L3138" s="861" t="s">
        <v>162</v>
      </c>
      <c r="M3138" s="861" t="s">
        <v>857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52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>x</v>
      </c>
      <c r="AA3138" s="826"/>
    </row>
    <row r="3139" spans="1:27" ht="15.75" customHeight="1">
      <c r="A3139" s="827" t="str">
        <f>IF(B3139&lt;&gt;"",IF(AND(B3139&gt;=_TM1,B3139&lt;=_TM2,OR(TH!L3139="1111",TH!M3139="1111")),TH!D3139,""),"")</f>
        <v/>
      </c>
      <c r="B3139" s="36">
        <f t="shared" si="422"/>
        <v>7</v>
      </c>
      <c r="C3139" s="190">
        <f t="shared" si="428"/>
        <v>42581</v>
      </c>
      <c r="D3139" s="856" t="s">
        <v>1662</v>
      </c>
      <c r="E3139" s="906">
        <v>42581</v>
      </c>
      <c r="F3139" s="868" t="s">
        <v>817</v>
      </c>
      <c r="G3139" s="831" t="s">
        <v>1470</v>
      </c>
      <c r="H3139" s="859" t="s">
        <v>1310</v>
      </c>
      <c r="I3139" s="251">
        <v>4</v>
      </c>
      <c r="J3139" s="251">
        <v>144547</v>
      </c>
      <c r="K3139" s="860">
        <f t="shared" si="425"/>
        <v>578188</v>
      </c>
      <c r="L3139" s="861" t="s">
        <v>162</v>
      </c>
      <c r="M3139" s="861" t="s">
        <v>857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52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>x</v>
      </c>
      <c r="AA3139" s="826"/>
    </row>
    <row r="3140" spans="1:27" ht="15.75" customHeight="1">
      <c r="A3140" s="827" t="str">
        <f>IF(B3140&lt;&gt;"",IF(AND(B3140&gt;=_TM1,B3140&lt;=_TM2,OR(TH!L3140="1111",TH!M3140="1111")),TH!D3140,""),"")</f>
        <v/>
      </c>
      <c r="B3140" s="36">
        <f t="shared" si="422"/>
        <v>7</v>
      </c>
      <c r="C3140" s="190">
        <f t="shared" si="428"/>
        <v>42581</v>
      </c>
      <c r="D3140" s="856" t="s">
        <v>1662</v>
      </c>
      <c r="E3140" s="906">
        <v>42581</v>
      </c>
      <c r="F3140" s="49" t="s">
        <v>823</v>
      </c>
      <c r="G3140" s="831" t="s">
        <v>1470</v>
      </c>
      <c r="H3140" s="859" t="s">
        <v>1310</v>
      </c>
      <c r="I3140" s="251">
        <v>2</v>
      </c>
      <c r="J3140" s="251">
        <v>186785.2</v>
      </c>
      <c r="K3140" s="860">
        <f t="shared" si="425"/>
        <v>373570</v>
      </c>
      <c r="L3140" s="861" t="s">
        <v>162</v>
      </c>
      <c r="M3140" s="861" t="s">
        <v>857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52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>x</v>
      </c>
      <c r="AA3140" s="826"/>
    </row>
    <row r="3141" spans="1:27" ht="15.75" customHeight="1">
      <c r="A3141" s="827" t="str">
        <f>IF(B3141&lt;&gt;"",IF(AND(B3141&gt;=_TM1,B3141&lt;=_TM2,OR(TH!L3141="1111",TH!M3141="1111")),TH!D3141,""),"")</f>
        <v/>
      </c>
      <c r="B3141" s="36">
        <f t="shared" si="422"/>
        <v>7</v>
      </c>
      <c r="C3141" s="190">
        <f t="shared" si="428"/>
        <v>42581</v>
      </c>
      <c r="D3141" s="856" t="s">
        <v>1662</v>
      </c>
      <c r="E3141" s="906">
        <v>42581</v>
      </c>
      <c r="F3141" s="868" t="s">
        <v>869</v>
      </c>
      <c r="G3141" s="831" t="s">
        <v>1470</v>
      </c>
      <c r="H3141" s="859" t="s">
        <v>1310</v>
      </c>
      <c r="I3141" s="251">
        <v>16</v>
      </c>
      <c r="J3141" s="251">
        <v>18619</v>
      </c>
      <c r="K3141" s="860">
        <f t="shared" ref="K3141:K3394" si="429">ROUND(I3141*J3141,0)</f>
        <v>297904</v>
      </c>
      <c r="L3141" s="861" t="s">
        <v>162</v>
      </c>
      <c r="M3141" s="861" t="s">
        <v>857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52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>x</v>
      </c>
      <c r="AA3141" s="826"/>
    </row>
    <row r="3142" spans="1:27" ht="15.75" customHeight="1">
      <c r="A3142" s="827" t="str">
        <f>IF(B3142&lt;&gt;"",IF(AND(B3142&gt;=_TM1,B3142&lt;=_TM2,OR(TH!L3142="1111",TH!M3142="1111")),TH!D3142,""),"")</f>
        <v/>
      </c>
      <c r="B3142" s="36">
        <f t="shared" si="422"/>
        <v>7</v>
      </c>
      <c r="C3142" s="190">
        <f t="shared" si="428"/>
        <v>42581</v>
      </c>
      <c r="D3142" s="856" t="s">
        <v>1662</v>
      </c>
      <c r="E3142" s="906">
        <v>42581</v>
      </c>
      <c r="F3142" s="49" t="s">
        <v>468</v>
      </c>
      <c r="G3142" s="831" t="s">
        <v>1470</v>
      </c>
      <c r="H3142" s="859" t="s">
        <v>1310</v>
      </c>
      <c r="I3142" s="251">
        <v>6</v>
      </c>
      <c r="J3142" s="251">
        <v>73907</v>
      </c>
      <c r="K3142" s="860">
        <f t="shared" si="429"/>
        <v>443442</v>
      </c>
      <c r="L3142" s="861" t="s">
        <v>162</v>
      </c>
      <c r="M3142" s="861" t="s">
        <v>857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52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>x</v>
      </c>
      <c r="AA3142" s="826"/>
    </row>
    <row r="3143" spans="1:27" ht="15.75" customHeight="1">
      <c r="A3143" s="827" t="str">
        <f>IF(B3143&lt;&gt;"",IF(AND(B3143&gt;=_TM1,B3143&lt;=_TM2,OR(TH!L3143="1111",TH!M3143="1111")),TH!D3143,""),"")</f>
        <v/>
      </c>
      <c r="B3143" s="36">
        <f t="shared" si="422"/>
        <v>7</v>
      </c>
      <c r="C3143" s="190">
        <f t="shared" si="428"/>
        <v>42581</v>
      </c>
      <c r="D3143" s="856" t="s">
        <v>1662</v>
      </c>
      <c r="E3143" s="906">
        <v>42581</v>
      </c>
      <c r="F3143" s="868" t="s">
        <v>705</v>
      </c>
      <c r="G3143" s="831" t="s">
        <v>1470</v>
      </c>
      <c r="H3143" s="859" t="s">
        <v>1310</v>
      </c>
      <c r="I3143" s="251">
        <v>6</v>
      </c>
      <c r="J3143" s="251">
        <v>38417</v>
      </c>
      <c r="K3143" s="860">
        <f t="shared" si="429"/>
        <v>230502</v>
      </c>
      <c r="L3143" s="861" t="s">
        <v>162</v>
      </c>
      <c r="M3143" s="861" t="s">
        <v>857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52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>x</v>
      </c>
      <c r="AA3143" s="826"/>
    </row>
    <row r="3144" spans="1:27" ht="15.75" customHeight="1">
      <c r="A3144" s="827" t="str">
        <f>IF(B3144&lt;&gt;"",IF(AND(B3144&gt;=_TM1,B3144&lt;=_TM2,OR(TH!L3144="1111",TH!M3144="1111")),TH!D3144,""),"")</f>
        <v/>
      </c>
      <c r="B3144" s="36">
        <f t="shared" ref="B3144:B3466" si="430">IF(C3144&lt;&gt;"",MONTH(C3144),"")</f>
        <v>7</v>
      </c>
      <c r="C3144" s="190">
        <f t="shared" si="428"/>
        <v>42581</v>
      </c>
      <c r="D3144" s="856" t="s">
        <v>1662</v>
      </c>
      <c r="E3144" s="906">
        <v>42581</v>
      </c>
      <c r="F3144" s="49" t="s">
        <v>511</v>
      </c>
      <c r="G3144" s="831" t="s">
        <v>1470</v>
      </c>
      <c r="H3144" s="859" t="s">
        <v>1310</v>
      </c>
      <c r="I3144" s="251">
        <v>8</v>
      </c>
      <c r="J3144" s="251">
        <v>32127</v>
      </c>
      <c r="K3144" s="860">
        <f t="shared" si="429"/>
        <v>257016</v>
      </c>
      <c r="L3144" s="861" t="s">
        <v>162</v>
      </c>
      <c r="M3144" s="861" t="s">
        <v>857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52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>x</v>
      </c>
      <c r="AA3144" s="826"/>
    </row>
    <row r="3145" spans="1:27" ht="15.75" customHeight="1">
      <c r="A3145" s="827" t="str">
        <f>IF(B3145&lt;&gt;"",IF(AND(B3145&gt;=_TM1,B3145&lt;=_TM2,OR(TH!L3145="1111",TH!M3145="1111")),TH!D3145,""),"")</f>
        <v/>
      </c>
      <c r="B3145" s="36">
        <f t="shared" si="430"/>
        <v>7</v>
      </c>
      <c r="C3145" s="190">
        <f t="shared" si="428"/>
        <v>42581</v>
      </c>
      <c r="D3145" s="856" t="s">
        <v>1662</v>
      </c>
      <c r="E3145" s="906">
        <v>42581</v>
      </c>
      <c r="F3145" s="49" t="s">
        <v>469</v>
      </c>
      <c r="G3145" s="831" t="s">
        <v>1470</v>
      </c>
      <c r="H3145" s="859" t="s">
        <v>1310</v>
      </c>
      <c r="I3145" s="251">
        <v>5</v>
      </c>
      <c r="J3145" s="251">
        <v>59912</v>
      </c>
      <c r="K3145" s="860">
        <f t="shared" si="429"/>
        <v>299560</v>
      </c>
      <c r="L3145" s="861" t="s">
        <v>162</v>
      </c>
      <c r="M3145" s="861" t="s">
        <v>857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52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>x</v>
      </c>
      <c r="AA3145" s="826"/>
    </row>
    <row r="3146" spans="1:27" ht="15.75" customHeight="1">
      <c r="A3146" s="827" t="str">
        <f>IF(B3146&lt;&gt;"",IF(AND(B3146&gt;=_TM1,B3146&lt;=_TM2,OR(TH!L3146="1111",TH!M3146="1111")),TH!D3146,""),"")</f>
        <v/>
      </c>
      <c r="B3146" s="36">
        <f t="shared" si="430"/>
        <v>7</v>
      </c>
      <c r="C3146" s="190">
        <f t="shared" si="428"/>
        <v>42581</v>
      </c>
      <c r="D3146" s="856" t="s">
        <v>1662</v>
      </c>
      <c r="E3146" s="906">
        <v>42581</v>
      </c>
      <c r="F3146" s="868" t="s">
        <v>514</v>
      </c>
      <c r="G3146" s="831" t="s">
        <v>1470</v>
      </c>
      <c r="H3146" s="859" t="s">
        <v>1310</v>
      </c>
      <c r="I3146" s="251">
        <v>8</v>
      </c>
      <c r="J3146" s="251">
        <v>28620</v>
      </c>
      <c r="K3146" s="860">
        <f t="shared" si="429"/>
        <v>228960</v>
      </c>
      <c r="L3146" s="861" t="s">
        <v>162</v>
      </c>
      <c r="M3146" s="861" t="s">
        <v>857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52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>x</v>
      </c>
      <c r="AA3146" s="826"/>
    </row>
    <row r="3147" spans="1:27" ht="15.75" customHeight="1">
      <c r="A3147" s="827" t="str">
        <f>IF(B3147&lt;&gt;"",IF(AND(B3147&gt;=_TM1,B3147&lt;=_TM2,OR(TH!L3147="1111",TH!M3147="1111")),TH!D3147,""),"")</f>
        <v/>
      </c>
      <c r="B3147" s="36">
        <f t="shared" si="430"/>
        <v>7</v>
      </c>
      <c r="C3147" s="190">
        <f t="shared" si="428"/>
        <v>42581</v>
      </c>
      <c r="D3147" s="856" t="s">
        <v>1662</v>
      </c>
      <c r="E3147" s="906">
        <v>42581</v>
      </c>
      <c r="F3147" s="49" t="s">
        <v>464</v>
      </c>
      <c r="G3147" s="831" t="s">
        <v>1470</v>
      </c>
      <c r="H3147" s="859" t="s">
        <v>1310</v>
      </c>
      <c r="I3147" s="251">
        <v>6</v>
      </c>
      <c r="J3147" s="251">
        <v>141180</v>
      </c>
      <c r="K3147" s="860">
        <f t="shared" si="429"/>
        <v>847080</v>
      </c>
      <c r="L3147" s="861" t="s">
        <v>162</v>
      </c>
      <c r="M3147" s="861" t="s">
        <v>857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52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>x</v>
      </c>
      <c r="AA3147" s="826"/>
    </row>
    <row r="3148" spans="1:27" ht="15.75" customHeight="1">
      <c r="A3148" s="827" t="str">
        <f>IF(B3148&lt;&gt;"",IF(AND(B3148&gt;=_TM1,B3148&lt;=_TM2,OR(TH!L3148="1111",TH!M3148="1111")),TH!D3148,""),"")</f>
        <v/>
      </c>
      <c r="B3148" s="36">
        <f t="shared" si="430"/>
        <v>7</v>
      </c>
      <c r="C3148" s="190">
        <f t="shared" si="428"/>
        <v>42581</v>
      </c>
      <c r="D3148" s="856" t="s">
        <v>1662</v>
      </c>
      <c r="E3148" s="906">
        <v>42581</v>
      </c>
      <c r="F3148" s="868" t="s">
        <v>485</v>
      </c>
      <c r="G3148" s="831" t="s">
        <v>1470</v>
      </c>
      <c r="H3148" s="859" t="s">
        <v>1310</v>
      </c>
      <c r="I3148" s="251">
        <v>6</v>
      </c>
      <c r="J3148" s="251">
        <v>43255.333333333336</v>
      </c>
      <c r="K3148" s="860">
        <f t="shared" si="429"/>
        <v>259532</v>
      </c>
      <c r="L3148" s="861" t="s">
        <v>162</v>
      </c>
      <c r="M3148" s="861" t="s">
        <v>857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52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>x</v>
      </c>
      <c r="AA3148" s="826"/>
    </row>
    <row r="3149" spans="1:27" ht="15.75" customHeight="1">
      <c r="A3149" s="827" t="str">
        <f>IF(B3149&lt;&gt;"",IF(AND(B3149&gt;=_TM1,B3149&lt;=_TM2,OR(TH!L3149="1111",TH!M3149="1111")),TH!D3149,""),"")</f>
        <v/>
      </c>
      <c r="B3149" s="36">
        <f t="shared" si="430"/>
        <v>7</v>
      </c>
      <c r="C3149" s="190">
        <f t="shared" si="428"/>
        <v>42581</v>
      </c>
      <c r="D3149" s="856" t="s">
        <v>1662</v>
      </c>
      <c r="E3149" s="906">
        <v>42581</v>
      </c>
      <c r="F3149" s="49" t="s">
        <v>720</v>
      </c>
      <c r="G3149" s="831" t="s">
        <v>1470</v>
      </c>
      <c r="H3149" s="859" t="s">
        <v>1310</v>
      </c>
      <c r="I3149" s="251">
        <v>6</v>
      </c>
      <c r="J3149" s="251">
        <v>81285</v>
      </c>
      <c r="K3149" s="860">
        <f t="shared" si="429"/>
        <v>487710</v>
      </c>
      <c r="L3149" s="861" t="s">
        <v>162</v>
      </c>
      <c r="M3149" s="861" t="s">
        <v>857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52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>x</v>
      </c>
      <c r="AA3149" s="826"/>
    </row>
    <row r="3150" spans="1:27" ht="15.75" customHeight="1">
      <c r="A3150" s="827" t="str">
        <f>IF(B3150&lt;&gt;"",IF(AND(B3150&gt;=_TM1,B3150&lt;=_TM2,OR(TH!L3150="1111",TH!M3150="1111")),TH!D3150,""),"")</f>
        <v/>
      </c>
      <c r="B3150" s="36">
        <f t="shared" si="430"/>
        <v>7</v>
      </c>
      <c r="C3150" s="190">
        <f t="shared" si="428"/>
        <v>42581</v>
      </c>
      <c r="D3150" s="856" t="s">
        <v>1662</v>
      </c>
      <c r="E3150" s="906">
        <v>42581</v>
      </c>
      <c r="F3150" s="49" t="s">
        <v>870</v>
      </c>
      <c r="G3150" s="831" t="s">
        <v>1470</v>
      </c>
      <c r="H3150" s="859" t="s">
        <v>1310</v>
      </c>
      <c r="I3150" s="251">
        <v>5</v>
      </c>
      <c r="J3150" s="251">
        <v>85339</v>
      </c>
      <c r="K3150" s="860">
        <f t="shared" si="429"/>
        <v>426695</v>
      </c>
      <c r="L3150" s="861" t="s">
        <v>162</v>
      </c>
      <c r="M3150" s="861" t="s">
        <v>857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52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>x</v>
      </c>
      <c r="AA3150" s="826"/>
    </row>
    <row r="3151" spans="1:27" ht="15.75" customHeight="1">
      <c r="A3151" s="827" t="str">
        <f>IF(B3151&lt;&gt;"",IF(AND(B3151&gt;=_TM1,B3151&lt;=_TM2,OR(TH!L3151="1111",TH!M3151="1111")),TH!D3151,""),"")</f>
        <v/>
      </c>
      <c r="B3151" s="36">
        <f t="shared" si="430"/>
        <v>7</v>
      </c>
      <c r="C3151" s="190">
        <f t="shared" si="428"/>
        <v>42581</v>
      </c>
      <c r="D3151" s="856" t="s">
        <v>1662</v>
      </c>
      <c r="E3151" s="906">
        <v>42581</v>
      </c>
      <c r="F3151" s="868" t="s">
        <v>817</v>
      </c>
      <c r="G3151" s="831" t="s">
        <v>1470</v>
      </c>
      <c r="H3151" s="859" t="s">
        <v>1310</v>
      </c>
      <c r="I3151" s="251">
        <v>8</v>
      </c>
      <c r="J3151" s="251">
        <v>173960</v>
      </c>
      <c r="K3151" s="860">
        <f t="shared" si="429"/>
        <v>1391680</v>
      </c>
      <c r="L3151" s="861" t="s">
        <v>162</v>
      </c>
      <c r="M3151" s="861" t="s">
        <v>857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52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>x</v>
      </c>
      <c r="AA3151" s="826"/>
    </row>
    <row r="3152" spans="1:27" ht="15.75" customHeight="1">
      <c r="A3152" s="827" t="str">
        <f>IF(B3152&lt;&gt;"",IF(AND(B3152&gt;=_TM1,B3152&lt;=_TM2,OR(TH!L3152="1111",TH!M3152="1111")),TH!D3152,""),"")</f>
        <v/>
      </c>
      <c r="B3152" s="36">
        <f t="shared" si="430"/>
        <v>7</v>
      </c>
      <c r="C3152" s="190">
        <f t="shared" si="428"/>
        <v>42581</v>
      </c>
      <c r="D3152" s="856" t="s">
        <v>1662</v>
      </c>
      <c r="E3152" s="906">
        <v>42581</v>
      </c>
      <c r="F3152" s="49" t="s">
        <v>817</v>
      </c>
      <c r="G3152" s="831" t="s">
        <v>1470</v>
      </c>
      <c r="H3152" s="859" t="s">
        <v>1310</v>
      </c>
      <c r="I3152" s="251">
        <v>10</v>
      </c>
      <c r="J3152" s="251">
        <v>144547</v>
      </c>
      <c r="K3152" s="860">
        <f t="shared" si="429"/>
        <v>1445470</v>
      </c>
      <c r="L3152" s="861" t="s">
        <v>162</v>
      </c>
      <c r="M3152" s="861" t="s">
        <v>857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52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>x</v>
      </c>
      <c r="AA3152" s="826"/>
    </row>
    <row r="3153" spans="1:27" ht="15.75" customHeight="1">
      <c r="A3153" s="827" t="str">
        <f>IF(B3153&lt;&gt;"",IF(AND(B3153&gt;=_TM1,B3153&lt;=_TM2,OR(TH!L3153="1111",TH!M3153="1111")),TH!D3153,""),"")</f>
        <v/>
      </c>
      <c r="B3153" s="36">
        <f t="shared" si="430"/>
        <v>7</v>
      </c>
      <c r="C3153" s="190">
        <f t="shared" si="428"/>
        <v>42581</v>
      </c>
      <c r="D3153" s="856" t="s">
        <v>1662</v>
      </c>
      <c r="E3153" s="906">
        <v>42581</v>
      </c>
      <c r="F3153" s="868" t="s">
        <v>490</v>
      </c>
      <c r="G3153" s="831" t="s">
        <v>1470</v>
      </c>
      <c r="H3153" s="859" t="s">
        <v>1310</v>
      </c>
      <c r="I3153" s="251">
        <v>4</v>
      </c>
      <c r="J3153" s="251">
        <v>156966</v>
      </c>
      <c r="K3153" s="860">
        <f t="shared" si="429"/>
        <v>627864</v>
      </c>
      <c r="L3153" s="861" t="s">
        <v>162</v>
      </c>
      <c r="M3153" s="861" t="s">
        <v>857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52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>x</v>
      </c>
      <c r="AA3153" s="826"/>
    </row>
    <row r="3154" spans="1:27" ht="15.75" customHeight="1">
      <c r="A3154" s="827" t="str">
        <f>IF(B3154&lt;&gt;"",IF(AND(B3154&gt;=_TM1,B3154&lt;=_TM2,OR(TH!L3154="1111",TH!M3154="1111")),TH!D3154,""),"")</f>
        <v/>
      </c>
      <c r="B3154" s="36">
        <f t="shared" si="430"/>
        <v>7</v>
      </c>
      <c r="C3154" s="190">
        <f t="shared" si="428"/>
        <v>42581</v>
      </c>
      <c r="D3154" s="856" t="s">
        <v>1662</v>
      </c>
      <c r="E3154" s="906">
        <v>42581</v>
      </c>
      <c r="F3154" s="49" t="s">
        <v>515</v>
      </c>
      <c r="G3154" s="831" t="s">
        <v>1470</v>
      </c>
      <c r="H3154" s="859" t="s">
        <v>1310</v>
      </c>
      <c r="I3154" s="251">
        <v>4</v>
      </c>
      <c r="J3154" s="251">
        <v>82500</v>
      </c>
      <c r="K3154" s="860">
        <f t="shared" si="429"/>
        <v>330000</v>
      </c>
      <c r="L3154" s="861" t="s">
        <v>162</v>
      </c>
      <c r="M3154" s="861" t="s">
        <v>857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52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>x</v>
      </c>
      <c r="AA3154" s="826"/>
    </row>
    <row r="3155" spans="1:27" ht="15.75" customHeight="1">
      <c r="A3155" s="827" t="str">
        <f>IF(B3155&lt;&gt;"",IF(AND(B3155&gt;=_TM1,B3155&lt;=_TM2,OR(TH!L3155="1111",TH!M3155="1111")),TH!D3155,""),"")</f>
        <v/>
      </c>
      <c r="B3155" s="36">
        <f t="shared" si="430"/>
        <v>7</v>
      </c>
      <c r="C3155" s="190">
        <f t="shared" si="428"/>
        <v>42581</v>
      </c>
      <c r="D3155" s="856" t="s">
        <v>1662</v>
      </c>
      <c r="E3155" s="906">
        <v>42581</v>
      </c>
      <c r="F3155" s="49" t="s">
        <v>877</v>
      </c>
      <c r="G3155" s="831" t="s">
        <v>1470</v>
      </c>
      <c r="H3155" s="859" t="s">
        <v>1310</v>
      </c>
      <c r="I3155" s="251">
        <v>6</v>
      </c>
      <c r="J3155" s="251">
        <v>214079</v>
      </c>
      <c r="K3155" s="860">
        <f t="shared" si="429"/>
        <v>1284474</v>
      </c>
      <c r="L3155" s="861" t="s">
        <v>162</v>
      </c>
      <c r="M3155" s="861" t="s">
        <v>857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52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>x</v>
      </c>
      <c r="AA3155" s="826"/>
    </row>
    <row r="3156" spans="1:27" ht="15.75" customHeight="1">
      <c r="A3156" s="827" t="str">
        <f>IF(B3156&lt;&gt;"",IF(AND(B3156&gt;=_TM1,B3156&lt;=_TM2,OR(TH!L3156="1111",TH!M3156="1111")),TH!D3156,""),"")</f>
        <v/>
      </c>
      <c r="B3156" s="36">
        <f t="shared" si="430"/>
        <v>7</v>
      </c>
      <c r="C3156" s="190">
        <f t="shared" si="428"/>
        <v>42581</v>
      </c>
      <c r="D3156" s="856" t="s">
        <v>1662</v>
      </c>
      <c r="E3156" s="906">
        <v>42581</v>
      </c>
      <c r="F3156" s="868" t="s">
        <v>879</v>
      </c>
      <c r="G3156" s="831" t="s">
        <v>1470</v>
      </c>
      <c r="H3156" s="859" t="s">
        <v>1310</v>
      </c>
      <c r="I3156" s="251">
        <v>5</v>
      </c>
      <c r="J3156" s="251">
        <v>93593</v>
      </c>
      <c r="K3156" s="860">
        <f t="shared" si="429"/>
        <v>467965</v>
      </c>
      <c r="L3156" s="861" t="s">
        <v>162</v>
      </c>
      <c r="M3156" s="861" t="s">
        <v>857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52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>x</v>
      </c>
      <c r="AA3156" s="826"/>
    </row>
    <row r="3157" spans="1:27" ht="15.75" customHeight="1">
      <c r="A3157" s="827" t="str">
        <f>IF(B3157&lt;&gt;"",IF(AND(B3157&gt;=_TM1,B3157&lt;=_TM2,OR(TH!L3157="1111",TH!M3157="1111")),TH!D3157,""),"")</f>
        <v/>
      </c>
      <c r="B3157" s="36">
        <f t="shared" si="430"/>
        <v>7</v>
      </c>
      <c r="C3157" s="190">
        <f t="shared" si="428"/>
        <v>42581</v>
      </c>
      <c r="D3157" s="856" t="s">
        <v>1662</v>
      </c>
      <c r="E3157" s="906">
        <v>42581</v>
      </c>
      <c r="F3157" s="49" t="s">
        <v>881</v>
      </c>
      <c r="G3157" s="831" t="s">
        <v>1470</v>
      </c>
      <c r="H3157" s="859" t="s">
        <v>1310</v>
      </c>
      <c r="I3157" s="251">
        <v>5</v>
      </c>
      <c r="J3157" s="251">
        <v>157889</v>
      </c>
      <c r="K3157" s="860">
        <f t="shared" si="429"/>
        <v>789445</v>
      </c>
      <c r="L3157" s="861" t="s">
        <v>162</v>
      </c>
      <c r="M3157" s="861" t="s">
        <v>857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52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>x</v>
      </c>
      <c r="AA3157" s="826"/>
    </row>
    <row r="3158" spans="1:27" ht="15.75" customHeight="1">
      <c r="A3158" s="827" t="str">
        <f>IF(B3158&lt;&gt;"",IF(AND(B3158&gt;=_TM1,B3158&lt;=_TM2,OR(TH!L3158="1111",TH!M3158="1111")),TH!D3158,""),"")</f>
        <v/>
      </c>
      <c r="B3158" s="36">
        <f t="shared" si="430"/>
        <v>7</v>
      </c>
      <c r="C3158" s="190">
        <f t="shared" si="428"/>
        <v>42581</v>
      </c>
      <c r="D3158" s="856" t="s">
        <v>1662</v>
      </c>
      <c r="E3158" s="906">
        <v>42581</v>
      </c>
      <c r="F3158" s="868" t="s">
        <v>515</v>
      </c>
      <c r="G3158" s="831" t="s">
        <v>1470</v>
      </c>
      <c r="H3158" s="859" t="s">
        <v>1310</v>
      </c>
      <c r="I3158" s="251">
        <v>5</v>
      </c>
      <c r="J3158" s="251">
        <v>82500</v>
      </c>
      <c r="K3158" s="860">
        <f t="shared" si="429"/>
        <v>412500</v>
      </c>
      <c r="L3158" s="861" t="s">
        <v>162</v>
      </c>
      <c r="M3158" s="861" t="s">
        <v>857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52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>x</v>
      </c>
      <c r="AA3158" s="826"/>
    </row>
    <row r="3159" spans="1:27" ht="15.75" customHeight="1">
      <c r="A3159" s="827" t="str">
        <f>IF(B3159&lt;&gt;"",IF(AND(B3159&gt;=_TM1,B3159&lt;=_TM2,OR(TH!L3159="1111",TH!M3159="1111")),TH!D3159,""),"")</f>
        <v/>
      </c>
      <c r="B3159" s="36">
        <f t="shared" si="430"/>
        <v>7</v>
      </c>
      <c r="C3159" s="190">
        <f t="shared" si="428"/>
        <v>42581</v>
      </c>
      <c r="D3159" s="856" t="s">
        <v>1662</v>
      </c>
      <c r="E3159" s="906">
        <v>42581</v>
      </c>
      <c r="F3159" s="49" t="s">
        <v>860</v>
      </c>
      <c r="G3159" s="831" t="s">
        <v>1470</v>
      </c>
      <c r="H3159" s="859" t="s">
        <v>1310</v>
      </c>
      <c r="I3159" s="251">
        <v>100</v>
      </c>
      <c r="J3159" s="251">
        <v>13292</v>
      </c>
      <c r="K3159" s="860">
        <f t="shared" si="429"/>
        <v>1329200</v>
      </c>
      <c r="L3159" s="861" t="s">
        <v>162</v>
      </c>
      <c r="M3159" s="861" t="s">
        <v>857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52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>x</v>
      </c>
      <c r="AA3159" s="826"/>
    </row>
    <row r="3160" spans="1:27" ht="15.75" customHeight="1">
      <c r="A3160" s="827" t="str">
        <f>IF(B3160&lt;&gt;"",IF(AND(B3160&gt;=_TM1,B3160&lt;=_TM2,OR(TH!L3160="1111",TH!M3160="1111")),TH!D3160,""),"")</f>
        <v/>
      </c>
      <c r="B3160" s="36">
        <f t="shared" si="430"/>
        <v>7</v>
      </c>
      <c r="C3160" s="190">
        <f t="shared" si="428"/>
        <v>42581</v>
      </c>
      <c r="D3160" s="856" t="s">
        <v>1662</v>
      </c>
      <c r="E3160" s="906">
        <v>42581</v>
      </c>
      <c r="F3160" s="49" t="s">
        <v>861</v>
      </c>
      <c r="G3160" s="831" t="s">
        <v>1470</v>
      </c>
      <c r="H3160" s="859" t="s">
        <v>1310</v>
      </c>
      <c r="I3160" s="251">
        <v>100</v>
      </c>
      <c r="J3160" s="251">
        <v>8120</v>
      </c>
      <c r="K3160" s="860">
        <f t="shared" si="429"/>
        <v>812000</v>
      </c>
      <c r="L3160" s="861" t="s">
        <v>162</v>
      </c>
      <c r="M3160" s="861" t="s">
        <v>857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52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>x</v>
      </c>
      <c r="AA3160" s="826"/>
    </row>
    <row r="3161" spans="1:27" ht="15.75" customHeight="1">
      <c r="A3161" s="827" t="str">
        <f>IF(B3161&lt;&gt;"",IF(AND(B3161&gt;=_TM1,B3161&lt;=_TM2,OR(TH!L3161="1111",TH!M3161="1111")),TH!D3161,""),"")</f>
        <v/>
      </c>
      <c r="B3161" s="36">
        <f t="shared" si="430"/>
        <v>7</v>
      </c>
      <c r="C3161" s="190">
        <f t="shared" si="428"/>
        <v>42581</v>
      </c>
      <c r="D3161" s="856" t="s">
        <v>1662</v>
      </c>
      <c r="E3161" s="906">
        <v>42581</v>
      </c>
      <c r="F3161" s="49" t="s">
        <v>862</v>
      </c>
      <c r="G3161" s="831" t="s">
        <v>1470</v>
      </c>
      <c r="H3161" s="859" t="s">
        <v>1310</v>
      </c>
      <c r="I3161" s="251">
        <v>100</v>
      </c>
      <c r="J3161" s="251">
        <v>9439</v>
      </c>
      <c r="K3161" s="860">
        <f t="shared" si="429"/>
        <v>943900</v>
      </c>
      <c r="L3161" s="861" t="s">
        <v>162</v>
      </c>
      <c r="M3161" s="861" t="s">
        <v>857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52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>x</v>
      </c>
      <c r="AA3161" s="826"/>
    </row>
    <row r="3162" spans="1:27" ht="15.75" customHeight="1">
      <c r="A3162" s="827" t="str">
        <f>IF(B3162&lt;&gt;"",IF(AND(B3162&gt;=_TM1,B3162&lt;=_TM2,OR(TH!L3162="1111",TH!M3162="1111")),TH!D3162,""),"")</f>
        <v/>
      </c>
      <c r="B3162" s="36">
        <f t="shared" si="430"/>
        <v>7</v>
      </c>
      <c r="C3162" s="190">
        <f t="shared" si="428"/>
        <v>42581</v>
      </c>
      <c r="D3162" s="856" t="s">
        <v>1662</v>
      </c>
      <c r="E3162" s="906">
        <v>42581</v>
      </c>
      <c r="F3162" s="868" t="s">
        <v>493</v>
      </c>
      <c r="G3162" s="831" t="s">
        <v>1470</v>
      </c>
      <c r="H3162" s="859" t="s">
        <v>1310</v>
      </c>
      <c r="I3162" s="251">
        <v>14</v>
      </c>
      <c r="J3162" s="251">
        <v>53674</v>
      </c>
      <c r="K3162" s="860">
        <f t="shared" si="429"/>
        <v>751436</v>
      </c>
      <c r="L3162" s="861" t="s">
        <v>162</v>
      </c>
      <c r="M3162" s="861" t="s">
        <v>857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52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>x</v>
      </c>
      <c r="AA3162" s="826"/>
    </row>
    <row r="3163" spans="1:27" ht="15.75" customHeight="1">
      <c r="A3163" s="827" t="str">
        <f>IF(B3163&lt;&gt;"",IF(AND(B3163&gt;=_TM1,B3163&lt;=_TM2,OR(TH!L3163="1111",TH!M3163="1111")),TH!D3163,""),"")</f>
        <v/>
      </c>
      <c r="B3163" s="36">
        <f t="shared" si="430"/>
        <v>7</v>
      </c>
      <c r="C3163" s="190">
        <f t="shared" si="428"/>
        <v>42581</v>
      </c>
      <c r="D3163" s="856" t="s">
        <v>1662</v>
      </c>
      <c r="E3163" s="906">
        <v>42581</v>
      </c>
      <c r="F3163" s="49" t="s">
        <v>819</v>
      </c>
      <c r="G3163" s="831" t="s">
        <v>1470</v>
      </c>
      <c r="H3163" s="859" t="s">
        <v>1310</v>
      </c>
      <c r="I3163" s="251">
        <v>4</v>
      </c>
      <c r="J3163" s="251">
        <v>122700</v>
      </c>
      <c r="K3163" s="860">
        <f t="shared" si="429"/>
        <v>490800</v>
      </c>
      <c r="L3163" s="861" t="s">
        <v>162</v>
      </c>
      <c r="M3163" s="861" t="s">
        <v>857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52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>x</v>
      </c>
      <c r="AA3163" s="826"/>
    </row>
    <row r="3164" spans="1:27" ht="15.75" customHeight="1">
      <c r="A3164" s="827" t="str">
        <f>IF(B3164&lt;&gt;"",IF(AND(B3164&gt;=_TM1,B3164&lt;=_TM2,OR(TH!L3164="1111",TH!M3164="1111")),TH!D3164,""),"")</f>
        <v/>
      </c>
      <c r="B3164" s="36">
        <f t="shared" si="430"/>
        <v>7</v>
      </c>
      <c r="C3164" s="190">
        <f t="shared" si="428"/>
        <v>42581</v>
      </c>
      <c r="D3164" s="856" t="s">
        <v>1662</v>
      </c>
      <c r="E3164" s="906">
        <v>42581</v>
      </c>
      <c r="F3164" s="49" t="s">
        <v>880</v>
      </c>
      <c r="G3164" s="831" t="s">
        <v>1470</v>
      </c>
      <c r="H3164" s="859" t="s">
        <v>1310</v>
      </c>
      <c r="I3164" s="251">
        <v>10</v>
      </c>
      <c r="J3164" s="251">
        <v>138100</v>
      </c>
      <c r="K3164" s="860">
        <f t="shared" si="429"/>
        <v>1381000</v>
      </c>
      <c r="L3164" s="861" t="s">
        <v>162</v>
      </c>
      <c r="M3164" s="861" t="s">
        <v>857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52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>x</v>
      </c>
      <c r="AA3164" s="826"/>
    </row>
    <row r="3165" spans="1:27" ht="15.75" customHeight="1">
      <c r="A3165" s="827" t="str">
        <f>IF(B3165&lt;&gt;"",IF(AND(B3165&gt;=_TM1,B3165&lt;=_TM2,OR(TH!L3165="1111",TH!M3165="1111")),TH!D3165,""),"")</f>
        <v/>
      </c>
      <c r="B3165" s="36">
        <f t="shared" si="430"/>
        <v>7</v>
      </c>
      <c r="C3165" s="190">
        <f t="shared" si="428"/>
        <v>42581</v>
      </c>
      <c r="D3165" s="856" t="s">
        <v>1662</v>
      </c>
      <c r="E3165" s="906">
        <v>42581</v>
      </c>
      <c r="F3165" s="908" t="s">
        <v>884</v>
      </c>
      <c r="G3165" s="831" t="s">
        <v>1470</v>
      </c>
      <c r="H3165" s="859" t="s">
        <v>1310</v>
      </c>
      <c r="I3165" s="251">
        <v>7</v>
      </c>
      <c r="J3165" s="251">
        <v>61895</v>
      </c>
      <c r="K3165" s="860">
        <f t="shared" si="429"/>
        <v>433265</v>
      </c>
      <c r="L3165" s="861" t="s">
        <v>162</v>
      </c>
      <c r="M3165" s="861" t="s">
        <v>857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52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>x</v>
      </c>
      <c r="AA3165" s="826"/>
    </row>
    <row r="3166" spans="1:27" ht="15.75" customHeight="1">
      <c r="A3166" s="827" t="str">
        <f>IF(B3166&lt;&gt;"",IF(AND(B3166&gt;=_TM1,B3166&lt;=_TM2,OR(TH!L3166="1111",TH!M3166="1111")),TH!D3166,""),"")</f>
        <v/>
      </c>
      <c r="B3166" s="36">
        <f t="shared" si="430"/>
        <v>7</v>
      </c>
      <c r="C3166" s="190">
        <f t="shared" si="428"/>
        <v>42581</v>
      </c>
      <c r="D3166" s="856" t="s">
        <v>1662</v>
      </c>
      <c r="E3166" s="906">
        <v>42581</v>
      </c>
      <c r="F3166" s="868" t="s">
        <v>525</v>
      </c>
      <c r="G3166" s="831" t="s">
        <v>1470</v>
      </c>
      <c r="H3166" s="859" t="s">
        <v>1310</v>
      </c>
      <c r="I3166" s="251">
        <v>144</v>
      </c>
      <c r="J3166" s="251">
        <v>17462.514880952382</v>
      </c>
      <c r="K3166" s="860">
        <f t="shared" si="429"/>
        <v>2514602</v>
      </c>
      <c r="L3166" s="861" t="s">
        <v>162</v>
      </c>
      <c r="M3166" s="861" t="s">
        <v>857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52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>x</v>
      </c>
      <c r="AA3166" s="826"/>
    </row>
    <row r="3167" spans="1:27" ht="15.75" customHeight="1">
      <c r="A3167" s="827" t="str">
        <f>IF(B3167&lt;&gt;"",IF(AND(B3167&gt;=_TM1,B3167&lt;=_TM2,OR(TH!L3167="1111",TH!M3167="1111")),TH!D3167,""),"")</f>
        <v/>
      </c>
      <c r="B3167" s="36">
        <f t="shared" si="430"/>
        <v>7</v>
      </c>
      <c r="C3167" s="190">
        <f t="shared" si="428"/>
        <v>42581</v>
      </c>
      <c r="D3167" s="856" t="s">
        <v>1662</v>
      </c>
      <c r="E3167" s="906">
        <v>42581</v>
      </c>
      <c r="F3167" s="49" t="s">
        <v>808</v>
      </c>
      <c r="G3167" s="831" t="s">
        <v>1470</v>
      </c>
      <c r="H3167" s="859" t="s">
        <v>1310</v>
      </c>
      <c r="I3167" s="251">
        <v>72</v>
      </c>
      <c r="J3167" s="251">
        <v>11537.2</v>
      </c>
      <c r="K3167" s="860">
        <f t="shared" si="429"/>
        <v>830678</v>
      </c>
      <c r="L3167" s="861" t="s">
        <v>162</v>
      </c>
      <c r="M3167" s="861" t="s">
        <v>857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52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>x</v>
      </c>
      <c r="AA3167" s="826"/>
    </row>
    <row r="3168" spans="1:27" ht="15.75" customHeight="1">
      <c r="A3168" s="827" t="str">
        <f>IF(B3168&lt;&gt;"",IF(AND(B3168&gt;=_TM1,B3168&lt;=_TM2,OR(TH!L3168="1111",TH!M3168="1111")),TH!D3168,""),"")</f>
        <v/>
      </c>
      <c r="B3168" s="36">
        <f t="shared" si="430"/>
        <v>7</v>
      </c>
      <c r="C3168" s="190">
        <f t="shared" si="428"/>
        <v>42581</v>
      </c>
      <c r="D3168" s="856" t="s">
        <v>1662</v>
      </c>
      <c r="E3168" s="906">
        <v>42581</v>
      </c>
      <c r="F3168" s="868" t="s">
        <v>865</v>
      </c>
      <c r="G3168" s="831" t="s">
        <v>1470</v>
      </c>
      <c r="H3168" s="859" t="s">
        <v>1310</v>
      </c>
      <c r="I3168" s="251">
        <v>30</v>
      </c>
      <c r="J3168" s="251">
        <v>22136</v>
      </c>
      <c r="K3168" s="860">
        <f t="shared" si="429"/>
        <v>664080</v>
      </c>
      <c r="L3168" s="861" t="s">
        <v>162</v>
      </c>
      <c r="M3168" s="861" t="s">
        <v>857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52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>x</v>
      </c>
      <c r="AA3168" s="826"/>
    </row>
    <row r="3169" spans="1:27" ht="15.75" customHeight="1">
      <c r="A3169" s="827" t="str">
        <f>IF(B3169&lt;&gt;"",IF(AND(B3169&gt;=_TM1,B3169&lt;=_TM2,OR(TH!L3169="1111",TH!M3169="1111")),TH!D3169,""),"")</f>
        <v/>
      </c>
      <c r="B3169" s="36">
        <f t="shared" si="430"/>
        <v>7</v>
      </c>
      <c r="C3169" s="190">
        <f t="shared" si="428"/>
        <v>42581</v>
      </c>
      <c r="D3169" s="856" t="s">
        <v>1662</v>
      </c>
      <c r="E3169" s="906">
        <v>42581</v>
      </c>
      <c r="F3169" s="49" t="s">
        <v>700</v>
      </c>
      <c r="G3169" s="831" t="s">
        <v>1470</v>
      </c>
      <c r="H3169" s="859" t="s">
        <v>1310</v>
      </c>
      <c r="I3169" s="251">
        <v>30</v>
      </c>
      <c r="J3169" s="251">
        <v>19941</v>
      </c>
      <c r="K3169" s="860">
        <f t="shared" si="429"/>
        <v>598230</v>
      </c>
      <c r="L3169" s="861" t="s">
        <v>162</v>
      </c>
      <c r="M3169" s="861" t="s">
        <v>857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52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>x</v>
      </c>
      <c r="AA3169" s="826"/>
    </row>
    <row r="3170" spans="1:27" ht="15.75" customHeight="1">
      <c r="A3170" s="827" t="str">
        <f>IF(B3170&lt;&gt;"",IF(AND(B3170&gt;=_TM1,B3170&lt;=_TM2,OR(TH!L3170="1111",TH!M3170="1111")),TH!D3170,""),"")</f>
        <v/>
      </c>
      <c r="B3170" s="36">
        <f t="shared" si="430"/>
        <v>7</v>
      </c>
      <c r="C3170" s="190">
        <f t="shared" si="428"/>
        <v>42581</v>
      </c>
      <c r="D3170" s="856" t="s">
        <v>1662</v>
      </c>
      <c r="E3170" s="906">
        <v>42581</v>
      </c>
      <c r="F3170" s="868" t="s">
        <v>866</v>
      </c>
      <c r="G3170" s="831" t="s">
        <v>1470</v>
      </c>
      <c r="H3170" s="859" t="s">
        <v>1310</v>
      </c>
      <c r="I3170" s="251">
        <v>25</v>
      </c>
      <c r="J3170" s="251">
        <v>31397</v>
      </c>
      <c r="K3170" s="860">
        <f t="shared" si="429"/>
        <v>784925</v>
      </c>
      <c r="L3170" s="861" t="s">
        <v>162</v>
      </c>
      <c r="M3170" s="861" t="s">
        <v>857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52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>x</v>
      </c>
      <c r="AA3170" s="826"/>
    </row>
    <row r="3171" spans="1:27" ht="15.75" customHeight="1">
      <c r="A3171" s="827" t="str">
        <f>IF(B3171&lt;&gt;"",IF(AND(B3171&gt;=_TM1,B3171&lt;=_TM2,OR(TH!L3171="1111",TH!M3171="1111")),TH!D3171,""),"")</f>
        <v/>
      </c>
      <c r="B3171" s="36">
        <f t="shared" si="430"/>
        <v>7</v>
      </c>
      <c r="C3171" s="190">
        <f t="shared" si="428"/>
        <v>42581</v>
      </c>
      <c r="D3171" s="856" t="s">
        <v>1662</v>
      </c>
      <c r="E3171" s="906">
        <v>42581</v>
      </c>
      <c r="F3171" s="49" t="s">
        <v>867</v>
      </c>
      <c r="G3171" s="831" t="s">
        <v>1470</v>
      </c>
      <c r="H3171" s="859" t="s">
        <v>1310</v>
      </c>
      <c r="I3171" s="251">
        <v>16</v>
      </c>
      <c r="J3171" s="251">
        <v>26526.6</v>
      </c>
      <c r="K3171" s="860">
        <f t="shared" si="429"/>
        <v>424426</v>
      </c>
      <c r="L3171" s="861" t="s">
        <v>162</v>
      </c>
      <c r="M3171" s="861" t="s">
        <v>857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52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>x</v>
      </c>
      <c r="AA3171" s="826"/>
    </row>
    <row r="3172" spans="1:27" ht="15.75" customHeight="1">
      <c r="A3172" s="827" t="str">
        <f>IF(B3172&lt;&gt;"",IF(AND(B3172&gt;=_TM1,B3172&lt;=_TM2,OR(TH!L3172="1111",TH!M3172="1111")),TH!D3172,""),"")</f>
        <v/>
      </c>
      <c r="B3172" s="36">
        <f t="shared" si="430"/>
        <v>7</v>
      </c>
      <c r="C3172" s="190">
        <f t="shared" si="428"/>
        <v>42581</v>
      </c>
      <c r="D3172" s="856" t="s">
        <v>1662</v>
      </c>
      <c r="E3172" s="906">
        <v>42581</v>
      </c>
      <c r="F3172" s="868" t="s">
        <v>868</v>
      </c>
      <c r="G3172" s="831" t="s">
        <v>1470</v>
      </c>
      <c r="H3172" s="859" t="s">
        <v>1310</v>
      </c>
      <c r="I3172" s="251">
        <v>15</v>
      </c>
      <c r="J3172" s="251">
        <v>25882</v>
      </c>
      <c r="K3172" s="860">
        <f t="shared" si="429"/>
        <v>388230</v>
      </c>
      <c r="L3172" s="861" t="s">
        <v>162</v>
      </c>
      <c r="M3172" s="861" t="s">
        <v>857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52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>x</v>
      </c>
      <c r="AA3172" s="826"/>
    </row>
    <row r="3173" spans="1:27" ht="15.75" customHeight="1">
      <c r="A3173" s="827" t="str">
        <f>IF(B3173&lt;&gt;"",IF(AND(B3173&gt;=_TM1,B3173&lt;=_TM2,OR(TH!L3173="1111",TH!M3173="1111")),TH!D3173,""),"")</f>
        <v/>
      </c>
      <c r="B3173" s="36">
        <f t="shared" si="430"/>
        <v>7</v>
      </c>
      <c r="C3173" s="190">
        <f t="shared" si="428"/>
        <v>42581</v>
      </c>
      <c r="D3173" s="856" t="s">
        <v>1662</v>
      </c>
      <c r="E3173" s="906">
        <v>42581</v>
      </c>
      <c r="F3173" s="49" t="s">
        <v>1457</v>
      </c>
      <c r="G3173" s="831" t="s">
        <v>1470</v>
      </c>
      <c r="H3173" s="859" t="s">
        <v>1310</v>
      </c>
      <c r="I3173" s="251">
        <v>30</v>
      </c>
      <c r="J3173" s="251">
        <v>48010</v>
      </c>
      <c r="K3173" s="860">
        <f t="shared" si="429"/>
        <v>1440300</v>
      </c>
      <c r="L3173" s="861" t="s">
        <v>162</v>
      </c>
      <c r="M3173" s="861" t="s">
        <v>857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52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>x</v>
      </c>
      <c r="AA3173" s="826"/>
    </row>
    <row r="3174" spans="1:27" ht="15.75" customHeight="1">
      <c r="A3174" s="827" t="str">
        <f>IF(B3174&lt;&gt;"",IF(AND(B3174&gt;=_TM1,B3174&lt;=_TM2,OR(TH!L3174="1111",TH!M3174="1111")),TH!D3174,""),"")</f>
        <v/>
      </c>
      <c r="B3174" s="36">
        <f t="shared" si="430"/>
        <v>7</v>
      </c>
      <c r="C3174" s="190">
        <f t="shared" si="428"/>
        <v>42581</v>
      </c>
      <c r="D3174" s="856" t="s">
        <v>1662</v>
      </c>
      <c r="E3174" s="906">
        <v>42581</v>
      </c>
      <c r="F3174" s="49" t="s">
        <v>1458</v>
      </c>
      <c r="G3174" s="831" t="s">
        <v>1470</v>
      </c>
      <c r="H3174" s="859" t="s">
        <v>1310</v>
      </c>
      <c r="I3174" s="251">
        <v>40</v>
      </c>
      <c r="J3174" s="251">
        <v>41400</v>
      </c>
      <c r="K3174" s="860">
        <f t="shared" si="429"/>
        <v>1656000</v>
      </c>
      <c r="L3174" s="861" t="s">
        <v>162</v>
      </c>
      <c r="M3174" s="861" t="s">
        <v>857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52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>x</v>
      </c>
      <c r="AA3174" s="826"/>
    </row>
    <row r="3175" spans="1:27" ht="15.75" customHeight="1">
      <c r="A3175" s="827" t="str">
        <f>IF(B3175&lt;&gt;"",IF(AND(B3175&gt;=_TM1,B3175&lt;=_TM2,OR(TH!L3175="1111",TH!M3175="1111")),TH!D3175,""),"")</f>
        <v/>
      </c>
      <c r="B3175" s="36">
        <f t="shared" si="430"/>
        <v>7</v>
      </c>
      <c r="C3175" s="190">
        <f t="shared" si="428"/>
        <v>42581</v>
      </c>
      <c r="D3175" s="856" t="s">
        <v>1662</v>
      </c>
      <c r="E3175" s="906">
        <v>42581</v>
      </c>
      <c r="F3175" s="868" t="s">
        <v>1459</v>
      </c>
      <c r="G3175" s="831" t="s">
        <v>1470</v>
      </c>
      <c r="H3175" s="859" t="s">
        <v>1310</v>
      </c>
      <c r="I3175" s="251">
        <v>30</v>
      </c>
      <c r="J3175" s="251">
        <v>83000</v>
      </c>
      <c r="K3175" s="860">
        <f t="shared" si="429"/>
        <v>2490000</v>
      </c>
      <c r="L3175" s="861" t="s">
        <v>162</v>
      </c>
      <c r="M3175" s="861" t="s">
        <v>857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52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>x</v>
      </c>
      <c r="AA3175" s="826"/>
    </row>
    <row r="3176" spans="1:27" ht="15.75" customHeight="1">
      <c r="A3176" s="827" t="str">
        <f>IF(B3176&lt;&gt;"",IF(AND(B3176&gt;=_TM1,B3176&lt;=_TM2,OR(TH!L3176="1111",TH!M3176="1111")),TH!D3176,""),"")</f>
        <v/>
      </c>
      <c r="B3176" s="36">
        <f t="shared" si="430"/>
        <v>7</v>
      </c>
      <c r="C3176" s="190">
        <f t="shared" si="428"/>
        <v>42581</v>
      </c>
      <c r="D3176" s="856" t="s">
        <v>1662</v>
      </c>
      <c r="E3176" s="906">
        <v>42581</v>
      </c>
      <c r="F3176" s="49" t="s">
        <v>1460</v>
      </c>
      <c r="G3176" s="831" t="s">
        <v>1470</v>
      </c>
      <c r="H3176" s="859" t="s">
        <v>1310</v>
      </c>
      <c r="I3176" s="251">
        <v>50</v>
      </c>
      <c r="J3176" s="251">
        <v>39700</v>
      </c>
      <c r="K3176" s="860">
        <f t="shared" si="429"/>
        <v>1985000</v>
      </c>
      <c r="L3176" s="861" t="s">
        <v>162</v>
      </c>
      <c r="M3176" s="861" t="s">
        <v>857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52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>x</v>
      </c>
      <c r="AA3176" s="826"/>
    </row>
    <row r="3177" spans="1:27" ht="15.75" customHeight="1">
      <c r="A3177" s="827" t="str">
        <f>IF(B3177&lt;&gt;"",IF(AND(B3177&gt;=_TM1,B3177&lt;=_TM2,OR(TH!L3177="1111",TH!M3177="1111")),TH!D3177,""),"")</f>
        <v/>
      </c>
      <c r="B3177" s="36">
        <f t="shared" si="430"/>
        <v>7</v>
      </c>
      <c r="C3177" s="190">
        <f t="shared" si="428"/>
        <v>42581</v>
      </c>
      <c r="D3177" s="856" t="s">
        <v>1662</v>
      </c>
      <c r="E3177" s="906">
        <v>42581</v>
      </c>
      <c r="F3177" s="868" t="s">
        <v>1461</v>
      </c>
      <c r="G3177" s="831" t="s">
        <v>1470</v>
      </c>
      <c r="H3177" s="859" t="s">
        <v>1310</v>
      </c>
      <c r="I3177" s="251">
        <v>30</v>
      </c>
      <c r="J3177" s="251">
        <v>61500</v>
      </c>
      <c r="K3177" s="860">
        <f t="shared" si="429"/>
        <v>1845000</v>
      </c>
      <c r="L3177" s="861" t="s">
        <v>162</v>
      </c>
      <c r="M3177" s="861" t="s">
        <v>857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52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>x</v>
      </c>
      <c r="AA3177" s="826"/>
    </row>
    <row r="3178" spans="1:27" ht="15.75" customHeight="1">
      <c r="A3178" s="827" t="str">
        <f>IF(B3178&lt;&gt;"",IF(AND(B3178&gt;=_TM1,B3178&lt;=_TM2,OR(TH!L3178="1111",TH!M3178="1111")),TH!D3178,""),"")</f>
        <v/>
      </c>
      <c r="B3178" s="36">
        <f t="shared" si="430"/>
        <v>7</v>
      </c>
      <c r="C3178" s="190">
        <f t="shared" si="428"/>
        <v>42581</v>
      </c>
      <c r="D3178" s="856" t="s">
        <v>1662</v>
      </c>
      <c r="E3178" s="906">
        <v>42581</v>
      </c>
      <c r="F3178" s="49" t="s">
        <v>1462</v>
      </c>
      <c r="G3178" s="831" t="s">
        <v>1470</v>
      </c>
      <c r="H3178" s="859" t="s">
        <v>1310</v>
      </c>
      <c r="I3178" s="251">
        <v>30</v>
      </c>
      <c r="J3178" s="251">
        <v>67500</v>
      </c>
      <c r="K3178" s="860">
        <f t="shared" si="429"/>
        <v>2025000</v>
      </c>
      <c r="L3178" s="861" t="s">
        <v>162</v>
      </c>
      <c r="M3178" s="861" t="s">
        <v>857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52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>x</v>
      </c>
      <c r="AA3178" s="826"/>
    </row>
    <row r="3179" spans="1:27" ht="15.75" customHeight="1">
      <c r="A3179" s="827" t="str">
        <f>IF(B3179&lt;&gt;"",IF(AND(B3179&gt;=_TM1,B3179&lt;=_TM2,OR(TH!L3179="1111",TH!M3179="1111")),TH!D3179,""),"")</f>
        <v/>
      </c>
      <c r="B3179" s="36">
        <f t="shared" si="430"/>
        <v>7</v>
      </c>
      <c r="C3179" s="190">
        <f t="shared" si="428"/>
        <v>42581</v>
      </c>
      <c r="D3179" s="856" t="s">
        <v>1662</v>
      </c>
      <c r="E3179" s="906">
        <v>42581</v>
      </c>
      <c r="F3179" s="49" t="s">
        <v>534</v>
      </c>
      <c r="G3179" s="831" t="s">
        <v>1470</v>
      </c>
      <c r="H3179" s="859" t="s">
        <v>1310</v>
      </c>
      <c r="I3179" s="251">
        <v>40</v>
      </c>
      <c r="J3179" s="251">
        <v>82354</v>
      </c>
      <c r="K3179" s="860">
        <f t="shared" si="429"/>
        <v>3294160</v>
      </c>
      <c r="L3179" s="861" t="s">
        <v>162</v>
      </c>
      <c r="M3179" s="861" t="s">
        <v>857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52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>x</v>
      </c>
      <c r="AA3179" s="826"/>
    </row>
    <row r="3180" spans="1:27" ht="15.75" customHeight="1">
      <c r="A3180" s="827" t="str">
        <f>IF(B3180&lt;&gt;"",IF(AND(B3180&gt;=_TM1,B3180&lt;=_TM2,OR(TH!L3180="1111",TH!M3180="1111")),TH!D3180,""),"")</f>
        <v/>
      </c>
      <c r="B3180" s="36">
        <f t="shared" si="430"/>
        <v>7</v>
      </c>
      <c r="C3180" s="190">
        <f t="shared" si="428"/>
        <v>42581</v>
      </c>
      <c r="D3180" s="856" t="s">
        <v>1662</v>
      </c>
      <c r="E3180" s="906">
        <v>42581</v>
      </c>
      <c r="F3180" s="49" t="s">
        <v>484</v>
      </c>
      <c r="G3180" s="831" t="s">
        <v>1470</v>
      </c>
      <c r="H3180" s="859" t="s">
        <v>1310</v>
      </c>
      <c r="I3180" s="251">
        <v>20</v>
      </c>
      <c r="J3180" s="251">
        <v>34090.96875</v>
      </c>
      <c r="K3180" s="860">
        <f t="shared" si="429"/>
        <v>681819</v>
      </c>
      <c r="L3180" s="861" t="s">
        <v>162</v>
      </c>
      <c r="M3180" s="861" t="s">
        <v>857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52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>x</v>
      </c>
      <c r="AA3180" s="826"/>
    </row>
    <row r="3181" spans="1:27" ht="15.75" customHeight="1">
      <c r="A3181" s="827" t="str">
        <f>IF(B3181&lt;&gt;"",IF(AND(B3181&gt;=_TM1,B3181&lt;=_TM2,OR(TH!L3181="1111",TH!M3181="1111")),TH!D3181,""),"")</f>
        <v/>
      </c>
      <c r="B3181" s="36">
        <f t="shared" si="430"/>
        <v>7</v>
      </c>
      <c r="C3181" s="190">
        <f t="shared" si="428"/>
        <v>42581</v>
      </c>
      <c r="D3181" s="856" t="s">
        <v>1662</v>
      </c>
      <c r="E3181" s="906">
        <v>42581</v>
      </c>
      <c r="F3181" s="868" t="s">
        <v>703</v>
      </c>
      <c r="G3181" s="831" t="s">
        <v>1470</v>
      </c>
      <c r="H3181" s="859" t="s">
        <v>1310</v>
      </c>
      <c r="I3181" s="251">
        <v>12</v>
      </c>
      <c r="J3181" s="251">
        <v>48372</v>
      </c>
      <c r="K3181" s="860">
        <f t="shared" si="429"/>
        <v>580464</v>
      </c>
      <c r="L3181" s="861" t="s">
        <v>162</v>
      </c>
      <c r="M3181" s="861" t="s">
        <v>857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52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>x</v>
      </c>
      <c r="AA3181" s="826"/>
    </row>
    <row r="3182" spans="1:27" ht="15.75" customHeight="1">
      <c r="A3182" s="827" t="str">
        <f>IF(B3182&lt;&gt;"",IF(AND(B3182&gt;=_TM1,B3182&lt;=_TM2,OR(TH!L3182="1111",TH!M3182="1111")),TH!D3182,""),"")</f>
        <v/>
      </c>
      <c r="B3182" s="36">
        <f t="shared" si="430"/>
        <v>7</v>
      </c>
      <c r="C3182" s="190">
        <f t="shared" si="428"/>
        <v>42581</v>
      </c>
      <c r="D3182" s="856" t="s">
        <v>1662</v>
      </c>
      <c r="E3182" s="906">
        <v>42581</v>
      </c>
      <c r="F3182" s="49" t="s">
        <v>871</v>
      </c>
      <c r="G3182" s="831" t="s">
        <v>1470</v>
      </c>
      <c r="H3182" s="859" t="s">
        <v>1310</v>
      </c>
      <c r="I3182" s="251">
        <v>12</v>
      </c>
      <c r="J3182" s="251">
        <v>64452</v>
      </c>
      <c r="K3182" s="860">
        <f t="shared" si="429"/>
        <v>773424</v>
      </c>
      <c r="L3182" s="861" t="s">
        <v>162</v>
      </c>
      <c r="M3182" s="861" t="s">
        <v>857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52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>x</v>
      </c>
      <c r="AA3182" s="826"/>
    </row>
    <row r="3183" spans="1:27" ht="15.75" customHeight="1">
      <c r="A3183" s="827" t="str">
        <f>IF(B3183&lt;&gt;"",IF(AND(B3183&gt;=_TM1,B3183&lt;=_TM2,OR(TH!L3183="1111",TH!M3183="1111")),TH!D3183,""),"")</f>
        <v/>
      </c>
      <c r="B3183" s="36">
        <f t="shared" si="430"/>
        <v>7</v>
      </c>
      <c r="C3183" s="190">
        <f t="shared" si="428"/>
        <v>42581</v>
      </c>
      <c r="D3183" s="856" t="s">
        <v>1662</v>
      </c>
      <c r="E3183" s="906">
        <v>42581</v>
      </c>
      <c r="F3183" s="49" t="s">
        <v>813</v>
      </c>
      <c r="G3183" s="831" t="s">
        <v>1470</v>
      </c>
      <c r="H3183" s="859" t="s">
        <v>1310</v>
      </c>
      <c r="I3183" s="251">
        <v>75</v>
      </c>
      <c r="J3183" s="251">
        <v>47825</v>
      </c>
      <c r="K3183" s="860">
        <f t="shared" si="429"/>
        <v>3586875</v>
      </c>
      <c r="L3183" s="861" t="s">
        <v>162</v>
      </c>
      <c r="M3183" s="861" t="s">
        <v>857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52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>x</v>
      </c>
      <c r="AA3183" s="826"/>
    </row>
    <row r="3184" spans="1:27" ht="15.75" customHeight="1">
      <c r="A3184" s="827" t="str">
        <f>IF(B3184&lt;&gt;"",IF(AND(B3184&gt;=_TM1,B3184&lt;=_TM2,OR(TH!L3184="1111",TH!M3184="1111")),TH!D3184,""),"")</f>
        <v/>
      </c>
      <c r="B3184" s="36">
        <f t="shared" si="430"/>
        <v>7</v>
      </c>
      <c r="C3184" s="190">
        <f t="shared" si="428"/>
        <v>42581</v>
      </c>
      <c r="D3184" s="856" t="s">
        <v>1662</v>
      </c>
      <c r="E3184" s="906">
        <v>42581</v>
      </c>
      <c r="F3184" s="908" t="s">
        <v>709</v>
      </c>
      <c r="G3184" s="831" t="s">
        <v>1470</v>
      </c>
      <c r="H3184" s="859" t="s">
        <v>1310</v>
      </c>
      <c r="I3184" s="251">
        <v>12</v>
      </c>
      <c r="J3184" s="251">
        <v>111543</v>
      </c>
      <c r="K3184" s="860">
        <f t="shared" si="429"/>
        <v>1338516</v>
      </c>
      <c r="L3184" s="861" t="s">
        <v>162</v>
      </c>
      <c r="M3184" s="861" t="s">
        <v>857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52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>x</v>
      </c>
      <c r="AA3184" s="826"/>
    </row>
    <row r="3185" spans="1:27" ht="15.75" customHeight="1">
      <c r="A3185" s="827" t="str">
        <f>IF(B3185&lt;&gt;"",IF(AND(B3185&gt;=_TM1,B3185&lt;=_TM2,OR(TH!L3185="1111",TH!M3185="1111")),TH!D3185,""),"")</f>
        <v/>
      </c>
      <c r="B3185" s="36">
        <f t="shared" si="430"/>
        <v>7</v>
      </c>
      <c r="C3185" s="190">
        <f t="shared" si="428"/>
        <v>42581</v>
      </c>
      <c r="D3185" s="856" t="s">
        <v>1662</v>
      </c>
      <c r="E3185" s="906">
        <v>42581</v>
      </c>
      <c r="F3185" s="868" t="s">
        <v>539</v>
      </c>
      <c r="G3185" s="831" t="s">
        <v>1470</v>
      </c>
      <c r="H3185" s="859" t="s">
        <v>1310</v>
      </c>
      <c r="I3185" s="251">
        <v>20</v>
      </c>
      <c r="J3185" s="251">
        <v>137834</v>
      </c>
      <c r="K3185" s="860">
        <f t="shared" si="429"/>
        <v>2756680</v>
      </c>
      <c r="L3185" s="861" t="s">
        <v>162</v>
      </c>
      <c r="M3185" s="861" t="s">
        <v>857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52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>x</v>
      </c>
      <c r="AA3185" s="826"/>
    </row>
    <row r="3186" spans="1:27" ht="15.75" customHeight="1">
      <c r="A3186" s="827" t="str">
        <f>IF(B3186&lt;&gt;"",IF(AND(B3186&gt;=_TM1,B3186&lt;=_TM2,OR(TH!L3186="1111",TH!M3186="1111")),TH!D3186,""),"")</f>
        <v/>
      </c>
      <c r="B3186" s="36">
        <f t="shared" si="430"/>
        <v>7</v>
      </c>
      <c r="C3186" s="190">
        <f t="shared" si="428"/>
        <v>42581</v>
      </c>
      <c r="D3186" s="856" t="s">
        <v>1662</v>
      </c>
      <c r="E3186" s="906">
        <v>42581</v>
      </c>
      <c r="F3186" s="49" t="s">
        <v>813</v>
      </c>
      <c r="G3186" s="831" t="s">
        <v>1470</v>
      </c>
      <c r="H3186" s="859" t="s">
        <v>1310</v>
      </c>
      <c r="I3186" s="251">
        <v>12</v>
      </c>
      <c r="J3186" s="251">
        <v>52860</v>
      </c>
      <c r="K3186" s="860">
        <f t="shared" si="429"/>
        <v>634320</v>
      </c>
      <c r="L3186" s="861" t="s">
        <v>162</v>
      </c>
      <c r="M3186" s="861" t="s">
        <v>857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52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>x</v>
      </c>
      <c r="AA3186" s="826"/>
    </row>
    <row r="3187" spans="1:27" ht="15.75" customHeight="1">
      <c r="A3187" s="827" t="str">
        <f>IF(B3187&lt;&gt;"",IF(AND(B3187&gt;=_TM1,B3187&lt;=_TM2,OR(TH!L3187="1111",TH!M3187="1111")),TH!D3187,""),"")</f>
        <v/>
      </c>
      <c r="B3187" s="36">
        <f t="shared" si="430"/>
        <v>7</v>
      </c>
      <c r="C3187" s="190">
        <f t="shared" si="428"/>
        <v>42581</v>
      </c>
      <c r="D3187" s="856" t="s">
        <v>1662</v>
      </c>
      <c r="E3187" s="906">
        <v>42581</v>
      </c>
      <c r="F3187" s="868" t="s">
        <v>824</v>
      </c>
      <c r="G3187" s="831" t="s">
        <v>1470</v>
      </c>
      <c r="H3187" s="859" t="s">
        <v>1310</v>
      </c>
      <c r="I3187" s="251">
        <v>24</v>
      </c>
      <c r="J3187" s="251">
        <v>36060</v>
      </c>
      <c r="K3187" s="860">
        <f t="shared" si="429"/>
        <v>865440</v>
      </c>
      <c r="L3187" s="861" t="s">
        <v>162</v>
      </c>
      <c r="M3187" s="861" t="s">
        <v>857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52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>x</v>
      </c>
      <c r="AA3187" s="826"/>
    </row>
    <row r="3188" spans="1:27" ht="15.75" customHeight="1">
      <c r="A3188" s="827" t="str">
        <f>IF(B3188&lt;&gt;"",IF(AND(B3188&gt;=_TM1,B3188&lt;=_TM2,OR(TH!L3188="1111",TH!M3188="1111")),TH!D3188,""),"")</f>
        <v/>
      </c>
      <c r="B3188" s="36">
        <f t="shared" si="430"/>
        <v>7</v>
      </c>
      <c r="C3188" s="190">
        <f t="shared" si="428"/>
        <v>42581</v>
      </c>
      <c r="D3188" s="856" t="s">
        <v>1662</v>
      </c>
      <c r="E3188" s="906">
        <v>42581</v>
      </c>
      <c r="F3188" s="49" t="s">
        <v>540</v>
      </c>
      <c r="G3188" s="831" t="s">
        <v>1470</v>
      </c>
      <c r="H3188" s="859" t="s">
        <v>1310</v>
      </c>
      <c r="I3188" s="251">
        <v>12</v>
      </c>
      <c r="J3188" s="251">
        <v>71266</v>
      </c>
      <c r="K3188" s="860">
        <f t="shared" si="429"/>
        <v>855192</v>
      </c>
      <c r="L3188" s="861" t="s">
        <v>162</v>
      </c>
      <c r="M3188" s="861" t="s">
        <v>857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52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>x</v>
      </c>
      <c r="AA3188" s="826"/>
    </row>
    <row r="3189" spans="1:27" ht="15.75" customHeight="1">
      <c r="A3189" s="827" t="str">
        <f>IF(B3189&lt;&gt;"",IF(AND(B3189&gt;=_TM1,B3189&lt;=_TM2,OR(TH!L3189="1111",TH!M3189="1111")),TH!D3189,""),"")</f>
        <v/>
      </c>
      <c r="B3189" s="36">
        <f t="shared" si="430"/>
        <v>7</v>
      </c>
      <c r="C3189" s="190">
        <f t="shared" si="428"/>
        <v>42581</v>
      </c>
      <c r="D3189" s="856" t="s">
        <v>1662</v>
      </c>
      <c r="E3189" s="906">
        <v>42581</v>
      </c>
      <c r="F3189" s="868" t="s">
        <v>709</v>
      </c>
      <c r="G3189" s="831" t="s">
        <v>1470</v>
      </c>
      <c r="H3189" s="859" t="s">
        <v>1310</v>
      </c>
      <c r="I3189" s="251">
        <v>12</v>
      </c>
      <c r="J3189" s="251">
        <v>111543</v>
      </c>
      <c r="K3189" s="860">
        <f t="shared" si="429"/>
        <v>1338516</v>
      </c>
      <c r="L3189" s="861" t="s">
        <v>162</v>
      </c>
      <c r="M3189" s="861" t="s">
        <v>857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52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>x</v>
      </c>
      <c r="AA3189" s="826"/>
    </row>
    <row r="3190" spans="1:27" ht="15.75" customHeight="1">
      <c r="A3190" s="827" t="str">
        <f>IF(B3190&lt;&gt;"",IF(AND(B3190&gt;=_TM1,B3190&lt;=_TM2,OR(TH!L3190="1111",TH!M3190="1111")),TH!D3190,""),"")</f>
        <v/>
      </c>
      <c r="B3190" s="36">
        <f t="shared" si="430"/>
        <v>7</v>
      </c>
      <c r="C3190" s="190">
        <f t="shared" si="428"/>
        <v>42581</v>
      </c>
      <c r="D3190" s="856" t="s">
        <v>1662</v>
      </c>
      <c r="E3190" s="906">
        <v>42581</v>
      </c>
      <c r="F3190" s="49" t="s">
        <v>705</v>
      </c>
      <c r="G3190" s="831" t="s">
        <v>1470</v>
      </c>
      <c r="H3190" s="859" t="s">
        <v>1310</v>
      </c>
      <c r="I3190" s="251">
        <v>12</v>
      </c>
      <c r="J3190" s="251">
        <v>63524</v>
      </c>
      <c r="K3190" s="860">
        <f t="shared" si="429"/>
        <v>762288</v>
      </c>
      <c r="L3190" s="861" t="s">
        <v>162</v>
      </c>
      <c r="M3190" s="861" t="s">
        <v>857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52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>x</v>
      </c>
      <c r="AA3190" s="826"/>
    </row>
    <row r="3191" spans="1:27" ht="15.75" customHeight="1">
      <c r="A3191" s="827" t="str">
        <f>IF(B3191&lt;&gt;"",IF(AND(B3191&gt;=_TM1,B3191&lt;=_TM2,OR(TH!L3191="1111",TH!M3191="1111")),TH!D3191,""),"")</f>
        <v/>
      </c>
      <c r="B3191" s="36">
        <f t="shared" si="430"/>
        <v>7</v>
      </c>
      <c r="C3191" s="190">
        <f t="shared" si="428"/>
        <v>42581</v>
      </c>
      <c r="D3191" s="856" t="s">
        <v>1662</v>
      </c>
      <c r="E3191" s="906">
        <v>42581</v>
      </c>
      <c r="F3191" s="868" t="s">
        <v>484</v>
      </c>
      <c r="G3191" s="831" t="s">
        <v>1470</v>
      </c>
      <c r="H3191" s="859" t="s">
        <v>1310</v>
      </c>
      <c r="I3191" s="251">
        <v>12</v>
      </c>
      <c r="J3191" s="251">
        <v>34090.96875</v>
      </c>
      <c r="K3191" s="860">
        <f t="shared" si="429"/>
        <v>409092</v>
      </c>
      <c r="L3191" s="861" t="s">
        <v>162</v>
      </c>
      <c r="M3191" s="861" t="s">
        <v>857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52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>x</v>
      </c>
      <c r="AA3191" s="826"/>
    </row>
    <row r="3192" spans="1:27" ht="15.75" customHeight="1">
      <c r="A3192" s="827" t="str">
        <f>IF(B3192&lt;&gt;"",IF(AND(B3192&gt;=_TM1,B3192&lt;=_TM2,OR(TH!L3192="1111",TH!M3192="1111")),TH!D3192,""),"")</f>
        <v/>
      </c>
      <c r="B3192" s="36">
        <f t="shared" si="430"/>
        <v>7</v>
      </c>
      <c r="C3192" s="190">
        <f t="shared" si="428"/>
        <v>42581</v>
      </c>
      <c r="D3192" s="856" t="s">
        <v>1662</v>
      </c>
      <c r="E3192" s="906">
        <v>42581</v>
      </c>
      <c r="F3192" s="49" t="s">
        <v>702</v>
      </c>
      <c r="G3192" s="831" t="s">
        <v>1470</v>
      </c>
      <c r="H3192" s="859" t="s">
        <v>1310</v>
      </c>
      <c r="I3192" s="251">
        <v>30</v>
      </c>
      <c r="J3192" s="251">
        <v>58605</v>
      </c>
      <c r="K3192" s="860">
        <f t="shared" si="429"/>
        <v>1758150</v>
      </c>
      <c r="L3192" s="861" t="s">
        <v>162</v>
      </c>
      <c r="M3192" s="861" t="s">
        <v>857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52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>x</v>
      </c>
      <c r="AA3192" s="826"/>
    </row>
    <row r="3193" spans="1:27" ht="15.75" customHeight="1">
      <c r="A3193" s="827" t="str">
        <f>IF(B3193&lt;&gt;"",IF(AND(B3193&gt;=_TM1,B3193&lt;=_TM2,OR(TH!L3193="1111",TH!M3193="1111")),TH!D3193,""),"")</f>
        <v/>
      </c>
      <c r="B3193" s="36">
        <f t="shared" si="430"/>
        <v>7</v>
      </c>
      <c r="C3193" s="190">
        <f t="shared" si="428"/>
        <v>42581</v>
      </c>
      <c r="D3193" s="856" t="s">
        <v>1662</v>
      </c>
      <c r="E3193" s="906">
        <v>42581</v>
      </c>
      <c r="F3193" s="49" t="s">
        <v>536</v>
      </c>
      <c r="G3193" s="831" t="s">
        <v>1470</v>
      </c>
      <c r="H3193" s="859" t="s">
        <v>1310</v>
      </c>
      <c r="I3193" s="251">
        <v>18</v>
      </c>
      <c r="J3193" s="251">
        <v>64996.222222222219</v>
      </c>
      <c r="K3193" s="860">
        <f t="shared" si="429"/>
        <v>1169932</v>
      </c>
      <c r="L3193" s="861" t="s">
        <v>162</v>
      </c>
      <c r="M3193" s="861" t="s">
        <v>857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52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>x</v>
      </c>
      <c r="AA3193" s="826"/>
    </row>
    <row r="3194" spans="1:27" ht="15.75" customHeight="1">
      <c r="A3194" s="827" t="str">
        <f>IF(B3194&lt;&gt;"",IF(AND(B3194&gt;=_TM1,B3194&lt;=_TM2,OR(TH!L3194="1111",TH!M3194="1111")),TH!D3194,""),"")</f>
        <v/>
      </c>
      <c r="B3194" s="36">
        <f t="shared" si="430"/>
        <v>7</v>
      </c>
      <c r="C3194" s="190">
        <f t="shared" si="428"/>
        <v>42581</v>
      </c>
      <c r="D3194" s="856" t="s">
        <v>1662</v>
      </c>
      <c r="E3194" s="906">
        <v>42581</v>
      </c>
      <c r="F3194" s="868" t="s">
        <v>537</v>
      </c>
      <c r="G3194" s="831" t="s">
        <v>1470</v>
      </c>
      <c r="H3194" s="859" t="s">
        <v>1310</v>
      </c>
      <c r="I3194" s="251">
        <v>24</v>
      </c>
      <c r="J3194" s="251">
        <v>31190</v>
      </c>
      <c r="K3194" s="860">
        <f t="shared" si="429"/>
        <v>748560</v>
      </c>
      <c r="L3194" s="861" t="s">
        <v>162</v>
      </c>
      <c r="M3194" s="861" t="s">
        <v>857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52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>x</v>
      </c>
      <c r="AA3194" s="826"/>
    </row>
    <row r="3195" spans="1:27" ht="15.75" customHeight="1">
      <c r="A3195" s="827" t="str">
        <f>IF(B3195&lt;&gt;"",IF(AND(B3195&gt;=_TM1,B3195&lt;=_TM2,OR(TH!L3195="1111",TH!M3195="1111")),TH!D3195,""),"")</f>
        <v/>
      </c>
      <c r="B3195" s="36">
        <f t="shared" si="430"/>
        <v>7</v>
      </c>
      <c r="C3195" s="190">
        <f t="shared" si="428"/>
        <v>42581</v>
      </c>
      <c r="D3195" s="856" t="s">
        <v>1662</v>
      </c>
      <c r="E3195" s="906">
        <v>42581</v>
      </c>
      <c r="F3195" s="49" t="s">
        <v>816</v>
      </c>
      <c r="G3195" s="831" t="s">
        <v>1470</v>
      </c>
      <c r="H3195" s="859" t="s">
        <v>1310</v>
      </c>
      <c r="I3195" s="251">
        <v>2</v>
      </c>
      <c r="J3195" s="251">
        <v>206076</v>
      </c>
      <c r="K3195" s="860">
        <f t="shared" si="429"/>
        <v>412152</v>
      </c>
      <c r="L3195" s="861" t="s">
        <v>162</v>
      </c>
      <c r="M3195" s="861" t="s">
        <v>857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52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>x</v>
      </c>
      <c r="AA3195" s="826"/>
    </row>
    <row r="3196" spans="1:27" ht="15.75" customHeight="1">
      <c r="A3196" s="827" t="str">
        <f>IF(B3196&lt;&gt;"",IF(AND(B3196&gt;=_TM1,B3196&lt;=_TM2,OR(TH!L3196="1111",TH!M3196="1111")),TH!D3196,""),"")</f>
        <v/>
      </c>
      <c r="B3196" s="36">
        <f t="shared" si="430"/>
        <v>7</v>
      </c>
      <c r="C3196" s="190">
        <f t="shared" si="428"/>
        <v>42581</v>
      </c>
      <c r="D3196" s="856" t="s">
        <v>1662</v>
      </c>
      <c r="E3196" s="906">
        <v>42581</v>
      </c>
      <c r="F3196" s="868" t="s">
        <v>490</v>
      </c>
      <c r="G3196" s="831" t="s">
        <v>1470</v>
      </c>
      <c r="H3196" s="859" t="s">
        <v>1310</v>
      </c>
      <c r="I3196" s="251">
        <v>2</v>
      </c>
      <c r="J3196" s="251">
        <v>156966</v>
      </c>
      <c r="K3196" s="860">
        <f t="shared" si="429"/>
        <v>313932</v>
      </c>
      <c r="L3196" s="861" t="s">
        <v>162</v>
      </c>
      <c r="M3196" s="861" t="s">
        <v>857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52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>x</v>
      </c>
      <c r="AA3196" s="826"/>
    </row>
    <row r="3197" spans="1:27" ht="15.75" customHeight="1">
      <c r="A3197" s="827" t="str">
        <f>IF(B3197&lt;&gt;"",IF(AND(B3197&gt;=_TM1,B3197&lt;=_TM2,OR(TH!L3197="1111",TH!M3197="1111")),TH!D3197,""),"")</f>
        <v/>
      </c>
      <c r="B3197" s="36">
        <f t="shared" si="430"/>
        <v>7</v>
      </c>
      <c r="C3197" s="190">
        <f t="shared" si="428"/>
        <v>42581</v>
      </c>
      <c r="D3197" s="856" t="s">
        <v>1662</v>
      </c>
      <c r="E3197" s="906">
        <v>42581</v>
      </c>
      <c r="F3197" s="49" t="s">
        <v>885</v>
      </c>
      <c r="G3197" s="831" t="s">
        <v>1470</v>
      </c>
      <c r="H3197" s="859" t="s">
        <v>1310</v>
      </c>
      <c r="I3197" s="251">
        <v>6</v>
      </c>
      <c r="J3197" s="251">
        <v>68496</v>
      </c>
      <c r="K3197" s="860">
        <f t="shared" si="429"/>
        <v>410976</v>
      </c>
      <c r="L3197" s="861" t="s">
        <v>162</v>
      </c>
      <c r="M3197" s="861" t="s">
        <v>857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52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>x</v>
      </c>
      <c r="AA3197" s="826"/>
    </row>
    <row r="3198" spans="1:27" ht="15.75" customHeight="1">
      <c r="A3198" s="827" t="str">
        <f>IF(B3198&lt;&gt;"",IF(AND(B3198&gt;=_TM1,B3198&lt;=_TM2,OR(TH!L3198="1111",TH!M3198="1111")),TH!D3198,""),"")</f>
        <v/>
      </c>
      <c r="B3198" s="36">
        <f t="shared" si="430"/>
        <v>7</v>
      </c>
      <c r="C3198" s="190">
        <f t="shared" si="428"/>
        <v>42581</v>
      </c>
      <c r="D3198" s="856" t="s">
        <v>1662</v>
      </c>
      <c r="E3198" s="906">
        <v>42581</v>
      </c>
      <c r="F3198" s="49" t="s">
        <v>809</v>
      </c>
      <c r="G3198" s="831" t="s">
        <v>1470</v>
      </c>
      <c r="H3198" s="859" t="s">
        <v>1310</v>
      </c>
      <c r="I3198" s="251">
        <v>24</v>
      </c>
      <c r="J3198" s="251">
        <v>42400</v>
      </c>
      <c r="K3198" s="860">
        <f t="shared" si="429"/>
        <v>1017600</v>
      </c>
      <c r="L3198" s="861" t="s">
        <v>162</v>
      </c>
      <c r="M3198" s="861" t="s">
        <v>857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52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>x</v>
      </c>
      <c r="AA3198" s="826"/>
    </row>
    <row r="3199" spans="1:27" ht="15.75" customHeight="1">
      <c r="A3199" s="827" t="str">
        <f>IF(B3199&lt;&gt;"",IF(AND(B3199&gt;=_TM1,B3199&lt;=_TM2,OR(TH!L3199="1111",TH!M3199="1111")),TH!D3199,""),"")</f>
        <v/>
      </c>
      <c r="B3199" s="36">
        <f t="shared" ref="B3199:B3246" si="431">IF(C3199&lt;&gt;"",MONTH(C3199),"")</f>
        <v>7</v>
      </c>
      <c r="C3199" s="190">
        <f t="shared" ref="C3199:C3246" si="432">E3199</f>
        <v>42581</v>
      </c>
      <c r="D3199" s="856" t="s">
        <v>1662</v>
      </c>
      <c r="E3199" s="906">
        <v>42581</v>
      </c>
      <c r="F3199" s="868" t="s">
        <v>1463</v>
      </c>
      <c r="G3199" s="831" t="s">
        <v>1470</v>
      </c>
      <c r="H3199" s="859" t="s">
        <v>1310</v>
      </c>
      <c r="I3199" s="251">
        <v>11</v>
      </c>
      <c r="J3199" s="251">
        <v>75000</v>
      </c>
      <c r="K3199" s="860">
        <f t="shared" ref="K3199:K3246" si="433">ROUND(I3199*J3199,0)</f>
        <v>825000</v>
      </c>
      <c r="L3199" s="861" t="s">
        <v>162</v>
      </c>
      <c r="M3199" s="861" t="s">
        <v>857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52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>x</v>
      </c>
      <c r="AA3199" s="826"/>
    </row>
    <row r="3200" spans="1:27" ht="15.75" customHeight="1">
      <c r="A3200" s="827" t="str">
        <f>IF(B3200&lt;&gt;"",IF(AND(B3200&gt;=_TM1,B3200&lt;=_TM2,OR(TH!L3200="1111",TH!M3200="1111")),TH!D3200,""),"")</f>
        <v/>
      </c>
      <c r="B3200" s="36">
        <f t="shared" si="431"/>
        <v>7</v>
      </c>
      <c r="C3200" s="190">
        <f t="shared" si="432"/>
        <v>42581</v>
      </c>
      <c r="D3200" s="856" t="s">
        <v>1662</v>
      </c>
      <c r="E3200" s="906">
        <v>42581</v>
      </c>
      <c r="F3200" s="49" t="s">
        <v>490</v>
      </c>
      <c r="G3200" s="831" t="s">
        <v>1470</v>
      </c>
      <c r="H3200" s="859" t="s">
        <v>1310</v>
      </c>
      <c r="I3200" s="251">
        <v>4</v>
      </c>
      <c r="J3200" s="251">
        <v>156966</v>
      </c>
      <c r="K3200" s="860">
        <f t="shared" si="433"/>
        <v>627864</v>
      </c>
      <c r="L3200" s="861" t="s">
        <v>162</v>
      </c>
      <c r="M3200" s="861" t="s">
        <v>857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52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>x</v>
      </c>
      <c r="AA3200" s="826"/>
    </row>
    <row r="3201" spans="1:27" ht="15.75" customHeight="1">
      <c r="A3201" s="827" t="str">
        <f>IF(B3201&lt;&gt;"",IF(AND(B3201&gt;=_TM1,B3201&lt;=_TM2,OR(TH!L3201="1111",TH!M3201="1111")),TH!D3201,""),"")</f>
        <v/>
      </c>
      <c r="B3201" s="36">
        <f t="shared" si="431"/>
        <v>7</v>
      </c>
      <c r="C3201" s="190">
        <f t="shared" si="432"/>
        <v>42581</v>
      </c>
      <c r="D3201" s="856" t="s">
        <v>1662</v>
      </c>
      <c r="E3201" s="906">
        <v>42581</v>
      </c>
      <c r="F3201" s="868" t="s">
        <v>494</v>
      </c>
      <c r="G3201" s="831" t="s">
        <v>1470</v>
      </c>
      <c r="H3201" s="859" t="s">
        <v>1310</v>
      </c>
      <c r="I3201" s="251">
        <v>12</v>
      </c>
      <c r="J3201" s="251">
        <v>71747.5</v>
      </c>
      <c r="K3201" s="860">
        <f t="shared" si="433"/>
        <v>860970</v>
      </c>
      <c r="L3201" s="861" t="s">
        <v>162</v>
      </c>
      <c r="M3201" s="861" t="s">
        <v>857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52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>x</v>
      </c>
      <c r="AA3201" s="826"/>
    </row>
    <row r="3202" spans="1:27" ht="15.75" customHeight="1">
      <c r="A3202" s="827" t="str">
        <f>IF(B3202&lt;&gt;"",IF(AND(B3202&gt;=_TM1,B3202&lt;=_TM2,OR(TH!L3202="1111",TH!M3202="1111")),TH!D3202,""),"")</f>
        <v/>
      </c>
      <c r="B3202" s="36">
        <f t="shared" si="431"/>
        <v>7</v>
      </c>
      <c r="C3202" s="190">
        <f t="shared" si="432"/>
        <v>42581</v>
      </c>
      <c r="D3202" s="856" t="s">
        <v>1662</v>
      </c>
      <c r="E3202" s="906">
        <v>42581</v>
      </c>
      <c r="F3202" s="49" t="s">
        <v>809</v>
      </c>
      <c r="G3202" s="831" t="s">
        <v>1470</v>
      </c>
      <c r="H3202" s="859" t="s">
        <v>1310</v>
      </c>
      <c r="I3202" s="251">
        <v>48</v>
      </c>
      <c r="J3202" s="251">
        <v>42400</v>
      </c>
      <c r="K3202" s="860">
        <f t="shared" si="433"/>
        <v>2035200</v>
      </c>
      <c r="L3202" s="861" t="s">
        <v>162</v>
      </c>
      <c r="M3202" s="861" t="s">
        <v>857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52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>x</v>
      </c>
      <c r="AA3202" s="826"/>
    </row>
    <row r="3203" spans="1:27" ht="15.75" customHeight="1">
      <c r="A3203" s="827" t="str">
        <f>IF(B3203&lt;&gt;"",IF(AND(B3203&gt;=_TM1,B3203&lt;=_TM2,OR(TH!L3203="1111",TH!M3203="1111")),TH!D3203,""),"")</f>
        <v/>
      </c>
      <c r="B3203" s="36">
        <f t="shared" si="431"/>
        <v>7</v>
      </c>
      <c r="C3203" s="190">
        <f t="shared" si="432"/>
        <v>42581</v>
      </c>
      <c r="D3203" s="856" t="s">
        <v>1662</v>
      </c>
      <c r="E3203" s="906">
        <v>42581</v>
      </c>
      <c r="F3203" s="49" t="s">
        <v>451</v>
      </c>
      <c r="G3203" s="831" t="s">
        <v>1470</v>
      </c>
      <c r="H3203" s="859" t="s">
        <v>1310</v>
      </c>
      <c r="I3203" s="251">
        <v>580</v>
      </c>
      <c r="J3203" s="251">
        <v>10500</v>
      </c>
      <c r="K3203" s="860">
        <f t="shared" si="433"/>
        <v>6090000</v>
      </c>
      <c r="L3203" s="861" t="s">
        <v>162</v>
      </c>
      <c r="M3203" s="861" t="s">
        <v>857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52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>x</v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>x</v>
      </c>
      <c r="AA3203" s="826"/>
    </row>
    <row r="3204" spans="1:27" ht="15.75" customHeight="1">
      <c r="A3204" s="827" t="str">
        <f>IF(B3204&lt;&gt;"",IF(AND(B3204&gt;=_TM1,B3204&lt;=_TM2,OR(TH!L3204="1111",TH!M3204="1111")),TH!D3204,""),"")</f>
        <v/>
      </c>
      <c r="B3204" s="36">
        <f t="shared" si="431"/>
        <v>7</v>
      </c>
      <c r="C3204" s="190">
        <f t="shared" si="432"/>
        <v>42581</v>
      </c>
      <c r="D3204" s="856" t="s">
        <v>1662</v>
      </c>
      <c r="E3204" s="906">
        <v>42581</v>
      </c>
      <c r="F3204" s="868" t="s">
        <v>886</v>
      </c>
      <c r="G3204" s="831" t="s">
        <v>1470</v>
      </c>
      <c r="H3204" s="859" t="s">
        <v>1310</v>
      </c>
      <c r="I3204" s="251">
        <v>4</v>
      </c>
      <c r="J3204" s="251">
        <v>95800</v>
      </c>
      <c r="K3204" s="860">
        <f t="shared" si="433"/>
        <v>383200</v>
      </c>
      <c r="L3204" s="861" t="s">
        <v>162</v>
      </c>
      <c r="M3204" s="861" t="s">
        <v>857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52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>x</v>
      </c>
      <c r="AA3204" s="826"/>
    </row>
    <row r="3205" spans="1:27" ht="15.75" customHeight="1">
      <c r="A3205" s="827" t="str">
        <f>IF(B3205&lt;&gt;"",IF(AND(B3205&gt;=_TM1,B3205&lt;=_TM2,OR(TH!L3205="1111",TH!M3205="1111")),TH!D3205,""),"")</f>
        <v/>
      </c>
      <c r="B3205" s="36">
        <f t="shared" si="431"/>
        <v>7</v>
      </c>
      <c r="C3205" s="190">
        <f t="shared" si="432"/>
        <v>42581</v>
      </c>
      <c r="D3205" s="856" t="s">
        <v>1662</v>
      </c>
      <c r="E3205" s="906">
        <v>42581</v>
      </c>
      <c r="F3205" s="49" t="s">
        <v>882</v>
      </c>
      <c r="G3205" s="831" t="s">
        <v>1470</v>
      </c>
      <c r="H3205" s="859" t="s">
        <v>1310</v>
      </c>
      <c r="I3205" s="251">
        <v>12</v>
      </c>
      <c r="J3205" s="251">
        <v>66576</v>
      </c>
      <c r="K3205" s="860">
        <f t="shared" si="433"/>
        <v>798912</v>
      </c>
      <c r="L3205" s="861" t="s">
        <v>162</v>
      </c>
      <c r="M3205" s="861" t="s">
        <v>857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52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>x</v>
      </c>
      <c r="AA3205" s="826"/>
    </row>
    <row r="3206" spans="1:27" ht="15.75" customHeight="1">
      <c r="A3206" s="827" t="str">
        <f>IF(B3206&lt;&gt;"",IF(AND(B3206&gt;=_TM1,B3206&lt;=_TM2,OR(TH!L3206="1111",TH!M3206="1111")),TH!D3206,""),"")</f>
        <v/>
      </c>
      <c r="B3206" s="36">
        <f t="shared" si="431"/>
        <v>7</v>
      </c>
      <c r="C3206" s="190">
        <f t="shared" si="432"/>
        <v>42581</v>
      </c>
      <c r="D3206" s="856" t="s">
        <v>1662</v>
      </c>
      <c r="E3206" s="906">
        <v>42581</v>
      </c>
      <c r="F3206" s="868" t="s">
        <v>883</v>
      </c>
      <c r="G3206" s="831" t="s">
        <v>1470</v>
      </c>
      <c r="H3206" s="859" t="s">
        <v>1310</v>
      </c>
      <c r="I3206" s="251">
        <v>14</v>
      </c>
      <c r="J3206" s="251">
        <v>45501</v>
      </c>
      <c r="K3206" s="860">
        <f t="shared" si="433"/>
        <v>637014</v>
      </c>
      <c r="L3206" s="861" t="s">
        <v>162</v>
      </c>
      <c r="M3206" s="861" t="s">
        <v>857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52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>x</v>
      </c>
      <c r="AA3206" s="826"/>
    </row>
    <row r="3207" spans="1:27" ht="15.75" customHeight="1">
      <c r="A3207" s="827" t="str">
        <f>IF(B3207&lt;&gt;"",IF(AND(B3207&gt;=_TM1,B3207&lt;=_TM2,OR(TH!L3207="1111",TH!M3207="1111")),TH!D3207,""),"")</f>
        <v/>
      </c>
      <c r="B3207" s="36">
        <f t="shared" si="431"/>
        <v>7</v>
      </c>
      <c r="C3207" s="190">
        <f t="shared" si="432"/>
        <v>42581</v>
      </c>
      <c r="D3207" s="856" t="s">
        <v>1662</v>
      </c>
      <c r="E3207" s="906">
        <v>42581</v>
      </c>
      <c r="F3207" s="49" t="s">
        <v>884</v>
      </c>
      <c r="G3207" s="831" t="s">
        <v>1470</v>
      </c>
      <c r="H3207" s="859" t="s">
        <v>1310</v>
      </c>
      <c r="I3207" s="251">
        <v>14</v>
      </c>
      <c r="J3207" s="251">
        <v>61895</v>
      </c>
      <c r="K3207" s="860">
        <f t="shared" si="433"/>
        <v>866530</v>
      </c>
      <c r="L3207" s="861" t="s">
        <v>162</v>
      </c>
      <c r="M3207" s="861" t="s">
        <v>857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52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>x</v>
      </c>
      <c r="AA3207" s="826"/>
    </row>
    <row r="3208" spans="1:27" ht="15.75" customHeight="1">
      <c r="A3208" s="827" t="str">
        <f>IF(B3208&lt;&gt;"",IF(AND(B3208&gt;=_TM1,B3208&lt;=_TM2,OR(TH!L3208="1111",TH!M3208="1111")),TH!D3208,""),"")</f>
        <v/>
      </c>
      <c r="B3208" s="36">
        <f t="shared" si="431"/>
        <v>7</v>
      </c>
      <c r="C3208" s="190">
        <f t="shared" si="432"/>
        <v>42581</v>
      </c>
      <c r="D3208" s="856" t="s">
        <v>1662</v>
      </c>
      <c r="E3208" s="906">
        <v>42581</v>
      </c>
      <c r="F3208" s="49" t="s">
        <v>1464</v>
      </c>
      <c r="G3208" s="831" t="s">
        <v>1470</v>
      </c>
      <c r="H3208" s="859" t="s">
        <v>1310</v>
      </c>
      <c r="I3208" s="251">
        <v>5</v>
      </c>
      <c r="J3208" s="251">
        <v>103000</v>
      </c>
      <c r="K3208" s="860">
        <f t="shared" si="433"/>
        <v>515000</v>
      </c>
      <c r="L3208" s="861" t="s">
        <v>162</v>
      </c>
      <c r="M3208" s="861" t="s">
        <v>857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52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>x</v>
      </c>
      <c r="AA3208" s="826"/>
    </row>
    <row r="3209" spans="1:27" ht="15.75" customHeight="1">
      <c r="A3209" s="827" t="str">
        <f>IF(B3209&lt;&gt;"",IF(AND(B3209&gt;=_TM1,B3209&lt;=_TM2,OR(TH!L3209="1111",TH!M3209="1111")),TH!D3209,""),"")</f>
        <v/>
      </c>
      <c r="B3209" s="36">
        <f t="shared" si="431"/>
        <v>7</v>
      </c>
      <c r="C3209" s="190">
        <f t="shared" si="432"/>
        <v>42581</v>
      </c>
      <c r="D3209" s="856" t="s">
        <v>1662</v>
      </c>
      <c r="E3209" s="906">
        <v>42581</v>
      </c>
      <c r="F3209" s="49" t="s">
        <v>882</v>
      </c>
      <c r="G3209" s="831" t="s">
        <v>1470</v>
      </c>
      <c r="H3209" s="859" t="s">
        <v>1310</v>
      </c>
      <c r="I3209" s="251">
        <v>16</v>
      </c>
      <c r="J3209" s="251">
        <v>74000</v>
      </c>
      <c r="K3209" s="860">
        <f t="shared" si="433"/>
        <v>1184000</v>
      </c>
      <c r="L3209" s="861" t="s">
        <v>162</v>
      </c>
      <c r="M3209" s="861" t="s">
        <v>857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52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>x</v>
      </c>
      <c r="AA3209" s="826"/>
    </row>
    <row r="3210" spans="1:27" ht="15.75" customHeight="1">
      <c r="A3210" s="827" t="str">
        <f>IF(B3210&lt;&gt;"",IF(AND(B3210&gt;=_TM1,B3210&lt;=_TM2,OR(TH!L3210="1111",TH!M3210="1111")),TH!D3210,""),"")</f>
        <v/>
      </c>
      <c r="B3210" s="36">
        <f t="shared" si="431"/>
        <v>7</v>
      </c>
      <c r="C3210" s="190">
        <f t="shared" si="432"/>
        <v>42581</v>
      </c>
      <c r="D3210" s="856" t="s">
        <v>1662</v>
      </c>
      <c r="E3210" s="906">
        <v>42581</v>
      </c>
      <c r="F3210" s="868" t="s">
        <v>547</v>
      </c>
      <c r="G3210" s="831" t="s">
        <v>1470</v>
      </c>
      <c r="H3210" s="859" t="s">
        <v>1310</v>
      </c>
      <c r="I3210" s="251">
        <v>36</v>
      </c>
      <c r="J3210" s="251">
        <v>17060</v>
      </c>
      <c r="K3210" s="860">
        <f t="shared" si="433"/>
        <v>614160</v>
      </c>
      <c r="L3210" s="861" t="s">
        <v>162</v>
      </c>
      <c r="M3210" s="861" t="s">
        <v>857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52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>x</v>
      </c>
      <c r="AA3210" s="826"/>
    </row>
    <row r="3211" spans="1:27" ht="15.75" customHeight="1">
      <c r="A3211" s="827" t="str">
        <f>IF(B3211&lt;&gt;"",IF(AND(B3211&gt;=_TM1,B3211&lt;=_TM2,OR(TH!L3211="1111",TH!M3211="1111")),TH!D3211,""),"")</f>
        <v/>
      </c>
      <c r="B3211" s="36">
        <f t="shared" si="431"/>
        <v>7</v>
      </c>
      <c r="C3211" s="190">
        <f t="shared" si="432"/>
        <v>42581</v>
      </c>
      <c r="D3211" s="856" t="s">
        <v>1662</v>
      </c>
      <c r="E3211" s="906">
        <v>42581</v>
      </c>
      <c r="F3211" s="49" t="s">
        <v>525</v>
      </c>
      <c r="G3211" s="831" t="s">
        <v>1470</v>
      </c>
      <c r="H3211" s="859" t="s">
        <v>1310</v>
      </c>
      <c r="I3211" s="251">
        <v>24</v>
      </c>
      <c r="J3211" s="251">
        <v>17462.514880952382</v>
      </c>
      <c r="K3211" s="860">
        <f t="shared" si="433"/>
        <v>419100</v>
      </c>
      <c r="L3211" s="861" t="s">
        <v>162</v>
      </c>
      <c r="M3211" s="861" t="s">
        <v>857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52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>x</v>
      </c>
      <c r="AA3211" s="826"/>
    </row>
    <row r="3212" spans="1:27" ht="15.75" customHeight="1">
      <c r="A3212" s="827" t="str">
        <f>IF(B3212&lt;&gt;"",IF(AND(B3212&gt;=_TM1,B3212&lt;=_TM2,OR(TH!L3212="1111",TH!M3212="1111")),TH!D3212,""),"")</f>
        <v/>
      </c>
      <c r="B3212" s="36">
        <f t="shared" si="431"/>
        <v>7</v>
      </c>
      <c r="C3212" s="190">
        <f t="shared" si="432"/>
        <v>42581</v>
      </c>
      <c r="D3212" s="856" t="s">
        <v>1662</v>
      </c>
      <c r="E3212" s="906">
        <v>42581</v>
      </c>
      <c r="F3212" s="49" t="s">
        <v>525</v>
      </c>
      <c r="G3212" s="831" t="s">
        <v>1470</v>
      </c>
      <c r="H3212" s="859" t="s">
        <v>1310</v>
      </c>
      <c r="I3212" s="251">
        <v>54</v>
      </c>
      <c r="J3212" s="251">
        <v>17462.514880952382</v>
      </c>
      <c r="K3212" s="860">
        <f t="shared" si="433"/>
        <v>942976</v>
      </c>
      <c r="L3212" s="861" t="s">
        <v>162</v>
      </c>
      <c r="M3212" s="861" t="s">
        <v>857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52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>x</v>
      </c>
      <c r="AA3212" s="826"/>
    </row>
    <row r="3213" spans="1:27" ht="15.75" customHeight="1">
      <c r="A3213" s="827" t="str">
        <f>IF(B3213&lt;&gt;"",IF(AND(B3213&gt;=_TM1,B3213&lt;=_TM2,OR(TH!L3213="1111",TH!M3213="1111")),TH!D3213,""),"")</f>
        <v/>
      </c>
      <c r="B3213" s="36">
        <f t="shared" si="431"/>
        <v>7</v>
      </c>
      <c r="C3213" s="190">
        <f t="shared" si="432"/>
        <v>42581</v>
      </c>
      <c r="D3213" s="856" t="s">
        <v>1662</v>
      </c>
      <c r="E3213" s="906">
        <v>42581</v>
      </c>
      <c r="F3213" s="908" t="s">
        <v>525</v>
      </c>
      <c r="G3213" s="831" t="s">
        <v>1470</v>
      </c>
      <c r="H3213" s="859" t="s">
        <v>1310</v>
      </c>
      <c r="I3213" s="251">
        <v>48</v>
      </c>
      <c r="J3213" s="251">
        <v>17462.514880952382</v>
      </c>
      <c r="K3213" s="860">
        <f t="shared" si="433"/>
        <v>838201</v>
      </c>
      <c r="L3213" s="861" t="s">
        <v>162</v>
      </c>
      <c r="M3213" s="861" t="s">
        <v>857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52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>x</v>
      </c>
      <c r="AA3213" s="826"/>
    </row>
    <row r="3214" spans="1:27" ht="15.75" customHeight="1">
      <c r="A3214" s="827" t="str">
        <f>IF(B3214&lt;&gt;"",IF(AND(B3214&gt;=_TM1,B3214&lt;=_TM2,OR(TH!L3214="1111",TH!M3214="1111")),TH!D3214,""),"")</f>
        <v/>
      </c>
      <c r="B3214" s="36">
        <f t="shared" si="431"/>
        <v>7</v>
      </c>
      <c r="C3214" s="190">
        <f t="shared" si="432"/>
        <v>42581</v>
      </c>
      <c r="D3214" s="856" t="s">
        <v>1662</v>
      </c>
      <c r="E3214" s="906">
        <v>42581</v>
      </c>
      <c r="F3214" s="868" t="s">
        <v>712</v>
      </c>
      <c r="G3214" s="831" t="s">
        <v>1470</v>
      </c>
      <c r="H3214" s="859" t="s">
        <v>1310</v>
      </c>
      <c r="I3214" s="251">
        <v>12</v>
      </c>
      <c r="J3214" s="251">
        <v>21500</v>
      </c>
      <c r="K3214" s="860">
        <f t="shared" si="433"/>
        <v>258000</v>
      </c>
      <c r="L3214" s="861" t="s">
        <v>162</v>
      </c>
      <c r="M3214" s="861" t="s">
        <v>857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52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>x</v>
      </c>
      <c r="AA3214" s="826"/>
    </row>
    <row r="3215" spans="1:27" ht="15.75" customHeight="1">
      <c r="A3215" s="827" t="str">
        <f>IF(B3215&lt;&gt;"",IF(AND(B3215&gt;=_TM1,B3215&lt;=_TM2,OR(TH!L3215="1111",TH!M3215="1111")),TH!D3215,""),"")</f>
        <v/>
      </c>
      <c r="B3215" s="36">
        <f t="shared" si="431"/>
        <v>7</v>
      </c>
      <c r="C3215" s="190">
        <f t="shared" si="432"/>
        <v>42581</v>
      </c>
      <c r="D3215" s="856" t="s">
        <v>1662</v>
      </c>
      <c r="E3215" s="906">
        <v>42581</v>
      </c>
      <c r="F3215" s="49" t="s">
        <v>549</v>
      </c>
      <c r="G3215" s="831" t="s">
        <v>1470</v>
      </c>
      <c r="H3215" s="859" t="s">
        <v>1310</v>
      </c>
      <c r="I3215" s="251">
        <v>12</v>
      </c>
      <c r="J3215" s="251">
        <v>47300</v>
      </c>
      <c r="K3215" s="860">
        <f t="shared" si="433"/>
        <v>567600</v>
      </c>
      <c r="L3215" s="861" t="s">
        <v>162</v>
      </c>
      <c r="M3215" s="861" t="s">
        <v>857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52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>x</v>
      </c>
      <c r="AA3215" s="826"/>
    </row>
    <row r="3216" spans="1:27" ht="15.75" customHeight="1">
      <c r="A3216" s="827" t="str">
        <f>IF(B3216&lt;&gt;"",IF(AND(B3216&gt;=_TM1,B3216&lt;=_TM2,OR(TH!L3216="1111",TH!M3216="1111")),TH!D3216,""),"")</f>
        <v/>
      </c>
      <c r="B3216" s="36">
        <f t="shared" si="431"/>
        <v>7</v>
      </c>
      <c r="C3216" s="190">
        <f t="shared" si="432"/>
        <v>42581</v>
      </c>
      <c r="D3216" s="856" t="s">
        <v>1662</v>
      </c>
      <c r="E3216" s="906">
        <v>42581</v>
      </c>
      <c r="F3216" s="868" t="s">
        <v>511</v>
      </c>
      <c r="G3216" s="831" t="s">
        <v>1470</v>
      </c>
      <c r="H3216" s="859" t="s">
        <v>1310</v>
      </c>
      <c r="I3216" s="251">
        <v>36</v>
      </c>
      <c r="J3216" s="251">
        <v>31250</v>
      </c>
      <c r="K3216" s="860">
        <f t="shared" si="433"/>
        <v>1125000</v>
      </c>
      <c r="L3216" s="861" t="s">
        <v>162</v>
      </c>
      <c r="M3216" s="861" t="s">
        <v>857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52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>x</v>
      </c>
      <c r="AA3216" s="826"/>
    </row>
    <row r="3217" spans="1:27" ht="15.75" customHeight="1">
      <c r="A3217" s="827" t="str">
        <f>IF(B3217&lt;&gt;"",IF(AND(B3217&gt;=_TM1,B3217&lt;=_TM2,OR(TH!L3217="1111",TH!M3217="1111")),TH!D3217,""),"")</f>
        <v/>
      </c>
      <c r="B3217" s="36">
        <f t="shared" si="431"/>
        <v>7</v>
      </c>
      <c r="C3217" s="190">
        <f t="shared" si="432"/>
        <v>42581</v>
      </c>
      <c r="D3217" s="856" t="s">
        <v>1662</v>
      </c>
      <c r="E3217" s="906">
        <v>42581</v>
      </c>
      <c r="F3217" s="49" t="s">
        <v>699</v>
      </c>
      <c r="G3217" s="831" t="s">
        <v>1470</v>
      </c>
      <c r="H3217" s="859" t="s">
        <v>1310</v>
      </c>
      <c r="I3217" s="251">
        <v>24</v>
      </c>
      <c r="J3217" s="251">
        <v>14380.15</v>
      </c>
      <c r="K3217" s="860">
        <f t="shared" si="433"/>
        <v>345124</v>
      </c>
      <c r="L3217" s="861" t="s">
        <v>162</v>
      </c>
      <c r="M3217" s="861" t="s">
        <v>857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52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>x</v>
      </c>
      <c r="AA3217" s="826"/>
    </row>
    <row r="3218" spans="1:27" ht="15.75" customHeight="1">
      <c r="A3218" s="827" t="str">
        <f>IF(B3218&lt;&gt;"",IF(AND(B3218&gt;=_TM1,B3218&lt;=_TM2,OR(TH!L3218="1111",TH!M3218="1111")),TH!D3218,""),"")</f>
        <v/>
      </c>
      <c r="B3218" s="36">
        <f t="shared" si="431"/>
        <v>7</v>
      </c>
      <c r="C3218" s="190">
        <f t="shared" si="432"/>
        <v>42581</v>
      </c>
      <c r="D3218" s="856" t="s">
        <v>1662</v>
      </c>
      <c r="E3218" s="906">
        <v>42581</v>
      </c>
      <c r="F3218" s="868" t="s">
        <v>525</v>
      </c>
      <c r="G3218" s="831" t="s">
        <v>1470</v>
      </c>
      <c r="H3218" s="859" t="s">
        <v>1310</v>
      </c>
      <c r="I3218" s="251">
        <v>54</v>
      </c>
      <c r="J3218" s="251">
        <v>17462.514880952382</v>
      </c>
      <c r="K3218" s="860">
        <f t="shared" si="433"/>
        <v>942976</v>
      </c>
      <c r="L3218" s="861" t="s">
        <v>162</v>
      </c>
      <c r="M3218" s="861" t="s">
        <v>857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52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>x</v>
      </c>
      <c r="AA3218" s="826"/>
    </row>
    <row r="3219" spans="1:27" ht="15.75" customHeight="1">
      <c r="A3219" s="827" t="str">
        <f>IF(B3219&lt;&gt;"",IF(AND(B3219&gt;=_TM1,B3219&lt;=_TM2,OR(TH!L3219="1111",TH!M3219="1111")),TH!D3219,""),"")</f>
        <v/>
      </c>
      <c r="B3219" s="36">
        <f t="shared" si="431"/>
        <v>7</v>
      </c>
      <c r="C3219" s="190">
        <f t="shared" si="432"/>
        <v>42581</v>
      </c>
      <c r="D3219" s="856" t="s">
        <v>1662</v>
      </c>
      <c r="E3219" s="906">
        <v>42581</v>
      </c>
      <c r="F3219" s="49" t="s">
        <v>525</v>
      </c>
      <c r="G3219" s="831" t="s">
        <v>1470</v>
      </c>
      <c r="H3219" s="859" t="s">
        <v>1310</v>
      </c>
      <c r="I3219" s="251">
        <v>12</v>
      </c>
      <c r="J3219" s="251">
        <v>17462.514880952382</v>
      </c>
      <c r="K3219" s="860">
        <f t="shared" si="433"/>
        <v>209550</v>
      </c>
      <c r="L3219" s="861" t="s">
        <v>162</v>
      </c>
      <c r="M3219" s="861" t="s">
        <v>857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52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>x</v>
      </c>
      <c r="AA3219" s="826"/>
    </row>
    <row r="3220" spans="1:27" ht="15.75" customHeight="1">
      <c r="A3220" s="827" t="str">
        <f>IF(B3220&lt;&gt;"",IF(AND(B3220&gt;=_TM1,B3220&lt;=_TM2,OR(TH!L3220="1111",TH!M3220="1111")),TH!D3220,""),"")</f>
        <v/>
      </c>
      <c r="B3220" s="36">
        <f t="shared" si="431"/>
        <v>7</v>
      </c>
      <c r="C3220" s="190">
        <f t="shared" si="432"/>
        <v>42581</v>
      </c>
      <c r="D3220" s="856" t="s">
        <v>1662</v>
      </c>
      <c r="E3220" s="906">
        <v>42581</v>
      </c>
      <c r="F3220" s="868" t="s">
        <v>826</v>
      </c>
      <c r="G3220" s="831" t="s">
        <v>1470</v>
      </c>
      <c r="H3220" s="859" t="s">
        <v>1310</v>
      </c>
      <c r="I3220" s="251">
        <v>24</v>
      </c>
      <c r="J3220" s="251">
        <v>49000</v>
      </c>
      <c r="K3220" s="860">
        <f t="shared" si="433"/>
        <v>1176000</v>
      </c>
      <c r="L3220" s="861" t="s">
        <v>162</v>
      </c>
      <c r="M3220" s="861" t="s">
        <v>857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52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>x</v>
      </c>
      <c r="AA3220" s="826"/>
    </row>
    <row r="3221" spans="1:27" ht="15.75" customHeight="1">
      <c r="A3221" s="827" t="str">
        <f>IF(B3221&lt;&gt;"",IF(AND(B3221&gt;=_TM1,B3221&lt;=_TM2,OR(TH!L3221="1111",TH!M3221="1111")),TH!D3221,""),"")</f>
        <v/>
      </c>
      <c r="B3221" s="36">
        <f t="shared" si="431"/>
        <v>7</v>
      </c>
      <c r="C3221" s="190">
        <f t="shared" si="432"/>
        <v>42581</v>
      </c>
      <c r="D3221" s="856" t="s">
        <v>1662</v>
      </c>
      <c r="E3221" s="906">
        <v>42581</v>
      </c>
      <c r="F3221" s="49" t="s">
        <v>559</v>
      </c>
      <c r="G3221" s="831" t="s">
        <v>1470</v>
      </c>
      <c r="H3221" s="859" t="s">
        <v>1310</v>
      </c>
      <c r="I3221" s="251">
        <v>24</v>
      </c>
      <c r="J3221" s="251">
        <v>49100</v>
      </c>
      <c r="K3221" s="860">
        <f t="shared" si="433"/>
        <v>1178400</v>
      </c>
      <c r="L3221" s="861" t="s">
        <v>162</v>
      </c>
      <c r="M3221" s="861" t="s">
        <v>857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52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>x</v>
      </c>
      <c r="AA3221" s="826"/>
    </row>
    <row r="3222" spans="1:27" ht="15.75" customHeight="1">
      <c r="A3222" s="827" t="str">
        <f>IF(B3222&lt;&gt;"",IF(AND(B3222&gt;=_TM1,B3222&lt;=_TM2,OR(TH!L3222="1111",TH!M3222="1111")),TH!D3222,""),"")</f>
        <v/>
      </c>
      <c r="B3222" s="36">
        <f t="shared" si="431"/>
        <v>7</v>
      </c>
      <c r="C3222" s="190">
        <f t="shared" si="432"/>
        <v>42581</v>
      </c>
      <c r="D3222" s="856" t="s">
        <v>1662</v>
      </c>
      <c r="E3222" s="906">
        <v>42581</v>
      </c>
      <c r="F3222" s="49" t="s">
        <v>1465</v>
      </c>
      <c r="G3222" s="831" t="s">
        <v>1470</v>
      </c>
      <c r="H3222" s="859" t="s">
        <v>1310</v>
      </c>
      <c r="I3222" s="251">
        <v>20</v>
      </c>
      <c r="J3222" s="251">
        <v>71399</v>
      </c>
      <c r="K3222" s="860">
        <f t="shared" si="433"/>
        <v>1427980</v>
      </c>
      <c r="L3222" s="861" t="s">
        <v>162</v>
      </c>
      <c r="M3222" s="861" t="s">
        <v>857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52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>x</v>
      </c>
      <c r="AA3222" s="826"/>
    </row>
    <row r="3223" spans="1:27" ht="15.75" customHeight="1">
      <c r="A3223" s="827" t="str">
        <f>IF(B3223&lt;&gt;"",IF(AND(B3223&gt;=_TM1,B3223&lt;=_TM2,OR(TH!L3223="1111",TH!M3223="1111")),TH!D3223,""),"")</f>
        <v/>
      </c>
      <c r="B3223" s="36">
        <f t="shared" si="431"/>
        <v>7</v>
      </c>
      <c r="C3223" s="190">
        <f t="shared" si="432"/>
        <v>42581</v>
      </c>
      <c r="D3223" s="856" t="s">
        <v>1662</v>
      </c>
      <c r="E3223" s="906">
        <v>42581</v>
      </c>
      <c r="F3223" s="868" t="s">
        <v>1466</v>
      </c>
      <c r="G3223" s="831" t="s">
        <v>1470</v>
      </c>
      <c r="H3223" s="859" t="s">
        <v>1310</v>
      </c>
      <c r="I3223" s="251">
        <v>50</v>
      </c>
      <c r="J3223" s="251">
        <v>33000</v>
      </c>
      <c r="K3223" s="860">
        <f t="shared" si="433"/>
        <v>1650000</v>
      </c>
      <c r="L3223" s="861" t="s">
        <v>162</v>
      </c>
      <c r="M3223" s="861" t="s">
        <v>857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52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>x</v>
      </c>
      <c r="AA3223" s="826"/>
    </row>
    <row r="3224" spans="1:27" ht="15.75" customHeight="1">
      <c r="A3224" s="827" t="str">
        <f>IF(B3224&lt;&gt;"",IF(AND(B3224&gt;=_TM1,B3224&lt;=_TM2,OR(TH!L3224="1111",TH!M3224="1111")),TH!D3224,""),"")</f>
        <v/>
      </c>
      <c r="B3224" s="36">
        <f t="shared" si="431"/>
        <v>7</v>
      </c>
      <c r="C3224" s="190">
        <f t="shared" si="432"/>
        <v>42581</v>
      </c>
      <c r="D3224" s="856" t="s">
        <v>1662</v>
      </c>
      <c r="E3224" s="906">
        <v>42581</v>
      </c>
      <c r="F3224" s="49" t="s">
        <v>813</v>
      </c>
      <c r="G3224" s="831" t="s">
        <v>1470</v>
      </c>
      <c r="H3224" s="859" t="s">
        <v>1310</v>
      </c>
      <c r="I3224" s="251">
        <v>10</v>
      </c>
      <c r="J3224" s="251">
        <v>72400</v>
      </c>
      <c r="K3224" s="860">
        <f t="shared" si="433"/>
        <v>724000</v>
      </c>
      <c r="L3224" s="861" t="s">
        <v>162</v>
      </c>
      <c r="M3224" s="861" t="s">
        <v>857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52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>x</v>
      </c>
      <c r="AA3224" s="826"/>
    </row>
    <row r="3225" spans="1:27" ht="15.75" customHeight="1">
      <c r="A3225" s="827" t="str">
        <f>IF(B3225&lt;&gt;"",IF(AND(B3225&gt;=_TM1,B3225&lt;=_TM2,OR(TH!L3225="1111",TH!M3225="1111")),TH!D3225,""),"")</f>
        <v/>
      </c>
      <c r="B3225" s="36">
        <f t="shared" si="431"/>
        <v>7</v>
      </c>
      <c r="C3225" s="190">
        <f t="shared" si="432"/>
        <v>42581</v>
      </c>
      <c r="D3225" s="856" t="s">
        <v>1662</v>
      </c>
      <c r="E3225" s="906">
        <v>42581</v>
      </c>
      <c r="F3225" s="868" t="s">
        <v>822</v>
      </c>
      <c r="G3225" s="831" t="s">
        <v>1470</v>
      </c>
      <c r="H3225" s="859" t="s">
        <v>1310</v>
      </c>
      <c r="I3225" s="251">
        <v>6</v>
      </c>
      <c r="J3225" s="251">
        <v>108192</v>
      </c>
      <c r="K3225" s="860">
        <f t="shared" si="433"/>
        <v>649152</v>
      </c>
      <c r="L3225" s="861" t="s">
        <v>162</v>
      </c>
      <c r="M3225" s="861" t="s">
        <v>857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52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>x</v>
      </c>
      <c r="AA3225" s="826"/>
    </row>
    <row r="3226" spans="1:27" ht="15.75" customHeight="1">
      <c r="A3226" s="827" t="str">
        <f>IF(B3226&lt;&gt;"",IF(AND(B3226&gt;=_TM1,B3226&lt;=_TM2,OR(TH!L3226="1111",TH!M3226="1111")),TH!D3226,""),"")</f>
        <v/>
      </c>
      <c r="B3226" s="36">
        <f t="shared" si="431"/>
        <v>7</v>
      </c>
      <c r="C3226" s="190">
        <f t="shared" si="432"/>
        <v>42581</v>
      </c>
      <c r="D3226" s="856" t="s">
        <v>1662</v>
      </c>
      <c r="E3226" s="906">
        <v>42581</v>
      </c>
      <c r="F3226" s="49" t="s">
        <v>491</v>
      </c>
      <c r="G3226" s="831" t="s">
        <v>1470</v>
      </c>
      <c r="H3226" s="859" t="s">
        <v>1310</v>
      </c>
      <c r="I3226" s="251">
        <v>5</v>
      </c>
      <c r="J3226" s="251">
        <v>105200</v>
      </c>
      <c r="K3226" s="860">
        <f t="shared" si="433"/>
        <v>526000</v>
      </c>
      <c r="L3226" s="861" t="s">
        <v>162</v>
      </c>
      <c r="M3226" s="861" t="s">
        <v>857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52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>x</v>
      </c>
      <c r="AA3226" s="826"/>
    </row>
    <row r="3227" spans="1:27" ht="15.75" customHeight="1">
      <c r="A3227" s="827" t="str">
        <f>IF(B3227&lt;&gt;"",IF(AND(B3227&gt;=_TM1,B3227&lt;=_TM2,OR(TH!L3227="1111",TH!M3227="1111")),TH!D3227,""),"")</f>
        <v/>
      </c>
      <c r="B3227" s="36">
        <f t="shared" si="431"/>
        <v>7</v>
      </c>
      <c r="C3227" s="190">
        <f t="shared" si="432"/>
        <v>42581</v>
      </c>
      <c r="D3227" s="856" t="s">
        <v>1662</v>
      </c>
      <c r="E3227" s="906">
        <v>42581</v>
      </c>
      <c r="F3227" s="49" t="s">
        <v>819</v>
      </c>
      <c r="G3227" s="831" t="s">
        <v>1470</v>
      </c>
      <c r="H3227" s="859" t="s">
        <v>1310</v>
      </c>
      <c r="I3227" s="251">
        <v>4</v>
      </c>
      <c r="J3227" s="251">
        <v>122700</v>
      </c>
      <c r="K3227" s="860">
        <f t="shared" si="433"/>
        <v>490800</v>
      </c>
      <c r="L3227" s="861" t="s">
        <v>162</v>
      </c>
      <c r="M3227" s="861" t="s">
        <v>857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52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>x</v>
      </c>
      <c r="AA3227" s="826"/>
    </row>
    <row r="3228" spans="1:27" ht="15.75" customHeight="1">
      <c r="A3228" s="827" t="str">
        <f>IF(B3228&lt;&gt;"",IF(AND(B3228&gt;=_TM1,B3228&lt;=_TM2,OR(TH!L3228="1111",TH!M3228="1111")),TH!D3228,""),"")</f>
        <v/>
      </c>
      <c r="B3228" s="36">
        <f t="shared" si="431"/>
        <v>7</v>
      </c>
      <c r="C3228" s="190">
        <f t="shared" si="432"/>
        <v>42581</v>
      </c>
      <c r="D3228" s="856" t="s">
        <v>1662</v>
      </c>
      <c r="E3228" s="906">
        <v>42581</v>
      </c>
      <c r="F3228" s="49" t="s">
        <v>809</v>
      </c>
      <c r="G3228" s="831" t="s">
        <v>1470</v>
      </c>
      <c r="H3228" s="859" t="s">
        <v>1310</v>
      </c>
      <c r="I3228" s="251">
        <v>12</v>
      </c>
      <c r="J3228" s="251">
        <v>42400</v>
      </c>
      <c r="K3228" s="860">
        <f t="shared" si="433"/>
        <v>508800</v>
      </c>
      <c r="L3228" s="861" t="s">
        <v>162</v>
      </c>
      <c r="M3228" s="861" t="s">
        <v>857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52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>x</v>
      </c>
      <c r="AA3228" s="826"/>
    </row>
    <row r="3229" spans="1:27" ht="15.75" customHeight="1">
      <c r="A3229" s="827" t="str">
        <f>IF(B3229&lt;&gt;"",IF(AND(B3229&gt;=_TM1,B3229&lt;=_TM2,OR(TH!L3229="1111",TH!M3229="1111")),TH!D3229,""),"")</f>
        <v/>
      </c>
      <c r="B3229" s="36">
        <f t="shared" si="431"/>
        <v>7</v>
      </c>
      <c r="C3229" s="190">
        <f t="shared" si="432"/>
        <v>42581</v>
      </c>
      <c r="D3229" s="856" t="s">
        <v>1662</v>
      </c>
      <c r="E3229" s="906">
        <v>42581</v>
      </c>
      <c r="F3229" s="868" t="s">
        <v>874</v>
      </c>
      <c r="G3229" s="831" t="s">
        <v>1470</v>
      </c>
      <c r="H3229" s="859" t="s">
        <v>1310</v>
      </c>
      <c r="I3229" s="251">
        <v>12</v>
      </c>
      <c r="J3229" s="251">
        <v>34428</v>
      </c>
      <c r="K3229" s="860">
        <f t="shared" si="433"/>
        <v>413136</v>
      </c>
      <c r="L3229" s="861" t="s">
        <v>162</v>
      </c>
      <c r="M3229" s="861" t="s">
        <v>857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52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>x</v>
      </c>
      <c r="AA3229" s="826"/>
    </row>
    <row r="3230" spans="1:27" ht="15.75" customHeight="1">
      <c r="A3230" s="827" t="str">
        <f>IF(B3230&lt;&gt;"",IF(AND(B3230&gt;=_TM1,B3230&lt;=_TM2,OR(TH!L3230="1111",TH!M3230="1111")),TH!D3230,""),"")</f>
        <v/>
      </c>
      <c r="B3230" s="36">
        <f t="shared" si="431"/>
        <v>7</v>
      </c>
      <c r="C3230" s="190">
        <f t="shared" si="432"/>
        <v>42581</v>
      </c>
      <c r="D3230" s="856" t="s">
        <v>1662</v>
      </c>
      <c r="E3230" s="906">
        <v>42581</v>
      </c>
      <c r="F3230" s="49" t="s">
        <v>823</v>
      </c>
      <c r="G3230" s="831" t="s">
        <v>1470</v>
      </c>
      <c r="H3230" s="859" t="s">
        <v>1310</v>
      </c>
      <c r="I3230" s="251">
        <v>3</v>
      </c>
      <c r="J3230" s="251">
        <v>186785.2</v>
      </c>
      <c r="K3230" s="860">
        <f t="shared" si="433"/>
        <v>560356</v>
      </c>
      <c r="L3230" s="861" t="s">
        <v>162</v>
      </c>
      <c r="M3230" s="861" t="s">
        <v>857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52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>x</v>
      </c>
      <c r="AA3230" s="826"/>
    </row>
    <row r="3231" spans="1:27" ht="15.75" customHeight="1">
      <c r="A3231" s="827" t="str">
        <f>IF(B3231&lt;&gt;"",IF(AND(B3231&gt;=_TM1,B3231&lt;=_TM2,OR(TH!L3231="1111",TH!M3231="1111")),TH!D3231,""),"")</f>
        <v/>
      </c>
      <c r="B3231" s="36">
        <f t="shared" si="431"/>
        <v>7</v>
      </c>
      <c r="C3231" s="190">
        <f t="shared" si="432"/>
        <v>42581</v>
      </c>
      <c r="D3231" s="856" t="s">
        <v>1662</v>
      </c>
      <c r="E3231" s="906">
        <v>42581</v>
      </c>
      <c r="F3231" s="49" t="s">
        <v>1467</v>
      </c>
      <c r="G3231" s="831" t="s">
        <v>1470</v>
      </c>
      <c r="H3231" s="859" t="s">
        <v>1310</v>
      </c>
      <c r="I3231" s="251">
        <v>20</v>
      </c>
      <c r="J3231" s="251">
        <v>38500</v>
      </c>
      <c r="K3231" s="860">
        <f t="shared" si="433"/>
        <v>770000</v>
      </c>
      <c r="L3231" s="861" t="s">
        <v>162</v>
      </c>
      <c r="M3231" s="861" t="s">
        <v>857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52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>x</v>
      </c>
      <c r="AA3231" s="826"/>
    </row>
    <row r="3232" spans="1:27" ht="15.75" customHeight="1">
      <c r="A3232" s="827" t="str">
        <f>IF(B3232&lt;&gt;"",IF(AND(B3232&gt;=_TM1,B3232&lt;=_TM2,OR(TH!L3232="1111",TH!M3232="1111")),TH!D3232,""),"")</f>
        <v/>
      </c>
      <c r="B3232" s="36">
        <f t="shared" si="431"/>
        <v>7</v>
      </c>
      <c r="C3232" s="190">
        <f t="shared" si="432"/>
        <v>42581</v>
      </c>
      <c r="D3232" s="856" t="s">
        <v>1662</v>
      </c>
      <c r="E3232" s="906">
        <v>42581</v>
      </c>
      <c r="F3232" s="908" t="s">
        <v>504</v>
      </c>
      <c r="G3232" s="831" t="s">
        <v>1470</v>
      </c>
      <c r="H3232" s="859" t="s">
        <v>1310</v>
      </c>
      <c r="I3232" s="251">
        <v>6</v>
      </c>
      <c r="J3232" s="251">
        <v>107200</v>
      </c>
      <c r="K3232" s="860">
        <f t="shared" si="433"/>
        <v>643200</v>
      </c>
      <c r="L3232" s="861" t="s">
        <v>162</v>
      </c>
      <c r="M3232" s="861" t="s">
        <v>857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52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>x</v>
      </c>
      <c r="AA3232" s="826"/>
    </row>
    <row r="3233" spans="1:27" ht="15.75" customHeight="1">
      <c r="A3233" s="827" t="str">
        <f>IF(B3233&lt;&gt;"",IF(AND(B3233&gt;=_TM1,B3233&lt;=_TM2,OR(TH!L3233="1111",TH!M3233="1111")),TH!D3233,""),"")</f>
        <v/>
      </c>
      <c r="B3233" s="36">
        <f t="shared" si="431"/>
        <v>7</v>
      </c>
      <c r="C3233" s="190">
        <f t="shared" si="432"/>
        <v>42581</v>
      </c>
      <c r="D3233" s="856" t="s">
        <v>1662</v>
      </c>
      <c r="E3233" s="906">
        <v>42581</v>
      </c>
      <c r="F3233" s="868" t="s">
        <v>511</v>
      </c>
      <c r="G3233" s="831" t="s">
        <v>1470</v>
      </c>
      <c r="H3233" s="859" t="s">
        <v>1310</v>
      </c>
      <c r="I3233" s="251">
        <v>25</v>
      </c>
      <c r="J3233" s="251">
        <v>30589</v>
      </c>
      <c r="K3233" s="860">
        <f t="shared" si="433"/>
        <v>764725</v>
      </c>
      <c r="L3233" s="861" t="s">
        <v>162</v>
      </c>
      <c r="M3233" s="861" t="s">
        <v>857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52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>x</v>
      </c>
      <c r="AA3233" s="826"/>
    </row>
    <row r="3234" spans="1:27" ht="15.75" customHeight="1">
      <c r="A3234" s="827" t="str">
        <f>IF(B3234&lt;&gt;"",IF(AND(B3234&gt;=_TM1,B3234&lt;=_TM2,OR(TH!L3234="1111",TH!M3234="1111")),TH!D3234,""),"")</f>
        <v/>
      </c>
      <c r="B3234" s="36">
        <f t="shared" si="431"/>
        <v>7</v>
      </c>
      <c r="C3234" s="190">
        <f t="shared" si="432"/>
        <v>42581</v>
      </c>
      <c r="D3234" s="856" t="s">
        <v>1662</v>
      </c>
      <c r="E3234" s="906">
        <v>42581</v>
      </c>
      <c r="F3234" s="49" t="s">
        <v>485</v>
      </c>
      <c r="G3234" s="831" t="s">
        <v>1470</v>
      </c>
      <c r="H3234" s="859" t="s">
        <v>1310</v>
      </c>
      <c r="I3234" s="251">
        <v>24</v>
      </c>
      <c r="J3234" s="251">
        <v>43255.333333333336</v>
      </c>
      <c r="K3234" s="860">
        <f t="shared" si="433"/>
        <v>1038128</v>
      </c>
      <c r="L3234" s="861" t="s">
        <v>162</v>
      </c>
      <c r="M3234" s="861" t="s">
        <v>857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52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>x</v>
      </c>
      <c r="AA3234" s="826"/>
    </row>
    <row r="3235" spans="1:27" ht="15.75" customHeight="1">
      <c r="A3235" s="827" t="str">
        <f>IF(B3235&lt;&gt;"",IF(AND(B3235&gt;=_TM1,B3235&lt;=_TM2,OR(TH!L3235="1111",TH!M3235="1111")),TH!D3235,""),"")</f>
        <v/>
      </c>
      <c r="B3235" s="36">
        <f t="shared" si="431"/>
        <v>7</v>
      </c>
      <c r="C3235" s="190">
        <f t="shared" si="432"/>
        <v>42581</v>
      </c>
      <c r="D3235" s="856" t="s">
        <v>1662</v>
      </c>
      <c r="E3235" s="906">
        <v>42581</v>
      </c>
      <c r="F3235" s="868" t="s">
        <v>720</v>
      </c>
      <c r="G3235" s="831" t="s">
        <v>1470</v>
      </c>
      <c r="H3235" s="859" t="s">
        <v>1310</v>
      </c>
      <c r="I3235" s="251">
        <v>6</v>
      </c>
      <c r="J3235" s="251">
        <v>81285</v>
      </c>
      <c r="K3235" s="860">
        <f t="shared" si="433"/>
        <v>487710</v>
      </c>
      <c r="L3235" s="861" t="s">
        <v>162</v>
      </c>
      <c r="M3235" s="861" t="s">
        <v>857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52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>x</v>
      </c>
      <c r="AA3235" s="826"/>
    </row>
    <row r="3236" spans="1:27" ht="15.75" customHeight="1">
      <c r="A3236" s="827" t="str">
        <f>IF(B3236&lt;&gt;"",IF(AND(B3236&gt;=_TM1,B3236&lt;=_TM2,OR(TH!L3236="1111",TH!M3236="1111")),TH!D3236,""),"")</f>
        <v/>
      </c>
      <c r="B3236" s="36">
        <f t="shared" si="431"/>
        <v>7</v>
      </c>
      <c r="C3236" s="190">
        <f t="shared" si="432"/>
        <v>42581</v>
      </c>
      <c r="D3236" s="856" t="s">
        <v>1662</v>
      </c>
      <c r="E3236" s="906">
        <v>42581</v>
      </c>
      <c r="F3236" s="49" t="s">
        <v>469</v>
      </c>
      <c r="G3236" s="831" t="s">
        <v>1470</v>
      </c>
      <c r="H3236" s="859" t="s">
        <v>1310</v>
      </c>
      <c r="I3236" s="251">
        <v>4</v>
      </c>
      <c r="J3236" s="251">
        <v>59912</v>
      </c>
      <c r="K3236" s="860">
        <f t="shared" si="433"/>
        <v>239648</v>
      </c>
      <c r="L3236" s="861" t="s">
        <v>162</v>
      </c>
      <c r="M3236" s="861" t="s">
        <v>857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52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>x</v>
      </c>
      <c r="AA3236" s="826"/>
    </row>
    <row r="3237" spans="1:27" ht="15.75" customHeight="1">
      <c r="A3237" s="827" t="str">
        <f>IF(B3237&lt;&gt;"",IF(AND(B3237&gt;=_TM1,B3237&lt;=_TM2,OR(TH!L3237="1111",TH!M3237="1111")),TH!D3237,""),"")</f>
        <v/>
      </c>
      <c r="B3237" s="36">
        <f t="shared" si="431"/>
        <v>7</v>
      </c>
      <c r="C3237" s="190">
        <f t="shared" si="432"/>
        <v>42581</v>
      </c>
      <c r="D3237" s="856" t="s">
        <v>1662</v>
      </c>
      <c r="E3237" s="906">
        <v>42581</v>
      </c>
      <c r="F3237" s="868" t="s">
        <v>471</v>
      </c>
      <c r="G3237" s="831" t="s">
        <v>1470</v>
      </c>
      <c r="H3237" s="859" t="s">
        <v>1310</v>
      </c>
      <c r="I3237" s="251">
        <v>12</v>
      </c>
      <c r="J3237" s="251">
        <v>53767</v>
      </c>
      <c r="K3237" s="860">
        <f t="shared" si="433"/>
        <v>645204</v>
      </c>
      <c r="L3237" s="861" t="s">
        <v>162</v>
      </c>
      <c r="M3237" s="861" t="s">
        <v>857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52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>x</v>
      </c>
      <c r="AA3237" s="826"/>
    </row>
    <row r="3238" spans="1:27" ht="15.75" customHeight="1">
      <c r="A3238" s="827" t="str">
        <f>IF(B3238&lt;&gt;"",IF(AND(B3238&gt;=_TM1,B3238&lt;=_TM2,OR(TH!L3238="1111",TH!M3238="1111")),TH!D3238,""),"")</f>
        <v/>
      </c>
      <c r="B3238" s="36">
        <f t="shared" si="431"/>
        <v>7</v>
      </c>
      <c r="C3238" s="190">
        <f t="shared" si="432"/>
        <v>42581</v>
      </c>
      <c r="D3238" s="856" t="s">
        <v>1662</v>
      </c>
      <c r="E3238" s="906">
        <v>42581</v>
      </c>
      <c r="F3238" s="49" t="s">
        <v>470</v>
      </c>
      <c r="G3238" s="831" t="s">
        <v>1470</v>
      </c>
      <c r="H3238" s="859" t="s">
        <v>1310</v>
      </c>
      <c r="I3238" s="251">
        <v>12</v>
      </c>
      <c r="J3238" s="251">
        <v>95076</v>
      </c>
      <c r="K3238" s="860">
        <f t="shared" si="433"/>
        <v>1140912</v>
      </c>
      <c r="L3238" s="861" t="s">
        <v>162</v>
      </c>
      <c r="M3238" s="861" t="s">
        <v>857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52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>x</v>
      </c>
      <c r="AA3238" s="826"/>
    </row>
    <row r="3239" spans="1:27" ht="15.75" customHeight="1">
      <c r="A3239" s="827" t="str">
        <f>IF(B3239&lt;&gt;"",IF(AND(B3239&gt;=_TM1,B3239&lt;=_TM2,OR(TH!L3239="1111",TH!M3239="1111")),TH!D3239,""),"")</f>
        <v/>
      </c>
      <c r="B3239" s="36">
        <f t="shared" si="431"/>
        <v>7</v>
      </c>
      <c r="C3239" s="190">
        <f t="shared" si="432"/>
        <v>42581</v>
      </c>
      <c r="D3239" s="856" t="s">
        <v>1662</v>
      </c>
      <c r="E3239" s="906">
        <v>42581</v>
      </c>
      <c r="F3239" s="868" t="s">
        <v>725</v>
      </c>
      <c r="G3239" s="831" t="s">
        <v>1470</v>
      </c>
      <c r="H3239" s="859" t="s">
        <v>1310</v>
      </c>
      <c r="I3239" s="251">
        <v>40</v>
      </c>
      <c r="J3239" s="251">
        <v>18825</v>
      </c>
      <c r="K3239" s="860">
        <f t="shared" si="433"/>
        <v>753000</v>
      </c>
      <c r="L3239" s="861" t="s">
        <v>162</v>
      </c>
      <c r="M3239" s="861" t="s">
        <v>857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52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>x</v>
      </c>
      <c r="AA3239" s="826"/>
    </row>
    <row r="3240" spans="1:27" ht="15.75" customHeight="1">
      <c r="A3240" s="827" t="str">
        <f>IF(B3240&lt;&gt;"",IF(AND(B3240&gt;=_TM1,B3240&lt;=_TM2,OR(TH!L3240="1111",TH!M3240="1111")),TH!D3240,""),"")</f>
        <v/>
      </c>
      <c r="B3240" s="36">
        <f t="shared" si="431"/>
        <v>7</v>
      </c>
      <c r="C3240" s="190">
        <f t="shared" si="432"/>
        <v>42581</v>
      </c>
      <c r="D3240" s="856" t="s">
        <v>1662</v>
      </c>
      <c r="E3240" s="906">
        <v>42581</v>
      </c>
      <c r="F3240" s="49" t="s">
        <v>863</v>
      </c>
      <c r="G3240" s="831" t="s">
        <v>1470</v>
      </c>
      <c r="H3240" s="859" t="s">
        <v>1310</v>
      </c>
      <c r="I3240" s="251">
        <v>40</v>
      </c>
      <c r="J3240" s="251">
        <v>19483</v>
      </c>
      <c r="K3240" s="860">
        <f t="shared" si="433"/>
        <v>779320</v>
      </c>
      <c r="L3240" s="861" t="s">
        <v>162</v>
      </c>
      <c r="M3240" s="861" t="s">
        <v>857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52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>x</v>
      </c>
      <c r="AA3240" s="826"/>
    </row>
    <row r="3241" spans="1:27" ht="15.75" customHeight="1">
      <c r="A3241" s="827" t="str">
        <f>IF(B3241&lt;&gt;"",IF(AND(B3241&gt;=_TM1,B3241&lt;=_TM2,OR(TH!L3241="1111",TH!M3241="1111")),TH!D3241,""),"")</f>
        <v/>
      </c>
      <c r="B3241" s="36">
        <f t="shared" si="431"/>
        <v>7</v>
      </c>
      <c r="C3241" s="190">
        <f t="shared" si="432"/>
        <v>42581</v>
      </c>
      <c r="D3241" s="856" t="s">
        <v>1662</v>
      </c>
      <c r="E3241" s="906">
        <v>42581</v>
      </c>
      <c r="F3241" s="49" t="s">
        <v>474</v>
      </c>
      <c r="G3241" s="831" t="s">
        <v>1470</v>
      </c>
      <c r="H3241" s="859" t="s">
        <v>1310</v>
      </c>
      <c r="I3241" s="251">
        <v>12</v>
      </c>
      <c r="J3241" s="251">
        <v>28383</v>
      </c>
      <c r="K3241" s="860">
        <f t="shared" si="433"/>
        <v>340596</v>
      </c>
      <c r="L3241" s="861" t="s">
        <v>162</v>
      </c>
      <c r="M3241" s="861" t="s">
        <v>857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52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>x</v>
      </c>
      <c r="AA3241" s="826"/>
    </row>
    <row r="3242" spans="1:27" ht="15.75" customHeight="1">
      <c r="A3242" s="827" t="str">
        <f>IF(B3242&lt;&gt;"",IF(AND(B3242&gt;=_TM1,B3242&lt;=_TM2,OR(TH!L3242="1111",TH!M3242="1111")),TH!D3242,""),"")</f>
        <v/>
      </c>
      <c r="B3242" s="36">
        <f t="shared" si="431"/>
        <v>7</v>
      </c>
      <c r="C3242" s="190">
        <f t="shared" si="432"/>
        <v>42581</v>
      </c>
      <c r="D3242" s="856" t="s">
        <v>1662</v>
      </c>
      <c r="E3242" s="906">
        <v>42581</v>
      </c>
      <c r="F3242" s="868" t="s">
        <v>552</v>
      </c>
      <c r="G3242" s="831" t="s">
        <v>1470</v>
      </c>
      <c r="H3242" s="859" t="s">
        <v>1310</v>
      </c>
      <c r="I3242" s="251">
        <v>24</v>
      </c>
      <c r="J3242" s="251">
        <v>36200</v>
      </c>
      <c r="K3242" s="860">
        <f t="shared" si="433"/>
        <v>868800</v>
      </c>
      <c r="L3242" s="861" t="s">
        <v>162</v>
      </c>
      <c r="M3242" s="861" t="s">
        <v>857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52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>x</v>
      </c>
      <c r="AA3242" s="826"/>
    </row>
    <row r="3243" spans="1:27" ht="15.75" customHeight="1">
      <c r="A3243" s="827" t="str">
        <f>IF(B3243&lt;&gt;"",IF(AND(B3243&gt;=_TM1,B3243&lt;=_TM2,OR(TH!L3243="1111",TH!M3243="1111")),TH!D3243,""),"")</f>
        <v/>
      </c>
      <c r="B3243" s="36">
        <f t="shared" si="431"/>
        <v>7</v>
      </c>
      <c r="C3243" s="190">
        <f t="shared" si="432"/>
        <v>42581</v>
      </c>
      <c r="D3243" s="856" t="s">
        <v>1662</v>
      </c>
      <c r="E3243" s="906">
        <v>42581</v>
      </c>
      <c r="F3243" s="49" t="s">
        <v>1468</v>
      </c>
      <c r="G3243" s="831" t="s">
        <v>1470</v>
      </c>
      <c r="H3243" s="859" t="s">
        <v>1310</v>
      </c>
      <c r="I3243" s="251">
        <v>12</v>
      </c>
      <c r="J3243" s="251">
        <v>21200</v>
      </c>
      <c r="K3243" s="860">
        <f t="shared" si="433"/>
        <v>254400</v>
      </c>
      <c r="L3243" s="861" t="s">
        <v>162</v>
      </c>
      <c r="M3243" s="861" t="s">
        <v>857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52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>x</v>
      </c>
      <c r="AA3243" s="826"/>
    </row>
    <row r="3244" spans="1:27" ht="15.75" customHeight="1">
      <c r="A3244" s="827" t="str">
        <f>IF(B3244&lt;&gt;"",IF(AND(B3244&gt;=_TM1,B3244&lt;=_TM2,OR(TH!L3244="1111",TH!M3244="1111")),TH!D3244,""),"")</f>
        <v/>
      </c>
      <c r="B3244" s="36">
        <f t="shared" si="431"/>
        <v>7</v>
      </c>
      <c r="C3244" s="190">
        <f t="shared" si="432"/>
        <v>42581</v>
      </c>
      <c r="D3244" s="856" t="s">
        <v>1662</v>
      </c>
      <c r="E3244" s="906">
        <v>42581</v>
      </c>
      <c r="F3244" s="868" t="s">
        <v>562</v>
      </c>
      <c r="G3244" s="831" t="s">
        <v>1470</v>
      </c>
      <c r="H3244" s="859" t="s">
        <v>1310</v>
      </c>
      <c r="I3244" s="251">
        <v>48</v>
      </c>
      <c r="J3244" s="251">
        <v>12200</v>
      </c>
      <c r="K3244" s="860">
        <f t="shared" si="433"/>
        <v>585600</v>
      </c>
      <c r="L3244" s="861" t="s">
        <v>162</v>
      </c>
      <c r="M3244" s="861" t="s">
        <v>857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52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>x</v>
      </c>
      <c r="AA3244" s="826"/>
    </row>
    <row r="3245" spans="1:27" ht="15.75" customHeight="1">
      <c r="A3245" s="827" t="str">
        <f>IF(B3245&lt;&gt;"",IF(AND(B3245&gt;=_TM1,B3245&lt;=_TM2,OR(TH!L3245="1111",TH!M3245="1111")),TH!D3245,""),"")</f>
        <v/>
      </c>
      <c r="B3245" s="36">
        <f t="shared" si="431"/>
        <v>7</v>
      </c>
      <c r="C3245" s="190">
        <f t="shared" si="432"/>
        <v>42581</v>
      </c>
      <c r="D3245" s="856" t="s">
        <v>1662</v>
      </c>
      <c r="E3245" s="906">
        <v>42581</v>
      </c>
      <c r="F3245" s="49" t="s">
        <v>564</v>
      </c>
      <c r="G3245" s="831" t="s">
        <v>1470</v>
      </c>
      <c r="H3245" s="859" t="s">
        <v>1310</v>
      </c>
      <c r="I3245" s="251">
        <v>48</v>
      </c>
      <c r="J3245" s="251">
        <v>8250</v>
      </c>
      <c r="K3245" s="860">
        <f t="shared" si="433"/>
        <v>396000</v>
      </c>
      <c r="L3245" s="861" t="s">
        <v>162</v>
      </c>
      <c r="M3245" s="861" t="s">
        <v>857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52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>x</v>
      </c>
      <c r="AA3245" s="826"/>
    </row>
    <row r="3246" spans="1:27" ht="15.75" customHeight="1">
      <c r="A3246" s="827" t="str">
        <f>IF(B3246&lt;&gt;"",IF(AND(B3246&gt;=_TM1,B3246&lt;=_TM2,OR(TH!L3246="1111",TH!M3246="1111")),TH!D3246,""),"")</f>
        <v/>
      </c>
      <c r="B3246" s="36">
        <f t="shared" si="431"/>
        <v>7</v>
      </c>
      <c r="C3246" s="190">
        <f t="shared" si="432"/>
        <v>42581</v>
      </c>
      <c r="D3246" s="856" t="s">
        <v>1662</v>
      </c>
      <c r="E3246" s="906">
        <v>42581</v>
      </c>
      <c r="F3246" s="49" t="s">
        <v>808</v>
      </c>
      <c r="G3246" s="831" t="s">
        <v>1470</v>
      </c>
      <c r="H3246" s="859" t="s">
        <v>1310</v>
      </c>
      <c r="I3246" s="251">
        <v>18</v>
      </c>
      <c r="J3246" s="251">
        <v>11537.2</v>
      </c>
      <c r="K3246" s="860">
        <f t="shared" si="433"/>
        <v>207670</v>
      </c>
      <c r="L3246" s="861" t="s">
        <v>162</v>
      </c>
      <c r="M3246" s="861" t="s">
        <v>857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52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>x</v>
      </c>
      <c r="AA3246" s="826"/>
    </row>
    <row r="3247" spans="1:27" ht="15.75" customHeight="1">
      <c r="A3247" s="827" t="str">
        <f>IF(B3247&lt;&gt;"",IF(AND(B3247&gt;=_TM1,B3247&lt;=_TM2,OR(TH!L3247="1111",TH!M3247="1111")),TH!D3247,""),"")</f>
        <v/>
      </c>
      <c r="B3247" s="36">
        <f t="shared" si="430"/>
        <v>7</v>
      </c>
      <c r="C3247" s="190">
        <f t="shared" si="428"/>
        <v>42581</v>
      </c>
      <c r="D3247" s="856" t="s">
        <v>1662</v>
      </c>
      <c r="E3247" s="906">
        <v>42581</v>
      </c>
      <c r="F3247" s="868" t="s">
        <v>1469</v>
      </c>
      <c r="G3247" s="831" t="s">
        <v>1470</v>
      </c>
      <c r="H3247" s="859" t="s">
        <v>1310</v>
      </c>
      <c r="I3247" s="251">
        <v>9</v>
      </c>
      <c r="J3247" s="251">
        <v>12040</v>
      </c>
      <c r="K3247" s="860">
        <f t="shared" si="429"/>
        <v>108360</v>
      </c>
      <c r="L3247" s="861" t="s">
        <v>162</v>
      </c>
      <c r="M3247" s="861" t="s">
        <v>857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52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>x</v>
      </c>
      <c r="AA3247" s="826"/>
    </row>
    <row r="3248" spans="1:27" ht="15.75" customHeight="1">
      <c r="A3248" s="827" t="str">
        <f>IF(B3248&lt;&gt;"",IF(AND(B3248&gt;=_TM1,B3248&lt;=_TM2,OR(TH!L3248="1111",TH!M3248="1111")),TH!D3248,""),"")</f>
        <v/>
      </c>
      <c r="B3248" s="36">
        <f t="shared" si="430"/>
        <v>7</v>
      </c>
      <c r="C3248" s="190">
        <f t="shared" si="428"/>
        <v>42581</v>
      </c>
      <c r="D3248" s="856" t="s">
        <v>1662</v>
      </c>
      <c r="E3248" s="906">
        <v>42581</v>
      </c>
      <c r="F3248" s="49" t="s">
        <v>538</v>
      </c>
      <c r="G3248" s="831" t="s">
        <v>1470</v>
      </c>
      <c r="H3248" s="859" t="s">
        <v>1310</v>
      </c>
      <c r="I3248" s="251">
        <v>24</v>
      </c>
      <c r="J3248" s="251">
        <v>69735.291666666672</v>
      </c>
      <c r="K3248" s="860">
        <f t="shared" si="429"/>
        <v>1673647</v>
      </c>
      <c r="L3248" s="861" t="s">
        <v>162</v>
      </c>
      <c r="M3248" s="861" t="s">
        <v>857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52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>x</v>
      </c>
      <c r="AA3248" s="826"/>
    </row>
    <row r="3249" spans="1:27" ht="15.75" customHeight="1">
      <c r="A3249" s="827" t="str">
        <f>IF(B3249&lt;&gt;"",IF(AND(B3249&gt;=_TM1,B3249&lt;=_TM2,OR(TH!L3249="1111",TH!M3249="1111")),TH!D3249,""),"")</f>
        <v/>
      </c>
      <c r="B3249" s="36">
        <f t="shared" si="430"/>
        <v>7</v>
      </c>
      <c r="C3249" s="190">
        <f t="shared" si="428"/>
        <v>42581</v>
      </c>
      <c r="D3249" s="856" t="s">
        <v>1662</v>
      </c>
      <c r="E3249" s="906">
        <v>42581</v>
      </c>
      <c r="F3249" s="868" t="s">
        <v>1455</v>
      </c>
      <c r="G3249" s="831" t="s">
        <v>1474</v>
      </c>
      <c r="H3249" s="859" t="s">
        <v>1310</v>
      </c>
      <c r="I3249" s="251">
        <v>2000</v>
      </c>
      <c r="J3249" s="251">
        <v>8160</v>
      </c>
      <c r="K3249" s="860">
        <f t="shared" si="429"/>
        <v>16320000</v>
      </c>
      <c r="L3249" s="861" t="s">
        <v>162</v>
      </c>
      <c r="M3249" s="861" t="s">
        <v>857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52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>x</v>
      </c>
      <c r="AA3249" s="826"/>
    </row>
    <row r="3250" spans="1:27" ht="15.75" customHeight="1">
      <c r="A3250" s="827" t="str">
        <f>IF(B3250&lt;&gt;"",IF(AND(B3250&gt;=_TM1,B3250&lt;=_TM2,OR(TH!L3250="1111",TH!M3250="1111")),TH!D3250,""),"")</f>
        <v/>
      </c>
      <c r="B3250" s="36">
        <f t="shared" si="430"/>
        <v>8</v>
      </c>
      <c r="C3250" s="190">
        <f t="shared" si="428"/>
        <v>42584</v>
      </c>
      <c r="D3250" s="856" t="s">
        <v>1662</v>
      </c>
      <c r="E3250" s="906">
        <v>42584</v>
      </c>
      <c r="F3250" s="49" t="s">
        <v>1475</v>
      </c>
      <c r="G3250" s="831" t="s">
        <v>1487</v>
      </c>
      <c r="H3250" s="859" t="s">
        <v>1310</v>
      </c>
      <c r="I3250" s="251">
        <v>200</v>
      </c>
      <c r="J3250" s="251">
        <v>6800</v>
      </c>
      <c r="K3250" s="860">
        <f t="shared" si="429"/>
        <v>1360000</v>
      </c>
      <c r="L3250" s="861" t="s">
        <v>162</v>
      </c>
      <c r="M3250" s="861" t="s">
        <v>857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52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>x</v>
      </c>
      <c r="AA3250" s="826"/>
    </row>
    <row r="3251" spans="1:27" ht="15.75" customHeight="1">
      <c r="A3251" s="827" t="str">
        <f>IF(B3251&lt;&gt;"",IF(AND(B3251&gt;=_TM1,B3251&lt;=_TM2,OR(TH!L3251="1111",TH!M3251="1111")),TH!D3251,""),"")</f>
        <v/>
      </c>
      <c r="B3251" s="36">
        <f t="shared" si="430"/>
        <v>8</v>
      </c>
      <c r="C3251" s="190">
        <f t="shared" si="428"/>
        <v>42584</v>
      </c>
      <c r="D3251" s="856" t="s">
        <v>1662</v>
      </c>
      <c r="E3251" s="906">
        <v>42584</v>
      </c>
      <c r="F3251" s="49" t="s">
        <v>1476</v>
      </c>
      <c r="G3251" s="831" t="s">
        <v>1487</v>
      </c>
      <c r="H3251" s="859" t="s">
        <v>1310</v>
      </c>
      <c r="I3251" s="251">
        <v>300</v>
      </c>
      <c r="J3251" s="251">
        <v>7200</v>
      </c>
      <c r="K3251" s="860">
        <f t="shared" si="429"/>
        <v>2160000</v>
      </c>
      <c r="L3251" s="861" t="s">
        <v>162</v>
      </c>
      <c r="M3251" s="861" t="s">
        <v>857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52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>x</v>
      </c>
      <c r="AA3251" s="826"/>
    </row>
    <row r="3252" spans="1:27" ht="15.75" customHeight="1">
      <c r="A3252" s="827" t="str">
        <f>IF(B3252&lt;&gt;"",IF(AND(B3252&gt;=_TM1,B3252&lt;=_TM2,OR(TH!L3252="1111",TH!M3252="1111")),TH!D3252,""),"")</f>
        <v/>
      </c>
      <c r="B3252" s="36">
        <f t="shared" si="430"/>
        <v>8</v>
      </c>
      <c r="C3252" s="190">
        <f t="shared" si="428"/>
        <v>42588</v>
      </c>
      <c r="D3252" s="856" t="s">
        <v>1662</v>
      </c>
      <c r="E3252" s="906">
        <v>42588</v>
      </c>
      <c r="F3252" s="868" t="s">
        <v>1477</v>
      </c>
      <c r="G3252" s="831" t="s">
        <v>1489</v>
      </c>
      <c r="H3252" s="859" t="s">
        <v>1310</v>
      </c>
      <c r="I3252" s="251">
        <v>300</v>
      </c>
      <c r="J3252" s="251">
        <v>13500</v>
      </c>
      <c r="K3252" s="860">
        <f t="shared" si="429"/>
        <v>4050000</v>
      </c>
      <c r="L3252" s="861" t="s">
        <v>162</v>
      </c>
      <c r="M3252" s="861" t="s">
        <v>857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52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>x</v>
      </c>
      <c r="AA3252" s="826"/>
    </row>
    <row r="3253" spans="1:27" ht="15.75" customHeight="1">
      <c r="A3253" s="827" t="str">
        <f>IF(B3253&lt;&gt;"",IF(AND(B3253&gt;=_TM1,B3253&lt;=_TM2,OR(TH!L3253="1111",TH!M3253="1111")),TH!D3253,""),"")</f>
        <v/>
      </c>
      <c r="B3253" s="36">
        <f t="shared" si="430"/>
        <v>8</v>
      </c>
      <c r="C3253" s="190">
        <f t="shared" si="428"/>
        <v>42588</v>
      </c>
      <c r="D3253" s="856" t="s">
        <v>1662</v>
      </c>
      <c r="E3253" s="906">
        <v>42588</v>
      </c>
      <c r="F3253" s="49" t="s">
        <v>1478</v>
      </c>
      <c r="G3253" s="831" t="s">
        <v>1489</v>
      </c>
      <c r="H3253" s="859" t="s">
        <v>1310</v>
      </c>
      <c r="I3253" s="251">
        <v>400</v>
      </c>
      <c r="J3253" s="251">
        <v>14050</v>
      </c>
      <c r="K3253" s="860">
        <f t="shared" si="429"/>
        <v>5620000</v>
      </c>
      <c r="L3253" s="861" t="s">
        <v>162</v>
      </c>
      <c r="M3253" s="861" t="s">
        <v>857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52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>x</v>
      </c>
      <c r="AA3253" s="826"/>
    </row>
    <row r="3254" spans="1:27" ht="15.75" customHeight="1">
      <c r="A3254" s="827" t="str">
        <f>IF(B3254&lt;&gt;"",IF(AND(B3254&gt;=_TM1,B3254&lt;=_TM2,OR(TH!L3254="1111",TH!M3254="1111")),TH!D3254,""),"")</f>
        <v/>
      </c>
      <c r="B3254" s="36">
        <f t="shared" si="430"/>
        <v>8</v>
      </c>
      <c r="C3254" s="190">
        <f t="shared" si="428"/>
        <v>42588</v>
      </c>
      <c r="D3254" s="856" t="s">
        <v>1662</v>
      </c>
      <c r="E3254" s="906">
        <v>42588</v>
      </c>
      <c r="F3254" s="868" t="s">
        <v>1491</v>
      </c>
      <c r="G3254" s="831" t="s">
        <v>1490</v>
      </c>
      <c r="H3254" s="859" t="s">
        <v>1310</v>
      </c>
      <c r="I3254" s="251">
        <v>20</v>
      </c>
      <c r="J3254" s="251">
        <v>71000</v>
      </c>
      <c r="K3254" s="860">
        <f t="shared" si="429"/>
        <v>1420000</v>
      </c>
      <c r="L3254" s="861" t="s">
        <v>162</v>
      </c>
      <c r="M3254" s="861" t="s">
        <v>857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52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>x</v>
      </c>
      <c r="AA3254" s="826"/>
    </row>
    <row r="3255" spans="1:27" ht="15.75" customHeight="1">
      <c r="A3255" s="827" t="str">
        <f>IF(B3255&lt;&gt;"",IF(AND(B3255&gt;=_TM1,B3255&lt;=_TM2,OR(TH!L3255="1111",TH!M3255="1111")),TH!D3255,""),"")</f>
        <v/>
      </c>
      <c r="B3255" s="36">
        <f t="shared" si="430"/>
        <v>8</v>
      </c>
      <c r="C3255" s="190">
        <f t="shared" si="428"/>
        <v>42588</v>
      </c>
      <c r="D3255" s="856" t="s">
        <v>1662</v>
      </c>
      <c r="E3255" s="906">
        <v>42588</v>
      </c>
      <c r="F3255" s="49" t="s">
        <v>1492</v>
      </c>
      <c r="G3255" s="831" t="s">
        <v>1490</v>
      </c>
      <c r="H3255" s="859" t="s">
        <v>1310</v>
      </c>
      <c r="I3255" s="251">
        <v>8</v>
      </c>
      <c r="J3255" s="251">
        <v>82000</v>
      </c>
      <c r="K3255" s="860">
        <f t="shared" si="429"/>
        <v>656000</v>
      </c>
      <c r="L3255" s="861" t="s">
        <v>162</v>
      </c>
      <c r="M3255" s="861" t="s">
        <v>857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52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>x</v>
      </c>
      <c r="AA3255" s="826"/>
    </row>
    <row r="3256" spans="1:27" ht="15.75" customHeight="1">
      <c r="A3256" s="827" t="str">
        <f>IF(B3256&lt;&gt;"",IF(AND(B3256&gt;=_TM1,B3256&lt;=_TM2,OR(TH!L3256="1111",TH!M3256="1111")),TH!D3256,""),"")</f>
        <v/>
      </c>
      <c r="B3256" s="36">
        <f t="shared" si="430"/>
        <v>8</v>
      </c>
      <c r="C3256" s="190">
        <f t="shared" si="428"/>
        <v>42588</v>
      </c>
      <c r="D3256" s="856" t="s">
        <v>1662</v>
      </c>
      <c r="E3256" s="906">
        <v>42588</v>
      </c>
      <c r="F3256" s="49" t="s">
        <v>1493</v>
      </c>
      <c r="G3256" s="831" t="s">
        <v>1490</v>
      </c>
      <c r="H3256" s="859" t="s">
        <v>1310</v>
      </c>
      <c r="I3256" s="251">
        <v>9</v>
      </c>
      <c r="J3256" s="251">
        <v>79200</v>
      </c>
      <c r="K3256" s="860">
        <f t="shared" si="429"/>
        <v>712800</v>
      </c>
      <c r="L3256" s="861" t="s">
        <v>162</v>
      </c>
      <c r="M3256" s="861" t="s">
        <v>857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52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>x</v>
      </c>
      <c r="AA3256" s="826"/>
    </row>
    <row r="3257" spans="1:27" ht="15.75" customHeight="1">
      <c r="A3257" s="827" t="str">
        <f>IF(B3257&lt;&gt;"",IF(AND(B3257&gt;=_TM1,B3257&lt;=_TM2,OR(TH!L3257="1111",TH!M3257="1111")),TH!D3257,""),"")</f>
        <v/>
      </c>
      <c r="B3257" s="36">
        <f t="shared" si="430"/>
        <v>8</v>
      </c>
      <c r="C3257" s="190">
        <f t="shared" si="428"/>
        <v>42589</v>
      </c>
      <c r="D3257" s="856" t="s">
        <v>1662</v>
      </c>
      <c r="E3257" s="906">
        <v>42589</v>
      </c>
      <c r="F3257" s="49" t="s">
        <v>1496</v>
      </c>
      <c r="G3257" s="831" t="s">
        <v>1494</v>
      </c>
      <c r="H3257" s="859" t="s">
        <v>1310</v>
      </c>
      <c r="I3257" s="251">
        <v>172</v>
      </c>
      <c r="J3257" s="251">
        <v>9200</v>
      </c>
      <c r="K3257" s="860">
        <f t="shared" si="429"/>
        <v>1582400</v>
      </c>
      <c r="L3257" s="861" t="s">
        <v>162</v>
      </c>
      <c r="M3257" s="861" t="s">
        <v>857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52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>x</v>
      </c>
      <c r="AA3257" s="826"/>
    </row>
    <row r="3258" spans="1:27" ht="15.75" customHeight="1">
      <c r="A3258" s="827" t="str">
        <f>IF(B3258&lt;&gt;"",IF(AND(B3258&gt;=_TM1,B3258&lt;=_TM2,OR(TH!L3258="1111",TH!M3258="1111")),TH!D3258,""),"")</f>
        <v/>
      </c>
      <c r="B3258" s="36">
        <f t="shared" si="430"/>
        <v>8</v>
      </c>
      <c r="C3258" s="190">
        <f t="shared" si="428"/>
        <v>42589</v>
      </c>
      <c r="D3258" s="856" t="s">
        <v>1662</v>
      </c>
      <c r="E3258" s="906">
        <v>42589</v>
      </c>
      <c r="F3258" s="868" t="s">
        <v>1497</v>
      </c>
      <c r="G3258" s="831" t="s">
        <v>1494</v>
      </c>
      <c r="H3258" s="859" t="s">
        <v>1310</v>
      </c>
      <c r="I3258" s="251">
        <v>172</v>
      </c>
      <c r="J3258" s="251">
        <v>5400</v>
      </c>
      <c r="K3258" s="860">
        <f t="shared" si="429"/>
        <v>928800</v>
      </c>
      <c r="L3258" s="861" t="s">
        <v>162</v>
      </c>
      <c r="M3258" s="861" t="s">
        <v>857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52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>x</v>
      </c>
      <c r="AA3258" s="826"/>
    </row>
    <row r="3259" spans="1:27" ht="15.75" customHeight="1">
      <c r="A3259" s="827" t="str">
        <f>IF(B3259&lt;&gt;"",IF(AND(B3259&gt;=_TM1,B3259&lt;=_TM2,OR(TH!L3259="1111",TH!M3259="1111")),TH!D3259,""),"")</f>
        <v/>
      </c>
      <c r="B3259" s="36">
        <f t="shared" si="430"/>
        <v>8</v>
      </c>
      <c r="C3259" s="190">
        <f t="shared" si="428"/>
        <v>42589</v>
      </c>
      <c r="D3259" s="856" t="s">
        <v>1662</v>
      </c>
      <c r="E3259" s="906">
        <v>42589</v>
      </c>
      <c r="F3259" s="49" t="s">
        <v>1498</v>
      </c>
      <c r="G3259" s="831" t="s">
        <v>1494</v>
      </c>
      <c r="H3259" s="859" t="s">
        <v>1310</v>
      </c>
      <c r="I3259" s="251">
        <v>172</v>
      </c>
      <c r="J3259" s="251">
        <v>8000</v>
      </c>
      <c r="K3259" s="860">
        <f t="shared" si="429"/>
        <v>1376000</v>
      </c>
      <c r="L3259" s="861" t="s">
        <v>162</v>
      </c>
      <c r="M3259" s="861" t="s">
        <v>857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52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>x</v>
      </c>
      <c r="AA3259" s="826"/>
    </row>
    <row r="3260" spans="1:27" ht="15.75" customHeight="1">
      <c r="A3260" s="827" t="str">
        <f>IF(B3260&lt;&gt;"",IF(AND(B3260&gt;=_TM1,B3260&lt;=_TM2,OR(TH!L3260="1111",TH!M3260="1111")),TH!D3260,""),"")</f>
        <v/>
      </c>
      <c r="B3260" s="36">
        <f t="shared" si="430"/>
        <v>8</v>
      </c>
      <c r="C3260" s="190">
        <f t="shared" si="428"/>
        <v>42589</v>
      </c>
      <c r="D3260" s="856" t="s">
        <v>1662</v>
      </c>
      <c r="E3260" s="906">
        <v>42589</v>
      </c>
      <c r="F3260" s="49" t="s">
        <v>1499</v>
      </c>
      <c r="G3260" s="831" t="s">
        <v>1494</v>
      </c>
      <c r="H3260" s="859" t="s">
        <v>1310</v>
      </c>
      <c r="I3260" s="251">
        <v>172</v>
      </c>
      <c r="J3260" s="251">
        <v>6200</v>
      </c>
      <c r="K3260" s="860">
        <f t="shared" si="429"/>
        <v>1066400</v>
      </c>
      <c r="L3260" s="861" t="s">
        <v>162</v>
      </c>
      <c r="M3260" s="861" t="s">
        <v>857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52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>x</v>
      </c>
      <c r="AA3260" s="826"/>
    </row>
    <row r="3261" spans="1:27" ht="15.75" customHeight="1">
      <c r="A3261" s="827" t="str">
        <f>IF(B3261&lt;&gt;"",IF(AND(B3261&gt;=_TM1,B3261&lt;=_TM2,OR(TH!L3261="1111",TH!M3261="1111")),TH!D3261,""),"")</f>
        <v/>
      </c>
      <c r="B3261" s="36">
        <f t="shared" si="430"/>
        <v>8</v>
      </c>
      <c r="C3261" s="190">
        <f t="shared" si="428"/>
        <v>42589</v>
      </c>
      <c r="D3261" s="856" t="s">
        <v>1662</v>
      </c>
      <c r="E3261" s="906">
        <v>42589</v>
      </c>
      <c r="F3261" s="908" t="s">
        <v>1500</v>
      </c>
      <c r="G3261" s="831" t="s">
        <v>1494</v>
      </c>
      <c r="H3261" s="859" t="s">
        <v>1310</v>
      </c>
      <c r="I3261" s="251">
        <v>200</v>
      </c>
      <c r="J3261" s="251">
        <v>7900</v>
      </c>
      <c r="K3261" s="860">
        <f t="shared" si="429"/>
        <v>1580000</v>
      </c>
      <c r="L3261" s="861" t="s">
        <v>162</v>
      </c>
      <c r="M3261" s="861" t="s">
        <v>857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52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>x</v>
      </c>
      <c r="AA3261" s="826"/>
    </row>
    <row r="3262" spans="1:27" ht="15.75" customHeight="1">
      <c r="A3262" s="827" t="str">
        <f>IF(B3262&lt;&gt;"",IF(AND(B3262&gt;=_TM1,B3262&lt;=_TM2,OR(TH!L3262="1111",TH!M3262="1111")),TH!D3262,""),"")</f>
        <v/>
      </c>
      <c r="B3262" s="36">
        <f t="shared" si="430"/>
        <v>8</v>
      </c>
      <c r="C3262" s="190">
        <f t="shared" si="428"/>
        <v>42589</v>
      </c>
      <c r="D3262" s="856" t="s">
        <v>1662</v>
      </c>
      <c r="E3262" s="906">
        <v>42589</v>
      </c>
      <c r="F3262" s="868" t="s">
        <v>1501</v>
      </c>
      <c r="G3262" s="831" t="s">
        <v>1494</v>
      </c>
      <c r="H3262" s="859" t="s">
        <v>1310</v>
      </c>
      <c r="I3262" s="251">
        <v>200</v>
      </c>
      <c r="J3262" s="251">
        <v>5600</v>
      </c>
      <c r="K3262" s="860">
        <f t="shared" si="429"/>
        <v>1120000</v>
      </c>
      <c r="L3262" s="861" t="s">
        <v>162</v>
      </c>
      <c r="M3262" s="861" t="s">
        <v>857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52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>x</v>
      </c>
      <c r="AA3262" s="826"/>
    </row>
    <row r="3263" spans="1:27" ht="15.75" customHeight="1">
      <c r="A3263" s="827" t="str">
        <f>IF(B3263&lt;&gt;"",IF(AND(B3263&gt;=_TM1,B3263&lt;=_TM2,OR(TH!L3263="1111",TH!M3263="1111")),TH!D3263,""),"")</f>
        <v/>
      </c>
      <c r="B3263" s="36">
        <f t="shared" si="430"/>
        <v>8</v>
      </c>
      <c r="C3263" s="190">
        <f t="shared" si="428"/>
        <v>42595</v>
      </c>
      <c r="D3263" s="856" t="s">
        <v>1662</v>
      </c>
      <c r="E3263" s="906">
        <v>42595</v>
      </c>
      <c r="F3263" s="49" t="s">
        <v>696</v>
      </c>
      <c r="G3263" s="831" t="s">
        <v>1502</v>
      </c>
      <c r="H3263" s="859" t="s">
        <v>1310</v>
      </c>
      <c r="I3263" s="251">
        <v>1100</v>
      </c>
      <c r="J3263" s="251">
        <v>11500</v>
      </c>
      <c r="K3263" s="860">
        <f t="shared" si="429"/>
        <v>12650000</v>
      </c>
      <c r="L3263" s="861" t="s">
        <v>162</v>
      </c>
      <c r="M3263" s="861" t="s">
        <v>857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52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>x</v>
      </c>
      <c r="AA3263" s="826"/>
    </row>
    <row r="3264" spans="1:27" ht="15.75" customHeight="1">
      <c r="A3264" s="827" t="str">
        <f>IF(B3264&lt;&gt;"",IF(AND(B3264&gt;=_TM1,B3264&lt;=_TM2,OR(TH!L3264="1111",TH!M3264="1111")),TH!D3264,""),"")</f>
        <v/>
      </c>
      <c r="B3264" s="36">
        <f t="shared" si="430"/>
        <v>8</v>
      </c>
      <c r="C3264" s="190">
        <f t="shared" si="428"/>
        <v>42595</v>
      </c>
      <c r="D3264" s="856" t="s">
        <v>1662</v>
      </c>
      <c r="E3264" s="906">
        <v>42595</v>
      </c>
      <c r="F3264" s="868" t="s">
        <v>1301</v>
      </c>
      <c r="G3264" s="831" t="s">
        <v>1502</v>
      </c>
      <c r="H3264" s="859" t="s">
        <v>1310</v>
      </c>
      <c r="I3264" s="251">
        <v>1100</v>
      </c>
      <c r="J3264" s="251">
        <v>520</v>
      </c>
      <c r="K3264" s="860">
        <f t="shared" si="429"/>
        <v>572000</v>
      </c>
      <c r="L3264" s="861" t="s">
        <v>162</v>
      </c>
      <c r="M3264" s="861" t="s">
        <v>857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52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>x</v>
      </c>
      <c r="AA3264" s="826"/>
    </row>
    <row r="3265" spans="1:27" ht="15.75" customHeight="1">
      <c r="A3265" s="827" t="str">
        <f>IF(B3265&lt;&gt;"",IF(AND(B3265&gt;=_TM1,B3265&lt;=_TM2,OR(TH!L3265="1111",TH!M3265="1111")),TH!D3265,""),"")</f>
        <v/>
      </c>
      <c r="B3265" s="36">
        <f t="shared" si="430"/>
        <v>8</v>
      </c>
      <c r="C3265" s="190">
        <f t="shared" si="428"/>
        <v>42597</v>
      </c>
      <c r="D3265" s="856" t="s">
        <v>1662</v>
      </c>
      <c r="E3265" s="906">
        <v>42597</v>
      </c>
      <c r="F3265" s="49" t="s">
        <v>1504</v>
      </c>
      <c r="G3265" s="831" t="s">
        <v>1503</v>
      </c>
      <c r="H3265" s="859" t="s">
        <v>1310</v>
      </c>
      <c r="I3265" s="251">
        <v>172</v>
      </c>
      <c r="J3265" s="251">
        <v>10300</v>
      </c>
      <c r="K3265" s="860">
        <f t="shared" si="429"/>
        <v>1771600</v>
      </c>
      <c r="L3265" s="861" t="s">
        <v>162</v>
      </c>
      <c r="M3265" s="861" t="s">
        <v>857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52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>x</v>
      </c>
      <c r="AA3265" s="826"/>
    </row>
    <row r="3266" spans="1:27" ht="15.75" customHeight="1">
      <c r="A3266" s="827" t="str">
        <f>IF(B3266&lt;&gt;"",IF(AND(B3266&gt;=_TM1,B3266&lt;=_TM2,OR(TH!L3266="1111",TH!M3266="1111")),TH!D3266,""),"")</f>
        <v/>
      </c>
      <c r="B3266" s="36">
        <f t="shared" si="430"/>
        <v>8</v>
      </c>
      <c r="C3266" s="190">
        <f t="shared" si="428"/>
        <v>42597</v>
      </c>
      <c r="D3266" s="856" t="s">
        <v>1662</v>
      </c>
      <c r="E3266" s="906">
        <v>42597</v>
      </c>
      <c r="F3266" s="868" t="s">
        <v>1505</v>
      </c>
      <c r="G3266" s="831" t="s">
        <v>1503</v>
      </c>
      <c r="H3266" s="859" t="s">
        <v>1310</v>
      </c>
      <c r="I3266" s="251">
        <v>172</v>
      </c>
      <c r="J3266" s="251">
        <v>12500</v>
      </c>
      <c r="K3266" s="860">
        <f t="shared" si="429"/>
        <v>2150000</v>
      </c>
      <c r="L3266" s="861" t="s">
        <v>162</v>
      </c>
      <c r="M3266" s="861" t="s">
        <v>857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52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>x</v>
      </c>
      <c r="AA3266" s="826"/>
    </row>
    <row r="3267" spans="1:27" ht="15.75" customHeight="1">
      <c r="A3267" s="827" t="str">
        <f>IF(B3267&lt;&gt;"",IF(AND(B3267&gt;=_TM1,B3267&lt;=_TM2,OR(TH!L3267="1111",TH!M3267="1111")),TH!D3267,""),"")</f>
        <v/>
      </c>
      <c r="B3267" s="36">
        <f t="shared" si="430"/>
        <v>8</v>
      </c>
      <c r="C3267" s="190">
        <f t="shared" si="428"/>
        <v>42597</v>
      </c>
      <c r="D3267" s="856" t="s">
        <v>1662</v>
      </c>
      <c r="E3267" s="906">
        <v>42597</v>
      </c>
      <c r="F3267" s="49" t="s">
        <v>1507</v>
      </c>
      <c r="G3267" s="831" t="s">
        <v>1503</v>
      </c>
      <c r="H3267" s="859" t="s">
        <v>1310</v>
      </c>
      <c r="I3267" s="251">
        <v>172</v>
      </c>
      <c r="J3267" s="251">
        <v>5800</v>
      </c>
      <c r="K3267" s="860">
        <f t="shared" si="429"/>
        <v>997600</v>
      </c>
      <c r="L3267" s="861" t="s">
        <v>162</v>
      </c>
      <c r="M3267" s="861" t="s">
        <v>857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52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>x</v>
      </c>
      <c r="AA3267" s="826"/>
    </row>
    <row r="3268" spans="1:27" ht="15.75" customHeight="1">
      <c r="A3268" s="827" t="str">
        <f>IF(B3268&lt;&gt;"",IF(AND(B3268&gt;=_TM1,B3268&lt;=_TM2,OR(TH!L3268="1111",TH!M3268="1111")),TH!D3268,""),"")</f>
        <v/>
      </c>
      <c r="B3268" s="36">
        <f t="shared" si="430"/>
        <v>8</v>
      </c>
      <c r="C3268" s="190">
        <f t="shared" si="428"/>
        <v>42597</v>
      </c>
      <c r="D3268" s="856" t="s">
        <v>1662</v>
      </c>
      <c r="E3268" s="906">
        <v>42597</v>
      </c>
      <c r="F3268" s="868" t="s">
        <v>1506</v>
      </c>
      <c r="G3268" s="831" t="s">
        <v>1503</v>
      </c>
      <c r="H3268" s="859" t="s">
        <v>1310</v>
      </c>
      <c r="I3268" s="251">
        <v>172</v>
      </c>
      <c r="J3268" s="251">
        <v>10250</v>
      </c>
      <c r="K3268" s="860">
        <f t="shared" si="429"/>
        <v>1763000</v>
      </c>
      <c r="L3268" s="861" t="s">
        <v>162</v>
      </c>
      <c r="M3268" s="861" t="s">
        <v>857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52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>x</v>
      </c>
      <c r="AA3268" s="826"/>
    </row>
    <row r="3269" spans="1:27" ht="15.75" customHeight="1">
      <c r="A3269" s="827" t="str">
        <f>IF(B3269&lt;&gt;"",IF(AND(B3269&gt;=_TM1,B3269&lt;=_TM2,OR(TH!L3269="1111",TH!M3269="1111")),TH!D3269,""),"")</f>
        <v/>
      </c>
      <c r="B3269" s="36">
        <f t="shared" si="430"/>
        <v>8</v>
      </c>
      <c r="C3269" s="190">
        <f t="shared" si="428"/>
        <v>42597</v>
      </c>
      <c r="D3269" s="856" t="s">
        <v>1662</v>
      </c>
      <c r="E3269" s="906">
        <v>42597</v>
      </c>
      <c r="F3269" s="49" t="s">
        <v>1508</v>
      </c>
      <c r="G3269" s="831" t="s">
        <v>1503</v>
      </c>
      <c r="H3269" s="859" t="s">
        <v>1310</v>
      </c>
      <c r="I3269" s="251">
        <v>172</v>
      </c>
      <c r="J3269" s="251">
        <v>11150</v>
      </c>
      <c r="K3269" s="860">
        <f t="shared" si="429"/>
        <v>1917800</v>
      </c>
      <c r="L3269" s="861" t="s">
        <v>162</v>
      </c>
      <c r="M3269" s="861" t="s">
        <v>857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52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>x</v>
      </c>
      <c r="AA3269" s="826"/>
    </row>
    <row r="3270" spans="1:27" ht="15.75" customHeight="1">
      <c r="A3270" s="827" t="str">
        <f>IF(B3270&lt;&gt;"",IF(AND(B3270&gt;=_TM1,B3270&lt;=_TM2,OR(TH!L3270="1111",TH!M3270="1111")),TH!D3270,""),"")</f>
        <v/>
      </c>
      <c r="B3270" s="36">
        <f t="shared" si="430"/>
        <v>8</v>
      </c>
      <c r="C3270" s="190">
        <f t="shared" si="428"/>
        <v>42597</v>
      </c>
      <c r="D3270" s="856" t="s">
        <v>1662</v>
      </c>
      <c r="E3270" s="906">
        <v>42597</v>
      </c>
      <c r="F3270" s="49" t="s">
        <v>1509</v>
      </c>
      <c r="G3270" s="831" t="s">
        <v>1503</v>
      </c>
      <c r="H3270" s="859" t="s">
        <v>1310</v>
      </c>
      <c r="I3270" s="251">
        <v>172</v>
      </c>
      <c r="J3270" s="251">
        <v>6700</v>
      </c>
      <c r="K3270" s="860">
        <f t="shared" si="429"/>
        <v>1152400</v>
      </c>
      <c r="L3270" s="861" t="s">
        <v>162</v>
      </c>
      <c r="M3270" s="861" t="s">
        <v>857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52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>x</v>
      </c>
      <c r="AA3270" s="826"/>
    </row>
    <row r="3271" spans="1:27" ht="15.75" customHeight="1">
      <c r="A3271" s="827" t="str">
        <f>IF(B3271&lt;&gt;"",IF(AND(B3271&gt;=_TM1,B3271&lt;=_TM2,OR(TH!L3271="1111",TH!M3271="1111")),TH!D3271,""),"")</f>
        <v/>
      </c>
      <c r="B3271" s="36">
        <f t="shared" si="430"/>
        <v>8</v>
      </c>
      <c r="C3271" s="190">
        <f t="shared" si="428"/>
        <v>42597</v>
      </c>
      <c r="D3271" s="856" t="s">
        <v>1662</v>
      </c>
      <c r="E3271" s="906">
        <v>42597</v>
      </c>
      <c r="F3271" s="868" t="s">
        <v>1510</v>
      </c>
      <c r="G3271" s="831" t="s">
        <v>1503</v>
      </c>
      <c r="H3271" s="859" t="s">
        <v>1310</v>
      </c>
      <c r="I3271" s="251">
        <v>200</v>
      </c>
      <c r="J3271" s="251">
        <v>9350</v>
      </c>
      <c r="K3271" s="860">
        <f t="shared" si="429"/>
        <v>1870000</v>
      </c>
      <c r="L3271" s="861" t="s">
        <v>162</v>
      </c>
      <c r="M3271" s="861" t="s">
        <v>857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52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>x</v>
      </c>
      <c r="AA3271" s="826"/>
    </row>
    <row r="3272" spans="1:27" ht="15.75" customHeight="1">
      <c r="A3272" s="827" t="str">
        <f>IF(B3272&lt;&gt;"",IF(AND(B3272&gt;=_TM1,B3272&lt;=_TM2,OR(TH!L3272="1111",TH!M3272="1111")),TH!D3272,""),"")</f>
        <v/>
      </c>
      <c r="B3272" s="36">
        <f t="shared" si="430"/>
        <v>8</v>
      </c>
      <c r="C3272" s="190">
        <f t="shared" si="428"/>
        <v>42597</v>
      </c>
      <c r="D3272" s="856" t="s">
        <v>1662</v>
      </c>
      <c r="E3272" s="906">
        <v>42597</v>
      </c>
      <c r="F3272" s="49" t="s">
        <v>1511</v>
      </c>
      <c r="G3272" s="831" t="s">
        <v>1503</v>
      </c>
      <c r="H3272" s="859" t="s">
        <v>1310</v>
      </c>
      <c r="I3272" s="251">
        <v>200</v>
      </c>
      <c r="J3272" s="251">
        <v>11080</v>
      </c>
      <c r="K3272" s="860">
        <f t="shared" si="429"/>
        <v>2216000</v>
      </c>
      <c r="L3272" s="861" t="s">
        <v>162</v>
      </c>
      <c r="M3272" s="861" t="s">
        <v>857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52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>x</v>
      </c>
      <c r="AA3272" s="826"/>
    </row>
    <row r="3273" spans="1:27" ht="15.75" customHeight="1">
      <c r="A3273" s="827" t="str">
        <f>IF(B3273&lt;&gt;"",IF(AND(B3273&gt;=_TM1,B3273&lt;=_TM2,OR(TH!L3273="1111",TH!M3273="1111")),TH!D3273,""),"")</f>
        <v/>
      </c>
      <c r="B3273" s="36">
        <f t="shared" ref="B3273:B3316" si="434">IF(C3273&lt;&gt;"",MONTH(C3273),"")</f>
        <v>8</v>
      </c>
      <c r="C3273" s="190">
        <f t="shared" ref="C3273:C3316" si="435">E3273</f>
        <v>42597</v>
      </c>
      <c r="D3273" s="856" t="s">
        <v>1662</v>
      </c>
      <c r="E3273" s="906">
        <v>42597</v>
      </c>
      <c r="F3273" s="868" t="s">
        <v>1512</v>
      </c>
      <c r="G3273" s="831" t="s">
        <v>1503</v>
      </c>
      <c r="H3273" s="859" t="s">
        <v>1310</v>
      </c>
      <c r="I3273" s="251">
        <v>200</v>
      </c>
      <c r="J3273" s="251">
        <v>6145</v>
      </c>
      <c r="K3273" s="860">
        <f t="shared" ref="K3273:K3316" si="436">ROUND(I3273*J3273,0)</f>
        <v>1229000</v>
      </c>
      <c r="L3273" s="861" t="s">
        <v>162</v>
      </c>
      <c r="M3273" s="861" t="s">
        <v>857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52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>x</v>
      </c>
      <c r="AA3273" s="826"/>
    </row>
    <row r="3274" spans="1:27" ht="15.75" customHeight="1">
      <c r="A3274" s="827" t="str">
        <f>IF(B3274&lt;&gt;"",IF(AND(B3274&gt;=_TM1,B3274&lt;=_TM2,OR(TH!L3274="1111",TH!M3274="1111")),TH!D3274,""),"")</f>
        <v/>
      </c>
      <c r="B3274" s="36">
        <f t="shared" si="434"/>
        <v>8</v>
      </c>
      <c r="C3274" s="190">
        <f t="shared" si="435"/>
        <v>42598</v>
      </c>
      <c r="D3274" s="856" t="s">
        <v>1662</v>
      </c>
      <c r="E3274" s="906">
        <v>42598</v>
      </c>
      <c r="F3274" s="49" t="s">
        <v>451</v>
      </c>
      <c r="G3274" s="831" t="s">
        <v>1513</v>
      </c>
      <c r="H3274" s="859" t="s">
        <v>1310</v>
      </c>
      <c r="I3274" s="251">
        <v>460</v>
      </c>
      <c r="J3274" s="251">
        <v>10500</v>
      </c>
      <c r="K3274" s="860">
        <f t="shared" si="436"/>
        <v>4830000</v>
      </c>
      <c r="L3274" s="861" t="s">
        <v>162</v>
      </c>
      <c r="M3274" s="861" t="s">
        <v>857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52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>x</v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>x</v>
      </c>
      <c r="AA3274" s="826"/>
    </row>
    <row r="3275" spans="1:27" ht="15.75" customHeight="1">
      <c r="A3275" s="827" t="str">
        <f>IF(B3275&lt;&gt;"",IF(AND(B3275&gt;=_TM1,B3275&lt;=_TM2,OR(TH!L3275="1111",TH!M3275="1111")),TH!D3275,""),"")</f>
        <v/>
      </c>
      <c r="B3275" s="36">
        <f t="shared" si="434"/>
        <v>8</v>
      </c>
      <c r="C3275" s="190">
        <f t="shared" si="435"/>
        <v>42598</v>
      </c>
      <c r="D3275" s="856" t="s">
        <v>1662</v>
      </c>
      <c r="E3275" s="906">
        <v>42598</v>
      </c>
      <c r="F3275" s="49" t="s">
        <v>1482</v>
      </c>
      <c r="G3275" s="831" t="s">
        <v>1514</v>
      </c>
      <c r="H3275" s="859" t="s">
        <v>1310</v>
      </c>
      <c r="I3275" s="251">
        <v>70</v>
      </c>
      <c r="J3275" s="251">
        <v>26700</v>
      </c>
      <c r="K3275" s="860">
        <f t="shared" si="436"/>
        <v>1869000</v>
      </c>
      <c r="L3275" s="861" t="s">
        <v>162</v>
      </c>
      <c r="M3275" s="861" t="s">
        <v>857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52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>x</v>
      </c>
      <c r="AA3275" s="826"/>
    </row>
    <row r="3276" spans="1:27" ht="15.75" customHeight="1">
      <c r="A3276" s="827" t="str">
        <f>IF(B3276&lt;&gt;"",IF(AND(B3276&gt;=_TM1,B3276&lt;=_TM2,OR(TH!L3276="1111",TH!M3276="1111")),TH!D3276,""),"")</f>
        <v/>
      </c>
      <c r="B3276" s="36">
        <f t="shared" si="434"/>
        <v>8</v>
      </c>
      <c r="C3276" s="190">
        <f t="shared" si="435"/>
        <v>42598</v>
      </c>
      <c r="D3276" s="856" t="s">
        <v>1662</v>
      </c>
      <c r="E3276" s="906">
        <v>42598</v>
      </c>
      <c r="F3276" s="49" t="s">
        <v>1483</v>
      </c>
      <c r="G3276" s="831" t="s">
        <v>1514</v>
      </c>
      <c r="H3276" s="859" t="s">
        <v>1310</v>
      </c>
      <c r="I3276" s="251">
        <v>90</v>
      </c>
      <c r="J3276" s="251">
        <v>33000</v>
      </c>
      <c r="K3276" s="860">
        <f t="shared" si="436"/>
        <v>2970000</v>
      </c>
      <c r="L3276" s="861" t="s">
        <v>162</v>
      </c>
      <c r="M3276" s="861" t="s">
        <v>857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52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>x</v>
      </c>
      <c r="AA3276" s="826"/>
    </row>
    <row r="3277" spans="1:27" ht="15.75" customHeight="1">
      <c r="A3277" s="827" t="str">
        <f>IF(B3277&lt;&gt;"",IF(AND(B3277&gt;=_TM1,B3277&lt;=_TM2,OR(TH!L3277="1111",TH!M3277="1111")),TH!D3277,""),"")</f>
        <v/>
      </c>
      <c r="B3277" s="36">
        <f t="shared" si="434"/>
        <v>8</v>
      </c>
      <c r="C3277" s="190">
        <f t="shared" si="435"/>
        <v>42598</v>
      </c>
      <c r="D3277" s="856" t="s">
        <v>1662</v>
      </c>
      <c r="E3277" s="906">
        <v>42598</v>
      </c>
      <c r="F3277" s="868" t="s">
        <v>1518</v>
      </c>
      <c r="G3277" s="831" t="s">
        <v>1516</v>
      </c>
      <c r="H3277" s="859" t="s">
        <v>1310</v>
      </c>
      <c r="I3277" s="251">
        <v>700</v>
      </c>
      <c r="J3277" s="251">
        <v>360</v>
      </c>
      <c r="K3277" s="860">
        <f t="shared" si="436"/>
        <v>252000</v>
      </c>
      <c r="L3277" s="861" t="s">
        <v>162</v>
      </c>
      <c r="M3277" s="861" t="s">
        <v>857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52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>x</v>
      </c>
      <c r="AA3277" s="826"/>
    </row>
    <row r="3278" spans="1:27" ht="15.75" customHeight="1">
      <c r="A3278" s="827" t="str">
        <f>IF(B3278&lt;&gt;"",IF(AND(B3278&gt;=_TM1,B3278&lt;=_TM2,OR(TH!L3278="1111",TH!M3278="1111")),TH!D3278,""),"")</f>
        <v/>
      </c>
      <c r="B3278" s="36">
        <f t="shared" si="434"/>
        <v>8</v>
      </c>
      <c r="C3278" s="190">
        <f t="shared" si="435"/>
        <v>42598</v>
      </c>
      <c r="D3278" s="856" t="s">
        <v>1662</v>
      </c>
      <c r="E3278" s="906">
        <v>42598</v>
      </c>
      <c r="F3278" s="49" t="s">
        <v>1519</v>
      </c>
      <c r="G3278" s="831" t="s">
        <v>1516</v>
      </c>
      <c r="H3278" s="859" t="s">
        <v>1310</v>
      </c>
      <c r="I3278" s="251">
        <v>3500</v>
      </c>
      <c r="J3278" s="251">
        <v>300</v>
      </c>
      <c r="K3278" s="860">
        <f t="shared" si="436"/>
        <v>1050000</v>
      </c>
      <c r="L3278" s="861" t="s">
        <v>162</v>
      </c>
      <c r="M3278" s="861" t="s">
        <v>857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52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>x</v>
      </c>
      <c r="AA3278" s="826"/>
    </row>
    <row r="3279" spans="1:27" ht="15.75" customHeight="1">
      <c r="A3279" s="827" t="str">
        <f>IF(B3279&lt;&gt;"",IF(AND(B3279&gt;=_TM1,B3279&lt;=_TM2,OR(TH!L3279="1111",TH!M3279="1111")),TH!D3279,""),"")</f>
        <v/>
      </c>
      <c r="B3279" s="36">
        <f t="shared" si="434"/>
        <v>8</v>
      </c>
      <c r="C3279" s="190">
        <f t="shared" si="435"/>
        <v>42601</v>
      </c>
      <c r="D3279" s="856" t="s">
        <v>1662</v>
      </c>
      <c r="E3279" s="906">
        <v>42601</v>
      </c>
      <c r="F3279" s="49" t="s">
        <v>1521</v>
      </c>
      <c r="G3279" s="831" t="s">
        <v>1520</v>
      </c>
      <c r="H3279" s="859" t="s">
        <v>1310</v>
      </c>
      <c r="I3279" s="251">
        <v>400</v>
      </c>
      <c r="J3279" s="251">
        <v>9400</v>
      </c>
      <c r="K3279" s="860">
        <f t="shared" si="436"/>
        <v>3760000</v>
      </c>
      <c r="L3279" s="861" t="s">
        <v>162</v>
      </c>
      <c r="M3279" s="861" t="s">
        <v>857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52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>x</v>
      </c>
      <c r="AA3279" s="826"/>
    </row>
    <row r="3280" spans="1:27" ht="15.75" customHeight="1">
      <c r="A3280" s="827" t="str">
        <f>IF(B3280&lt;&gt;"",IF(AND(B3280&gt;=_TM1,B3280&lt;=_TM2,OR(TH!L3280="1111",TH!M3280="1111")),TH!D3280,""),"")</f>
        <v/>
      </c>
      <c r="B3280" s="36">
        <f t="shared" si="434"/>
        <v>8</v>
      </c>
      <c r="C3280" s="190">
        <f t="shared" si="435"/>
        <v>42601</v>
      </c>
      <c r="D3280" s="856" t="s">
        <v>1662</v>
      </c>
      <c r="E3280" s="906">
        <v>42601</v>
      </c>
      <c r="F3280" s="908" t="s">
        <v>479</v>
      </c>
      <c r="G3280" s="831" t="s">
        <v>1524</v>
      </c>
      <c r="H3280" s="859" t="s">
        <v>1310</v>
      </c>
      <c r="I3280" s="251">
        <v>210</v>
      </c>
      <c r="J3280" s="251">
        <v>8500</v>
      </c>
      <c r="K3280" s="860">
        <f t="shared" si="436"/>
        <v>1785000</v>
      </c>
      <c r="L3280" s="861" t="s">
        <v>162</v>
      </c>
      <c r="M3280" s="861" t="s">
        <v>857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52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>x</v>
      </c>
      <c r="AA3280" s="826"/>
    </row>
    <row r="3281" spans="1:27" ht="15.75" customHeight="1">
      <c r="A3281" s="827" t="str">
        <f>IF(B3281&lt;&gt;"",IF(AND(B3281&gt;=_TM1,B3281&lt;=_TM2,OR(TH!L3281="1111",TH!M3281="1111")),TH!D3281,""),"")</f>
        <v/>
      </c>
      <c r="B3281" s="36">
        <f t="shared" si="434"/>
        <v>8</v>
      </c>
      <c r="C3281" s="190">
        <f t="shared" si="435"/>
        <v>42604</v>
      </c>
      <c r="D3281" s="856" t="s">
        <v>1662</v>
      </c>
      <c r="E3281" s="906">
        <v>42604</v>
      </c>
      <c r="F3281" s="868" t="s">
        <v>451</v>
      </c>
      <c r="G3281" s="831" t="s">
        <v>1526</v>
      </c>
      <c r="H3281" s="859" t="s">
        <v>1310</v>
      </c>
      <c r="I3281" s="251">
        <v>4400</v>
      </c>
      <c r="J3281" s="251">
        <v>17575</v>
      </c>
      <c r="K3281" s="860">
        <f t="shared" si="436"/>
        <v>77330000</v>
      </c>
      <c r="L3281" s="861" t="s">
        <v>162</v>
      </c>
      <c r="M3281" s="861" t="s">
        <v>857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52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>x</v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>x</v>
      </c>
      <c r="AA3281" s="826"/>
    </row>
    <row r="3282" spans="1:27" ht="15.75" customHeight="1">
      <c r="A3282" s="827" t="str">
        <f>IF(B3282&lt;&gt;"",IF(AND(B3282&gt;=_TM1,B3282&lt;=_TM2,OR(TH!L3282="1111",TH!M3282="1111")),TH!D3282,""),"")</f>
        <v/>
      </c>
      <c r="B3282" s="36">
        <f t="shared" si="434"/>
        <v>8</v>
      </c>
      <c r="C3282" s="190">
        <f t="shared" si="435"/>
        <v>42604</v>
      </c>
      <c r="D3282" s="856" t="s">
        <v>1662</v>
      </c>
      <c r="E3282" s="906">
        <v>42604</v>
      </c>
      <c r="F3282" s="49" t="s">
        <v>450</v>
      </c>
      <c r="G3282" s="831" t="s">
        <v>1526</v>
      </c>
      <c r="H3282" s="859" t="s">
        <v>1310</v>
      </c>
      <c r="I3282" s="251">
        <v>4100</v>
      </c>
      <c r="J3282" s="251">
        <v>17575</v>
      </c>
      <c r="K3282" s="860">
        <f t="shared" si="436"/>
        <v>72057500</v>
      </c>
      <c r="L3282" s="861" t="s">
        <v>162</v>
      </c>
      <c r="M3282" s="861" t="s">
        <v>857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52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>x</v>
      </c>
      <c r="AA3282" s="826"/>
    </row>
    <row r="3283" spans="1:27" ht="15.75" customHeight="1">
      <c r="A3283" s="827" t="str">
        <f>IF(B3283&lt;&gt;"",IF(AND(B3283&gt;=_TM1,B3283&lt;=_TM2,OR(TH!L3283="1111",TH!M3283="1111")),TH!D3283,""),"")</f>
        <v/>
      </c>
      <c r="B3283" s="36">
        <f t="shared" si="434"/>
        <v>8</v>
      </c>
      <c r="C3283" s="190">
        <f t="shared" si="435"/>
        <v>42605</v>
      </c>
      <c r="D3283" s="856" t="s">
        <v>1662</v>
      </c>
      <c r="E3283" s="906">
        <v>42605</v>
      </c>
      <c r="F3283" s="868" t="s">
        <v>1529</v>
      </c>
      <c r="G3283" s="831" t="s">
        <v>1527</v>
      </c>
      <c r="H3283" s="859" t="s">
        <v>1310</v>
      </c>
      <c r="I3283" s="251">
        <v>300</v>
      </c>
      <c r="J3283" s="251">
        <v>10500</v>
      </c>
      <c r="K3283" s="860">
        <f t="shared" si="436"/>
        <v>3150000</v>
      </c>
      <c r="L3283" s="861" t="s">
        <v>162</v>
      </c>
      <c r="M3283" s="861" t="s">
        <v>857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52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>x</v>
      </c>
      <c r="AA3283" s="826"/>
    </row>
    <row r="3284" spans="1:27" ht="15.75" customHeight="1">
      <c r="A3284" s="827" t="str">
        <f>IF(B3284&lt;&gt;"",IF(AND(B3284&gt;=_TM1,B3284&lt;=_TM2,OR(TH!L3284="1111",TH!M3284="1111")),TH!D3284,""),"")</f>
        <v/>
      </c>
      <c r="B3284" s="36">
        <f t="shared" si="434"/>
        <v>8</v>
      </c>
      <c r="C3284" s="190">
        <f t="shared" si="435"/>
        <v>42607</v>
      </c>
      <c r="D3284" s="856" t="s">
        <v>1662</v>
      </c>
      <c r="E3284" s="906">
        <v>42607</v>
      </c>
      <c r="F3284" s="49" t="s">
        <v>1532</v>
      </c>
      <c r="G3284" s="831" t="s">
        <v>1530</v>
      </c>
      <c r="H3284" s="859" t="s">
        <v>1310</v>
      </c>
      <c r="I3284" s="251">
        <v>60</v>
      </c>
      <c r="J3284" s="251">
        <v>8100</v>
      </c>
      <c r="K3284" s="860">
        <f t="shared" si="436"/>
        <v>486000</v>
      </c>
      <c r="L3284" s="861" t="s">
        <v>162</v>
      </c>
      <c r="M3284" s="861" t="s">
        <v>857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52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>x</v>
      </c>
      <c r="AA3284" s="826"/>
    </row>
    <row r="3285" spans="1:27" ht="15.75" customHeight="1">
      <c r="A3285" s="827" t="str">
        <f>IF(B3285&lt;&gt;"",IF(AND(B3285&gt;=_TM1,B3285&lt;=_TM2,OR(TH!L3285="1111",TH!M3285="1111")),TH!D3285,""),"")</f>
        <v/>
      </c>
      <c r="B3285" s="36">
        <f t="shared" si="434"/>
        <v>8</v>
      </c>
      <c r="C3285" s="190">
        <f t="shared" si="435"/>
        <v>42609</v>
      </c>
      <c r="D3285" s="856" t="s">
        <v>1662</v>
      </c>
      <c r="E3285" s="906">
        <v>42609</v>
      </c>
      <c r="F3285" s="868" t="s">
        <v>1535</v>
      </c>
      <c r="G3285" s="831" t="s">
        <v>1534</v>
      </c>
      <c r="H3285" s="859" t="s">
        <v>1310</v>
      </c>
      <c r="I3285" s="251">
        <v>10</v>
      </c>
      <c r="J3285" s="251">
        <v>18100</v>
      </c>
      <c r="K3285" s="860">
        <f t="shared" si="436"/>
        <v>181000</v>
      </c>
      <c r="L3285" s="861" t="s">
        <v>162</v>
      </c>
      <c r="M3285" s="861" t="s">
        <v>857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52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>x</v>
      </c>
      <c r="AA3285" s="826"/>
    </row>
    <row r="3286" spans="1:27" ht="15.75" customHeight="1">
      <c r="A3286" s="827" t="str">
        <f>IF(B3286&lt;&gt;"",IF(AND(B3286&gt;=_TM1,B3286&lt;=_TM2,OR(TH!L3286="1111",TH!M3286="1111")),TH!D3286,""),"")</f>
        <v/>
      </c>
      <c r="B3286" s="36">
        <f t="shared" si="434"/>
        <v>8</v>
      </c>
      <c r="C3286" s="190">
        <f t="shared" si="435"/>
        <v>42611</v>
      </c>
      <c r="D3286" s="856" t="s">
        <v>1662</v>
      </c>
      <c r="E3286" s="906">
        <v>42611</v>
      </c>
      <c r="F3286" s="49" t="s">
        <v>1539</v>
      </c>
      <c r="G3286" s="831" t="s">
        <v>1536</v>
      </c>
      <c r="H3286" s="859" t="s">
        <v>1310</v>
      </c>
      <c r="I3286" s="251">
        <v>26</v>
      </c>
      <c r="J3286" s="251">
        <v>115100</v>
      </c>
      <c r="K3286" s="860">
        <f t="shared" si="436"/>
        <v>2992600</v>
      </c>
      <c r="L3286" s="861" t="s">
        <v>162</v>
      </c>
      <c r="M3286" s="861" t="s">
        <v>857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52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>x</v>
      </c>
      <c r="AA3286" s="826"/>
    </row>
    <row r="3287" spans="1:27" ht="15.75" customHeight="1">
      <c r="A3287" s="827" t="str">
        <f>IF(B3287&lt;&gt;"",IF(AND(B3287&gt;=_TM1,B3287&lt;=_TM2,OR(TH!L3287="1111",TH!M3287="1111")),TH!D3287,""),"")</f>
        <v/>
      </c>
      <c r="B3287" s="36">
        <f t="shared" si="434"/>
        <v>8</v>
      </c>
      <c r="C3287" s="190">
        <f t="shared" si="435"/>
        <v>42611</v>
      </c>
      <c r="D3287" s="856" t="s">
        <v>1662</v>
      </c>
      <c r="E3287" s="906">
        <v>42611</v>
      </c>
      <c r="F3287" s="868" t="s">
        <v>1538</v>
      </c>
      <c r="G3287" s="831" t="s">
        <v>1537</v>
      </c>
      <c r="H3287" s="859" t="s">
        <v>1310</v>
      </c>
      <c r="I3287" s="251">
        <v>26</v>
      </c>
      <c r="J3287" s="251">
        <v>8000</v>
      </c>
      <c r="K3287" s="860">
        <f t="shared" si="436"/>
        <v>208000</v>
      </c>
      <c r="L3287" s="861" t="s">
        <v>162</v>
      </c>
      <c r="M3287" s="861" t="s">
        <v>857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52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>x</v>
      </c>
      <c r="AA3287" s="826"/>
    </row>
    <row r="3288" spans="1:27" ht="15.75" customHeight="1">
      <c r="A3288" s="827" t="str">
        <f>IF(B3288&lt;&gt;"",IF(AND(B3288&gt;=_TM1,B3288&lt;=_TM2,OR(TH!L3288="1111",TH!M3288="1111")),TH!D3288,""),"")</f>
        <v/>
      </c>
      <c r="B3288" s="36">
        <f t="shared" si="434"/>
        <v>8</v>
      </c>
      <c r="C3288" s="190">
        <f t="shared" si="435"/>
        <v>42611</v>
      </c>
      <c r="D3288" s="856" t="s">
        <v>1662</v>
      </c>
      <c r="E3288" s="906">
        <v>42611</v>
      </c>
      <c r="F3288" s="49" t="s">
        <v>1540</v>
      </c>
      <c r="G3288" s="831" t="s">
        <v>1537</v>
      </c>
      <c r="H3288" s="859" t="s">
        <v>1310</v>
      </c>
      <c r="I3288" s="251">
        <v>35</v>
      </c>
      <c r="J3288" s="251">
        <v>51100</v>
      </c>
      <c r="K3288" s="860">
        <f t="shared" si="436"/>
        <v>1788500</v>
      </c>
      <c r="L3288" s="861" t="s">
        <v>162</v>
      </c>
      <c r="M3288" s="861" t="s">
        <v>857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52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>x</v>
      </c>
      <c r="AA3288" s="826"/>
    </row>
    <row r="3289" spans="1:27" ht="15.75" customHeight="1">
      <c r="A3289" s="827" t="str">
        <f>IF(B3289&lt;&gt;"",IF(AND(B3289&gt;=_TM1,B3289&lt;=_TM2,OR(TH!L3289="1111",TH!M3289="1111")),TH!D3289,""),"")</f>
        <v/>
      </c>
      <c r="B3289" s="36">
        <f t="shared" si="434"/>
        <v>8</v>
      </c>
      <c r="C3289" s="190">
        <f t="shared" si="435"/>
        <v>42611</v>
      </c>
      <c r="D3289" s="856" t="s">
        <v>1662</v>
      </c>
      <c r="E3289" s="906">
        <v>42611</v>
      </c>
      <c r="F3289" s="49" t="s">
        <v>1541</v>
      </c>
      <c r="G3289" s="831" t="s">
        <v>1537</v>
      </c>
      <c r="H3289" s="859" t="s">
        <v>1310</v>
      </c>
      <c r="I3289" s="251">
        <v>5</v>
      </c>
      <c r="J3289" s="251">
        <v>107000</v>
      </c>
      <c r="K3289" s="860">
        <f t="shared" si="436"/>
        <v>535000</v>
      </c>
      <c r="L3289" s="861" t="s">
        <v>162</v>
      </c>
      <c r="M3289" s="861" t="s">
        <v>857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52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>x</v>
      </c>
      <c r="AA3289" s="826"/>
    </row>
    <row r="3290" spans="1:27" ht="15.75" customHeight="1">
      <c r="A3290" s="827" t="str">
        <f>IF(B3290&lt;&gt;"",IF(AND(B3290&gt;=_TM1,B3290&lt;=_TM2,OR(TH!L3290="1111",TH!M3290="1111")),TH!D3290,""),"")</f>
        <v/>
      </c>
      <c r="B3290" s="36">
        <f t="shared" si="434"/>
        <v>8</v>
      </c>
      <c r="C3290" s="190">
        <f t="shared" si="435"/>
        <v>42611</v>
      </c>
      <c r="D3290" s="856" t="s">
        <v>1662</v>
      </c>
      <c r="E3290" s="906">
        <v>42611</v>
      </c>
      <c r="F3290" s="868" t="s">
        <v>1542</v>
      </c>
      <c r="G3290" s="831" t="s">
        <v>1537</v>
      </c>
      <c r="H3290" s="859" t="s">
        <v>1310</v>
      </c>
      <c r="I3290" s="251">
        <v>26</v>
      </c>
      <c r="J3290" s="251">
        <v>60000</v>
      </c>
      <c r="K3290" s="860">
        <f t="shared" si="436"/>
        <v>1560000</v>
      </c>
      <c r="L3290" s="861" t="s">
        <v>162</v>
      </c>
      <c r="M3290" s="861" t="s">
        <v>857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52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>x</v>
      </c>
      <c r="AA3290" s="826"/>
    </row>
    <row r="3291" spans="1:27" ht="15.75" customHeight="1">
      <c r="A3291" s="827" t="str">
        <f>IF(B3291&lt;&gt;"",IF(AND(B3291&gt;=_TM1,B3291&lt;=_TM2,OR(TH!L3291="1111",TH!M3291="1111")),TH!D3291,""),"")</f>
        <v/>
      </c>
      <c r="B3291" s="36">
        <f t="shared" si="434"/>
        <v>8</v>
      </c>
      <c r="C3291" s="190">
        <f t="shared" si="435"/>
        <v>42611</v>
      </c>
      <c r="D3291" s="856" t="s">
        <v>1662</v>
      </c>
      <c r="E3291" s="906">
        <v>42611</v>
      </c>
      <c r="F3291" s="49" t="s">
        <v>1543</v>
      </c>
      <c r="G3291" s="831" t="s">
        <v>1537</v>
      </c>
      <c r="H3291" s="859" t="s">
        <v>1310</v>
      </c>
      <c r="I3291" s="251">
        <v>20</v>
      </c>
      <c r="J3291" s="251">
        <v>46200</v>
      </c>
      <c r="K3291" s="860">
        <f t="shared" si="436"/>
        <v>924000</v>
      </c>
      <c r="L3291" s="861" t="s">
        <v>162</v>
      </c>
      <c r="M3291" s="861" t="s">
        <v>857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52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>x</v>
      </c>
      <c r="AA3291" s="826"/>
    </row>
    <row r="3292" spans="1:27" ht="15.75" customHeight="1">
      <c r="A3292" s="827" t="str">
        <f>IF(B3292&lt;&gt;"",IF(AND(B3292&gt;=_TM1,B3292&lt;=_TM2,OR(TH!L3292="1111",TH!M3292="1111")),TH!D3292,""),"")</f>
        <v/>
      </c>
      <c r="B3292" s="36">
        <f t="shared" si="434"/>
        <v>8</v>
      </c>
      <c r="C3292" s="190">
        <f t="shared" si="435"/>
        <v>42611</v>
      </c>
      <c r="D3292" s="856" t="s">
        <v>1662</v>
      </c>
      <c r="E3292" s="906">
        <v>42611</v>
      </c>
      <c r="F3292" s="868" t="s">
        <v>1544</v>
      </c>
      <c r="G3292" s="831" t="s">
        <v>1537</v>
      </c>
      <c r="H3292" s="859" t="s">
        <v>1310</v>
      </c>
      <c r="I3292" s="251">
        <v>2</v>
      </c>
      <c r="J3292" s="251">
        <v>39300</v>
      </c>
      <c r="K3292" s="860">
        <f t="shared" si="436"/>
        <v>78600</v>
      </c>
      <c r="L3292" s="861" t="s">
        <v>162</v>
      </c>
      <c r="M3292" s="861" t="s">
        <v>857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52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>x</v>
      </c>
      <c r="AA3292" s="826"/>
    </row>
    <row r="3293" spans="1:27" ht="15.75" customHeight="1">
      <c r="A3293" s="827" t="str">
        <f>IF(B3293&lt;&gt;"",IF(AND(B3293&gt;=_TM1,B3293&lt;=_TM2,OR(TH!L3293="1111",TH!M3293="1111")),TH!D3293,""),"")</f>
        <v/>
      </c>
      <c r="B3293" s="36">
        <f t="shared" si="434"/>
        <v>8</v>
      </c>
      <c r="C3293" s="190">
        <f t="shared" si="435"/>
        <v>42611</v>
      </c>
      <c r="D3293" s="856" t="s">
        <v>1662</v>
      </c>
      <c r="E3293" s="906">
        <v>42611</v>
      </c>
      <c r="F3293" s="49" t="s">
        <v>1545</v>
      </c>
      <c r="G3293" s="831" t="s">
        <v>1537</v>
      </c>
      <c r="H3293" s="859" t="s">
        <v>1310</v>
      </c>
      <c r="I3293" s="251">
        <v>1</v>
      </c>
      <c r="J3293" s="251">
        <v>36000</v>
      </c>
      <c r="K3293" s="860">
        <f t="shared" si="436"/>
        <v>36000</v>
      </c>
      <c r="L3293" s="861" t="s">
        <v>162</v>
      </c>
      <c r="M3293" s="861" t="s">
        <v>857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52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>x</v>
      </c>
      <c r="AA3293" s="826"/>
    </row>
    <row r="3294" spans="1:27" ht="15.75" customHeight="1">
      <c r="A3294" s="827" t="str">
        <f>IF(B3294&lt;&gt;"",IF(AND(B3294&gt;=_TM1,B3294&lt;=_TM2,OR(TH!L3294="1111",TH!M3294="1111")),TH!D3294,""),"")</f>
        <v/>
      </c>
      <c r="B3294" s="36">
        <f t="shared" si="434"/>
        <v>8</v>
      </c>
      <c r="C3294" s="190">
        <f t="shared" si="435"/>
        <v>42611</v>
      </c>
      <c r="D3294" s="856" t="s">
        <v>1662</v>
      </c>
      <c r="E3294" s="906">
        <v>42611</v>
      </c>
      <c r="F3294" s="49" t="s">
        <v>1546</v>
      </c>
      <c r="G3294" s="831" t="s">
        <v>1537</v>
      </c>
      <c r="H3294" s="859" t="s">
        <v>1310</v>
      </c>
      <c r="I3294" s="251">
        <v>3</v>
      </c>
      <c r="J3294" s="251">
        <v>50556.666666666664</v>
      </c>
      <c r="K3294" s="860">
        <f t="shared" si="436"/>
        <v>151670</v>
      </c>
      <c r="L3294" s="861" t="s">
        <v>162</v>
      </c>
      <c r="M3294" s="861" t="s">
        <v>857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52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>x</v>
      </c>
      <c r="AA3294" s="826"/>
    </row>
    <row r="3295" spans="1:27" ht="15.75" customHeight="1">
      <c r="A3295" s="827" t="str">
        <f>IF(B3295&lt;&gt;"",IF(AND(B3295&gt;=_TM1,B3295&lt;=_TM2,OR(TH!L3295="1111",TH!M3295="1111")),TH!D3295,""),"")</f>
        <v/>
      </c>
      <c r="B3295" s="36">
        <f t="shared" si="434"/>
        <v>8</v>
      </c>
      <c r="C3295" s="190">
        <f t="shared" si="435"/>
        <v>42611</v>
      </c>
      <c r="D3295" s="856" t="s">
        <v>1662</v>
      </c>
      <c r="E3295" s="906">
        <v>42611</v>
      </c>
      <c r="F3295" s="868" t="s">
        <v>1547</v>
      </c>
      <c r="G3295" s="831" t="s">
        <v>1537</v>
      </c>
      <c r="H3295" s="859" t="s">
        <v>1310</v>
      </c>
      <c r="I3295" s="251">
        <v>2</v>
      </c>
      <c r="J3295" s="251">
        <v>92500</v>
      </c>
      <c r="K3295" s="860">
        <f t="shared" si="436"/>
        <v>185000</v>
      </c>
      <c r="L3295" s="861" t="s">
        <v>162</v>
      </c>
      <c r="M3295" s="861" t="s">
        <v>857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52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>x</v>
      </c>
      <c r="AA3295" s="826"/>
    </row>
    <row r="3296" spans="1:27" ht="15.75" customHeight="1">
      <c r="A3296" s="827" t="str">
        <f>IF(B3296&lt;&gt;"",IF(AND(B3296&gt;=_TM1,B3296&lt;=_TM2,OR(TH!L3296="1111",TH!M3296="1111")),TH!D3296,""),"")</f>
        <v/>
      </c>
      <c r="B3296" s="36">
        <f t="shared" si="434"/>
        <v>8</v>
      </c>
      <c r="C3296" s="190">
        <f t="shared" si="435"/>
        <v>42611</v>
      </c>
      <c r="D3296" s="856" t="s">
        <v>1662</v>
      </c>
      <c r="E3296" s="906">
        <v>42611</v>
      </c>
      <c r="F3296" s="49" t="s">
        <v>1548</v>
      </c>
      <c r="G3296" s="831" t="s">
        <v>1537</v>
      </c>
      <c r="H3296" s="859" t="s">
        <v>1310</v>
      </c>
      <c r="I3296" s="251">
        <v>5</v>
      </c>
      <c r="J3296" s="251">
        <v>60000</v>
      </c>
      <c r="K3296" s="860">
        <f t="shared" si="436"/>
        <v>300000</v>
      </c>
      <c r="L3296" s="861" t="s">
        <v>162</v>
      </c>
      <c r="M3296" s="861" t="s">
        <v>857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52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>x</v>
      </c>
      <c r="AA3296" s="826"/>
    </row>
    <row r="3297" spans="1:27" ht="15.75" customHeight="1">
      <c r="A3297" s="827" t="str">
        <f>IF(B3297&lt;&gt;"",IF(AND(B3297&gt;=_TM1,B3297&lt;=_TM2,OR(TH!L3297="1111",TH!M3297="1111")),TH!D3297,""),"")</f>
        <v/>
      </c>
      <c r="B3297" s="36">
        <f t="shared" si="434"/>
        <v>8</v>
      </c>
      <c r="C3297" s="190">
        <f t="shared" si="435"/>
        <v>42611</v>
      </c>
      <c r="D3297" s="856" t="s">
        <v>1662</v>
      </c>
      <c r="E3297" s="906">
        <v>42611</v>
      </c>
      <c r="F3297" s="49" t="s">
        <v>1549</v>
      </c>
      <c r="G3297" s="831" t="s">
        <v>1537</v>
      </c>
      <c r="H3297" s="859" t="s">
        <v>1310</v>
      </c>
      <c r="I3297" s="251">
        <v>6</v>
      </c>
      <c r="J3297" s="251">
        <v>58500</v>
      </c>
      <c r="K3297" s="860">
        <f t="shared" si="436"/>
        <v>351000</v>
      </c>
      <c r="L3297" s="861" t="s">
        <v>162</v>
      </c>
      <c r="M3297" s="861" t="s">
        <v>857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52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>x</v>
      </c>
      <c r="AA3297" s="826"/>
    </row>
    <row r="3298" spans="1:27" ht="15.75" customHeight="1">
      <c r="A3298" s="827" t="str">
        <f>IF(B3298&lt;&gt;"",IF(AND(B3298&gt;=_TM1,B3298&lt;=_TM2,OR(TH!L3298="1111",TH!M3298="1111")),TH!D3298,""),"")</f>
        <v/>
      </c>
      <c r="B3298" s="36">
        <f t="shared" si="434"/>
        <v>8</v>
      </c>
      <c r="C3298" s="190">
        <f t="shared" si="435"/>
        <v>42611</v>
      </c>
      <c r="D3298" s="856" t="s">
        <v>1662</v>
      </c>
      <c r="E3298" s="906">
        <v>42611</v>
      </c>
      <c r="F3298" s="49" t="s">
        <v>1550</v>
      </c>
      <c r="G3298" s="831" t="s">
        <v>1537</v>
      </c>
      <c r="H3298" s="859" t="s">
        <v>1310</v>
      </c>
      <c r="I3298" s="251">
        <v>2</v>
      </c>
      <c r="J3298" s="251">
        <v>111000</v>
      </c>
      <c r="K3298" s="860">
        <f t="shared" si="436"/>
        <v>222000</v>
      </c>
      <c r="L3298" s="861" t="s">
        <v>162</v>
      </c>
      <c r="M3298" s="861" t="s">
        <v>857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52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>x</v>
      </c>
      <c r="AA3298" s="826"/>
    </row>
    <row r="3299" spans="1:27" ht="15.75" customHeight="1">
      <c r="A3299" s="827" t="str">
        <f>IF(B3299&lt;&gt;"",IF(AND(B3299&gt;=_TM1,B3299&lt;=_TM2,OR(TH!L3299="1111",TH!M3299="1111")),TH!D3299,""),"")</f>
        <v/>
      </c>
      <c r="B3299" s="36">
        <f t="shared" si="434"/>
        <v>8</v>
      </c>
      <c r="C3299" s="190">
        <f t="shared" si="435"/>
        <v>42611</v>
      </c>
      <c r="D3299" s="856" t="s">
        <v>1662</v>
      </c>
      <c r="E3299" s="906">
        <v>42611</v>
      </c>
      <c r="F3299" s="868" t="s">
        <v>1551</v>
      </c>
      <c r="G3299" s="831" t="s">
        <v>1537</v>
      </c>
      <c r="H3299" s="859" t="s">
        <v>1310</v>
      </c>
      <c r="I3299" s="251">
        <v>50</v>
      </c>
      <c r="J3299" s="251">
        <v>46000</v>
      </c>
      <c r="K3299" s="860">
        <f t="shared" si="436"/>
        <v>2300000</v>
      </c>
      <c r="L3299" s="861" t="s">
        <v>162</v>
      </c>
      <c r="M3299" s="861" t="s">
        <v>857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52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>x</v>
      </c>
      <c r="AA3299" s="826"/>
    </row>
    <row r="3300" spans="1:27" ht="15.75" customHeight="1">
      <c r="A3300" s="827" t="str">
        <f>IF(B3300&lt;&gt;"",IF(AND(B3300&gt;=_TM1,B3300&lt;=_TM2,OR(TH!L3300="1111",TH!M3300="1111")),TH!D3300,""),"")</f>
        <v/>
      </c>
      <c r="B3300" s="36">
        <f t="shared" si="434"/>
        <v>8</v>
      </c>
      <c r="C3300" s="190">
        <f t="shared" si="435"/>
        <v>42611</v>
      </c>
      <c r="D3300" s="856" t="s">
        <v>1662</v>
      </c>
      <c r="E3300" s="906">
        <v>42611</v>
      </c>
      <c r="F3300" s="49" t="s">
        <v>1552</v>
      </c>
      <c r="G3300" s="831" t="s">
        <v>1536</v>
      </c>
      <c r="H3300" s="859" t="s">
        <v>1310</v>
      </c>
      <c r="I3300" s="251">
        <v>3</v>
      </c>
      <c r="J3300" s="251">
        <v>17200</v>
      </c>
      <c r="K3300" s="860">
        <f t="shared" si="436"/>
        <v>51600</v>
      </c>
      <c r="L3300" s="861" t="s">
        <v>162</v>
      </c>
      <c r="M3300" s="861" t="s">
        <v>857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52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>x</v>
      </c>
      <c r="AA3300" s="826"/>
    </row>
    <row r="3301" spans="1:27" ht="15.75" customHeight="1">
      <c r="A3301" s="827" t="str">
        <f>IF(B3301&lt;&gt;"",IF(AND(B3301&gt;=_TM1,B3301&lt;=_TM2,OR(TH!L3301="1111",TH!M3301="1111")),TH!D3301,""),"")</f>
        <v/>
      </c>
      <c r="B3301" s="36">
        <f t="shared" si="434"/>
        <v>8</v>
      </c>
      <c r="C3301" s="190">
        <f t="shared" si="435"/>
        <v>42611</v>
      </c>
      <c r="D3301" s="856" t="s">
        <v>1662</v>
      </c>
      <c r="E3301" s="906">
        <v>42611</v>
      </c>
      <c r="F3301" s="49" t="s">
        <v>1553</v>
      </c>
      <c r="G3301" s="831" t="s">
        <v>1537</v>
      </c>
      <c r="H3301" s="859" t="s">
        <v>1310</v>
      </c>
      <c r="I3301" s="251">
        <v>3</v>
      </c>
      <c r="J3301" s="251">
        <v>86000</v>
      </c>
      <c r="K3301" s="860">
        <f t="shared" si="436"/>
        <v>258000</v>
      </c>
      <c r="L3301" s="861" t="s">
        <v>162</v>
      </c>
      <c r="M3301" s="861" t="s">
        <v>857</v>
      </c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52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>x</v>
      </c>
      <c r="AA3301" s="826"/>
    </row>
    <row r="3302" spans="1:27" ht="15.75" customHeight="1">
      <c r="A3302" s="827" t="str">
        <f>IF(B3302&lt;&gt;"",IF(AND(B3302&gt;=_TM1,B3302&lt;=_TM2,OR(TH!L3302="1111",TH!M3302="1111")),TH!D3302,""),"")</f>
        <v/>
      </c>
      <c r="B3302" s="36">
        <f t="shared" si="434"/>
        <v>8</v>
      </c>
      <c r="C3302" s="190">
        <f t="shared" si="435"/>
        <v>42611</v>
      </c>
      <c r="D3302" s="856" t="s">
        <v>1662</v>
      </c>
      <c r="E3302" s="906">
        <v>42611</v>
      </c>
      <c r="F3302" s="908" t="s">
        <v>1554</v>
      </c>
      <c r="G3302" s="831" t="s">
        <v>1537</v>
      </c>
      <c r="H3302" s="859" t="s">
        <v>1310</v>
      </c>
      <c r="I3302" s="251">
        <v>4</v>
      </c>
      <c r="J3302" s="251">
        <v>35000</v>
      </c>
      <c r="K3302" s="860">
        <f t="shared" si="436"/>
        <v>140000</v>
      </c>
      <c r="L3302" s="861" t="s">
        <v>162</v>
      </c>
      <c r="M3302" s="861" t="s">
        <v>857</v>
      </c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52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>x</v>
      </c>
      <c r="AA3302" s="826"/>
    </row>
    <row r="3303" spans="1:27" ht="15.75" customHeight="1">
      <c r="A3303" s="827" t="str">
        <f>IF(B3303&lt;&gt;"",IF(AND(B3303&gt;=_TM1,B3303&lt;=_TM2,OR(TH!L3303="1111",TH!M3303="1111")),TH!D3303,""),"")</f>
        <v/>
      </c>
      <c r="B3303" s="36">
        <f t="shared" si="434"/>
        <v>8</v>
      </c>
      <c r="C3303" s="190">
        <f t="shared" si="435"/>
        <v>42611</v>
      </c>
      <c r="D3303" s="856" t="s">
        <v>1662</v>
      </c>
      <c r="E3303" s="906">
        <v>42611</v>
      </c>
      <c r="F3303" s="868" t="s">
        <v>1555</v>
      </c>
      <c r="G3303" s="831" t="s">
        <v>1537</v>
      </c>
      <c r="H3303" s="859" t="s">
        <v>1310</v>
      </c>
      <c r="I3303" s="251">
        <v>4</v>
      </c>
      <c r="J3303" s="251">
        <v>47000</v>
      </c>
      <c r="K3303" s="860">
        <f t="shared" si="436"/>
        <v>188000</v>
      </c>
      <c r="L3303" s="861" t="s">
        <v>162</v>
      </c>
      <c r="M3303" s="861" t="s">
        <v>857</v>
      </c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52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>x</v>
      </c>
      <c r="AA3303" s="826"/>
    </row>
    <row r="3304" spans="1:27" ht="15.75" customHeight="1">
      <c r="A3304" s="827" t="str">
        <f>IF(B3304&lt;&gt;"",IF(AND(B3304&gt;=_TM1,B3304&lt;=_TM2,OR(TH!L3304="1111",TH!M3304="1111")),TH!D3304,""),"")</f>
        <v/>
      </c>
      <c r="B3304" s="36">
        <f t="shared" si="434"/>
        <v>8</v>
      </c>
      <c r="C3304" s="190">
        <f t="shared" si="435"/>
        <v>42611</v>
      </c>
      <c r="D3304" s="856" t="s">
        <v>1662</v>
      </c>
      <c r="E3304" s="906">
        <v>42611</v>
      </c>
      <c r="F3304" s="49" t="s">
        <v>1556</v>
      </c>
      <c r="G3304" s="831" t="s">
        <v>1537</v>
      </c>
      <c r="H3304" s="859" t="s">
        <v>1310</v>
      </c>
      <c r="I3304" s="251">
        <v>20</v>
      </c>
      <c r="J3304" s="251">
        <v>47500</v>
      </c>
      <c r="K3304" s="860">
        <f t="shared" si="436"/>
        <v>950000</v>
      </c>
      <c r="L3304" s="861" t="s">
        <v>162</v>
      </c>
      <c r="M3304" s="861" t="s">
        <v>857</v>
      </c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52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>x</v>
      </c>
      <c r="AA3304" s="826"/>
    </row>
    <row r="3305" spans="1:27" ht="15.75" customHeight="1">
      <c r="A3305" s="827" t="str">
        <f>IF(B3305&lt;&gt;"",IF(AND(B3305&gt;=_TM1,B3305&lt;=_TM2,OR(TH!L3305="1111",TH!M3305="1111")),TH!D3305,""),"")</f>
        <v/>
      </c>
      <c r="B3305" s="36">
        <f t="shared" si="434"/>
        <v>8</v>
      </c>
      <c r="C3305" s="190">
        <f t="shared" si="435"/>
        <v>42611</v>
      </c>
      <c r="D3305" s="856" t="s">
        <v>1662</v>
      </c>
      <c r="E3305" s="906">
        <v>42611</v>
      </c>
      <c r="F3305" s="868" t="s">
        <v>1543</v>
      </c>
      <c r="G3305" s="831" t="s">
        <v>1537</v>
      </c>
      <c r="H3305" s="859" t="s">
        <v>1310</v>
      </c>
      <c r="I3305" s="251">
        <v>1</v>
      </c>
      <c r="J3305" s="251">
        <v>46200</v>
      </c>
      <c r="K3305" s="860">
        <f t="shared" si="436"/>
        <v>46200</v>
      </c>
      <c r="L3305" s="861" t="s">
        <v>162</v>
      </c>
      <c r="M3305" s="861" t="s">
        <v>857</v>
      </c>
      <c r="N3305" s="52" t="str">
        <f>IF(AND('331-CT'!$E$7=TH!H3305,OR(L3305="331",M3305="331")),"331",IF(AND(OR(L3305="131",M3305="131"),H3305='131-CT'!$E$7),"131",""))</f>
        <v/>
      </c>
      <c r="O3305" s="52" t="str">
        <f>IF(AND($B3305&gt;='111'!$N$11,$B3305&lt;='111'!$O$11,OR($L3305=$O$7,$M3305=$O$7)),"x","")</f>
        <v/>
      </c>
      <c r="P3305" s="52" t="str">
        <f>IF(AND($L3305=$O$7,$B3305&lt;'111'!$N$11),"x","")</f>
        <v/>
      </c>
      <c r="Q3305" s="52" t="str">
        <f>IF(AND($M3305=$O$7,$B3305&lt;'111'!$N$11),"x","")</f>
        <v/>
      </c>
      <c r="R3305" s="52" t="str">
        <f>IF(ISERROR(FIND('112'!$M$9,G3305,1)),"",IF((AND(FIND('112'!$M$9,G3305,1)&gt;=1,$B3305&gt;='112'!$N$8,$B3305&lt;='112'!$O$8,OR($L3305='112'!$I$6,$M3305='112'!$I$6))),"x",""))</f>
        <v/>
      </c>
      <c r="S3305" s="52" t="str">
        <f>IF(ISERROR(FIND('112'!$M$9,G3305,1)),"",IF((AND(LEFT(G3305,2)=LEFT('112'!$M$9,2),B3305&lt;'112'!$N$8,$L3305='112'!$I$6)),"x",""))</f>
        <v/>
      </c>
      <c r="T3305" s="52" t="str">
        <f>IF(ISERROR(FIND('112'!$M$9,G3305,1)),"",IF((AND(RIGHT(G3305,2)=RIGHT('112'!$M$9,2),B3305&lt;'112'!$N$8,$M3305='112'!$I$6)),"x",""))</f>
        <v/>
      </c>
      <c r="U3305" s="52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>x</v>
      </c>
      <c r="AA3305" s="826"/>
    </row>
    <row r="3306" spans="1:27" ht="15.75" customHeight="1">
      <c r="A3306" s="827" t="str">
        <f>IF(B3306&lt;&gt;"",IF(AND(B3306&gt;=_TM1,B3306&lt;=_TM2,OR(TH!L3306="1111",TH!M3306="1111")),TH!D3306,""),"")</f>
        <v/>
      </c>
      <c r="B3306" s="36">
        <f t="shared" si="434"/>
        <v>8</v>
      </c>
      <c r="C3306" s="190">
        <f t="shared" si="435"/>
        <v>42611</v>
      </c>
      <c r="D3306" s="856" t="s">
        <v>1662</v>
      </c>
      <c r="E3306" s="906">
        <v>42611</v>
      </c>
      <c r="F3306" s="49" t="s">
        <v>1551</v>
      </c>
      <c r="G3306" s="831" t="s">
        <v>1537</v>
      </c>
      <c r="H3306" s="859" t="s">
        <v>1310</v>
      </c>
      <c r="I3306" s="251">
        <v>2</v>
      </c>
      <c r="J3306" s="251">
        <v>46000</v>
      </c>
      <c r="K3306" s="860">
        <f t="shared" si="436"/>
        <v>92000</v>
      </c>
      <c r="L3306" s="861" t="s">
        <v>162</v>
      </c>
      <c r="M3306" s="861" t="s">
        <v>857</v>
      </c>
      <c r="N3306" s="52" t="str">
        <f>IF(AND('331-CT'!$E$7=TH!H3306,OR(L3306="331",M3306="331")),"331",IF(AND(OR(L3306="131",M3306="131"),H3306='131-CT'!$E$7),"131",""))</f>
        <v/>
      </c>
      <c r="O3306" s="52" t="str">
        <f>IF(AND($B3306&gt;='111'!$N$11,$B3306&lt;='111'!$O$11,OR($L3306=$O$7,$M3306=$O$7)),"x","")</f>
        <v/>
      </c>
      <c r="P3306" s="52" t="str">
        <f>IF(AND($L3306=$O$7,$B3306&lt;'111'!$N$11),"x","")</f>
        <v/>
      </c>
      <c r="Q3306" s="52" t="str">
        <f>IF(AND($M3306=$O$7,$B3306&lt;'111'!$N$11),"x","")</f>
        <v/>
      </c>
      <c r="R3306" s="52" t="str">
        <f>IF(ISERROR(FIND('112'!$M$9,G3306,1)),"",IF((AND(FIND('112'!$M$9,G3306,1)&gt;=1,$B3306&gt;='112'!$N$8,$B3306&lt;='112'!$O$8,OR($L3306='112'!$I$6,$M3306='112'!$I$6))),"x",""))</f>
        <v/>
      </c>
      <c r="S3306" s="52" t="str">
        <f>IF(ISERROR(FIND('112'!$M$9,G3306,1)),"",IF((AND(LEFT(G3306,2)=LEFT('112'!$M$9,2),B3306&lt;'112'!$N$8,$L3306='112'!$I$6)),"x",""))</f>
        <v/>
      </c>
      <c r="T3306" s="52" t="str">
        <f>IF(ISERROR(FIND('112'!$M$9,G3306,1)),"",IF((AND(RIGHT(G3306,2)=RIGHT('112'!$M$9,2),B3306&lt;'112'!$N$8,$M3306='112'!$I$6)),"x",""))</f>
        <v/>
      </c>
      <c r="U3306" s="52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>x</v>
      </c>
      <c r="AA3306" s="826"/>
    </row>
    <row r="3307" spans="1:27" ht="15.75" customHeight="1">
      <c r="A3307" s="827" t="str">
        <f>IF(B3307&lt;&gt;"",IF(AND(B3307&gt;=_TM1,B3307&lt;=_TM2,OR(TH!L3307="1111",TH!M3307="1111")),TH!D3307,""),"")</f>
        <v/>
      </c>
      <c r="B3307" s="36">
        <f t="shared" si="434"/>
        <v>8</v>
      </c>
      <c r="C3307" s="190">
        <f t="shared" si="435"/>
        <v>42611</v>
      </c>
      <c r="D3307" s="856" t="s">
        <v>1662</v>
      </c>
      <c r="E3307" s="906">
        <v>42611</v>
      </c>
      <c r="F3307" s="868" t="s">
        <v>1557</v>
      </c>
      <c r="G3307" s="831" t="s">
        <v>1537</v>
      </c>
      <c r="H3307" s="859" t="s">
        <v>1310</v>
      </c>
      <c r="I3307" s="251">
        <v>10</v>
      </c>
      <c r="J3307" s="251">
        <v>162000</v>
      </c>
      <c r="K3307" s="860">
        <f t="shared" si="436"/>
        <v>1620000</v>
      </c>
      <c r="L3307" s="861" t="s">
        <v>162</v>
      </c>
      <c r="M3307" s="861" t="s">
        <v>857</v>
      </c>
      <c r="N3307" s="52" t="str">
        <f>IF(AND('331-CT'!$E$7=TH!H3307,OR(L3307="331",M3307="331")),"331",IF(AND(OR(L3307="131",M3307="131"),H3307='131-CT'!$E$7),"131",""))</f>
        <v/>
      </c>
      <c r="O3307" s="52" t="str">
        <f>IF(AND($B3307&gt;='111'!$N$11,$B3307&lt;='111'!$O$11,OR($L3307=$O$7,$M3307=$O$7)),"x","")</f>
        <v/>
      </c>
      <c r="P3307" s="52" t="str">
        <f>IF(AND($L3307=$O$7,$B3307&lt;'111'!$N$11),"x","")</f>
        <v/>
      </c>
      <c r="Q3307" s="52" t="str">
        <f>IF(AND($M3307=$O$7,$B3307&lt;'111'!$N$11),"x","")</f>
        <v/>
      </c>
      <c r="R3307" s="52" t="str">
        <f>IF(ISERROR(FIND('112'!$M$9,G3307,1)),"",IF((AND(FIND('112'!$M$9,G3307,1)&gt;=1,$B3307&gt;='112'!$N$8,$B3307&lt;='112'!$O$8,OR($L3307='112'!$I$6,$M3307='112'!$I$6))),"x",""))</f>
        <v/>
      </c>
      <c r="S3307" s="52" t="str">
        <f>IF(ISERROR(FIND('112'!$M$9,G3307,1)),"",IF((AND(LEFT(G3307,2)=LEFT('112'!$M$9,2),B3307&lt;'112'!$N$8,$L3307='112'!$I$6)),"x",""))</f>
        <v/>
      </c>
      <c r="T3307" s="52" t="str">
        <f>IF(ISERROR(FIND('112'!$M$9,G3307,1)),"",IF((AND(RIGHT(G3307,2)=RIGHT('112'!$M$9,2),B3307&lt;'112'!$N$8,$M3307='112'!$I$6)),"x",""))</f>
        <v/>
      </c>
      <c r="U3307" s="52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>x</v>
      </c>
      <c r="AA3307" s="826"/>
    </row>
    <row r="3308" spans="1:27" ht="15.75" customHeight="1">
      <c r="A3308" s="827" t="str">
        <f>IF(B3308&lt;&gt;"",IF(AND(B3308&gt;=_TM1,B3308&lt;=_TM2,OR(TH!L3308="1111",TH!M3308="1111")),TH!D3308,""),"")</f>
        <v/>
      </c>
      <c r="B3308" s="36">
        <f t="shared" si="434"/>
        <v>8</v>
      </c>
      <c r="C3308" s="190">
        <f t="shared" si="435"/>
        <v>42611</v>
      </c>
      <c r="D3308" s="856" t="s">
        <v>1662</v>
      </c>
      <c r="E3308" s="906">
        <v>42611</v>
      </c>
      <c r="F3308" s="49" t="s">
        <v>1558</v>
      </c>
      <c r="G3308" s="831" t="s">
        <v>1537</v>
      </c>
      <c r="H3308" s="859" t="s">
        <v>1310</v>
      </c>
      <c r="I3308" s="251">
        <v>10</v>
      </c>
      <c r="J3308" s="251">
        <v>27000</v>
      </c>
      <c r="K3308" s="860">
        <f t="shared" si="436"/>
        <v>270000</v>
      </c>
      <c r="L3308" s="861" t="s">
        <v>162</v>
      </c>
      <c r="M3308" s="861" t="s">
        <v>857</v>
      </c>
      <c r="N3308" s="52" t="str">
        <f>IF(AND('331-CT'!$E$7=TH!H3308,OR(L3308="331",M3308="331")),"331",IF(AND(OR(L3308="131",M3308="131"),H3308='131-CT'!$E$7),"131",""))</f>
        <v/>
      </c>
      <c r="O3308" s="52" t="str">
        <f>IF(AND($B3308&gt;='111'!$N$11,$B3308&lt;='111'!$O$11,OR($L3308=$O$7,$M3308=$O$7)),"x","")</f>
        <v/>
      </c>
      <c r="P3308" s="52" t="str">
        <f>IF(AND($L3308=$O$7,$B3308&lt;'111'!$N$11),"x","")</f>
        <v/>
      </c>
      <c r="Q3308" s="52" t="str">
        <f>IF(AND($M3308=$O$7,$B3308&lt;'111'!$N$11),"x","")</f>
        <v/>
      </c>
      <c r="R3308" s="52" t="str">
        <f>IF(ISERROR(FIND('112'!$M$9,G3308,1)),"",IF((AND(FIND('112'!$M$9,G3308,1)&gt;=1,$B3308&gt;='112'!$N$8,$B3308&lt;='112'!$O$8,OR($L3308='112'!$I$6,$M3308='112'!$I$6))),"x",""))</f>
        <v/>
      </c>
      <c r="S3308" s="52" t="str">
        <f>IF(ISERROR(FIND('112'!$M$9,G3308,1)),"",IF((AND(LEFT(G3308,2)=LEFT('112'!$M$9,2),B3308&lt;'112'!$N$8,$L3308='112'!$I$6)),"x",""))</f>
        <v/>
      </c>
      <c r="T3308" s="52" t="str">
        <f>IF(ISERROR(FIND('112'!$M$9,G3308,1)),"",IF((AND(RIGHT(G3308,2)=RIGHT('112'!$M$9,2),B3308&lt;'112'!$N$8,$M3308='112'!$I$6)),"x",""))</f>
        <v/>
      </c>
      <c r="U3308" s="52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>x</v>
      </c>
      <c r="AA3308" s="826"/>
    </row>
    <row r="3309" spans="1:27" ht="15.75" customHeight="1">
      <c r="A3309" s="827" t="str">
        <f>IF(B3309&lt;&gt;"",IF(AND(B3309&gt;=_TM1,B3309&lt;=_TM2,OR(TH!L3309="1111",TH!M3309="1111")),TH!D3309,""),"")</f>
        <v/>
      </c>
      <c r="B3309" s="36">
        <f t="shared" si="434"/>
        <v>8</v>
      </c>
      <c r="C3309" s="190">
        <f t="shared" si="435"/>
        <v>42611</v>
      </c>
      <c r="D3309" s="856" t="s">
        <v>1662</v>
      </c>
      <c r="E3309" s="906">
        <v>42611</v>
      </c>
      <c r="F3309" s="868" t="s">
        <v>1559</v>
      </c>
      <c r="G3309" s="831" t="s">
        <v>1537</v>
      </c>
      <c r="H3309" s="859" t="s">
        <v>1310</v>
      </c>
      <c r="I3309" s="251">
        <v>1</v>
      </c>
      <c r="J3309" s="251">
        <v>60000</v>
      </c>
      <c r="K3309" s="860">
        <f t="shared" si="436"/>
        <v>60000</v>
      </c>
      <c r="L3309" s="861" t="s">
        <v>162</v>
      </c>
      <c r="M3309" s="861" t="s">
        <v>857</v>
      </c>
      <c r="N3309" s="52" t="str">
        <f>IF(AND('331-CT'!$E$7=TH!H3309,OR(L3309="331",M3309="331")),"331",IF(AND(OR(L3309="131",M3309="131"),H3309='131-CT'!$E$7),"131",""))</f>
        <v/>
      </c>
      <c r="O3309" s="52" t="str">
        <f>IF(AND($B3309&gt;='111'!$N$11,$B3309&lt;='111'!$O$11,OR($L3309=$O$7,$M3309=$O$7)),"x","")</f>
        <v/>
      </c>
      <c r="P3309" s="52" t="str">
        <f>IF(AND($L3309=$O$7,$B3309&lt;'111'!$N$11),"x","")</f>
        <v/>
      </c>
      <c r="Q3309" s="52" t="str">
        <f>IF(AND($M3309=$O$7,$B3309&lt;'111'!$N$11),"x","")</f>
        <v/>
      </c>
      <c r="R3309" s="52" t="str">
        <f>IF(ISERROR(FIND('112'!$M$9,G3309,1)),"",IF((AND(FIND('112'!$M$9,G3309,1)&gt;=1,$B3309&gt;='112'!$N$8,$B3309&lt;='112'!$O$8,OR($L3309='112'!$I$6,$M3309='112'!$I$6))),"x",""))</f>
        <v/>
      </c>
      <c r="S3309" s="52" t="str">
        <f>IF(ISERROR(FIND('112'!$M$9,G3309,1)),"",IF((AND(LEFT(G3309,2)=LEFT('112'!$M$9,2),B3309&lt;'112'!$N$8,$L3309='112'!$I$6)),"x",""))</f>
        <v/>
      </c>
      <c r="T3309" s="52" t="str">
        <f>IF(ISERROR(FIND('112'!$M$9,G3309,1)),"",IF((AND(RIGHT(G3309,2)=RIGHT('112'!$M$9,2),B3309&lt;'112'!$N$8,$M3309='112'!$I$6)),"x",""))</f>
        <v/>
      </c>
      <c r="U3309" s="52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>x</v>
      </c>
      <c r="AA3309" s="826"/>
    </row>
    <row r="3310" spans="1:27" ht="15.75" customHeight="1">
      <c r="A3310" s="827" t="str">
        <f>IF(B3310&lt;&gt;"",IF(AND(B3310&gt;=_TM1,B3310&lt;=_TM2,OR(TH!L3310="1111",TH!M3310="1111")),TH!D3310,""),"")</f>
        <v/>
      </c>
      <c r="B3310" s="36">
        <f t="shared" si="434"/>
        <v>8</v>
      </c>
      <c r="C3310" s="190">
        <f t="shared" si="435"/>
        <v>42612</v>
      </c>
      <c r="D3310" s="856" t="s">
        <v>1662</v>
      </c>
      <c r="E3310" s="906">
        <v>42612</v>
      </c>
      <c r="F3310" s="49" t="s">
        <v>875</v>
      </c>
      <c r="G3310" s="831" t="s">
        <v>1537</v>
      </c>
      <c r="H3310" s="859" t="s">
        <v>1310</v>
      </c>
      <c r="I3310" s="251">
        <v>12</v>
      </c>
      <c r="J3310" s="251">
        <v>48182</v>
      </c>
      <c r="K3310" s="860">
        <f t="shared" si="436"/>
        <v>578184</v>
      </c>
      <c r="L3310" s="861" t="s">
        <v>162</v>
      </c>
      <c r="M3310" s="861" t="s">
        <v>857</v>
      </c>
      <c r="N3310" s="52" t="str">
        <f>IF(AND('331-CT'!$E$7=TH!H3310,OR(L3310="331",M3310="331")),"331",IF(AND(OR(L3310="131",M3310="131"),H3310='131-CT'!$E$7),"131",""))</f>
        <v/>
      </c>
      <c r="O3310" s="52" t="str">
        <f>IF(AND($B3310&gt;='111'!$N$11,$B3310&lt;='111'!$O$11,OR($L3310=$O$7,$M3310=$O$7)),"x","")</f>
        <v/>
      </c>
      <c r="P3310" s="52" t="str">
        <f>IF(AND($L3310=$O$7,$B3310&lt;'111'!$N$11),"x","")</f>
        <v/>
      </c>
      <c r="Q3310" s="52" t="str">
        <f>IF(AND($M3310=$O$7,$B3310&lt;'111'!$N$11),"x","")</f>
        <v/>
      </c>
      <c r="R3310" s="52" t="str">
        <f>IF(ISERROR(FIND('112'!$M$9,G3310,1)),"",IF((AND(FIND('112'!$M$9,G3310,1)&gt;=1,$B3310&gt;='112'!$N$8,$B3310&lt;='112'!$O$8,OR($L3310='112'!$I$6,$M3310='112'!$I$6))),"x",""))</f>
        <v/>
      </c>
      <c r="S3310" s="52" t="str">
        <f>IF(ISERROR(FIND('112'!$M$9,G3310,1)),"",IF((AND(LEFT(G3310,2)=LEFT('112'!$M$9,2),B3310&lt;'112'!$N$8,$L3310='112'!$I$6)),"x",""))</f>
        <v/>
      </c>
      <c r="T3310" s="52" t="str">
        <f>IF(ISERROR(FIND('112'!$M$9,G3310,1)),"",IF((AND(RIGHT(G3310,2)=RIGHT('112'!$M$9,2),B3310&lt;'112'!$N$8,$M3310='112'!$I$6)),"x",""))</f>
        <v/>
      </c>
      <c r="U3310" s="52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>x</v>
      </c>
      <c r="AA3310" s="826"/>
    </row>
    <row r="3311" spans="1:27" ht="15.75" customHeight="1">
      <c r="A3311" s="827" t="str">
        <f>IF(B3311&lt;&gt;"",IF(AND(B3311&gt;=_TM1,B3311&lt;=_TM2,OR(TH!L3311="1111",TH!M3311="1111")),TH!D3311,""),"")</f>
        <v/>
      </c>
      <c r="B3311" s="36">
        <f t="shared" si="434"/>
        <v>8</v>
      </c>
      <c r="C3311" s="190">
        <f t="shared" si="435"/>
        <v>42612</v>
      </c>
      <c r="D3311" s="856" t="s">
        <v>1662</v>
      </c>
      <c r="E3311" s="906">
        <v>42612</v>
      </c>
      <c r="F3311" s="49" t="s">
        <v>493</v>
      </c>
      <c r="G3311" s="831" t="s">
        <v>1537</v>
      </c>
      <c r="H3311" s="859" t="s">
        <v>1310</v>
      </c>
      <c r="I3311" s="251">
        <v>28</v>
      </c>
      <c r="J3311" s="251">
        <v>51000</v>
      </c>
      <c r="K3311" s="860">
        <f t="shared" si="436"/>
        <v>1428000</v>
      </c>
      <c r="L3311" s="861" t="s">
        <v>162</v>
      </c>
      <c r="M3311" s="861" t="s">
        <v>857</v>
      </c>
      <c r="N3311" s="52" t="str">
        <f>IF(AND('331-CT'!$E$7=TH!H3311,OR(L3311="331",M3311="331")),"331",IF(AND(OR(L3311="131",M3311="131"),H3311='131-CT'!$E$7),"131",""))</f>
        <v/>
      </c>
      <c r="O3311" s="52" t="str">
        <f>IF(AND($B3311&gt;='111'!$N$11,$B3311&lt;='111'!$O$11,OR($L3311=$O$7,$M3311=$O$7)),"x","")</f>
        <v/>
      </c>
      <c r="P3311" s="52" t="str">
        <f>IF(AND($L3311=$O$7,$B3311&lt;'111'!$N$11),"x","")</f>
        <v/>
      </c>
      <c r="Q3311" s="52" t="str">
        <f>IF(AND($M3311=$O$7,$B3311&lt;'111'!$N$11),"x","")</f>
        <v/>
      </c>
      <c r="R3311" s="52" t="str">
        <f>IF(ISERROR(FIND('112'!$M$9,G3311,1)),"",IF((AND(FIND('112'!$M$9,G3311,1)&gt;=1,$B3311&gt;='112'!$N$8,$B3311&lt;='112'!$O$8,OR($L3311='112'!$I$6,$M3311='112'!$I$6))),"x",""))</f>
        <v/>
      </c>
      <c r="S3311" s="52" t="str">
        <f>IF(ISERROR(FIND('112'!$M$9,G3311,1)),"",IF((AND(LEFT(G3311,2)=LEFT('112'!$M$9,2),B3311&lt;'112'!$N$8,$L3311='112'!$I$6)),"x",""))</f>
        <v/>
      </c>
      <c r="T3311" s="52" t="str">
        <f>IF(ISERROR(FIND('112'!$M$9,G3311,1)),"",IF((AND(RIGHT(G3311,2)=RIGHT('112'!$M$9,2),B3311&lt;'112'!$N$8,$M3311='112'!$I$6)),"x",""))</f>
        <v/>
      </c>
      <c r="U3311" s="52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>x</v>
      </c>
      <c r="AA3311" s="826"/>
    </row>
    <row r="3312" spans="1:27" ht="15.75" customHeight="1">
      <c r="A3312" s="827" t="str">
        <f>IF(B3312&lt;&gt;"",IF(AND(B3312&gt;=_TM1,B3312&lt;=_TM2,OR(TH!L3312="1111",TH!M3312="1111")),TH!D3312,""),"")</f>
        <v/>
      </c>
      <c r="B3312" s="36">
        <f t="shared" si="434"/>
        <v>8</v>
      </c>
      <c r="C3312" s="190">
        <f t="shared" si="435"/>
        <v>42612</v>
      </c>
      <c r="D3312" s="856" t="s">
        <v>1662</v>
      </c>
      <c r="E3312" s="906">
        <v>42612</v>
      </c>
      <c r="F3312" s="868" t="s">
        <v>468</v>
      </c>
      <c r="G3312" s="831" t="s">
        <v>1537</v>
      </c>
      <c r="H3312" s="859" t="s">
        <v>1310</v>
      </c>
      <c r="I3312" s="251">
        <v>75</v>
      </c>
      <c r="J3312" s="251">
        <v>66868</v>
      </c>
      <c r="K3312" s="860">
        <f t="shared" si="436"/>
        <v>5015100</v>
      </c>
      <c r="L3312" s="861" t="s">
        <v>162</v>
      </c>
      <c r="M3312" s="861" t="s">
        <v>857</v>
      </c>
      <c r="N3312" s="52" t="str">
        <f>IF(AND('331-CT'!$E$7=TH!H3312,OR(L3312="331",M3312="331")),"331",IF(AND(OR(L3312="131",M3312="131"),H3312='131-CT'!$E$7),"131",""))</f>
        <v/>
      </c>
      <c r="O3312" s="52" t="str">
        <f>IF(AND($B3312&gt;='111'!$N$11,$B3312&lt;='111'!$O$11,OR($L3312=$O$7,$M3312=$O$7)),"x","")</f>
        <v/>
      </c>
      <c r="P3312" s="52" t="str">
        <f>IF(AND($L3312=$O$7,$B3312&lt;'111'!$N$11),"x","")</f>
        <v/>
      </c>
      <c r="Q3312" s="52" t="str">
        <f>IF(AND($M3312=$O$7,$B3312&lt;'111'!$N$11),"x","")</f>
        <v/>
      </c>
      <c r="R3312" s="52" t="str">
        <f>IF(ISERROR(FIND('112'!$M$9,G3312,1)),"",IF((AND(FIND('112'!$M$9,G3312,1)&gt;=1,$B3312&gt;='112'!$N$8,$B3312&lt;='112'!$O$8,OR($L3312='112'!$I$6,$M3312='112'!$I$6))),"x",""))</f>
        <v/>
      </c>
      <c r="S3312" s="52" t="str">
        <f>IF(ISERROR(FIND('112'!$M$9,G3312,1)),"",IF((AND(LEFT(G3312,2)=LEFT('112'!$M$9,2),B3312&lt;'112'!$N$8,$L3312='112'!$I$6)),"x",""))</f>
        <v/>
      </c>
      <c r="T3312" s="52" t="str">
        <f>IF(ISERROR(FIND('112'!$M$9,G3312,1)),"",IF((AND(RIGHT(G3312,2)=RIGHT('112'!$M$9,2),B3312&lt;'112'!$N$8,$M3312='112'!$I$6)),"x",""))</f>
        <v/>
      </c>
      <c r="U3312" s="52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>x</v>
      </c>
      <c r="AA3312" s="826"/>
    </row>
    <row r="3313" spans="1:27" ht="15.75" customHeight="1">
      <c r="A3313" s="827" t="str">
        <f>IF(B3313&lt;&gt;"",IF(AND(B3313&gt;=_TM1,B3313&lt;=_TM2,OR(TH!L3313="1111",TH!M3313="1111")),TH!D3313,""),"")</f>
        <v/>
      </c>
      <c r="B3313" s="36">
        <f t="shared" si="434"/>
        <v>8</v>
      </c>
      <c r="C3313" s="190">
        <f t="shared" si="435"/>
        <v>42612</v>
      </c>
      <c r="D3313" s="856" t="s">
        <v>1662</v>
      </c>
      <c r="E3313" s="906">
        <v>42612</v>
      </c>
      <c r="F3313" s="49" t="s">
        <v>705</v>
      </c>
      <c r="G3313" s="831" t="s">
        <v>1537</v>
      </c>
      <c r="H3313" s="859" t="s">
        <v>1310</v>
      </c>
      <c r="I3313" s="251">
        <v>56</v>
      </c>
      <c r="J3313" s="251">
        <v>38417</v>
      </c>
      <c r="K3313" s="860">
        <f t="shared" si="436"/>
        <v>2151352</v>
      </c>
      <c r="L3313" s="861" t="s">
        <v>162</v>
      </c>
      <c r="M3313" s="861" t="s">
        <v>857</v>
      </c>
      <c r="N3313" s="52" t="str">
        <f>IF(AND('331-CT'!$E$7=TH!H3313,OR(L3313="331",M3313="331")),"331",IF(AND(OR(L3313="131",M3313="131"),H3313='131-CT'!$E$7),"131",""))</f>
        <v/>
      </c>
      <c r="O3313" s="52" t="str">
        <f>IF(AND($B3313&gt;='111'!$N$11,$B3313&lt;='111'!$O$11,OR($L3313=$O$7,$M3313=$O$7)),"x","")</f>
        <v/>
      </c>
      <c r="P3313" s="52" t="str">
        <f>IF(AND($L3313=$O$7,$B3313&lt;'111'!$N$11),"x","")</f>
        <v/>
      </c>
      <c r="Q3313" s="52" t="str">
        <f>IF(AND($M3313=$O$7,$B3313&lt;'111'!$N$11),"x","")</f>
        <v/>
      </c>
      <c r="R3313" s="52" t="str">
        <f>IF(ISERROR(FIND('112'!$M$9,G3313,1)),"",IF((AND(FIND('112'!$M$9,G3313,1)&gt;=1,$B3313&gt;='112'!$N$8,$B3313&lt;='112'!$O$8,OR($L3313='112'!$I$6,$M3313='112'!$I$6))),"x",""))</f>
        <v/>
      </c>
      <c r="S3313" s="52" t="str">
        <f>IF(ISERROR(FIND('112'!$M$9,G3313,1)),"",IF((AND(LEFT(G3313,2)=LEFT('112'!$M$9,2),B3313&lt;'112'!$N$8,$L3313='112'!$I$6)),"x",""))</f>
        <v/>
      </c>
      <c r="T3313" s="52" t="str">
        <f>IF(ISERROR(FIND('112'!$M$9,G3313,1)),"",IF((AND(RIGHT(G3313,2)=RIGHT('112'!$M$9,2),B3313&lt;'112'!$N$8,$M3313='112'!$I$6)),"x",""))</f>
        <v/>
      </c>
      <c r="U3313" s="52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>x</v>
      </c>
      <c r="AA3313" s="826"/>
    </row>
    <row r="3314" spans="1:27" ht="15.75" customHeight="1">
      <c r="A3314" s="827" t="str">
        <f>IF(B3314&lt;&gt;"",IF(AND(B3314&gt;=_TM1,B3314&lt;=_TM2,OR(TH!L3314="1111",TH!M3314="1111")),TH!D3314,""),"")</f>
        <v/>
      </c>
      <c r="B3314" s="36">
        <f t="shared" si="434"/>
        <v>8</v>
      </c>
      <c r="C3314" s="190">
        <f t="shared" si="435"/>
        <v>42612</v>
      </c>
      <c r="D3314" s="856" t="s">
        <v>1662</v>
      </c>
      <c r="E3314" s="906">
        <v>42612</v>
      </c>
      <c r="F3314" s="868" t="s">
        <v>470</v>
      </c>
      <c r="G3314" s="831" t="s">
        <v>1537</v>
      </c>
      <c r="H3314" s="859" t="s">
        <v>1310</v>
      </c>
      <c r="I3314" s="251">
        <v>12</v>
      </c>
      <c r="J3314" s="251">
        <v>91500</v>
      </c>
      <c r="K3314" s="860">
        <f t="shared" si="436"/>
        <v>1098000</v>
      </c>
      <c r="L3314" s="861" t="s">
        <v>162</v>
      </c>
      <c r="M3314" s="861" t="s">
        <v>857</v>
      </c>
      <c r="N3314" s="52" t="str">
        <f>IF(AND('331-CT'!$E$7=TH!H3314,OR(L3314="331",M3314="331")),"331",IF(AND(OR(L3314="131",M3314="131"),H3314='131-CT'!$E$7),"131",""))</f>
        <v/>
      </c>
      <c r="O3314" s="52" t="str">
        <f>IF(AND($B3314&gt;='111'!$N$11,$B3314&lt;='111'!$O$11,OR($L3314=$O$7,$M3314=$O$7)),"x","")</f>
        <v/>
      </c>
      <c r="P3314" s="52" t="str">
        <f>IF(AND($L3314=$O$7,$B3314&lt;'111'!$N$11),"x","")</f>
        <v/>
      </c>
      <c r="Q3314" s="52" t="str">
        <f>IF(AND($M3314=$O$7,$B3314&lt;'111'!$N$11),"x","")</f>
        <v/>
      </c>
      <c r="R3314" s="52" t="str">
        <f>IF(ISERROR(FIND('112'!$M$9,G3314,1)),"",IF((AND(FIND('112'!$M$9,G3314,1)&gt;=1,$B3314&gt;='112'!$N$8,$B3314&lt;='112'!$O$8,OR($L3314='112'!$I$6,$M3314='112'!$I$6))),"x",""))</f>
        <v/>
      </c>
      <c r="S3314" s="52" t="str">
        <f>IF(ISERROR(FIND('112'!$M$9,G3314,1)),"",IF((AND(LEFT(G3314,2)=LEFT('112'!$M$9,2),B3314&lt;'112'!$N$8,$L3314='112'!$I$6)),"x",""))</f>
        <v/>
      </c>
      <c r="T3314" s="52" t="str">
        <f>IF(ISERROR(FIND('112'!$M$9,G3314,1)),"",IF((AND(RIGHT(G3314,2)=RIGHT('112'!$M$9,2),B3314&lt;'112'!$N$8,$M3314='112'!$I$6)),"x",""))</f>
        <v/>
      </c>
      <c r="U3314" s="52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>x</v>
      </c>
      <c r="AA3314" s="826"/>
    </row>
    <row r="3315" spans="1:27" ht="15.75" customHeight="1">
      <c r="A3315" s="827" t="str">
        <f>IF(B3315&lt;&gt;"",IF(AND(B3315&gt;=_TM1,B3315&lt;=_TM2,OR(TH!L3315="1111",TH!M3315="1111")),TH!D3315,""),"")</f>
        <v/>
      </c>
      <c r="B3315" s="36">
        <f t="shared" si="434"/>
        <v>8</v>
      </c>
      <c r="C3315" s="190">
        <f t="shared" si="435"/>
        <v>42612</v>
      </c>
      <c r="D3315" s="856" t="s">
        <v>1662</v>
      </c>
      <c r="E3315" s="906">
        <v>42612</v>
      </c>
      <c r="F3315" s="49" t="s">
        <v>464</v>
      </c>
      <c r="G3315" s="831" t="s">
        <v>1537</v>
      </c>
      <c r="H3315" s="859" t="s">
        <v>1310</v>
      </c>
      <c r="I3315" s="251">
        <v>24</v>
      </c>
      <c r="J3315" s="251">
        <v>130943</v>
      </c>
      <c r="K3315" s="860">
        <f t="shared" si="436"/>
        <v>3142632</v>
      </c>
      <c r="L3315" s="861" t="s">
        <v>162</v>
      </c>
      <c r="M3315" s="861" t="s">
        <v>857</v>
      </c>
      <c r="N3315" s="52" t="str">
        <f>IF(AND('331-CT'!$E$7=TH!H3315,OR(L3315="331",M3315="331")),"331",IF(AND(OR(L3315="131",M3315="131"),H3315='131-CT'!$E$7),"131",""))</f>
        <v/>
      </c>
      <c r="O3315" s="52" t="str">
        <f>IF(AND($B3315&gt;='111'!$N$11,$B3315&lt;='111'!$O$11,OR($L3315=$O$7,$M3315=$O$7)),"x","")</f>
        <v/>
      </c>
      <c r="P3315" s="52" t="str">
        <f>IF(AND($L3315=$O$7,$B3315&lt;'111'!$N$11),"x","")</f>
        <v/>
      </c>
      <c r="Q3315" s="52" t="str">
        <f>IF(AND($M3315=$O$7,$B3315&lt;'111'!$N$11),"x","")</f>
        <v/>
      </c>
      <c r="R3315" s="52" t="str">
        <f>IF(ISERROR(FIND('112'!$M$9,G3315,1)),"",IF((AND(FIND('112'!$M$9,G3315,1)&gt;=1,$B3315&gt;='112'!$N$8,$B3315&lt;='112'!$O$8,OR($L3315='112'!$I$6,$M3315='112'!$I$6))),"x",""))</f>
        <v/>
      </c>
      <c r="S3315" s="52" t="str">
        <f>IF(ISERROR(FIND('112'!$M$9,G3315,1)),"",IF((AND(LEFT(G3315,2)=LEFT('112'!$M$9,2),B3315&lt;'112'!$N$8,$L3315='112'!$I$6)),"x",""))</f>
        <v/>
      </c>
      <c r="T3315" s="52" t="str">
        <f>IF(ISERROR(FIND('112'!$M$9,G3315,1)),"",IF((AND(RIGHT(G3315,2)=RIGHT('112'!$M$9,2),B3315&lt;'112'!$N$8,$M3315='112'!$I$6)),"x",""))</f>
        <v/>
      </c>
      <c r="U3315" s="52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>x</v>
      </c>
      <c r="AA3315" s="826"/>
    </row>
    <row r="3316" spans="1:27" ht="15.75" customHeight="1">
      <c r="A3316" s="827" t="str">
        <f>IF(B3316&lt;&gt;"",IF(AND(B3316&gt;=_TM1,B3316&lt;=_TM2,OR(TH!L3316="1111",TH!M3316="1111")),TH!D3316,""),"")</f>
        <v/>
      </c>
      <c r="B3316" s="36">
        <f t="shared" si="434"/>
        <v>8</v>
      </c>
      <c r="C3316" s="190">
        <f t="shared" si="435"/>
        <v>42612</v>
      </c>
      <c r="D3316" s="856" t="s">
        <v>1662</v>
      </c>
      <c r="E3316" s="906">
        <v>42612</v>
      </c>
      <c r="F3316" s="49" t="s">
        <v>1560</v>
      </c>
      <c r="G3316" s="831" t="s">
        <v>1537</v>
      </c>
      <c r="H3316" s="859" t="s">
        <v>1310</v>
      </c>
      <c r="I3316" s="251">
        <v>40</v>
      </c>
      <c r="J3316" s="251">
        <v>54000</v>
      </c>
      <c r="K3316" s="860">
        <f t="shared" si="436"/>
        <v>2160000</v>
      </c>
      <c r="L3316" s="861" t="s">
        <v>162</v>
      </c>
      <c r="M3316" s="861" t="s">
        <v>857</v>
      </c>
      <c r="N3316" s="52" t="str">
        <f>IF(AND('331-CT'!$E$7=TH!H3316,OR(L3316="331",M3316="331")),"331",IF(AND(OR(L3316="131",M3316="131"),H3316='131-CT'!$E$7),"131",""))</f>
        <v/>
      </c>
      <c r="O3316" s="52" t="str">
        <f>IF(AND($B3316&gt;='111'!$N$11,$B3316&lt;='111'!$O$11,OR($L3316=$O$7,$M3316=$O$7)),"x","")</f>
        <v/>
      </c>
      <c r="P3316" s="52" t="str">
        <f>IF(AND($L3316=$O$7,$B3316&lt;'111'!$N$11),"x","")</f>
        <v/>
      </c>
      <c r="Q3316" s="52" t="str">
        <f>IF(AND($M3316=$O$7,$B3316&lt;'111'!$N$11),"x","")</f>
        <v/>
      </c>
      <c r="R3316" s="52" t="str">
        <f>IF(ISERROR(FIND('112'!$M$9,G3316,1)),"",IF((AND(FIND('112'!$M$9,G3316,1)&gt;=1,$B3316&gt;='112'!$N$8,$B3316&lt;='112'!$O$8,OR($L3316='112'!$I$6,$M3316='112'!$I$6))),"x",""))</f>
        <v/>
      </c>
      <c r="S3316" s="52" t="str">
        <f>IF(ISERROR(FIND('112'!$M$9,G3316,1)),"",IF((AND(LEFT(G3316,2)=LEFT('112'!$M$9,2),B3316&lt;'112'!$N$8,$L3316='112'!$I$6)),"x",""))</f>
        <v/>
      </c>
      <c r="T3316" s="52" t="str">
        <f>IF(ISERROR(FIND('112'!$M$9,G3316,1)),"",IF((AND(RIGHT(G3316,2)=RIGHT('112'!$M$9,2),B3316&lt;'112'!$N$8,$M3316='112'!$I$6)),"x",""))</f>
        <v/>
      </c>
      <c r="U3316" s="52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>x</v>
      </c>
      <c r="AA3316" s="826"/>
    </row>
    <row r="3317" spans="1:27" ht="15.75" customHeight="1">
      <c r="A3317" s="827" t="str">
        <f>IF(B3317&lt;&gt;"",IF(AND(B3317&gt;=_TM1,B3317&lt;=_TM2,OR(TH!L3317="1111",TH!M3317="1111")),TH!D3317,""),"")</f>
        <v/>
      </c>
      <c r="B3317" s="36">
        <f t="shared" si="430"/>
        <v>8</v>
      </c>
      <c r="C3317" s="190">
        <f t="shared" si="428"/>
        <v>42612</v>
      </c>
      <c r="D3317" s="856" t="s">
        <v>1662</v>
      </c>
      <c r="E3317" s="906">
        <v>42612</v>
      </c>
      <c r="F3317" s="868" t="s">
        <v>553</v>
      </c>
      <c r="G3317" s="831" t="s">
        <v>1537</v>
      </c>
      <c r="H3317" s="859" t="s">
        <v>1310</v>
      </c>
      <c r="I3317" s="251">
        <v>24</v>
      </c>
      <c r="J3317" s="251">
        <v>40500</v>
      </c>
      <c r="K3317" s="860">
        <f t="shared" si="429"/>
        <v>972000</v>
      </c>
      <c r="L3317" s="861" t="s">
        <v>162</v>
      </c>
      <c r="M3317" s="861" t="s">
        <v>857</v>
      </c>
      <c r="N3317" s="52" t="str">
        <f>IF(AND('331-CT'!$E$7=TH!H3317,OR(L3317="331",M3317="331")),"331",IF(AND(OR(L3317="131",M3317="131"),H3317='131-CT'!$E$7),"131",""))</f>
        <v/>
      </c>
      <c r="O3317" s="52" t="str">
        <f>IF(AND($B3317&gt;='111'!$N$11,$B3317&lt;='111'!$O$11,OR($L3317=$O$7,$M3317=$O$7)),"x","")</f>
        <v/>
      </c>
      <c r="P3317" s="52" t="str">
        <f>IF(AND($L3317=$O$7,$B3317&lt;'111'!$N$11),"x","")</f>
        <v/>
      </c>
      <c r="Q3317" s="52" t="str">
        <f>IF(AND($M3317=$O$7,$B3317&lt;'111'!$N$11),"x","")</f>
        <v/>
      </c>
      <c r="R3317" s="52" t="str">
        <f>IF(ISERROR(FIND('112'!$M$9,G3317,1)),"",IF((AND(FIND('112'!$M$9,G3317,1)&gt;=1,$B3317&gt;='112'!$N$8,$B3317&lt;='112'!$O$8,OR($L3317='112'!$I$6,$M3317='112'!$I$6))),"x",""))</f>
        <v/>
      </c>
      <c r="S3317" s="52" t="str">
        <f>IF(ISERROR(FIND('112'!$M$9,G3317,1)),"",IF((AND(LEFT(G3317,2)=LEFT('112'!$M$9,2),B3317&lt;'112'!$N$8,$L3317='112'!$I$6)),"x",""))</f>
        <v/>
      </c>
      <c r="T3317" s="52" t="str">
        <f>IF(ISERROR(FIND('112'!$M$9,G3317,1)),"",IF((AND(RIGHT(G3317,2)=RIGHT('112'!$M$9,2),B3317&lt;'112'!$N$8,$M3317='112'!$I$6)),"x",""))</f>
        <v/>
      </c>
      <c r="U3317" s="52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>x</v>
      </c>
      <c r="AA3317" s="826"/>
    </row>
    <row r="3318" spans="1:27" ht="15.75" customHeight="1">
      <c r="A3318" s="827" t="str">
        <f>IF(B3318&lt;&gt;"",IF(AND(B3318&gt;=_TM1,B3318&lt;=_TM2,OR(TH!L3318="1111",TH!M3318="1111")),TH!D3318,""),"")</f>
        <v/>
      </c>
      <c r="B3318" s="36">
        <f t="shared" si="430"/>
        <v>8</v>
      </c>
      <c r="C3318" s="190">
        <f t="shared" si="428"/>
        <v>42612</v>
      </c>
      <c r="D3318" s="856" t="s">
        <v>1662</v>
      </c>
      <c r="E3318" s="906">
        <v>42612</v>
      </c>
      <c r="F3318" s="49" t="s">
        <v>700</v>
      </c>
      <c r="G3318" s="831" t="s">
        <v>1537</v>
      </c>
      <c r="H3318" s="859" t="s">
        <v>1310</v>
      </c>
      <c r="I3318" s="251">
        <v>36</v>
      </c>
      <c r="J3318" s="251">
        <v>21000</v>
      </c>
      <c r="K3318" s="860">
        <f t="shared" si="429"/>
        <v>756000</v>
      </c>
      <c r="L3318" s="861" t="s">
        <v>162</v>
      </c>
      <c r="M3318" s="861" t="s">
        <v>857</v>
      </c>
      <c r="N3318" s="52" t="str">
        <f>IF(AND('331-CT'!$E$7=TH!H3318,OR(L3318="331",M3318="331")),"331",IF(AND(OR(L3318="131",M3318="131"),H3318='131-CT'!$E$7),"131",""))</f>
        <v/>
      </c>
      <c r="O3318" s="52" t="str">
        <f>IF(AND($B3318&gt;='111'!$N$11,$B3318&lt;='111'!$O$11,OR($L3318=$O$7,$M3318=$O$7)),"x","")</f>
        <v/>
      </c>
      <c r="P3318" s="52" t="str">
        <f>IF(AND($L3318=$O$7,$B3318&lt;'111'!$N$11),"x","")</f>
        <v/>
      </c>
      <c r="Q3318" s="52" t="str">
        <f>IF(AND($M3318=$O$7,$B3318&lt;'111'!$N$11),"x","")</f>
        <v/>
      </c>
      <c r="R3318" s="52" t="str">
        <f>IF(ISERROR(FIND('112'!$M$9,G3318,1)),"",IF((AND(FIND('112'!$M$9,G3318,1)&gt;=1,$B3318&gt;='112'!$N$8,$B3318&lt;='112'!$O$8,OR($L3318='112'!$I$6,$M3318='112'!$I$6))),"x",""))</f>
        <v/>
      </c>
      <c r="S3318" s="52" t="str">
        <f>IF(ISERROR(FIND('112'!$M$9,G3318,1)),"",IF((AND(LEFT(G3318,2)=LEFT('112'!$M$9,2),B3318&lt;'112'!$N$8,$L3318='112'!$I$6)),"x",""))</f>
        <v/>
      </c>
      <c r="T3318" s="52" t="str">
        <f>IF(ISERROR(FIND('112'!$M$9,G3318,1)),"",IF((AND(RIGHT(G3318,2)=RIGHT('112'!$M$9,2),B3318&lt;'112'!$N$8,$M3318='112'!$I$6)),"x",""))</f>
        <v/>
      </c>
      <c r="U3318" s="52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>x</v>
      </c>
      <c r="AA3318" s="826"/>
    </row>
    <row r="3319" spans="1:27" ht="15.75" customHeight="1">
      <c r="A3319" s="827" t="str">
        <f>IF(B3319&lt;&gt;"",IF(AND(B3319&gt;=_TM1,B3319&lt;=_TM2,OR(TH!L3319="1111",TH!M3319="1111")),TH!D3319,""),"")</f>
        <v/>
      </c>
      <c r="B3319" s="36">
        <f t="shared" si="430"/>
        <v>8</v>
      </c>
      <c r="C3319" s="190">
        <f t="shared" si="428"/>
        <v>42612</v>
      </c>
      <c r="D3319" s="856" t="s">
        <v>1662</v>
      </c>
      <c r="E3319" s="906">
        <v>42612</v>
      </c>
      <c r="F3319" s="49" t="s">
        <v>1561</v>
      </c>
      <c r="G3319" s="831" t="s">
        <v>1537</v>
      </c>
      <c r="H3319" s="859" t="s">
        <v>1310</v>
      </c>
      <c r="I3319" s="251">
        <v>18</v>
      </c>
      <c r="J3319" s="251">
        <v>20400</v>
      </c>
      <c r="K3319" s="860">
        <f t="shared" si="429"/>
        <v>367200</v>
      </c>
      <c r="L3319" s="861" t="s">
        <v>162</v>
      </c>
      <c r="M3319" s="861" t="s">
        <v>857</v>
      </c>
      <c r="N3319" s="52" t="str">
        <f>IF(AND('331-CT'!$E$7=TH!H3319,OR(L3319="331",M3319="331")),"331",IF(AND(OR(L3319="131",M3319="131"),H3319='131-CT'!$E$7),"131",""))</f>
        <v/>
      </c>
      <c r="O3319" s="52" t="str">
        <f>IF(AND($B3319&gt;='111'!$N$11,$B3319&lt;='111'!$O$11,OR($L3319=$O$7,$M3319=$O$7)),"x","")</f>
        <v/>
      </c>
      <c r="P3319" s="52" t="str">
        <f>IF(AND($L3319=$O$7,$B3319&lt;'111'!$N$11),"x","")</f>
        <v/>
      </c>
      <c r="Q3319" s="52" t="str">
        <f>IF(AND($M3319=$O$7,$B3319&lt;'111'!$N$11),"x","")</f>
        <v/>
      </c>
      <c r="R3319" s="52" t="str">
        <f>IF(ISERROR(FIND('112'!$M$9,G3319,1)),"",IF((AND(FIND('112'!$M$9,G3319,1)&gt;=1,$B3319&gt;='112'!$N$8,$B3319&lt;='112'!$O$8,OR($L3319='112'!$I$6,$M3319='112'!$I$6))),"x",""))</f>
        <v/>
      </c>
      <c r="S3319" s="52" t="str">
        <f>IF(ISERROR(FIND('112'!$M$9,G3319,1)),"",IF((AND(LEFT(G3319,2)=LEFT('112'!$M$9,2),B3319&lt;'112'!$N$8,$L3319='112'!$I$6)),"x",""))</f>
        <v/>
      </c>
      <c r="T3319" s="52" t="str">
        <f>IF(ISERROR(FIND('112'!$M$9,G3319,1)),"",IF((AND(RIGHT(G3319,2)=RIGHT('112'!$M$9,2),B3319&lt;'112'!$N$8,$M3319='112'!$I$6)),"x",""))</f>
        <v/>
      </c>
      <c r="U3319" s="52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>x</v>
      </c>
      <c r="AA3319" s="826"/>
    </row>
    <row r="3320" spans="1:27" ht="15.75" customHeight="1">
      <c r="A3320" s="827" t="str">
        <f>IF(B3320&lt;&gt;"",IF(AND(B3320&gt;=_TM1,B3320&lt;=_TM2,OR(TH!L3320="1111",TH!M3320="1111")),TH!D3320,""),"")</f>
        <v/>
      </c>
      <c r="B3320" s="36">
        <f t="shared" si="430"/>
        <v>8</v>
      </c>
      <c r="C3320" s="190">
        <f t="shared" si="428"/>
        <v>42612</v>
      </c>
      <c r="D3320" s="856" t="s">
        <v>1662</v>
      </c>
      <c r="E3320" s="906">
        <v>42612</v>
      </c>
      <c r="F3320" s="49" t="s">
        <v>565</v>
      </c>
      <c r="G3320" s="831" t="s">
        <v>1537</v>
      </c>
      <c r="H3320" s="859" t="s">
        <v>1310</v>
      </c>
      <c r="I3320" s="251">
        <v>24</v>
      </c>
      <c r="J3320" s="251">
        <v>9500</v>
      </c>
      <c r="K3320" s="860">
        <f t="shared" si="429"/>
        <v>228000</v>
      </c>
      <c r="L3320" s="861" t="s">
        <v>162</v>
      </c>
      <c r="M3320" s="861" t="s">
        <v>857</v>
      </c>
      <c r="N3320" s="52" t="str">
        <f>IF(AND('331-CT'!$E$7=TH!H3320,OR(L3320="331",M3320="331")),"331",IF(AND(OR(L3320="131",M3320="131"),H3320='131-CT'!$E$7),"131",""))</f>
        <v/>
      </c>
      <c r="O3320" s="52" t="str">
        <f>IF(AND($B3320&gt;='111'!$N$11,$B3320&lt;='111'!$O$11,OR($L3320=$O$7,$M3320=$O$7)),"x","")</f>
        <v/>
      </c>
      <c r="P3320" s="52" t="str">
        <f>IF(AND($L3320=$O$7,$B3320&lt;'111'!$N$11),"x","")</f>
        <v/>
      </c>
      <c r="Q3320" s="52" t="str">
        <f>IF(AND($M3320=$O$7,$B3320&lt;'111'!$N$11),"x","")</f>
        <v/>
      </c>
      <c r="R3320" s="52" t="str">
        <f>IF(ISERROR(FIND('112'!$M$9,G3320,1)),"",IF((AND(FIND('112'!$M$9,G3320,1)&gt;=1,$B3320&gt;='112'!$N$8,$B3320&lt;='112'!$O$8,OR($L3320='112'!$I$6,$M3320='112'!$I$6))),"x",""))</f>
        <v/>
      </c>
      <c r="S3320" s="52" t="str">
        <f>IF(ISERROR(FIND('112'!$M$9,G3320,1)),"",IF((AND(LEFT(G3320,2)=LEFT('112'!$M$9,2),B3320&lt;'112'!$N$8,$L3320='112'!$I$6)),"x",""))</f>
        <v/>
      </c>
      <c r="T3320" s="52" t="str">
        <f>IF(ISERROR(FIND('112'!$M$9,G3320,1)),"",IF((AND(RIGHT(G3320,2)=RIGHT('112'!$M$9,2),B3320&lt;'112'!$N$8,$M3320='112'!$I$6)),"x",""))</f>
        <v/>
      </c>
      <c r="U3320" s="52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>x</v>
      </c>
      <c r="AA3320" s="826"/>
    </row>
    <row r="3321" spans="1:27" ht="15.75" customHeight="1">
      <c r="A3321" s="827" t="str">
        <f>IF(B3321&lt;&gt;"",IF(AND(B3321&gt;=_TM1,B3321&lt;=_TM2,OR(TH!L3321="1111",TH!M3321="1111")),TH!D3321,""),"")</f>
        <v/>
      </c>
      <c r="B3321" s="36">
        <f t="shared" si="430"/>
        <v>8</v>
      </c>
      <c r="C3321" s="190">
        <f t="shared" si="428"/>
        <v>42612</v>
      </c>
      <c r="D3321" s="856" t="s">
        <v>1662</v>
      </c>
      <c r="E3321" s="906">
        <v>42612</v>
      </c>
      <c r="F3321" s="868" t="s">
        <v>807</v>
      </c>
      <c r="G3321" s="831" t="s">
        <v>1537</v>
      </c>
      <c r="H3321" s="859" t="s">
        <v>1310</v>
      </c>
      <c r="I3321" s="251">
        <v>12</v>
      </c>
      <c r="J3321" s="251">
        <v>7500</v>
      </c>
      <c r="K3321" s="860">
        <f t="shared" si="429"/>
        <v>90000</v>
      </c>
      <c r="L3321" s="861" t="s">
        <v>162</v>
      </c>
      <c r="M3321" s="861" t="s">
        <v>857</v>
      </c>
      <c r="N3321" s="52" t="str">
        <f>IF(AND('331-CT'!$E$7=TH!H3321,OR(L3321="331",M3321="331")),"331",IF(AND(OR(L3321="131",M3321="131"),H3321='131-CT'!$E$7),"131",""))</f>
        <v/>
      </c>
      <c r="O3321" s="52" t="str">
        <f>IF(AND($B3321&gt;='111'!$N$11,$B3321&lt;='111'!$O$11,OR($L3321=$O$7,$M3321=$O$7)),"x","")</f>
        <v/>
      </c>
      <c r="P3321" s="52" t="str">
        <f>IF(AND($L3321=$O$7,$B3321&lt;'111'!$N$11),"x","")</f>
        <v/>
      </c>
      <c r="Q3321" s="52" t="str">
        <f>IF(AND($M3321=$O$7,$B3321&lt;'111'!$N$11),"x","")</f>
        <v/>
      </c>
      <c r="R3321" s="52" t="str">
        <f>IF(ISERROR(FIND('112'!$M$9,G3321,1)),"",IF((AND(FIND('112'!$M$9,G3321,1)&gt;=1,$B3321&gt;='112'!$N$8,$B3321&lt;='112'!$O$8,OR($L3321='112'!$I$6,$M3321='112'!$I$6))),"x",""))</f>
        <v/>
      </c>
      <c r="S3321" s="52" t="str">
        <f>IF(ISERROR(FIND('112'!$M$9,G3321,1)),"",IF((AND(LEFT(G3321,2)=LEFT('112'!$M$9,2),B3321&lt;'112'!$N$8,$L3321='112'!$I$6)),"x",""))</f>
        <v/>
      </c>
      <c r="T3321" s="52" t="str">
        <f>IF(ISERROR(FIND('112'!$M$9,G3321,1)),"",IF((AND(RIGHT(G3321,2)=RIGHT('112'!$M$9,2),B3321&lt;'112'!$N$8,$M3321='112'!$I$6)),"x",""))</f>
        <v/>
      </c>
      <c r="U3321" s="52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>x</v>
      </c>
      <c r="AA3321" s="826"/>
    </row>
    <row r="3322" spans="1:27" ht="15.75" customHeight="1">
      <c r="A3322" s="827" t="str">
        <f>IF(B3322&lt;&gt;"",IF(AND(B3322&gt;=_TM1,B3322&lt;=_TM2,OR(TH!L3322="1111",TH!M3322="1111")),TH!D3322,""),"")</f>
        <v/>
      </c>
      <c r="B3322" s="36">
        <f t="shared" si="430"/>
        <v>8</v>
      </c>
      <c r="C3322" s="190">
        <f t="shared" si="428"/>
        <v>42612</v>
      </c>
      <c r="D3322" s="856" t="s">
        <v>1662</v>
      </c>
      <c r="E3322" s="906">
        <v>42612</v>
      </c>
      <c r="F3322" s="49" t="s">
        <v>1562</v>
      </c>
      <c r="G3322" s="831" t="s">
        <v>1537</v>
      </c>
      <c r="H3322" s="859" t="s">
        <v>1310</v>
      </c>
      <c r="I3322" s="251">
        <v>12</v>
      </c>
      <c r="J3322" s="251">
        <v>10200</v>
      </c>
      <c r="K3322" s="860">
        <f t="shared" si="429"/>
        <v>122400</v>
      </c>
      <c r="L3322" s="861" t="s">
        <v>162</v>
      </c>
      <c r="M3322" s="861" t="s">
        <v>857</v>
      </c>
      <c r="N3322" s="52" t="str">
        <f>IF(AND('331-CT'!$E$7=TH!H3322,OR(L3322="331",M3322="331")),"331",IF(AND(OR(L3322="131",M3322="131"),H3322='131-CT'!$E$7),"131",""))</f>
        <v/>
      </c>
      <c r="O3322" s="52" t="str">
        <f>IF(AND($B3322&gt;='111'!$N$11,$B3322&lt;='111'!$O$11,OR($L3322=$O$7,$M3322=$O$7)),"x","")</f>
        <v/>
      </c>
      <c r="P3322" s="52" t="str">
        <f>IF(AND($L3322=$O$7,$B3322&lt;'111'!$N$11),"x","")</f>
        <v/>
      </c>
      <c r="Q3322" s="52" t="str">
        <f>IF(AND($M3322=$O$7,$B3322&lt;'111'!$N$11),"x","")</f>
        <v/>
      </c>
      <c r="R3322" s="52" t="str">
        <f>IF(ISERROR(FIND('112'!$M$9,G3322,1)),"",IF((AND(FIND('112'!$M$9,G3322,1)&gt;=1,$B3322&gt;='112'!$N$8,$B3322&lt;='112'!$O$8,OR($L3322='112'!$I$6,$M3322='112'!$I$6))),"x",""))</f>
        <v/>
      </c>
      <c r="S3322" s="52" t="str">
        <f>IF(ISERROR(FIND('112'!$M$9,G3322,1)),"",IF((AND(LEFT(G3322,2)=LEFT('112'!$M$9,2),B3322&lt;'112'!$N$8,$L3322='112'!$I$6)),"x",""))</f>
        <v/>
      </c>
      <c r="T3322" s="52" t="str">
        <f>IF(ISERROR(FIND('112'!$M$9,G3322,1)),"",IF((AND(RIGHT(G3322,2)=RIGHT('112'!$M$9,2),B3322&lt;'112'!$N$8,$M3322='112'!$I$6)),"x",""))</f>
        <v/>
      </c>
      <c r="U3322" s="52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>x</v>
      </c>
      <c r="AA3322" s="826"/>
    </row>
    <row r="3323" spans="1:27" ht="15.75" customHeight="1">
      <c r="A3323" s="827" t="str">
        <f>IF(B3323&lt;&gt;"",IF(AND(B3323&gt;=_TM1,B3323&lt;=_TM2,OR(TH!L3323="1111",TH!M3323="1111")),TH!D3323,""),"")</f>
        <v/>
      </c>
      <c r="B3323" s="36">
        <f t="shared" si="430"/>
        <v>8</v>
      </c>
      <c r="C3323" s="190">
        <f t="shared" si="428"/>
        <v>42612</v>
      </c>
      <c r="D3323" s="856" t="s">
        <v>1662</v>
      </c>
      <c r="E3323" s="906">
        <v>42612</v>
      </c>
      <c r="F3323" s="49" t="s">
        <v>1563</v>
      </c>
      <c r="G3323" s="831" t="s">
        <v>1537</v>
      </c>
      <c r="H3323" s="859" t="s">
        <v>1310</v>
      </c>
      <c r="I3323" s="251">
        <v>18</v>
      </c>
      <c r="J3323" s="251">
        <v>7500</v>
      </c>
      <c r="K3323" s="860">
        <f t="shared" si="429"/>
        <v>135000</v>
      </c>
      <c r="L3323" s="861" t="s">
        <v>162</v>
      </c>
      <c r="M3323" s="861" t="s">
        <v>857</v>
      </c>
      <c r="N3323" s="52" t="str">
        <f>IF(AND('331-CT'!$E$7=TH!H3323,OR(L3323="331",M3323="331")),"331",IF(AND(OR(L3323="131",M3323="131"),H3323='131-CT'!$E$7),"131",""))</f>
        <v/>
      </c>
      <c r="O3323" s="52" t="str">
        <f>IF(AND($B3323&gt;='111'!$N$11,$B3323&lt;='111'!$O$11,OR($L3323=$O$7,$M3323=$O$7)),"x","")</f>
        <v/>
      </c>
      <c r="P3323" s="52" t="str">
        <f>IF(AND($L3323=$O$7,$B3323&lt;'111'!$N$11),"x","")</f>
        <v/>
      </c>
      <c r="Q3323" s="52" t="str">
        <f>IF(AND($M3323=$O$7,$B3323&lt;'111'!$N$11),"x","")</f>
        <v/>
      </c>
      <c r="R3323" s="52" t="str">
        <f>IF(ISERROR(FIND('112'!$M$9,G3323,1)),"",IF((AND(FIND('112'!$M$9,G3323,1)&gt;=1,$B3323&gt;='112'!$N$8,$B3323&lt;='112'!$O$8,OR($L3323='112'!$I$6,$M3323='112'!$I$6))),"x",""))</f>
        <v/>
      </c>
      <c r="S3323" s="52" t="str">
        <f>IF(ISERROR(FIND('112'!$M$9,G3323,1)),"",IF((AND(LEFT(G3323,2)=LEFT('112'!$M$9,2),B3323&lt;'112'!$N$8,$L3323='112'!$I$6)),"x",""))</f>
        <v/>
      </c>
      <c r="T3323" s="52" t="str">
        <f>IF(ISERROR(FIND('112'!$M$9,G3323,1)),"",IF((AND(RIGHT(G3323,2)=RIGHT('112'!$M$9,2),B3323&lt;'112'!$N$8,$M3323='112'!$I$6)),"x",""))</f>
        <v/>
      </c>
      <c r="U3323" s="52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>x</v>
      </c>
      <c r="AA3323" s="826"/>
    </row>
    <row r="3324" spans="1:27" ht="15.75" customHeight="1">
      <c r="A3324" s="827" t="str">
        <f>IF(B3324&lt;&gt;"",IF(AND(B3324&gt;=_TM1,B3324&lt;=_TM2,OR(TH!L3324="1111",TH!M3324="1111")),TH!D3324,""),"")</f>
        <v/>
      </c>
      <c r="B3324" s="36">
        <f t="shared" si="430"/>
        <v>8</v>
      </c>
      <c r="C3324" s="190">
        <f t="shared" si="428"/>
        <v>42612</v>
      </c>
      <c r="D3324" s="856" t="s">
        <v>1662</v>
      </c>
      <c r="E3324" s="906">
        <v>42612</v>
      </c>
      <c r="F3324" s="908" t="s">
        <v>1564</v>
      </c>
      <c r="G3324" s="831" t="s">
        <v>1537</v>
      </c>
      <c r="H3324" s="859" t="s">
        <v>1310</v>
      </c>
      <c r="I3324" s="251">
        <v>25</v>
      </c>
      <c r="J3324" s="251">
        <v>8100</v>
      </c>
      <c r="K3324" s="860">
        <f t="shared" si="429"/>
        <v>202500</v>
      </c>
      <c r="L3324" s="861" t="s">
        <v>162</v>
      </c>
      <c r="M3324" s="861" t="s">
        <v>857</v>
      </c>
      <c r="N3324" s="52" t="str">
        <f>IF(AND('331-CT'!$E$7=TH!H3324,OR(L3324="331",M3324="331")),"331",IF(AND(OR(L3324="131",M3324="131"),H3324='131-CT'!$E$7),"131",""))</f>
        <v/>
      </c>
      <c r="O3324" s="52" t="str">
        <f>IF(AND($B3324&gt;='111'!$N$11,$B3324&lt;='111'!$O$11,OR($L3324=$O$7,$M3324=$O$7)),"x","")</f>
        <v/>
      </c>
      <c r="P3324" s="52" t="str">
        <f>IF(AND($L3324=$O$7,$B3324&lt;'111'!$N$11),"x","")</f>
        <v/>
      </c>
      <c r="Q3324" s="52" t="str">
        <f>IF(AND($M3324=$O$7,$B3324&lt;'111'!$N$11),"x","")</f>
        <v/>
      </c>
      <c r="R3324" s="52" t="str">
        <f>IF(ISERROR(FIND('112'!$M$9,G3324,1)),"",IF((AND(FIND('112'!$M$9,G3324,1)&gt;=1,$B3324&gt;='112'!$N$8,$B3324&lt;='112'!$O$8,OR($L3324='112'!$I$6,$M3324='112'!$I$6))),"x",""))</f>
        <v/>
      </c>
      <c r="S3324" s="52" t="str">
        <f>IF(ISERROR(FIND('112'!$M$9,G3324,1)),"",IF((AND(LEFT(G3324,2)=LEFT('112'!$M$9,2),B3324&lt;'112'!$N$8,$L3324='112'!$I$6)),"x",""))</f>
        <v/>
      </c>
      <c r="T3324" s="52" t="str">
        <f>IF(ISERROR(FIND('112'!$M$9,G3324,1)),"",IF((AND(RIGHT(G3324,2)=RIGHT('112'!$M$9,2),B3324&lt;'112'!$N$8,$M3324='112'!$I$6)),"x",""))</f>
        <v/>
      </c>
      <c r="U3324" s="52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>x</v>
      </c>
      <c r="AA3324" s="826"/>
    </row>
    <row r="3325" spans="1:27" ht="15.75" customHeight="1">
      <c r="A3325" s="827" t="str">
        <f>IF(B3325&lt;&gt;"",IF(AND(B3325&gt;=_TM1,B3325&lt;=_TM2,OR(TH!L3325="1111",TH!M3325="1111")),TH!D3325,""),"")</f>
        <v/>
      </c>
      <c r="B3325" s="36">
        <f t="shared" si="430"/>
        <v>8</v>
      </c>
      <c r="C3325" s="190">
        <f t="shared" si="428"/>
        <v>42612</v>
      </c>
      <c r="D3325" s="856" t="s">
        <v>1662</v>
      </c>
      <c r="E3325" s="906">
        <v>42612</v>
      </c>
      <c r="F3325" s="868" t="s">
        <v>1565</v>
      </c>
      <c r="G3325" s="831" t="s">
        <v>1537</v>
      </c>
      <c r="H3325" s="859" t="s">
        <v>1310</v>
      </c>
      <c r="I3325" s="251">
        <v>10</v>
      </c>
      <c r="J3325" s="251">
        <v>75000</v>
      </c>
      <c r="K3325" s="860">
        <f t="shared" si="429"/>
        <v>750000</v>
      </c>
      <c r="L3325" s="861" t="s">
        <v>162</v>
      </c>
      <c r="M3325" s="861" t="s">
        <v>857</v>
      </c>
      <c r="N3325" s="52" t="str">
        <f>IF(AND('331-CT'!$E$7=TH!H3325,OR(L3325="331",M3325="331")),"331",IF(AND(OR(L3325="131",M3325="131"),H3325='131-CT'!$E$7),"131",""))</f>
        <v/>
      </c>
      <c r="O3325" s="52" t="str">
        <f>IF(AND($B3325&gt;='111'!$N$11,$B3325&lt;='111'!$O$11,OR($L3325=$O$7,$M3325=$O$7)),"x","")</f>
        <v/>
      </c>
      <c r="P3325" s="52" t="str">
        <f>IF(AND($L3325=$O$7,$B3325&lt;'111'!$N$11),"x","")</f>
        <v/>
      </c>
      <c r="Q3325" s="52" t="str">
        <f>IF(AND($M3325=$O$7,$B3325&lt;'111'!$N$11),"x","")</f>
        <v/>
      </c>
      <c r="R3325" s="52" t="str">
        <f>IF(ISERROR(FIND('112'!$M$9,G3325,1)),"",IF((AND(FIND('112'!$M$9,G3325,1)&gt;=1,$B3325&gt;='112'!$N$8,$B3325&lt;='112'!$O$8,OR($L3325='112'!$I$6,$M3325='112'!$I$6))),"x",""))</f>
        <v/>
      </c>
      <c r="S3325" s="52" t="str">
        <f>IF(ISERROR(FIND('112'!$M$9,G3325,1)),"",IF((AND(LEFT(G3325,2)=LEFT('112'!$M$9,2),B3325&lt;'112'!$N$8,$L3325='112'!$I$6)),"x",""))</f>
        <v/>
      </c>
      <c r="T3325" s="52" t="str">
        <f>IF(ISERROR(FIND('112'!$M$9,G3325,1)),"",IF((AND(RIGHT(G3325,2)=RIGHT('112'!$M$9,2),B3325&lt;'112'!$N$8,$M3325='112'!$I$6)),"x",""))</f>
        <v/>
      </c>
      <c r="U3325" s="52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>x</v>
      </c>
      <c r="AA3325" s="826"/>
    </row>
    <row r="3326" spans="1:27" ht="15.75" customHeight="1">
      <c r="A3326" s="827" t="str">
        <f>IF(B3326&lt;&gt;"",IF(AND(B3326&gt;=_TM1,B3326&lt;=_TM2,OR(TH!L3326="1111",TH!M3326="1111")),TH!D3326,""),"")</f>
        <v/>
      </c>
      <c r="B3326" s="36">
        <f t="shared" si="430"/>
        <v>8</v>
      </c>
      <c r="C3326" s="190">
        <f t="shared" si="428"/>
        <v>42612</v>
      </c>
      <c r="D3326" s="856" t="s">
        <v>1662</v>
      </c>
      <c r="E3326" s="906">
        <v>42612</v>
      </c>
      <c r="F3326" s="49" t="s">
        <v>503</v>
      </c>
      <c r="G3326" s="831" t="s">
        <v>1537</v>
      </c>
      <c r="H3326" s="859" t="s">
        <v>1310</v>
      </c>
      <c r="I3326" s="251">
        <v>30</v>
      </c>
      <c r="J3326" s="251">
        <v>25000</v>
      </c>
      <c r="K3326" s="860">
        <f t="shared" si="429"/>
        <v>750000</v>
      </c>
      <c r="L3326" s="861" t="s">
        <v>162</v>
      </c>
      <c r="M3326" s="861" t="s">
        <v>857</v>
      </c>
      <c r="N3326" s="52" t="str">
        <f>IF(AND('331-CT'!$E$7=TH!H3326,OR(L3326="331",M3326="331")),"331",IF(AND(OR(L3326="131",M3326="131"),H3326='131-CT'!$E$7),"131",""))</f>
        <v/>
      </c>
      <c r="O3326" s="52" t="str">
        <f>IF(AND($B3326&gt;='111'!$N$11,$B3326&lt;='111'!$O$11,OR($L3326=$O$7,$M3326=$O$7)),"x","")</f>
        <v/>
      </c>
      <c r="P3326" s="52" t="str">
        <f>IF(AND($L3326=$O$7,$B3326&lt;'111'!$N$11),"x","")</f>
        <v/>
      </c>
      <c r="Q3326" s="52" t="str">
        <f>IF(AND($M3326=$O$7,$B3326&lt;'111'!$N$11),"x","")</f>
        <v/>
      </c>
      <c r="R3326" s="52" t="str">
        <f>IF(ISERROR(FIND('112'!$M$9,G3326,1)),"",IF((AND(FIND('112'!$M$9,G3326,1)&gt;=1,$B3326&gt;='112'!$N$8,$B3326&lt;='112'!$O$8,OR($L3326='112'!$I$6,$M3326='112'!$I$6))),"x",""))</f>
        <v/>
      </c>
      <c r="S3326" s="52" t="str">
        <f>IF(ISERROR(FIND('112'!$M$9,G3326,1)),"",IF((AND(LEFT(G3326,2)=LEFT('112'!$M$9,2),B3326&lt;'112'!$N$8,$L3326='112'!$I$6)),"x",""))</f>
        <v/>
      </c>
      <c r="T3326" s="52" t="str">
        <f>IF(ISERROR(FIND('112'!$M$9,G3326,1)),"",IF((AND(RIGHT(G3326,2)=RIGHT('112'!$M$9,2),B3326&lt;'112'!$N$8,$M3326='112'!$I$6)),"x",""))</f>
        <v/>
      </c>
      <c r="U3326" s="52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>x</v>
      </c>
      <c r="AA3326" s="826"/>
    </row>
    <row r="3327" spans="1:27" ht="15.75" customHeight="1">
      <c r="A3327" s="827" t="str">
        <f>IF(B3327&lt;&gt;"",IF(AND(B3327&gt;=_TM1,B3327&lt;=_TM2,OR(TH!L3327="1111",TH!M3327="1111")),TH!D3327,""),"")</f>
        <v/>
      </c>
      <c r="B3327" s="36">
        <f t="shared" si="430"/>
        <v>8</v>
      </c>
      <c r="C3327" s="190">
        <f t="shared" si="428"/>
        <v>42612</v>
      </c>
      <c r="D3327" s="856" t="s">
        <v>1662</v>
      </c>
      <c r="E3327" s="906">
        <v>42612</v>
      </c>
      <c r="F3327" s="868" t="s">
        <v>511</v>
      </c>
      <c r="G3327" s="831" t="s">
        <v>1537</v>
      </c>
      <c r="H3327" s="859" t="s">
        <v>1310</v>
      </c>
      <c r="I3327" s="251">
        <v>64</v>
      </c>
      <c r="J3327" s="251">
        <v>25000</v>
      </c>
      <c r="K3327" s="860">
        <f t="shared" si="429"/>
        <v>1600000</v>
      </c>
      <c r="L3327" s="861" t="s">
        <v>162</v>
      </c>
      <c r="M3327" s="861" t="s">
        <v>857</v>
      </c>
      <c r="N3327" s="52" t="str">
        <f>IF(AND('331-CT'!$E$7=TH!H3327,OR(L3327="331",M3327="331")),"331",IF(AND(OR(L3327="131",M3327="131"),H3327='131-CT'!$E$7),"131",""))</f>
        <v/>
      </c>
      <c r="O3327" s="52" t="str">
        <f>IF(AND($B3327&gt;='111'!$N$11,$B3327&lt;='111'!$O$11,OR($L3327=$O$7,$M3327=$O$7)),"x","")</f>
        <v/>
      </c>
      <c r="P3327" s="52" t="str">
        <f>IF(AND($L3327=$O$7,$B3327&lt;'111'!$N$11),"x","")</f>
        <v/>
      </c>
      <c r="Q3327" s="52" t="str">
        <f>IF(AND($M3327=$O$7,$B3327&lt;'111'!$N$11),"x","")</f>
        <v/>
      </c>
      <c r="R3327" s="52" t="str">
        <f>IF(ISERROR(FIND('112'!$M$9,G3327,1)),"",IF((AND(FIND('112'!$M$9,G3327,1)&gt;=1,$B3327&gt;='112'!$N$8,$B3327&lt;='112'!$O$8,OR($L3327='112'!$I$6,$M3327='112'!$I$6))),"x",""))</f>
        <v/>
      </c>
      <c r="S3327" s="52" t="str">
        <f>IF(ISERROR(FIND('112'!$M$9,G3327,1)),"",IF((AND(LEFT(G3327,2)=LEFT('112'!$M$9,2),B3327&lt;'112'!$N$8,$L3327='112'!$I$6)),"x",""))</f>
        <v/>
      </c>
      <c r="T3327" s="52" t="str">
        <f>IF(ISERROR(FIND('112'!$M$9,G3327,1)),"",IF((AND(RIGHT(G3327,2)=RIGHT('112'!$M$9,2),B3327&lt;'112'!$N$8,$M3327='112'!$I$6)),"x",""))</f>
        <v/>
      </c>
      <c r="U3327" s="52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>x</v>
      </c>
      <c r="AA3327" s="826"/>
    </row>
    <row r="3328" spans="1:27" ht="15.75" customHeight="1">
      <c r="A3328" s="827" t="str">
        <f>IF(B3328&lt;&gt;"",IF(AND(B3328&gt;=_TM1,B3328&lt;=_TM2,OR(TH!L3328="1111",TH!M3328="1111")),TH!D3328,""),"")</f>
        <v/>
      </c>
      <c r="B3328" s="36">
        <f t="shared" si="430"/>
        <v>8</v>
      </c>
      <c r="C3328" s="190">
        <f t="shared" si="428"/>
        <v>42612</v>
      </c>
      <c r="D3328" s="856" t="s">
        <v>1662</v>
      </c>
      <c r="E3328" s="906">
        <v>42612</v>
      </c>
      <c r="F3328" s="49" t="s">
        <v>1566</v>
      </c>
      <c r="G3328" s="831" t="s">
        <v>1537</v>
      </c>
      <c r="H3328" s="859" t="s">
        <v>1310</v>
      </c>
      <c r="I3328" s="251">
        <v>20</v>
      </c>
      <c r="J3328" s="251">
        <v>51000</v>
      </c>
      <c r="K3328" s="860">
        <f t="shared" si="429"/>
        <v>1020000</v>
      </c>
      <c r="L3328" s="861" t="s">
        <v>162</v>
      </c>
      <c r="M3328" s="861" t="s">
        <v>857</v>
      </c>
      <c r="N3328" s="52" t="str">
        <f>IF(AND('331-CT'!$E$7=TH!H3328,OR(L3328="331",M3328="331")),"331",IF(AND(OR(L3328="131",M3328="131"),H3328='131-CT'!$E$7),"131",""))</f>
        <v/>
      </c>
      <c r="O3328" s="52" t="str">
        <f>IF(AND($B3328&gt;='111'!$N$11,$B3328&lt;='111'!$O$11,OR($L3328=$O$7,$M3328=$O$7)),"x","")</f>
        <v/>
      </c>
      <c r="P3328" s="52" t="str">
        <f>IF(AND($L3328=$O$7,$B3328&lt;'111'!$N$11),"x","")</f>
        <v/>
      </c>
      <c r="Q3328" s="52" t="str">
        <f>IF(AND($M3328=$O$7,$B3328&lt;'111'!$N$11),"x","")</f>
        <v/>
      </c>
      <c r="R3328" s="52" t="str">
        <f>IF(ISERROR(FIND('112'!$M$9,G3328,1)),"",IF((AND(FIND('112'!$M$9,G3328,1)&gt;=1,$B3328&gt;='112'!$N$8,$B3328&lt;='112'!$O$8,OR($L3328='112'!$I$6,$M3328='112'!$I$6))),"x",""))</f>
        <v/>
      </c>
      <c r="S3328" s="52" t="str">
        <f>IF(ISERROR(FIND('112'!$M$9,G3328,1)),"",IF((AND(LEFT(G3328,2)=LEFT('112'!$M$9,2),B3328&lt;'112'!$N$8,$L3328='112'!$I$6)),"x",""))</f>
        <v/>
      </c>
      <c r="T3328" s="52" t="str">
        <f>IF(ISERROR(FIND('112'!$M$9,G3328,1)),"",IF((AND(RIGHT(G3328,2)=RIGHT('112'!$M$9,2),B3328&lt;'112'!$N$8,$M3328='112'!$I$6)),"x",""))</f>
        <v/>
      </c>
      <c r="U3328" s="52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>x</v>
      </c>
      <c r="AA3328" s="826"/>
    </row>
    <row r="3329" spans="1:27" ht="15.75" customHeight="1">
      <c r="A3329" s="827" t="str">
        <f>IF(B3329&lt;&gt;"",IF(AND(B3329&gt;=_TM1,B3329&lt;=_TM2,OR(TH!L3329="1111",TH!M3329="1111")),TH!D3329,""),"")</f>
        <v/>
      </c>
      <c r="B3329" s="36">
        <f t="shared" si="430"/>
        <v>8</v>
      </c>
      <c r="C3329" s="190">
        <f t="shared" si="428"/>
        <v>42612</v>
      </c>
      <c r="D3329" s="856" t="s">
        <v>1662</v>
      </c>
      <c r="E3329" s="906">
        <v>42612</v>
      </c>
      <c r="F3329" s="868" t="s">
        <v>1567</v>
      </c>
      <c r="G3329" s="831" t="s">
        <v>1537</v>
      </c>
      <c r="H3329" s="859" t="s">
        <v>1310</v>
      </c>
      <c r="I3329" s="251">
        <v>53</v>
      </c>
      <c r="J3329" s="251">
        <v>26300</v>
      </c>
      <c r="K3329" s="860">
        <f t="shared" si="429"/>
        <v>1393900</v>
      </c>
      <c r="L3329" s="861" t="s">
        <v>162</v>
      </c>
      <c r="M3329" s="861" t="s">
        <v>857</v>
      </c>
      <c r="N3329" s="52" t="str">
        <f>IF(AND('331-CT'!$E$7=TH!H3329,OR(L3329="331",M3329="331")),"331",IF(AND(OR(L3329="131",M3329="131"),H3329='131-CT'!$E$7),"131",""))</f>
        <v/>
      </c>
      <c r="O3329" s="52" t="str">
        <f>IF(AND($B3329&gt;='111'!$N$11,$B3329&lt;='111'!$O$11,OR($L3329=$O$7,$M3329=$O$7)),"x","")</f>
        <v/>
      </c>
      <c r="P3329" s="52" t="str">
        <f>IF(AND($L3329=$O$7,$B3329&lt;'111'!$N$11),"x","")</f>
        <v/>
      </c>
      <c r="Q3329" s="52" t="str">
        <f>IF(AND($M3329=$O$7,$B3329&lt;'111'!$N$11),"x","")</f>
        <v/>
      </c>
      <c r="R3329" s="52" t="str">
        <f>IF(ISERROR(FIND('112'!$M$9,G3329,1)),"",IF((AND(FIND('112'!$M$9,G3329,1)&gt;=1,$B3329&gt;='112'!$N$8,$B3329&lt;='112'!$O$8,OR($L3329='112'!$I$6,$M3329='112'!$I$6))),"x",""))</f>
        <v/>
      </c>
      <c r="S3329" s="52" t="str">
        <f>IF(ISERROR(FIND('112'!$M$9,G3329,1)),"",IF((AND(LEFT(G3329,2)=LEFT('112'!$M$9,2),B3329&lt;'112'!$N$8,$L3329='112'!$I$6)),"x",""))</f>
        <v/>
      </c>
      <c r="T3329" s="52" t="str">
        <f>IF(ISERROR(FIND('112'!$M$9,G3329,1)),"",IF((AND(RIGHT(G3329,2)=RIGHT('112'!$M$9,2),B3329&lt;'112'!$N$8,$M3329='112'!$I$6)),"x",""))</f>
        <v/>
      </c>
      <c r="U3329" s="52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>x</v>
      </c>
      <c r="AA3329" s="826"/>
    </row>
    <row r="3330" spans="1:27" ht="15.75" customHeight="1">
      <c r="A3330" s="827" t="str">
        <f>IF(B3330&lt;&gt;"",IF(AND(B3330&gt;=_TM1,B3330&lt;=_TM2,OR(TH!L3330="1111",TH!M3330="1111")),TH!D3330,""),"")</f>
        <v/>
      </c>
      <c r="B3330" s="36">
        <f t="shared" si="430"/>
        <v>8</v>
      </c>
      <c r="C3330" s="190">
        <f t="shared" si="428"/>
        <v>42612</v>
      </c>
      <c r="D3330" s="856" t="s">
        <v>1662</v>
      </c>
      <c r="E3330" s="906">
        <v>42612</v>
      </c>
      <c r="F3330" s="49" t="s">
        <v>489</v>
      </c>
      <c r="G3330" s="831" t="s">
        <v>1537</v>
      </c>
      <c r="H3330" s="859" t="s">
        <v>1310</v>
      </c>
      <c r="I3330" s="251">
        <v>18</v>
      </c>
      <c r="J3330" s="251">
        <v>37500</v>
      </c>
      <c r="K3330" s="860">
        <f t="shared" si="429"/>
        <v>675000</v>
      </c>
      <c r="L3330" s="861" t="s">
        <v>162</v>
      </c>
      <c r="M3330" s="861" t="s">
        <v>857</v>
      </c>
      <c r="N3330" s="52" t="str">
        <f>IF(AND('331-CT'!$E$7=TH!H3330,OR(L3330="331",M3330="331")),"331",IF(AND(OR(L3330="131",M3330="131"),H3330='131-CT'!$E$7),"131",""))</f>
        <v/>
      </c>
      <c r="O3330" s="52" t="str">
        <f>IF(AND($B3330&gt;='111'!$N$11,$B3330&lt;='111'!$O$11,OR($L3330=$O$7,$M3330=$O$7)),"x","")</f>
        <v/>
      </c>
      <c r="P3330" s="52" t="str">
        <f>IF(AND($L3330=$O$7,$B3330&lt;'111'!$N$11),"x","")</f>
        <v/>
      </c>
      <c r="Q3330" s="52" t="str">
        <f>IF(AND($M3330=$O$7,$B3330&lt;'111'!$N$11),"x","")</f>
        <v/>
      </c>
      <c r="R3330" s="52" t="str">
        <f>IF(ISERROR(FIND('112'!$M$9,G3330,1)),"",IF((AND(FIND('112'!$M$9,G3330,1)&gt;=1,$B3330&gt;='112'!$N$8,$B3330&lt;='112'!$O$8,OR($L3330='112'!$I$6,$M3330='112'!$I$6))),"x",""))</f>
        <v/>
      </c>
      <c r="S3330" s="52" t="str">
        <f>IF(ISERROR(FIND('112'!$M$9,G3330,1)),"",IF((AND(LEFT(G3330,2)=LEFT('112'!$M$9,2),B3330&lt;'112'!$N$8,$L3330='112'!$I$6)),"x",""))</f>
        <v/>
      </c>
      <c r="T3330" s="52" t="str">
        <f>IF(ISERROR(FIND('112'!$M$9,G3330,1)),"",IF((AND(RIGHT(G3330,2)=RIGHT('112'!$M$9,2),B3330&lt;'112'!$N$8,$M3330='112'!$I$6)),"x",""))</f>
        <v/>
      </c>
      <c r="U3330" s="52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>x</v>
      </c>
      <c r="AA3330" s="826"/>
    </row>
    <row r="3331" spans="1:27" ht="15.75" customHeight="1">
      <c r="A3331" s="827" t="str">
        <f>IF(B3331&lt;&gt;"",IF(AND(B3331&gt;=_TM1,B3331&lt;=_TM2,OR(TH!L3331="1111",TH!M3331="1111")),TH!D3331,""),"")</f>
        <v/>
      </c>
      <c r="B3331" s="36">
        <f t="shared" si="430"/>
        <v>8</v>
      </c>
      <c r="C3331" s="190">
        <f t="shared" si="428"/>
        <v>42612</v>
      </c>
      <c r="D3331" s="856" t="s">
        <v>1662</v>
      </c>
      <c r="E3331" s="906">
        <v>42612</v>
      </c>
      <c r="F3331" s="868" t="s">
        <v>871</v>
      </c>
      <c r="G3331" s="831" t="s">
        <v>1537</v>
      </c>
      <c r="H3331" s="859" t="s">
        <v>1310</v>
      </c>
      <c r="I3331" s="251">
        <v>10</v>
      </c>
      <c r="J3331" s="251">
        <v>43000</v>
      </c>
      <c r="K3331" s="860">
        <f t="shared" si="429"/>
        <v>430000</v>
      </c>
      <c r="L3331" s="861" t="s">
        <v>162</v>
      </c>
      <c r="M3331" s="861" t="s">
        <v>857</v>
      </c>
      <c r="N3331" s="52" t="str">
        <f>IF(AND('331-CT'!$E$7=TH!H3331,OR(L3331="331",M3331="331")),"331",IF(AND(OR(L3331="131",M3331="131"),H3331='131-CT'!$E$7),"131",""))</f>
        <v/>
      </c>
      <c r="O3331" s="52" t="str">
        <f>IF(AND($B3331&gt;='111'!$N$11,$B3331&lt;='111'!$O$11,OR($L3331=$O$7,$M3331=$O$7)),"x","")</f>
        <v/>
      </c>
      <c r="P3331" s="52" t="str">
        <f>IF(AND($L3331=$O$7,$B3331&lt;'111'!$N$11),"x","")</f>
        <v/>
      </c>
      <c r="Q3331" s="52" t="str">
        <f>IF(AND($M3331=$O$7,$B3331&lt;'111'!$N$11),"x","")</f>
        <v/>
      </c>
      <c r="R3331" s="52" t="str">
        <f>IF(ISERROR(FIND('112'!$M$9,G3331,1)),"",IF((AND(FIND('112'!$M$9,G3331,1)&gt;=1,$B3331&gt;='112'!$N$8,$B3331&lt;='112'!$O$8,OR($L3331='112'!$I$6,$M3331='112'!$I$6))),"x",""))</f>
        <v/>
      </c>
      <c r="S3331" s="52" t="str">
        <f>IF(ISERROR(FIND('112'!$M$9,G3331,1)),"",IF((AND(LEFT(G3331,2)=LEFT('112'!$M$9,2),B3331&lt;'112'!$N$8,$L3331='112'!$I$6)),"x",""))</f>
        <v/>
      </c>
      <c r="T3331" s="52" t="str">
        <f>IF(ISERROR(FIND('112'!$M$9,G3331,1)),"",IF((AND(RIGHT(G3331,2)=RIGHT('112'!$M$9,2),B3331&lt;'112'!$N$8,$M3331='112'!$I$6)),"x",""))</f>
        <v/>
      </c>
      <c r="U3331" s="52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>x</v>
      </c>
      <c r="AA3331" s="826"/>
    </row>
    <row r="3332" spans="1:27" ht="15.75" customHeight="1">
      <c r="A3332" s="827" t="str">
        <f>IF(B3332&lt;&gt;"",IF(AND(B3332&gt;=_TM1,B3332&lt;=_TM2,OR(TH!L3332="1111",TH!M3332="1111")),TH!D3332,""),"")</f>
        <v/>
      </c>
      <c r="B3332" s="36">
        <f t="shared" si="430"/>
        <v>8</v>
      </c>
      <c r="C3332" s="190">
        <f t="shared" si="428"/>
        <v>42612</v>
      </c>
      <c r="D3332" s="856" t="s">
        <v>1662</v>
      </c>
      <c r="E3332" s="906">
        <v>42612</v>
      </c>
      <c r="F3332" s="49" t="s">
        <v>1004</v>
      </c>
      <c r="G3332" s="831" t="s">
        <v>1537</v>
      </c>
      <c r="H3332" s="859" t="s">
        <v>1310</v>
      </c>
      <c r="I3332" s="251">
        <v>50</v>
      </c>
      <c r="J3332" s="251">
        <v>41000</v>
      </c>
      <c r="K3332" s="860">
        <f t="shared" si="429"/>
        <v>2050000</v>
      </c>
      <c r="L3332" s="861" t="s">
        <v>162</v>
      </c>
      <c r="M3332" s="861" t="s">
        <v>857</v>
      </c>
      <c r="N3332" s="52" t="str">
        <f>IF(AND('331-CT'!$E$7=TH!H3332,OR(L3332="331",M3332="331")),"331",IF(AND(OR(L3332="131",M3332="131"),H3332='131-CT'!$E$7),"131",""))</f>
        <v/>
      </c>
      <c r="O3332" s="52" t="str">
        <f>IF(AND($B3332&gt;='111'!$N$11,$B3332&lt;='111'!$O$11,OR($L3332=$O$7,$M3332=$O$7)),"x","")</f>
        <v/>
      </c>
      <c r="P3332" s="52" t="str">
        <f>IF(AND($L3332=$O$7,$B3332&lt;'111'!$N$11),"x","")</f>
        <v/>
      </c>
      <c r="Q3332" s="52" t="str">
        <f>IF(AND($M3332=$O$7,$B3332&lt;'111'!$N$11),"x","")</f>
        <v/>
      </c>
      <c r="R3332" s="52" t="str">
        <f>IF(ISERROR(FIND('112'!$M$9,G3332,1)),"",IF((AND(FIND('112'!$M$9,G3332,1)&gt;=1,$B3332&gt;='112'!$N$8,$B3332&lt;='112'!$O$8,OR($L3332='112'!$I$6,$M3332='112'!$I$6))),"x",""))</f>
        <v/>
      </c>
      <c r="S3332" s="52" t="str">
        <f>IF(ISERROR(FIND('112'!$M$9,G3332,1)),"",IF((AND(LEFT(G3332,2)=LEFT('112'!$M$9,2),B3332&lt;'112'!$N$8,$L3332='112'!$I$6)),"x",""))</f>
        <v/>
      </c>
      <c r="T3332" s="52" t="str">
        <f>IF(ISERROR(FIND('112'!$M$9,G3332,1)),"",IF((AND(RIGHT(G3332,2)=RIGHT('112'!$M$9,2),B3332&lt;'112'!$N$8,$M3332='112'!$I$6)),"x",""))</f>
        <v/>
      </c>
      <c r="U3332" s="52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>x</v>
      </c>
      <c r="AA3332" s="826"/>
    </row>
    <row r="3333" spans="1:27" ht="15.75" customHeight="1">
      <c r="A3333" s="827" t="str">
        <f>IF(B3333&lt;&gt;"",IF(AND(B3333&gt;=_TM1,B3333&lt;=_TM2,OR(TH!L3333="1111",TH!M3333="1111")),TH!D3333,""),"")</f>
        <v/>
      </c>
      <c r="B3333" s="36">
        <f t="shared" si="430"/>
        <v>8</v>
      </c>
      <c r="C3333" s="190">
        <f t="shared" si="428"/>
        <v>42612</v>
      </c>
      <c r="D3333" s="856" t="s">
        <v>1662</v>
      </c>
      <c r="E3333" s="906">
        <v>42612</v>
      </c>
      <c r="F3333" s="49" t="s">
        <v>1004</v>
      </c>
      <c r="G3333" s="831" t="s">
        <v>1537</v>
      </c>
      <c r="H3333" s="859" t="s">
        <v>1310</v>
      </c>
      <c r="I3333" s="251">
        <v>24</v>
      </c>
      <c r="J3333" s="251">
        <v>41000</v>
      </c>
      <c r="K3333" s="860">
        <f t="shared" si="429"/>
        <v>984000</v>
      </c>
      <c r="L3333" s="861" t="s">
        <v>162</v>
      </c>
      <c r="M3333" s="861" t="s">
        <v>857</v>
      </c>
      <c r="N3333" s="52" t="str">
        <f>IF(AND('331-CT'!$E$7=TH!H3333,OR(L3333="331",M3333="331")),"331",IF(AND(OR(L3333="131",M3333="131"),H3333='131-CT'!$E$7),"131",""))</f>
        <v/>
      </c>
      <c r="O3333" s="52" t="str">
        <f>IF(AND($B3333&gt;='111'!$N$11,$B3333&lt;='111'!$O$11,OR($L3333=$O$7,$M3333=$O$7)),"x","")</f>
        <v/>
      </c>
      <c r="P3333" s="52" t="str">
        <f>IF(AND($L3333=$O$7,$B3333&lt;'111'!$N$11),"x","")</f>
        <v/>
      </c>
      <c r="Q3333" s="52" t="str">
        <f>IF(AND($M3333=$O$7,$B3333&lt;'111'!$N$11),"x","")</f>
        <v/>
      </c>
      <c r="R3333" s="52" t="str">
        <f>IF(ISERROR(FIND('112'!$M$9,G3333,1)),"",IF((AND(FIND('112'!$M$9,G3333,1)&gt;=1,$B3333&gt;='112'!$N$8,$B3333&lt;='112'!$O$8,OR($L3333='112'!$I$6,$M3333='112'!$I$6))),"x",""))</f>
        <v/>
      </c>
      <c r="S3333" s="52" t="str">
        <f>IF(ISERROR(FIND('112'!$M$9,G3333,1)),"",IF((AND(LEFT(G3333,2)=LEFT('112'!$M$9,2),B3333&lt;'112'!$N$8,$L3333='112'!$I$6)),"x",""))</f>
        <v/>
      </c>
      <c r="T3333" s="52" t="str">
        <f>IF(ISERROR(FIND('112'!$M$9,G3333,1)),"",IF((AND(RIGHT(G3333,2)=RIGHT('112'!$M$9,2),B3333&lt;'112'!$N$8,$M3333='112'!$I$6)),"x",""))</f>
        <v/>
      </c>
      <c r="U3333" s="52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>x</v>
      </c>
      <c r="AA3333" s="826"/>
    </row>
    <row r="3334" spans="1:27" ht="15.75" customHeight="1">
      <c r="A3334" s="827" t="str">
        <f>IF(B3334&lt;&gt;"",IF(AND(B3334&gt;=_TM1,B3334&lt;=_TM2,OR(TH!L3334="1111",TH!M3334="1111")),TH!D3334,""),"")</f>
        <v/>
      </c>
      <c r="B3334" s="36">
        <f t="shared" si="430"/>
        <v>8</v>
      </c>
      <c r="C3334" s="190">
        <f t="shared" si="428"/>
        <v>42612</v>
      </c>
      <c r="D3334" s="856" t="s">
        <v>1662</v>
      </c>
      <c r="E3334" s="906">
        <v>42612</v>
      </c>
      <c r="F3334" s="868" t="s">
        <v>1568</v>
      </c>
      <c r="G3334" s="831" t="s">
        <v>1537</v>
      </c>
      <c r="H3334" s="859" t="s">
        <v>1310</v>
      </c>
      <c r="I3334" s="251">
        <v>18</v>
      </c>
      <c r="J3334" s="251">
        <v>74200</v>
      </c>
      <c r="K3334" s="860">
        <f t="shared" si="429"/>
        <v>1335600</v>
      </c>
      <c r="L3334" s="861" t="s">
        <v>162</v>
      </c>
      <c r="M3334" s="861" t="s">
        <v>857</v>
      </c>
      <c r="N3334" s="52" t="str">
        <f>IF(AND('331-CT'!$E$7=TH!H3334,OR(L3334="331",M3334="331")),"331",IF(AND(OR(L3334="131",M3334="131"),H3334='131-CT'!$E$7),"131",""))</f>
        <v/>
      </c>
      <c r="O3334" s="52" t="str">
        <f>IF(AND($B3334&gt;='111'!$N$11,$B3334&lt;='111'!$O$11,OR($L3334=$O$7,$M3334=$O$7)),"x","")</f>
        <v/>
      </c>
      <c r="P3334" s="52" t="str">
        <f>IF(AND($L3334=$O$7,$B3334&lt;'111'!$N$11),"x","")</f>
        <v/>
      </c>
      <c r="Q3334" s="52" t="str">
        <f>IF(AND($M3334=$O$7,$B3334&lt;'111'!$N$11),"x","")</f>
        <v/>
      </c>
      <c r="R3334" s="52" t="str">
        <f>IF(ISERROR(FIND('112'!$M$9,G3334,1)),"",IF((AND(FIND('112'!$M$9,G3334,1)&gt;=1,$B3334&gt;='112'!$N$8,$B3334&lt;='112'!$O$8,OR($L3334='112'!$I$6,$M3334='112'!$I$6))),"x",""))</f>
        <v/>
      </c>
      <c r="S3334" s="52" t="str">
        <f>IF(ISERROR(FIND('112'!$M$9,G3334,1)),"",IF((AND(LEFT(G3334,2)=LEFT('112'!$M$9,2),B3334&lt;'112'!$N$8,$L3334='112'!$I$6)),"x",""))</f>
        <v/>
      </c>
      <c r="T3334" s="52" t="str">
        <f>IF(ISERROR(FIND('112'!$M$9,G3334,1)),"",IF((AND(RIGHT(G3334,2)=RIGHT('112'!$M$9,2),B3334&lt;'112'!$N$8,$M3334='112'!$I$6)),"x",""))</f>
        <v/>
      </c>
      <c r="U3334" s="52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>x</v>
      </c>
      <c r="AA3334" s="826"/>
    </row>
    <row r="3335" spans="1:27" ht="15.75" customHeight="1">
      <c r="A3335" s="827" t="str">
        <f>IF(B3335&lt;&gt;"",IF(AND(B3335&gt;=_TM1,B3335&lt;=_TM2,OR(TH!L3335="1111",TH!M3335="1111")),TH!D3335,""),"")</f>
        <v/>
      </c>
      <c r="B3335" s="36">
        <f t="shared" si="430"/>
        <v>8</v>
      </c>
      <c r="C3335" s="190">
        <f t="shared" si="428"/>
        <v>42612</v>
      </c>
      <c r="D3335" s="856" t="s">
        <v>1662</v>
      </c>
      <c r="E3335" s="906">
        <v>42612</v>
      </c>
      <c r="F3335" s="49" t="s">
        <v>1568</v>
      </c>
      <c r="G3335" s="831" t="s">
        <v>1537</v>
      </c>
      <c r="H3335" s="859" t="s">
        <v>1310</v>
      </c>
      <c r="I3335" s="251">
        <v>20</v>
      </c>
      <c r="J3335" s="251">
        <v>74200</v>
      </c>
      <c r="K3335" s="860">
        <f t="shared" si="429"/>
        <v>1484000</v>
      </c>
      <c r="L3335" s="861" t="s">
        <v>162</v>
      </c>
      <c r="M3335" s="861" t="s">
        <v>857</v>
      </c>
      <c r="N3335" s="52" t="str">
        <f>IF(AND('331-CT'!$E$7=TH!H3335,OR(L3335="331",M3335="331")),"331",IF(AND(OR(L3335="131",M3335="131"),H3335='131-CT'!$E$7),"131",""))</f>
        <v/>
      </c>
      <c r="O3335" s="52" t="str">
        <f>IF(AND($B3335&gt;='111'!$N$11,$B3335&lt;='111'!$O$11,OR($L3335=$O$7,$M3335=$O$7)),"x","")</f>
        <v/>
      </c>
      <c r="P3335" s="52" t="str">
        <f>IF(AND($L3335=$O$7,$B3335&lt;'111'!$N$11),"x","")</f>
        <v/>
      </c>
      <c r="Q3335" s="52" t="str">
        <f>IF(AND($M3335=$O$7,$B3335&lt;'111'!$N$11),"x","")</f>
        <v/>
      </c>
      <c r="R3335" s="52" t="str">
        <f>IF(ISERROR(FIND('112'!$M$9,G3335,1)),"",IF((AND(FIND('112'!$M$9,G3335,1)&gt;=1,$B3335&gt;='112'!$N$8,$B3335&lt;='112'!$O$8,OR($L3335='112'!$I$6,$M3335='112'!$I$6))),"x",""))</f>
        <v/>
      </c>
      <c r="S3335" s="52" t="str">
        <f>IF(ISERROR(FIND('112'!$M$9,G3335,1)),"",IF((AND(LEFT(G3335,2)=LEFT('112'!$M$9,2),B3335&lt;'112'!$N$8,$L3335='112'!$I$6)),"x",""))</f>
        <v/>
      </c>
      <c r="T3335" s="52" t="str">
        <f>IF(ISERROR(FIND('112'!$M$9,G3335,1)),"",IF((AND(RIGHT(G3335,2)=RIGHT('112'!$M$9,2),B3335&lt;'112'!$N$8,$M3335='112'!$I$6)),"x",""))</f>
        <v/>
      </c>
      <c r="U3335" s="52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>x</v>
      </c>
      <c r="AA3335" s="826"/>
    </row>
    <row r="3336" spans="1:27" ht="15.75" customHeight="1">
      <c r="A3336" s="827" t="str">
        <f>IF(B3336&lt;&gt;"",IF(AND(B3336&gt;=_TM1,B3336&lt;=_TM2,OR(TH!L3336="1111",TH!M3336="1111")),TH!D3336,""),"")</f>
        <v/>
      </c>
      <c r="B3336" s="36">
        <f t="shared" si="430"/>
        <v>8</v>
      </c>
      <c r="C3336" s="190">
        <f t="shared" si="428"/>
        <v>42612</v>
      </c>
      <c r="D3336" s="856" t="s">
        <v>1662</v>
      </c>
      <c r="E3336" s="906">
        <v>42612</v>
      </c>
      <c r="F3336" s="868" t="s">
        <v>1569</v>
      </c>
      <c r="G3336" s="831" t="s">
        <v>1537</v>
      </c>
      <c r="H3336" s="859" t="s">
        <v>1310</v>
      </c>
      <c r="I3336" s="251">
        <v>10</v>
      </c>
      <c r="J3336" s="251">
        <v>55800</v>
      </c>
      <c r="K3336" s="860">
        <f t="shared" si="429"/>
        <v>558000</v>
      </c>
      <c r="L3336" s="861" t="s">
        <v>162</v>
      </c>
      <c r="M3336" s="861" t="s">
        <v>857</v>
      </c>
      <c r="N3336" s="52" t="str">
        <f>IF(AND('331-CT'!$E$7=TH!H3336,OR(L3336="331",M3336="331")),"331",IF(AND(OR(L3336="131",M3336="131"),H3336='131-CT'!$E$7),"131",""))</f>
        <v/>
      </c>
      <c r="O3336" s="52" t="str">
        <f>IF(AND($B3336&gt;='111'!$N$11,$B3336&lt;='111'!$O$11,OR($L3336=$O$7,$M3336=$O$7)),"x","")</f>
        <v/>
      </c>
      <c r="P3336" s="52" t="str">
        <f>IF(AND($L3336=$O$7,$B3336&lt;'111'!$N$11),"x","")</f>
        <v/>
      </c>
      <c r="Q3336" s="52" t="str">
        <f>IF(AND($M3336=$O$7,$B3336&lt;'111'!$N$11),"x","")</f>
        <v/>
      </c>
      <c r="R3336" s="52" t="str">
        <f>IF(ISERROR(FIND('112'!$M$9,G3336,1)),"",IF((AND(FIND('112'!$M$9,G3336,1)&gt;=1,$B3336&gt;='112'!$N$8,$B3336&lt;='112'!$O$8,OR($L3336='112'!$I$6,$M3336='112'!$I$6))),"x",""))</f>
        <v/>
      </c>
      <c r="S3336" s="52" t="str">
        <f>IF(ISERROR(FIND('112'!$M$9,G3336,1)),"",IF((AND(LEFT(G3336,2)=LEFT('112'!$M$9,2),B3336&lt;'112'!$N$8,$L3336='112'!$I$6)),"x",""))</f>
        <v/>
      </c>
      <c r="T3336" s="52" t="str">
        <f>IF(ISERROR(FIND('112'!$M$9,G3336,1)),"",IF((AND(RIGHT(G3336,2)=RIGHT('112'!$M$9,2),B3336&lt;'112'!$N$8,$M3336='112'!$I$6)),"x",""))</f>
        <v/>
      </c>
      <c r="U3336" s="52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>x</v>
      </c>
      <c r="AA3336" s="826"/>
    </row>
    <row r="3337" spans="1:27" ht="15.75" customHeight="1">
      <c r="A3337" s="827" t="str">
        <f>IF(B3337&lt;&gt;"",IF(AND(B3337&gt;=_TM1,B3337&lt;=_TM2,OR(TH!L3337="1111",TH!M3337="1111")),TH!D3337,""),"")</f>
        <v/>
      </c>
      <c r="B3337" s="36">
        <f t="shared" si="430"/>
        <v>8</v>
      </c>
      <c r="C3337" s="190">
        <f t="shared" si="428"/>
        <v>42612</v>
      </c>
      <c r="D3337" s="856" t="s">
        <v>1662</v>
      </c>
      <c r="E3337" s="906">
        <v>42612</v>
      </c>
      <c r="F3337" s="49" t="s">
        <v>542</v>
      </c>
      <c r="G3337" s="831" t="s">
        <v>1537</v>
      </c>
      <c r="H3337" s="859" t="s">
        <v>1310</v>
      </c>
      <c r="I3337" s="251">
        <v>8</v>
      </c>
      <c r="J3337" s="251">
        <v>46000</v>
      </c>
      <c r="K3337" s="860">
        <f t="shared" si="429"/>
        <v>368000</v>
      </c>
      <c r="L3337" s="861" t="s">
        <v>162</v>
      </c>
      <c r="M3337" s="861" t="s">
        <v>857</v>
      </c>
      <c r="N3337" s="52" t="str">
        <f>IF(AND('331-CT'!$E$7=TH!H3337,OR(L3337="331",M3337="331")),"331",IF(AND(OR(L3337="131",M3337="131"),H3337='131-CT'!$E$7),"131",""))</f>
        <v/>
      </c>
      <c r="O3337" s="52" t="str">
        <f>IF(AND($B3337&gt;='111'!$N$11,$B3337&lt;='111'!$O$11,OR($L3337=$O$7,$M3337=$O$7)),"x","")</f>
        <v/>
      </c>
      <c r="P3337" s="52" t="str">
        <f>IF(AND($L3337=$O$7,$B3337&lt;'111'!$N$11),"x","")</f>
        <v/>
      </c>
      <c r="Q3337" s="52" t="str">
        <f>IF(AND($M3337=$O$7,$B3337&lt;'111'!$N$11),"x","")</f>
        <v/>
      </c>
      <c r="R3337" s="52" t="str">
        <f>IF(ISERROR(FIND('112'!$M$9,G3337,1)),"",IF((AND(FIND('112'!$M$9,G3337,1)&gt;=1,$B3337&gt;='112'!$N$8,$B3337&lt;='112'!$O$8,OR($L3337='112'!$I$6,$M3337='112'!$I$6))),"x",""))</f>
        <v/>
      </c>
      <c r="S3337" s="52" t="str">
        <f>IF(ISERROR(FIND('112'!$M$9,G3337,1)),"",IF((AND(LEFT(G3337,2)=LEFT('112'!$M$9,2),B3337&lt;'112'!$N$8,$L3337='112'!$I$6)),"x",""))</f>
        <v/>
      </c>
      <c r="T3337" s="52" t="str">
        <f>IF(ISERROR(FIND('112'!$M$9,G3337,1)),"",IF((AND(RIGHT(G3337,2)=RIGHT('112'!$M$9,2),B3337&lt;'112'!$N$8,$M3337='112'!$I$6)),"x",""))</f>
        <v/>
      </c>
      <c r="U3337" s="52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>x</v>
      </c>
      <c r="AA3337" s="826"/>
    </row>
    <row r="3338" spans="1:27" ht="15.75" customHeight="1">
      <c r="A3338" s="827" t="str">
        <f>IF(B3338&lt;&gt;"",IF(AND(B3338&gt;=_TM1,B3338&lt;=_TM2,OR(TH!L3338="1111",TH!M3338="1111")),TH!D3338,""),"")</f>
        <v/>
      </c>
      <c r="B3338" s="36">
        <f t="shared" si="430"/>
        <v>8</v>
      </c>
      <c r="C3338" s="190">
        <f t="shared" si="428"/>
        <v>42612</v>
      </c>
      <c r="D3338" s="856" t="s">
        <v>1662</v>
      </c>
      <c r="E3338" s="906">
        <v>42612</v>
      </c>
      <c r="F3338" s="49" t="s">
        <v>1570</v>
      </c>
      <c r="G3338" s="831" t="s">
        <v>1537</v>
      </c>
      <c r="H3338" s="859" t="s">
        <v>1310</v>
      </c>
      <c r="I3338" s="251">
        <v>8</v>
      </c>
      <c r="J3338" s="251">
        <v>43200</v>
      </c>
      <c r="K3338" s="860">
        <f t="shared" si="429"/>
        <v>345600</v>
      </c>
      <c r="L3338" s="861" t="s">
        <v>162</v>
      </c>
      <c r="M3338" s="861" t="s">
        <v>857</v>
      </c>
      <c r="N3338" s="52" t="str">
        <f>IF(AND('331-CT'!$E$7=TH!H3338,OR(L3338="331",M3338="331")),"331",IF(AND(OR(L3338="131",M3338="131"),H3338='131-CT'!$E$7),"131",""))</f>
        <v/>
      </c>
      <c r="O3338" s="52" t="str">
        <f>IF(AND($B3338&gt;='111'!$N$11,$B3338&lt;='111'!$O$11,OR($L3338=$O$7,$M3338=$O$7)),"x","")</f>
        <v/>
      </c>
      <c r="P3338" s="52" t="str">
        <f>IF(AND($L3338=$O$7,$B3338&lt;'111'!$N$11),"x","")</f>
        <v/>
      </c>
      <c r="Q3338" s="52" t="str">
        <f>IF(AND($M3338=$O$7,$B3338&lt;'111'!$N$11),"x","")</f>
        <v/>
      </c>
      <c r="R3338" s="52" t="str">
        <f>IF(ISERROR(FIND('112'!$M$9,G3338,1)),"",IF((AND(FIND('112'!$M$9,G3338,1)&gt;=1,$B3338&gt;='112'!$N$8,$B3338&lt;='112'!$O$8,OR($L3338='112'!$I$6,$M3338='112'!$I$6))),"x",""))</f>
        <v/>
      </c>
      <c r="S3338" s="52" t="str">
        <f>IF(ISERROR(FIND('112'!$M$9,G3338,1)),"",IF((AND(LEFT(G3338,2)=LEFT('112'!$M$9,2),B3338&lt;'112'!$N$8,$L3338='112'!$I$6)),"x",""))</f>
        <v/>
      </c>
      <c r="T3338" s="52" t="str">
        <f>IF(ISERROR(FIND('112'!$M$9,G3338,1)),"",IF((AND(RIGHT(G3338,2)=RIGHT('112'!$M$9,2),B3338&lt;'112'!$N$8,$M3338='112'!$I$6)),"x",""))</f>
        <v/>
      </c>
      <c r="U3338" s="52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>x</v>
      </c>
      <c r="AA3338" s="826"/>
    </row>
    <row r="3339" spans="1:27" ht="15.75" customHeight="1">
      <c r="A3339" s="827" t="str">
        <f>IF(B3339&lt;&gt;"",IF(AND(B3339&gt;=_TM1,B3339&lt;=_TM2,OR(TH!L3339="1111",TH!M3339="1111")),TH!D3339,""),"")</f>
        <v/>
      </c>
      <c r="B3339" s="36">
        <f t="shared" ref="B3339:B3360" si="437">IF(C3339&lt;&gt;"",MONTH(C3339),"")</f>
        <v>8</v>
      </c>
      <c r="C3339" s="190">
        <f t="shared" ref="C3339:C3360" si="438">E3339</f>
        <v>42612</v>
      </c>
      <c r="D3339" s="856" t="s">
        <v>1662</v>
      </c>
      <c r="E3339" s="906">
        <v>42612</v>
      </c>
      <c r="F3339" s="868" t="s">
        <v>1571</v>
      </c>
      <c r="G3339" s="831" t="s">
        <v>1537</v>
      </c>
      <c r="H3339" s="859" t="s">
        <v>1310</v>
      </c>
      <c r="I3339" s="251">
        <v>14</v>
      </c>
      <c r="J3339" s="251">
        <v>43000</v>
      </c>
      <c r="K3339" s="860">
        <f t="shared" ref="K3339:K3360" si="439">ROUND(I3339*J3339,0)</f>
        <v>602000</v>
      </c>
      <c r="L3339" s="861" t="s">
        <v>162</v>
      </c>
      <c r="M3339" s="861" t="s">
        <v>857</v>
      </c>
      <c r="N3339" s="52" t="str">
        <f>IF(AND('331-CT'!$E$7=TH!H3339,OR(L3339="331",M3339="331")),"331",IF(AND(OR(L3339="131",M3339="131"),H3339='131-CT'!$E$7),"131",""))</f>
        <v/>
      </c>
      <c r="O3339" s="52" t="str">
        <f>IF(AND($B3339&gt;='111'!$N$11,$B3339&lt;='111'!$O$11,OR($L3339=$O$7,$M3339=$O$7)),"x","")</f>
        <v/>
      </c>
      <c r="P3339" s="52" t="str">
        <f>IF(AND($L3339=$O$7,$B3339&lt;'111'!$N$11),"x","")</f>
        <v/>
      </c>
      <c r="Q3339" s="52" t="str">
        <f>IF(AND($M3339=$O$7,$B3339&lt;'111'!$N$11),"x","")</f>
        <v/>
      </c>
      <c r="R3339" s="52" t="str">
        <f>IF(ISERROR(FIND('112'!$M$9,G3339,1)),"",IF((AND(FIND('112'!$M$9,G3339,1)&gt;=1,$B3339&gt;='112'!$N$8,$B3339&lt;='112'!$O$8,OR($L3339='112'!$I$6,$M3339='112'!$I$6))),"x",""))</f>
        <v/>
      </c>
      <c r="S3339" s="52" t="str">
        <f>IF(ISERROR(FIND('112'!$M$9,G3339,1)),"",IF((AND(LEFT(G3339,2)=LEFT('112'!$M$9,2),B3339&lt;'112'!$N$8,$L3339='112'!$I$6)),"x",""))</f>
        <v/>
      </c>
      <c r="T3339" s="52" t="str">
        <f>IF(ISERROR(FIND('112'!$M$9,G3339,1)),"",IF((AND(RIGHT(G3339,2)=RIGHT('112'!$M$9,2),B3339&lt;'112'!$N$8,$M3339='112'!$I$6)),"x",""))</f>
        <v/>
      </c>
      <c r="U3339" s="52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>x</v>
      </c>
      <c r="AA3339" s="826"/>
    </row>
    <row r="3340" spans="1:27" ht="15.75" customHeight="1">
      <c r="A3340" s="827" t="str">
        <f>IF(B3340&lt;&gt;"",IF(AND(B3340&gt;=_TM1,B3340&lt;=_TM2,OR(TH!L3340="1111",TH!M3340="1111")),TH!D3340,""),"")</f>
        <v/>
      </c>
      <c r="B3340" s="36">
        <f t="shared" si="437"/>
        <v>8</v>
      </c>
      <c r="C3340" s="190">
        <f t="shared" si="438"/>
        <v>42612</v>
      </c>
      <c r="D3340" s="856" t="s">
        <v>1662</v>
      </c>
      <c r="E3340" s="906">
        <v>42612</v>
      </c>
      <c r="F3340" s="49" t="s">
        <v>1571</v>
      </c>
      <c r="G3340" s="831" t="s">
        <v>1537</v>
      </c>
      <c r="H3340" s="859" t="s">
        <v>1310</v>
      </c>
      <c r="I3340" s="251">
        <v>40</v>
      </c>
      <c r="J3340" s="251">
        <v>43000</v>
      </c>
      <c r="K3340" s="860">
        <f t="shared" si="439"/>
        <v>1720000</v>
      </c>
      <c r="L3340" s="861" t="s">
        <v>162</v>
      </c>
      <c r="M3340" s="861" t="s">
        <v>857</v>
      </c>
      <c r="N3340" s="52" t="str">
        <f>IF(AND('331-CT'!$E$7=TH!H3340,OR(L3340="331",M3340="331")),"331",IF(AND(OR(L3340="131",M3340="131"),H3340='131-CT'!$E$7),"131",""))</f>
        <v/>
      </c>
      <c r="O3340" s="52" t="str">
        <f>IF(AND($B3340&gt;='111'!$N$11,$B3340&lt;='111'!$O$11,OR($L3340=$O$7,$M3340=$O$7)),"x","")</f>
        <v/>
      </c>
      <c r="P3340" s="52" t="str">
        <f>IF(AND($L3340=$O$7,$B3340&lt;'111'!$N$11),"x","")</f>
        <v/>
      </c>
      <c r="Q3340" s="52" t="str">
        <f>IF(AND($M3340=$O$7,$B3340&lt;'111'!$N$11),"x","")</f>
        <v/>
      </c>
      <c r="R3340" s="52" t="str">
        <f>IF(ISERROR(FIND('112'!$M$9,G3340,1)),"",IF((AND(FIND('112'!$M$9,G3340,1)&gt;=1,$B3340&gt;='112'!$N$8,$B3340&lt;='112'!$O$8,OR($L3340='112'!$I$6,$M3340='112'!$I$6))),"x",""))</f>
        <v/>
      </c>
      <c r="S3340" s="52" t="str">
        <f>IF(ISERROR(FIND('112'!$M$9,G3340,1)),"",IF((AND(LEFT(G3340,2)=LEFT('112'!$M$9,2),B3340&lt;'112'!$N$8,$L3340='112'!$I$6)),"x",""))</f>
        <v/>
      </c>
      <c r="T3340" s="52" t="str">
        <f>IF(ISERROR(FIND('112'!$M$9,G3340,1)),"",IF((AND(RIGHT(G3340,2)=RIGHT('112'!$M$9,2),B3340&lt;'112'!$N$8,$M3340='112'!$I$6)),"x",""))</f>
        <v/>
      </c>
      <c r="U3340" s="52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/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>x</v>
      </c>
      <c r="AA3340" s="826"/>
    </row>
    <row r="3341" spans="1:27" ht="15.75" customHeight="1">
      <c r="A3341" s="827" t="str">
        <f>IF(B3341&lt;&gt;"",IF(AND(B3341&gt;=_TM1,B3341&lt;=_TM2,OR(TH!L3341="1111",TH!M3341="1111")),TH!D3341,""),"")</f>
        <v/>
      </c>
      <c r="B3341" s="36">
        <f t="shared" si="437"/>
        <v>8</v>
      </c>
      <c r="C3341" s="190">
        <f t="shared" si="438"/>
        <v>42612</v>
      </c>
      <c r="D3341" s="856" t="s">
        <v>1662</v>
      </c>
      <c r="E3341" s="906">
        <v>42612</v>
      </c>
      <c r="F3341" s="49" t="s">
        <v>1572</v>
      </c>
      <c r="G3341" s="831" t="s">
        <v>1537</v>
      </c>
      <c r="H3341" s="859" t="s">
        <v>1310</v>
      </c>
      <c r="I3341" s="251">
        <v>4</v>
      </c>
      <c r="J3341" s="251">
        <v>71500</v>
      </c>
      <c r="K3341" s="860">
        <f t="shared" si="439"/>
        <v>286000</v>
      </c>
      <c r="L3341" s="861" t="s">
        <v>162</v>
      </c>
      <c r="M3341" s="861" t="s">
        <v>857</v>
      </c>
      <c r="N3341" s="52" t="str">
        <f>IF(AND('331-CT'!$E$7=TH!H3341,OR(L3341="331",M3341="331")),"331",IF(AND(OR(L3341="131",M3341="131"),H3341='131-CT'!$E$7),"131",""))</f>
        <v/>
      </c>
      <c r="O3341" s="52" t="str">
        <f>IF(AND($B3341&gt;='111'!$N$11,$B3341&lt;='111'!$O$11,OR($L3341=$O$7,$M3341=$O$7)),"x","")</f>
        <v/>
      </c>
      <c r="P3341" s="52" t="str">
        <f>IF(AND($L3341=$O$7,$B3341&lt;'111'!$N$11),"x","")</f>
        <v/>
      </c>
      <c r="Q3341" s="52" t="str">
        <f>IF(AND($M3341=$O$7,$B3341&lt;'111'!$N$11),"x","")</f>
        <v/>
      </c>
      <c r="R3341" s="52" t="str">
        <f>IF(ISERROR(FIND('112'!$M$9,G3341,1)),"",IF((AND(FIND('112'!$M$9,G3341,1)&gt;=1,$B3341&gt;='112'!$N$8,$B3341&lt;='112'!$O$8,OR($L3341='112'!$I$6,$M3341='112'!$I$6))),"x",""))</f>
        <v/>
      </c>
      <c r="S3341" s="52" t="str">
        <f>IF(ISERROR(FIND('112'!$M$9,G3341,1)),"",IF((AND(LEFT(G3341,2)=LEFT('112'!$M$9,2),B3341&lt;'112'!$N$8,$L3341='112'!$I$6)),"x",""))</f>
        <v/>
      </c>
      <c r="T3341" s="52" t="str">
        <f>IF(ISERROR(FIND('112'!$M$9,G3341,1)),"",IF((AND(RIGHT(G3341,2)=RIGHT('112'!$M$9,2),B3341&lt;'112'!$N$8,$M3341='112'!$I$6)),"x",""))</f>
        <v/>
      </c>
      <c r="U3341" s="52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>x</v>
      </c>
      <c r="AA3341" s="826"/>
    </row>
    <row r="3342" spans="1:27" ht="15.75" customHeight="1">
      <c r="A3342" s="827" t="str">
        <f>IF(B3342&lt;&gt;"",IF(AND(B3342&gt;=_TM1,B3342&lt;=_TM2,OR(TH!L3342="1111",TH!M3342="1111")),TH!D3342,""),"")</f>
        <v/>
      </c>
      <c r="B3342" s="36">
        <f t="shared" si="437"/>
        <v>8</v>
      </c>
      <c r="C3342" s="190">
        <f t="shared" si="438"/>
        <v>42612</v>
      </c>
      <c r="D3342" s="856" t="s">
        <v>1662</v>
      </c>
      <c r="E3342" s="906">
        <v>42612</v>
      </c>
      <c r="F3342" s="49" t="s">
        <v>1573</v>
      </c>
      <c r="G3342" s="831" t="s">
        <v>1537</v>
      </c>
      <c r="H3342" s="859" t="s">
        <v>1310</v>
      </c>
      <c r="I3342" s="251">
        <v>6</v>
      </c>
      <c r="J3342" s="251">
        <v>94300</v>
      </c>
      <c r="K3342" s="860">
        <f t="shared" si="439"/>
        <v>565800</v>
      </c>
      <c r="L3342" s="861" t="s">
        <v>162</v>
      </c>
      <c r="M3342" s="861" t="s">
        <v>857</v>
      </c>
      <c r="N3342" s="52" t="str">
        <f>IF(AND('331-CT'!$E$7=TH!H3342,OR(L3342="331",M3342="331")),"331",IF(AND(OR(L3342="131",M3342="131"),H3342='131-CT'!$E$7),"131",""))</f>
        <v/>
      </c>
      <c r="O3342" s="52" t="str">
        <f>IF(AND($B3342&gt;='111'!$N$11,$B3342&lt;='111'!$O$11,OR($L3342=$O$7,$M3342=$O$7)),"x","")</f>
        <v/>
      </c>
      <c r="P3342" s="52" t="str">
        <f>IF(AND($L3342=$O$7,$B3342&lt;'111'!$N$11),"x","")</f>
        <v/>
      </c>
      <c r="Q3342" s="52" t="str">
        <f>IF(AND($M3342=$O$7,$B3342&lt;'111'!$N$11),"x","")</f>
        <v/>
      </c>
      <c r="R3342" s="52" t="str">
        <f>IF(ISERROR(FIND('112'!$M$9,G3342,1)),"",IF((AND(FIND('112'!$M$9,G3342,1)&gt;=1,$B3342&gt;='112'!$N$8,$B3342&lt;='112'!$O$8,OR($L3342='112'!$I$6,$M3342='112'!$I$6))),"x",""))</f>
        <v/>
      </c>
      <c r="S3342" s="52" t="str">
        <f>IF(ISERROR(FIND('112'!$M$9,G3342,1)),"",IF((AND(LEFT(G3342,2)=LEFT('112'!$M$9,2),B3342&lt;'112'!$N$8,$L3342='112'!$I$6)),"x",""))</f>
        <v/>
      </c>
      <c r="T3342" s="52" t="str">
        <f>IF(ISERROR(FIND('112'!$M$9,G3342,1)),"",IF((AND(RIGHT(G3342,2)=RIGHT('112'!$M$9,2),B3342&lt;'112'!$N$8,$M3342='112'!$I$6)),"x",""))</f>
        <v/>
      </c>
      <c r="U3342" s="52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>x</v>
      </c>
      <c r="AA3342" s="826"/>
    </row>
    <row r="3343" spans="1:27" ht="15.75" customHeight="1">
      <c r="A3343" s="827" t="str">
        <f>IF(B3343&lt;&gt;"",IF(AND(B3343&gt;=_TM1,B3343&lt;=_TM2,OR(TH!L3343="1111",TH!M3343="1111")),TH!D3343,""),"")</f>
        <v/>
      </c>
      <c r="B3343" s="36">
        <f t="shared" si="437"/>
        <v>8</v>
      </c>
      <c r="C3343" s="190">
        <f t="shared" si="438"/>
        <v>42612</v>
      </c>
      <c r="D3343" s="856" t="s">
        <v>1662</v>
      </c>
      <c r="E3343" s="906">
        <v>42612</v>
      </c>
      <c r="F3343" s="868" t="s">
        <v>1574</v>
      </c>
      <c r="G3343" s="831" t="s">
        <v>1537</v>
      </c>
      <c r="H3343" s="859" t="s">
        <v>1310</v>
      </c>
      <c r="I3343" s="251">
        <v>8</v>
      </c>
      <c r="J3343" s="251">
        <v>24700</v>
      </c>
      <c r="K3343" s="860">
        <f t="shared" si="439"/>
        <v>197600</v>
      </c>
      <c r="L3343" s="861" t="s">
        <v>162</v>
      </c>
      <c r="M3343" s="861" t="s">
        <v>857</v>
      </c>
      <c r="N3343" s="52" t="str">
        <f>IF(AND('331-CT'!$E$7=TH!H3343,OR(L3343="331",M3343="331")),"331",IF(AND(OR(L3343="131",M3343="131"),H3343='131-CT'!$E$7),"131",""))</f>
        <v/>
      </c>
      <c r="O3343" s="52" t="str">
        <f>IF(AND($B3343&gt;='111'!$N$11,$B3343&lt;='111'!$O$11,OR($L3343=$O$7,$M3343=$O$7)),"x","")</f>
        <v/>
      </c>
      <c r="P3343" s="52" t="str">
        <f>IF(AND($L3343=$O$7,$B3343&lt;'111'!$N$11),"x","")</f>
        <v/>
      </c>
      <c r="Q3343" s="52" t="str">
        <f>IF(AND($M3343=$O$7,$B3343&lt;'111'!$N$11),"x","")</f>
        <v/>
      </c>
      <c r="R3343" s="52" t="str">
        <f>IF(ISERROR(FIND('112'!$M$9,G3343,1)),"",IF((AND(FIND('112'!$M$9,G3343,1)&gt;=1,$B3343&gt;='112'!$N$8,$B3343&lt;='112'!$O$8,OR($L3343='112'!$I$6,$M3343='112'!$I$6))),"x",""))</f>
        <v/>
      </c>
      <c r="S3343" s="52" t="str">
        <f>IF(ISERROR(FIND('112'!$M$9,G3343,1)),"",IF((AND(LEFT(G3343,2)=LEFT('112'!$M$9,2),B3343&lt;'112'!$N$8,$L3343='112'!$I$6)),"x",""))</f>
        <v/>
      </c>
      <c r="T3343" s="52" t="str">
        <f>IF(ISERROR(FIND('112'!$M$9,G3343,1)),"",IF((AND(RIGHT(G3343,2)=RIGHT('112'!$M$9,2),B3343&lt;'112'!$N$8,$M3343='112'!$I$6)),"x",""))</f>
        <v/>
      </c>
      <c r="U3343" s="52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>x</v>
      </c>
      <c r="AA3343" s="826"/>
    </row>
    <row r="3344" spans="1:27" ht="15.75" customHeight="1">
      <c r="A3344" s="827" t="str">
        <f>IF(B3344&lt;&gt;"",IF(AND(B3344&gt;=_TM1,B3344&lt;=_TM2,OR(TH!L3344="1111",TH!M3344="1111")),TH!D3344,""),"")</f>
        <v/>
      </c>
      <c r="B3344" s="36">
        <f t="shared" si="437"/>
        <v>8</v>
      </c>
      <c r="C3344" s="190">
        <f t="shared" si="438"/>
        <v>42612</v>
      </c>
      <c r="D3344" s="856" t="s">
        <v>1662</v>
      </c>
      <c r="E3344" s="906">
        <v>42612</v>
      </c>
      <c r="F3344" s="49" t="s">
        <v>725</v>
      </c>
      <c r="G3344" s="831" t="s">
        <v>1537</v>
      </c>
      <c r="H3344" s="859" t="s">
        <v>1310</v>
      </c>
      <c r="I3344" s="251">
        <v>16</v>
      </c>
      <c r="J3344" s="251">
        <v>21200</v>
      </c>
      <c r="K3344" s="860">
        <f t="shared" si="439"/>
        <v>339200</v>
      </c>
      <c r="L3344" s="861" t="s">
        <v>162</v>
      </c>
      <c r="M3344" s="861" t="s">
        <v>857</v>
      </c>
      <c r="N3344" s="52" t="str">
        <f>IF(AND('331-CT'!$E$7=TH!H3344,OR(L3344="331",M3344="331")),"331",IF(AND(OR(L3344="131",M3344="131"),H3344='131-CT'!$E$7),"131",""))</f>
        <v/>
      </c>
      <c r="O3344" s="52" t="str">
        <f>IF(AND($B3344&gt;='111'!$N$11,$B3344&lt;='111'!$O$11,OR($L3344=$O$7,$M3344=$O$7)),"x","")</f>
        <v/>
      </c>
      <c r="P3344" s="52" t="str">
        <f>IF(AND($L3344=$O$7,$B3344&lt;'111'!$N$11),"x","")</f>
        <v/>
      </c>
      <c r="Q3344" s="52" t="str">
        <f>IF(AND($M3344=$O$7,$B3344&lt;'111'!$N$11),"x","")</f>
        <v/>
      </c>
      <c r="R3344" s="52" t="str">
        <f>IF(ISERROR(FIND('112'!$M$9,G3344,1)),"",IF((AND(FIND('112'!$M$9,G3344,1)&gt;=1,$B3344&gt;='112'!$N$8,$B3344&lt;='112'!$O$8,OR($L3344='112'!$I$6,$M3344='112'!$I$6))),"x",""))</f>
        <v/>
      </c>
      <c r="S3344" s="52" t="str">
        <f>IF(ISERROR(FIND('112'!$M$9,G3344,1)),"",IF((AND(LEFT(G3344,2)=LEFT('112'!$M$9,2),B3344&lt;'112'!$N$8,$L3344='112'!$I$6)),"x",""))</f>
        <v/>
      </c>
      <c r="T3344" s="52" t="str">
        <f>IF(ISERROR(FIND('112'!$M$9,G3344,1)),"",IF((AND(RIGHT(G3344,2)=RIGHT('112'!$M$9,2),B3344&lt;'112'!$N$8,$M3344='112'!$I$6)),"x",""))</f>
        <v/>
      </c>
      <c r="U3344" s="52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>x</v>
      </c>
      <c r="AA3344" s="826"/>
    </row>
    <row r="3345" spans="1:27" ht="15.75" customHeight="1">
      <c r="A3345" s="827" t="str">
        <f>IF(B3345&lt;&gt;"",IF(AND(B3345&gt;=_TM1,B3345&lt;=_TM2,OR(TH!L3345="1111",TH!M3345="1111")),TH!D3345,""),"")</f>
        <v/>
      </c>
      <c r="B3345" s="36">
        <f t="shared" si="437"/>
        <v>8</v>
      </c>
      <c r="C3345" s="190">
        <f t="shared" si="438"/>
        <v>42612</v>
      </c>
      <c r="D3345" s="856" t="s">
        <v>1662</v>
      </c>
      <c r="E3345" s="906">
        <v>42612</v>
      </c>
      <c r="F3345" s="49" t="s">
        <v>476</v>
      </c>
      <c r="G3345" s="831" t="s">
        <v>1537</v>
      </c>
      <c r="H3345" s="859" t="s">
        <v>1310</v>
      </c>
      <c r="I3345" s="251">
        <v>13</v>
      </c>
      <c r="J3345" s="251">
        <v>40000</v>
      </c>
      <c r="K3345" s="860">
        <f t="shared" si="439"/>
        <v>520000</v>
      </c>
      <c r="L3345" s="861" t="s">
        <v>162</v>
      </c>
      <c r="M3345" s="861" t="s">
        <v>857</v>
      </c>
      <c r="N3345" s="52" t="str">
        <f>IF(AND('331-CT'!$E$7=TH!H3345,OR(L3345="331",M3345="331")),"331",IF(AND(OR(L3345="131",M3345="131"),H3345='131-CT'!$E$7),"131",""))</f>
        <v/>
      </c>
      <c r="O3345" s="52" t="str">
        <f>IF(AND($B3345&gt;='111'!$N$11,$B3345&lt;='111'!$O$11,OR($L3345=$O$7,$M3345=$O$7)),"x","")</f>
        <v/>
      </c>
      <c r="P3345" s="52" t="str">
        <f>IF(AND($L3345=$O$7,$B3345&lt;'111'!$N$11),"x","")</f>
        <v/>
      </c>
      <c r="Q3345" s="52" t="str">
        <f>IF(AND($M3345=$O$7,$B3345&lt;'111'!$N$11),"x","")</f>
        <v/>
      </c>
      <c r="R3345" s="52" t="str">
        <f>IF(ISERROR(FIND('112'!$M$9,G3345,1)),"",IF((AND(FIND('112'!$M$9,G3345,1)&gt;=1,$B3345&gt;='112'!$N$8,$B3345&lt;='112'!$O$8,OR($L3345='112'!$I$6,$M3345='112'!$I$6))),"x",""))</f>
        <v/>
      </c>
      <c r="S3345" s="52" t="str">
        <f>IF(ISERROR(FIND('112'!$M$9,G3345,1)),"",IF((AND(LEFT(G3345,2)=LEFT('112'!$M$9,2),B3345&lt;'112'!$N$8,$L3345='112'!$I$6)),"x",""))</f>
        <v/>
      </c>
      <c r="T3345" s="52" t="str">
        <f>IF(ISERROR(FIND('112'!$M$9,G3345,1)),"",IF((AND(RIGHT(G3345,2)=RIGHT('112'!$M$9,2),B3345&lt;'112'!$N$8,$M3345='112'!$I$6)),"x",""))</f>
        <v/>
      </c>
      <c r="U3345" s="52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>x</v>
      </c>
      <c r="AA3345" s="826"/>
    </row>
    <row r="3346" spans="1:27" ht="15.75" customHeight="1">
      <c r="A3346" s="827" t="str">
        <f>IF(B3346&lt;&gt;"",IF(AND(B3346&gt;=_TM1,B3346&lt;=_TM2,OR(TH!L3346="1111",TH!M3346="1111")),TH!D3346,""),"")</f>
        <v/>
      </c>
      <c r="B3346" s="36">
        <f t="shared" si="437"/>
        <v>8</v>
      </c>
      <c r="C3346" s="190">
        <f t="shared" si="438"/>
        <v>42612</v>
      </c>
      <c r="D3346" s="856" t="s">
        <v>1662</v>
      </c>
      <c r="E3346" s="906">
        <v>42612</v>
      </c>
      <c r="F3346" s="908" t="s">
        <v>464</v>
      </c>
      <c r="G3346" s="831" t="s">
        <v>1537</v>
      </c>
      <c r="H3346" s="859" t="s">
        <v>1310</v>
      </c>
      <c r="I3346" s="251">
        <v>10</v>
      </c>
      <c r="J3346" s="251">
        <v>137835</v>
      </c>
      <c r="K3346" s="860">
        <f t="shared" si="439"/>
        <v>1378350</v>
      </c>
      <c r="L3346" s="861" t="s">
        <v>162</v>
      </c>
      <c r="M3346" s="861" t="s">
        <v>857</v>
      </c>
      <c r="N3346" s="52" t="str">
        <f>IF(AND('331-CT'!$E$7=TH!H3346,OR(L3346="331",M3346="331")),"331",IF(AND(OR(L3346="131",M3346="131"),H3346='131-CT'!$E$7),"131",""))</f>
        <v/>
      </c>
      <c r="O3346" s="52" t="str">
        <f>IF(AND($B3346&gt;='111'!$N$11,$B3346&lt;='111'!$O$11,OR($L3346=$O$7,$M3346=$O$7)),"x","")</f>
        <v/>
      </c>
      <c r="P3346" s="52" t="str">
        <f>IF(AND($L3346=$O$7,$B3346&lt;'111'!$N$11),"x","")</f>
        <v/>
      </c>
      <c r="Q3346" s="52" t="str">
        <f>IF(AND($M3346=$O$7,$B3346&lt;'111'!$N$11),"x","")</f>
        <v/>
      </c>
      <c r="R3346" s="52" t="str">
        <f>IF(ISERROR(FIND('112'!$M$9,G3346,1)),"",IF((AND(FIND('112'!$M$9,G3346,1)&gt;=1,$B3346&gt;='112'!$N$8,$B3346&lt;='112'!$O$8,OR($L3346='112'!$I$6,$M3346='112'!$I$6))),"x",""))</f>
        <v/>
      </c>
      <c r="S3346" s="52" t="str">
        <f>IF(ISERROR(FIND('112'!$M$9,G3346,1)),"",IF((AND(LEFT(G3346,2)=LEFT('112'!$M$9,2),B3346&lt;'112'!$N$8,$L3346='112'!$I$6)),"x",""))</f>
        <v/>
      </c>
      <c r="T3346" s="52" t="str">
        <f>IF(ISERROR(FIND('112'!$M$9,G3346,1)),"",IF((AND(RIGHT(G3346,2)=RIGHT('112'!$M$9,2),B3346&lt;'112'!$N$8,$M3346='112'!$I$6)),"x",""))</f>
        <v/>
      </c>
      <c r="U3346" s="52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>x</v>
      </c>
      <c r="AA3346" s="826"/>
    </row>
    <row r="3347" spans="1:27" ht="15.75" customHeight="1">
      <c r="A3347" s="827" t="str">
        <f>IF(B3347&lt;&gt;"",IF(AND(B3347&gt;=_TM1,B3347&lt;=_TM2,OR(TH!L3347="1111",TH!M3347="1111")),TH!D3347,""),"")</f>
        <v/>
      </c>
      <c r="B3347" s="36">
        <f t="shared" si="437"/>
        <v>8</v>
      </c>
      <c r="C3347" s="190">
        <f t="shared" si="438"/>
        <v>42612</v>
      </c>
      <c r="D3347" s="856" t="s">
        <v>1662</v>
      </c>
      <c r="E3347" s="906">
        <v>42612</v>
      </c>
      <c r="F3347" s="868" t="s">
        <v>485</v>
      </c>
      <c r="G3347" s="831" t="s">
        <v>1537</v>
      </c>
      <c r="H3347" s="859" t="s">
        <v>1310</v>
      </c>
      <c r="I3347" s="251">
        <v>10</v>
      </c>
      <c r="J3347" s="251">
        <v>51500</v>
      </c>
      <c r="K3347" s="860">
        <f t="shared" si="439"/>
        <v>515000</v>
      </c>
      <c r="L3347" s="861" t="s">
        <v>162</v>
      </c>
      <c r="M3347" s="861" t="s">
        <v>857</v>
      </c>
      <c r="N3347" s="52" t="str">
        <f>IF(AND('331-CT'!$E$7=TH!H3347,OR(L3347="331",M3347="331")),"331",IF(AND(OR(L3347="131",M3347="131"),H3347='131-CT'!$E$7),"131",""))</f>
        <v/>
      </c>
      <c r="O3347" s="52" t="str">
        <f>IF(AND($B3347&gt;='111'!$N$11,$B3347&lt;='111'!$O$11,OR($L3347=$O$7,$M3347=$O$7)),"x","")</f>
        <v/>
      </c>
      <c r="P3347" s="52" t="str">
        <f>IF(AND($L3347=$O$7,$B3347&lt;'111'!$N$11),"x","")</f>
        <v/>
      </c>
      <c r="Q3347" s="52" t="str">
        <f>IF(AND($M3347=$O$7,$B3347&lt;'111'!$N$11),"x","")</f>
        <v/>
      </c>
      <c r="R3347" s="52" t="str">
        <f>IF(ISERROR(FIND('112'!$M$9,G3347,1)),"",IF((AND(FIND('112'!$M$9,G3347,1)&gt;=1,$B3347&gt;='112'!$N$8,$B3347&lt;='112'!$O$8,OR($L3347='112'!$I$6,$M3347='112'!$I$6))),"x",""))</f>
        <v/>
      </c>
      <c r="S3347" s="52" t="str">
        <f>IF(ISERROR(FIND('112'!$M$9,G3347,1)),"",IF((AND(LEFT(G3347,2)=LEFT('112'!$M$9,2),B3347&lt;'112'!$N$8,$L3347='112'!$I$6)),"x",""))</f>
        <v/>
      </c>
      <c r="T3347" s="52" t="str">
        <f>IF(ISERROR(FIND('112'!$M$9,G3347,1)),"",IF((AND(RIGHT(G3347,2)=RIGHT('112'!$M$9,2),B3347&lt;'112'!$N$8,$M3347='112'!$I$6)),"x",""))</f>
        <v/>
      </c>
      <c r="U3347" s="52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/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>x</v>
      </c>
      <c r="AA3347" s="826"/>
    </row>
    <row r="3348" spans="1:27" ht="15.75" customHeight="1">
      <c r="A3348" s="827" t="str">
        <f>IF(B3348&lt;&gt;"",IF(AND(B3348&gt;=_TM1,B3348&lt;=_TM2,OR(TH!L3348="1111",TH!M3348="1111")),TH!D3348,""),"")</f>
        <v/>
      </c>
      <c r="B3348" s="36">
        <f t="shared" si="437"/>
        <v>8</v>
      </c>
      <c r="C3348" s="190">
        <f t="shared" si="438"/>
        <v>42612</v>
      </c>
      <c r="D3348" s="856" t="s">
        <v>1662</v>
      </c>
      <c r="E3348" s="906">
        <v>42612</v>
      </c>
      <c r="F3348" s="49" t="s">
        <v>720</v>
      </c>
      <c r="G3348" s="831" t="s">
        <v>1537</v>
      </c>
      <c r="H3348" s="859" t="s">
        <v>1310</v>
      </c>
      <c r="I3348" s="251">
        <v>16</v>
      </c>
      <c r="J3348" s="251">
        <v>87000</v>
      </c>
      <c r="K3348" s="860">
        <f t="shared" si="439"/>
        <v>1392000</v>
      </c>
      <c r="L3348" s="861" t="s">
        <v>162</v>
      </c>
      <c r="M3348" s="861" t="s">
        <v>857</v>
      </c>
      <c r="N3348" s="52" t="str">
        <f>IF(AND('331-CT'!$E$7=TH!H3348,OR(L3348="331",M3348="331")),"331",IF(AND(OR(L3348="131",M3348="131"),H3348='131-CT'!$E$7),"131",""))</f>
        <v/>
      </c>
      <c r="O3348" s="52" t="str">
        <f>IF(AND($B3348&gt;='111'!$N$11,$B3348&lt;='111'!$O$11,OR($L3348=$O$7,$M3348=$O$7)),"x","")</f>
        <v/>
      </c>
      <c r="P3348" s="52" t="str">
        <f>IF(AND($L3348=$O$7,$B3348&lt;'111'!$N$11),"x","")</f>
        <v/>
      </c>
      <c r="Q3348" s="52" t="str">
        <f>IF(AND($M3348=$O$7,$B3348&lt;'111'!$N$11),"x","")</f>
        <v/>
      </c>
      <c r="R3348" s="52" t="str">
        <f>IF(ISERROR(FIND('112'!$M$9,G3348,1)),"",IF((AND(FIND('112'!$M$9,G3348,1)&gt;=1,$B3348&gt;='112'!$N$8,$B3348&lt;='112'!$O$8,OR($L3348='112'!$I$6,$M3348='112'!$I$6))),"x",""))</f>
        <v/>
      </c>
      <c r="S3348" s="52" t="str">
        <f>IF(ISERROR(FIND('112'!$M$9,G3348,1)),"",IF((AND(LEFT(G3348,2)=LEFT('112'!$M$9,2),B3348&lt;'112'!$N$8,$L3348='112'!$I$6)),"x",""))</f>
        <v/>
      </c>
      <c r="T3348" s="52" t="str">
        <f>IF(ISERROR(FIND('112'!$M$9,G3348,1)),"",IF((AND(RIGHT(G3348,2)=RIGHT('112'!$M$9,2),B3348&lt;'112'!$N$8,$M3348='112'!$I$6)),"x",""))</f>
        <v/>
      </c>
      <c r="U3348" s="52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>x</v>
      </c>
      <c r="AA3348" s="826"/>
    </row>
    <row r="3349" spans="1:27" ht="15.75" customHeight="1">
      <c r="A3349" s="827" t="str">
        <f>IF(B3349&lt;&gt;"",IF(AND(B3349&gt;=_TM1,B3349&lt;=_TM2,OR(TH!L3349="1111",TH!M3349="1111")),TH!D3349,""),"")</f>
        <v/>
      </c>
      <c r="B3349" s="36">
        <f t="shared" si="437"/>
        <v>8</v>
      </c>
      <c r="C3349" s="190">
        <f t="shared" si="438"/>
        <v>42612</v>
      </c>
      <c r="D3349" s="856" t="s">
        <v>1662</v>
      </c>
      <c r="E3349" s="906">
        <v>42612</v>
      </c>
      <c r="F3349" s="868" t="s">
        <v>511</v>
      </c>
      <c r="G3349" s="831" t="s">
        <v>1537</v>
      </c>
      <c r="H3349" s="859" t="s">
        <v>1310</v>
      </c>
      <c r="I3349" s="251">
        <v>60</v>
      </c>
      <c r="J3349" s="251">
        <v>25000</v>
      </c>
      <c r="K3349" s="860">
        <f t="shared" si="439"/>
        <v>1500000</v>
      </c>
      <c r="L3349" s="861" t="s">
        <v>162</v>
      </c>
      <c r="M3349" s="861" t="s">
        <v>857</v>
      </c>
      <c r="N3349" s="52" t="str">
        <f>IF(AND('331-CT'!$E$7=TH!H3349,OR(L3349="331",M3349="331")),"331",IF(AND(OR(L3349="131",M3349="131"),H3349='131-CT'!$E$7),"131",""))</f>
        <v/>
      </c>
      <c r="O3349" s="52" t="str">
        <f>IF(AND($B3349&gt;='111'!$N$11,$B3349&lt;='111'!$O$11,OR($L3349=$O$7,$M3349=$O$7)),"x","")</f>
        <v/>
      </c>
      <c r="P3349" s="52" t="str">
        <f>IF(AND($L3349=$O$7,$B3349&lt;'111'!$N$11),"x","")</f>
        <v/>
      </c>
      <c r="Q3349" s="52" t="str">
        <f>IF(AND($M3349=$O$7,$B3349&lt;'111'!$N$11),"x","")</f>
        <v/>
      </c>
      <c r="R3349" s="52" t="str">
        <f>IF(ISERROR(FIND('112'!$M$9,G3349,1)),"",IF((AND(FIND('112'!$M$9,G3349,1)&gt;=1,$B3349&gt;='112'!$N$8,$B3349&lt;='112'!$O$8,OR($L3349='112'!$I$6,$M3349='112'!$I$6))),"x",""))</f>
        <v/>
      </c>
      <c r="S3349" s="52" t="str">
        <f>IF(ISERROR(FIND('112'!$M$9,G3349,1)),"",IF((AND(LEFT(G3349,2)=LEFT('112'!$M$9,2),B3349&lt;'112'!$N$8,$L3349='112'!$I$6)),"x",""))</f>
        <v/>
      </c>
      <c r="T3349" s="52" t="str">
        <f>IF(ISERROR(FIND('112'!$M$9,G3349,1)),"",IF((AND(RIGHT(G3349,2)=RIGHT('112'!$M$9,2),B3349&lt;'112'!$N$8,$M3349='112'!$I$6)),"x",""))</f>
        <v/>
      </c>
      <c r="U3349" s="52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>x</v>
      </c>
      <c r="AA3349" s="826"/>
    </row>
    <row r="3350" spans="1:27" ht="15.75" customHeight="1">
      <c r="A3350" s="827" t="str">
        <f>IF(B3350&lt;&gt;"",IF(AND(B3350&gt;=_TM1,B3350&lt;=_TM2,OR(TH!L3350="1111",TH!M3350="1111")),TH!D3350,""),"")</f>
        <v/>
      </c>
      <c r="B3350" s="36">
        <f t="shared" si="437"/>
        <v>8</v>
      </c>
      <c r="C3350" s="190">
        <f t="shared" si="438"/>
        <v>42612</v>
      </c>
      <c r="D3350" s="856" t="s">
        <v>1662</v>
      </c>
      <c r="E3350" s="906">
        <v>42612</v>
      </c>
      <c r="F3350" s="49" t="s">
        <v>468</v>
      </c>
      <c r="G3350" s="831" t="s">
        <v>1537</v>
      </c>
      <c r="H3350" s="859" t="s">
        <v>1310</v>
      </c>
      <c r="I3350" s="251">
        <v>25</v>
      </c>
      <c r="J3350" s="251">
        <v>82100</v>
      </c>
      <c r="K3350" s="860">
        <f t="shared" si="439"/>
        <v>2052500</v>
      </c>
      <c r="L3350" s="861" t="s">
        <v>162</v>
      </c>
      <c r="M3350" s="861" t="s">
        <v>857</v>
      </c>
      <c r="N3350" s="52" t="str">
        <f>IF(AND('331-CT'!$E$7=TH!H3350,OR(L3350="331",M3350="331")),"331",IF(AND(OR(L3350="131",M3350="131"),H3350='131-CT'!$E$7),"131",""))</f>
        <v/>
      </c>
      <c r="O3350" s="52" t="str">
        <f>IF(AND($B3350&gt;='111'!$N$11,$B3350&lt;='111'!$O$11,OR($L3350=$O$7,$M3350=$O$7)),"x","")</f>
        <v/>
      </c>
      <c r="P3350" s="52" t="str">
        <f>IF(AND($L3350=$O$7,$B3350&lt;'111'!$N$11),"x","")</f>
        <v/>
      </c>
      <c r="Q3350" s="52" t="str">
        <f>IF(AND($M3350=$O$7,$B3350&lt;'111'!$N$11),"x","")</f>
        <v/>
      </c>
      <c r="R3350" s="52" t="str">
        <f>IF(ISERROR(FIND('112'!$M$9,G3350,1)),"",IF((AND(FIND('112'!$M$9,G3350,1)&gt;=1,$B3350&gt;='112'!$N$8,$B3350&lt;='112'!$O$8,OR($L3350='112'!$I$6,$M3350='112'!$I$6))),"x",""))</f>
        <v/>
      </c>
      <c r="S3350" s="52" t="str">
        <f>IF(ISERROR(FIND('112'!$M$9,G3350,1)),"",IF((AND(LEFT(G3350,2)=LEFT('112'!$M$9,2),B3350&lt;'112'!$N$8,$L3350='112'!$I$6)),"x",""))</f>
        <v/>
      </c>
      <c r="T3350" s="52" t="str">
        <f>IF(ISERROR(FIND('112'!$M$9,G3350,1)),"",IF((AND(RIGHT(G3350,2)=RIGHT('112'!$M$9,2),B3350&lt;'112'!$N$8,$M3350='112'!$I$6)),"x",""))</f>
        <v/>
      </c>
      <c r="U3350" s="52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>x</v>
      </c>
      <c r="AA3350" s="826"/>
    </row>
    <row r="3351" spans="1:27" ht="15.75" customHeight="1">
      <c r="A3351" s="827" t="str">
        <f>IF(B3351&lt;&gt;"",IF(AND(B3351&gt;=_TM1,B3351&lt;=_TM2,OR(TH!L3351="1111",TH!M3351="1111")),TH!D3351,""),"")</f>
        <v/>
      </c>
      <c r="B3351" s="36">
        <f t="shared" si="437"/>
        <v>8</v>
      </c>
      <c r="C3351" s="190">
        <f t="shared" si="438"/>
        <v>42612</v>
      </c>
      <c r="D3351" s="856" t="s">
        <v>1662</v>
      </c>
      <c r="E3351" s="906">
        <v>42612</v>
      </c>
      <c r="F3351" s="868" t="s">
        <v>475</v>
      </c>
      <c r="G3351" s="831" t="s">
        <v>1537</v>
      </c>
      <c r="H3351" s="859" t="s">
        <v>1310</v>
      </c>
      <c r="I3351" s="251">
        <v>8</v>
      </c>
      <c r="J3351" s="251">
        <v>84590</v>
      </c>
      <c r="K3351" s="860">
        <f t="shared" si="439"/>
        <v>676720</v>
      </c>
      <c r="L3351" s="861" t="s">
        <v>162</v>
      </c>
      <c r="M3351" s="861" t="s">
        <v>857</v>
      </c>
      <c r="N3351" s="52" t="str">
        <f>IF(AND('331-CT'!$E$7=TH!H3351,OR(L3351="331",M3351="331")),"331",IF(AND(OR(L3351="131",M3351="131"),H3351='131-CT'!$E$7),"131",""))</f>
        <v/>
      </c>
      <c r="O3351" s="52" t="str">
        <f>IF(AND($B3351&gt;='111'!$N$11,$B3351&lt;='111'!$O$11,OR($L3351=$O$7,$M3351=$O$7)),"x","")</f>
        <v/>
      </c>
      <c r="P3351" s="52" t="str">
        <f>IF(AND($L3351=$O$7,$B3351&lt;'111'!$N$11),"x","")</f>
        <v/>
      </c>
      <c r="Q3351" s="52" t="str">
        <f>IF(AND($M3351=$O$7,$B3351&lt;'111'!$N$11),"x","")</f>
        <v/>
      </c>
      <c r="R3351" s="52" t="str">
        <f>IF(ISERROR(FIND('112'!$M$9,G3351,1)),"",IF((AND(FIND('112'!$M$9,G3351,1)&gt;=1,$B3351&gt;='112'!$N$8,$B3351&lt;='112'!$O$8,OR($L3351='112'!$I$6,$M3351='112'!$I$6))),"x",""))</f>
        <v/>
      </c>
      <c r="S3351" s="52" t="str">
        <f>IF(ISERROR(FIND('112'!$M$9,G3351,1)),"",IF((AND(LEFT(G3351,2)=LEFT('112'!$M$9,2),B3351&lt;'112'!$N$8,$L3351='112'!$I$6)),"x",""))</f>
        <v/>
      </c>
      <c r="T3351" s="52" t="str">
        <f>IF(ISERROR(FIND('112'!$M$9,G3351,1)),"",IF((AND(RIGHT(G3351,2)=RIGHT('112'!$M$9,2),B3351&lt;'112'!$N$8,$M3351='112'!$I$6)),"x",""))</f>
        <v/>
      </c>
      <c r="U3351" s="52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>x</v>
      </c>
      <c r="AA3351" s="826"/>
    </row>
    <row r="3352" spans="1:27" ht="15.75" customHeight="1">
      <c r="A3352" s="827" t="str">
        <f>IF(B3352&lt;&gt;"",IF(AND(B3352&gt;=_TM1,B3352&lt;=_TM2,OR(TH!L3352="1111",TH!M3352="1111")),TH!D3352,""),"")</f>
        <v/>
      </c>
      <c r="B3352" s="36">
        <f t="shared" si="437"/>
        <v>8</v>
      </c>
      <c r="C3352" s="190">
        <f t="shared" si="438"/>
        <v>42612</v>
      </c>
      <c r="D3352" s="856" t="s">
        <v>1662</v>
      </c>
      <c r="E3352" s="906">
        <v>42612</v>
      </c>
      <c r="F3352" s="49" t="s">
        <v>869</v>
      </c>
      <c r="G3352" s="831" t="s">
        <v>1537</v>
      </c>
      <c r="H3352" s="859" t="s">
        <v>1310</v>
      </c>
      <c r="I3352" s="251">
        <v>40</v>
      </c>
      <c r="J3352" s="251">
        <v>19400</v>
      </c>
      <c r="K3352" s="860">
        <f t="shared" si="439"/>
        <v>776000</v>
      </c>
      <c r="L3352" s="861" t="s">
        <v>162</v>
      </c>
      <c r="M3352" s="861" t="s">
        <v>857</v>
      </c>
      <c r="N3352" s="52" t="str">
        <f>IF(AND('331-CT'!$E$7=TH!H3352,OR(L3352="331",M3352="331")),"331",IF(AND(OR(L3352="131",M3352="131"),H3352='131-CT'!$E$7),"131",""))</f>
        <v/>
      </c>
      <c r="O3352" s="52" t="str">
        <f>IF(AND($B3352&gt;='111'!$N$11,$B3352&lt;='111'!$O$11,OR($L3352=$O$7,$M3352=$O$7)),"x","")</f>
        <v/>
      </c>
      <c r="P3352" s="52" t="str">
        <f>IF(AND($L3352=$O$7,$B3352&lt;'111'!$N$11),"x","")</f>
        <v/>
      </c>
      <c r="Q3352" s="52" t="str">
        <f>IF(AND($M3352=$O$7,$B3352&lt;'111'!$N$11),"x","")</f>
        <v/>
      </c>
      <c r="R3352" s="52" t="str">
        <f>IF(ISERROR(FIND('112'!$M$9,G3352,1)),"",IF((AND(FIND('112'!$M$9,G3352,1)&gt;=1,$B3352&gt;='112'!$N$8,$B3352&lt;='112'!$O$8,OR($L3352='112'!$I$6,$M3352='112'!$I$6))),"x",""))</f>
        <v/>
      </c>
      <c r="S3352" s="52" t="str">
        <f>IF(ISERROR(FIND('112'!$M$9,G3352,1)),"",IF((AND(LEFT(G3352,2)=LEFT('112'!$M$9,2),B3352&lt;'112'!$N$8,$L3352='112'!$I$6)),"x",""))</f>
        <v/>
      </c>
      <c r="T3352" s="52" t="str">
        <f>IF(ISERROR(FIND('112'!$M$9,G3352,1)),"",IF((AND(RIGHT(G3352,2)=RIGHT('112'!$M$9,2),B3352&lt;'112'!$N$8,$M3352='112'!$I$6)),"x",""))</f>
        <v/>
      </c>
      <c r="U3352" s="52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>x</v>
      </c>
      <c r="AA3352" s="826"/>
    </row>
    <row r="3353" spans="1:27" ht="15.75" customHeight="1">
      <c r="A3353" s="827" t="str">
        <f>IF(B3353&lt;&gt;"",IF(AND(B3353&gt;=_TM1,B3353&lt;=_TM2,OR(TH!L3353="1111",TH!M3353="1111")),TH!D3353,""),"")</f>
        <v/>
      </c>
      <c r="B3353" s="36">
        <f t="shared" si="437"/>
        <v>8</v>
      </c>
      <c r="C3353" s="190">
        <f t="shared" si="438"/>
        <v>42612</v>
      </c>
      <c r="D3353" s="856" t="s">
        <v>1662</v>
      </c>
      <c r="E3353" s="906">
        <v>42612</v>
      </c>
      <c r="F3353" s="868" t="s">
        <v>863</v>
      </c>
      <c r="G3353" s="831" t="s">
        <v>1537</v>
      </c>
      <c r="H3353" s="859" t="s">
        <v>1310</v>
      </c>
      <c r="I3353" s="251">
        <v>40</v>
      </c>
      <c r="J3353" s="251">
        <v>20200</v>
      </c>
      <c r="K3353" s="860">
        <f t="shared" si="439"/>
        <v>808000</v>
      </c>
      <c r="L3353" s="861" t="s">
        <v>162</v>
      </c>
      <c r="M3353" s="861" t="s">
        <v>857</v>
      </c>
      <c r="N3353" s="52" t="str">
        <f>IF(AND('331-CT'!$E$7=TH!H3353,OR(L3353="331",M3353="331")),"331",IF(AND(OR(L3353="131",M3353="131"),H3353='131-CT'!$E$7),"131",""))</f>
        <v/>
      </c>
      <c r="O3353" s="52" t="str">
        <f>IF(AND($B3353&gt;='111'!$N$11,$B3353&lt;='111'!$O$11,OR($L3353=$O$7,$M3353=$O$7)),"x","")</f>
        <v/>
      </c>
      <c r="P3353" s="52" t="str">
        <f>IF(AND($L3353=$O$7,$B3353&lt;'111'!$N$11),"x","")</f>
        <v/>
      </c>
      <c r="Q3353" s="52" t="str">
        <f>IF(AND($M3353=$O$7,$B3353&lt;'111'!$N$11),"x","")</f>
        <v/>
      </c>
      <c r="R3353" s="52" t="str">
        <f>IF(ISERROR(FIND('112'!$M$9,G3353,1)),"",IF((AND(FIND('112'!$M$9,G3353,1)&gt;=1,$B3353&gt;='112'!$N$8,$B3353&lt;='112'!$O$8,OR($L3353='112'!$I$6,$M3353='112'!$I$6))),"x",""))</f>
        <v/>
      </c>
      <c r="S3353" s="52" t="str">
        <f>IF(ISERROR(FIND('112'!$M$9,G3353,1)),"",IF((AND(LEFT(G3353,2)=LEFT('112'!$M$9,2),B3353&lt;'112'!$N$8,$L3353='112'!$I$6)),"x",""))</f>
        <v/>
      </c>
      <c r="T3353" s="52" t="str">
        <f>IF(ISERROR(FIND('112'!$M$9,G3353,1)),"",IF((AND(RIGHT(G3353,2)=RIGHT('112'!$M$9,2),B3353&lt;'112'!$N$8,$M3353='112'!$I$6)),"x",""))</f>
        <v/>
      </c>
      <c r="U3353" s="52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>x</v>
      </c>
      <c r="AA3353" s="826"/>
    </row>
    <row r="3354" spans="1:27" ht="15.75" customHeight="1">
      <c r="A3354" s="827" t="str">
        <f>IF(B3354&lt;&gt;"",IF(AND(B3354&gt;=_TM1,B3354&lt;=_TM2,OR(TH!L3354="1111",TH!M3354="1111")),TH!D3354,""),"")</f>
        <v/>
      </c>
      <c r="B3354" s="36">
        <f t="shared" si="437"/>
        <v>8</v>
      </c>
      <c r="C3354" s="190">
        <f t="shared" si="438"/>
        <v>42612</v>
      </c>
      <c r="D3354" s="856" t="s">
        <v>1662</v>
      </c>
      <c r="E3354" s="906">
        <v>42612</v>
      </c>
      <c r="F3354" s="49" t="s">
        <v>514</v>
      </c>
      <c r="G3354" s="831" t="s">
        <v>1537</v>
      </c>
      <c r="H3354" s="859" t="s">
        <v>1310</v>
      </c>
      <c r="I3354" s="251">
        <v>30</v>
      </c>
      <c r="J3354" s="251">
        <v>29000</v>
      </c>
      <c r="K3354" s="860">
        <f t="shared" si="439"/>
        <v>870000</v>
      </c>
      <c r="L3354" s="861" t="s">
        <v>162</v>
      </c>
      <c r="M3354" s="861" t="s">
        <v>857</v>
      </c>
      <c r="N3354" s="52" t="str">
        <f>IF(AND('331-CT'!$E$7=TH!H3354,OR(L3354="331",M3354="331")),"331",IF(AND(OR(L3354="131",M3354="131"),H3354='131-CT'!$E$7),"131",""))</f>
        <v/>
      </c>
      <c r="O3354" s="52" t="str">
        <f>IF(AND($B3354&gt;='111'!$N$11,$B3354&lt;='111'!$O$11,OR($L3354=$O$7,$M3354=$O$7)),"x","")</f>
        <v/>
      </c>
      <c r="P3354" s="52" t="str">
        <f>IF(AND($L3354=$O$7,$B3354&lt;'111'!$N$11),"x","")</f>
        <v/>
      </c>
      <c r="Q3354" s="52" t="str">
        <f>IF(AND($M3354=$O$7,$B3354&lt;'111'!$N$11),"x","")</f>
        <v/>
      </c>
      <c r="R3354" s="52" t="str">
        <f>IF(ISERROR(FIND('112'!$M$9,G3354,1)),"",IF((AND(FIND('112'!$M$9,G3354,1)&gt;=1,$B3354&gt;='112'!$N$8,$B3354&lt;='112'!$O$8,OR($L3354='112'!$I$6,$M3354='112'!$I$6))),"x",""))</f>
        <v/>
      </c>
      <c r="S3354" s="52" t="str">
        <f>IF(ISERROR(FIND('112'!$M$9,G3354,1)),"",IF((AND(LEFT(G3354,2)=LEFT('112'!$M$9,2),B3354&lt;'112'!$N$8,$L3354='112'!$I$6)),"x",""))</f>
        <v/>
      </c>
      <c r="T3354" s="52" t="str">
        <f>IF(ISERROR(FIND('112'!$M$9,G3354,1)),"",IF((AND(RIGHT(G3354,2)=RIGHT('112'!$M$9,2),B3354&lt;'112'!$N$8,$M3354='112'!$I$6)),"x",""))</f>
        <v/>
      </c>
      <c r="U3354" s="52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>x</v>
      </c>
      <c r="AA3354" s="826"/>
    </row>
    <row r="3355" spans="1:27" ht="15.75" customHeight="1">
      <c r="A3355" s="827" t="str">
        <f>IF(B3355&lt;&gt;"",IF(AND(B3355&gt;=_TM1,B3355&lt;=_TM2,OR(TH!L3355="1111",TH!M3355="1111")),TH!D3355,""),"")</f>
        <v/>
      </c>
      <c r="B3355" s="36">
        <f t="shared" si="437"/>
        <v>8</v>
      </c>
      <c r="C3355" s="190">
        <f t="shared" si="438"/>
        <v>42612</v>
      </c>
      <c r="D3355" s="856" t="s">
        <v>1662</v>
      </c>
      <c r="E3355" s="906">
        <v>42612</v>
      </c>
      <c r="F3355" s="49" t="s">
        <v>813</v>
      </c>
      <c r="G3355" s="831" t="s">
        <v>1537</v>
      </c>
      <c r="H3355" s="859" t="s">
        <v>1310</v>
      </c>
      <c r="I3355" s="251">
        <v>50</v>
      </c>
      <c r="J3355" s="251">
        <v>49100</v>
      </c>
      <c r="K3355" s="860">
        <f t="shared" si="439"/>
        <v>2455000</v>
      </c>
      <c r="L3355" s="861" t="s">
        <v>162</v>
      </c>
      <c r="M3355" s="861" t="s">
        <v>857</v>
      </c>
      <c r="N3355" s="52" t="str">
        <f>IF(AND('331-CT'!$E$7=TH!H3355,OR(L3355="331",M3355="331")),"331",IF(AND(OR(L3355="131",M3355="131"),H3355='131-CT'!$E$7),"131",""))</f>
        <v/>
      </c>
      <c r="O3355" s="52" t="str">
        <f>IF(AND($B3355&gt;='111'!$N$11,$B3355&lt;='111'!$O$11,OR($L3355=$O$7,$M3355=$O$7)),"x","")</f>
        <v/>
      </c>
      <c r="P3355" s="52" t="str">
        <f>IF(AND($L3355=$O$7,$B3355&lt;'111'!$N$11),"x","")</f>
        <v/>
      </c>
      <c r="Q3355" s="52" t="str">
        <f>IF(AND($M3355=$O$7,$B3355&lt;'111'!$N$11),"x","")</f>
        <v/>
      </c>
      <c r="R3355" s="52" t="str">
        <f>IF(ISERROR(FIND('112'!$M$9,G3355,1)),"",IF((AND(FIND('112'!$M$9,G3355,1)&gt;=1,$B3355&gt;='112'!$N$8,$B3355&lt;='112'!$O$8,OR($L3355='112'!$I$6,$M3355='112'!$I$6))),"x",""))</f>
        <v/>
      </c>
      <c r="S3355" s="52" t="str">
        <f>IF(ISERROR(FIND('112'!$M$9,G3355,1)),"",IF((AND(LEFT(G3355,2)=LEFT('112'!$M$9,2),B3355&lt;'112'!$N$8,$L3355='112'!$I$6)),"x",""))</f>
        <v/>
      </c>
      <c r="T3355" s="52" t="str">
        <f>IF(ISERROR(FIND('112'!$M$9,G3355,1)),"",IF((AND(RIGHT(G3355,2)=RIGHT('112'!$M$9,2),B3355&lt;'112'!$N$8,$M3355='112'!$I$6)),"x",""))</f>
        <v/>
      </c>
      <c r="U3355" s="52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>x</v>
      </c>
      <c r="AA3355" s="826"/>
    </row>
    <row r="3356" spans="1:27" ht="15.75" customHeight="1">
      <c r="A3356" s="827" t="str">
        <f>IF(B3356&lt;&gt;"",IF(AND(B3356&gt;=_TM1,B3356&lt;=_TM2,OR(TH!L3356="1111",TH!M3356="1111")),TH!D3356,""),"")</f>
        <v/>
      </c>
      <c r="B3356" s="36">
        <f t="shared" si="437"/>
        <v>8</v>
      </c>
      <c r="C3356" s="190">
        <f t="shared" si="438"/>
        <v>42612</v>
      </c>
      <c r="D3356" s="856" t="s">
        <v>1662</v>
      </c>
      <c r="E3356" s="906">
        <v>42612</v>
      </c>
      <c r="F3356" s="868" t="s">
        <v>1575</v>
      </c>
      <c r="G3356" s="831" t="s">
        <v>1537</v>
      </c>
      <c r="H3356" s="859" t="s">
        <v>1310</v>
      </c>
      <c r="I3356" s="251">
        <v>8</v>
      </c>
      <c r="J3356" s="251">
        <v>51300</v>
      </c>
      <c r="K3356" s="860">
        <f t="shared" si="439"/>
        <v>410400</v>
      </c>
      <c r="L3356" s="861" t="s">
        <v>162</v>
      </c>
      <c r="M3356" s="861" t="s">
        <v>857</v>
      </c>
      <c r="N3356" s="52" t="str">
        <f>IF(AND('331-CT'!$E$7=TH!H3356,OR(L3356="331",M3356="331")),"331",IF(AND(OR(L3356="131",M3356="131"),H3356='131-CT'!$E$7),"131",""))</f>
        <v/>
      </c>
      <c r="O3356" s="52" t="str">
        <f>IF(AND($B3356&gt;='111'!$N$11,$B3356&lt;='111'!$O$11,OR($L3356=$O$7,$M3356=$O$7)),"x","")</f>
        <v/>
      </c>
      <c r="P3356" s="52" t="str">
        <f>IF(AND($L3356=$O$7,$B3356&lt;'111'!$N$11),"x","")</f>
        <v/>
      </c>
      <c r="Q3356" s="52" t="str">
        <f>IF(AND($M3356=$O$7,$B3356&lt;'111'!$N$11),"x","")</f>
        <v/>
      </c>
      <c r="R3356" s="52" t="str">
        <f>IF(ISERROR(FIND('112'!$M$9,G3356,1)),"",IF((AND(FIND('112'!$M$9,G3356,1)&gt;=1,$B3356&gt;='112'!$N$8,$B3356&lt;='112'!$O$8,OR($L3356='112'!$I$6,$M3356='112'!$I$6))),"x",""))</f>
        <v/>
      </c>
      <c r="S3356" s="52" t="str">
        <f>IF(ISERROR(FIND('112'!$M$9,G3356,1)),"",IF((AND(LEFT(G3356,2)=LEFT('112'!$M$9,2),B3356&lt;'112'!$N$8,$L3356='112'!$I$6)),"x",""))</f>
        <v/>
      </c>
      <c r="T3356" s="52" t="str">
        <f>IF(ISERROR(FIND('112'!$M$9,G3356,1)),"",IF((AND(RIGHT(G3356,2)=RIGHT('112'!$M$9,2),B3356&lt;'112'!$N$8,$M3356='112'!$I$6)),"x",""))</f>
        <v/>
      </c>
      <c r="U3356" s="52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>x</v>
      </c>
      <c r="AA3356" s="826"/>
    </row>
    <row r="3357" spans="1:27" ht="15.75" customHeight="1">
      <c r="A3357" s="827" t="str">
        <f>IF(B3357&lt;&gt;"",IF(AND(B3357&gt;=_TM1,B3357&lt;=_TM2,OR(TH!L3357="1111",TH!M3357="1111")),TH!D3357,""),"")</f>
        <v/>
      </c>
      <c r="B3357" s="36">
        <f t="shared" si="437"/>
        <v>8</v>
      </c>
      <c r="C3357" s="190">
        <f t="shared" si="438"/>
        <v>42612</v>
      </c>
      <c r="D3357" s="856" t="s">
        <v>1662</v>
      </c>
      <c r="E3357" s="906">
        <v>42612</v>
      </c>
      <c r="F3357" s="49" t="s">
        <v>1576</v>
      </c>
      <c r="G3357" s="831" t="s">
        <v>1537</v>
      </c>
      <c r="H3357" s="859" t="s">
        <v>1310</v>
      </c>
      <c r="I3357" s="251">
        <v>8</v>
      </c>
      <c r="J3357" s="251">
        <v>47300</v>
      </c>
      <c r="K3357" s="860">
        <f t="shared" si="439"/>
        <v>378400</v>
      </c>
      <c r="L3357" s="861" t="s">
        <v>162</v>
      </c>
      <c r="M3357" s="861" t="s">
        <v>857</v>
      </c>
      <c r="N3357" s="52" t="str">
        <f>IF(AND('331-CT'!$E$7=TH!H3357,OR(L3357="331",M3357="331")),"331",IF(AND(OR(L3357="131",M3357="131"),H3357='131-CT'!$E$7),"131",""))</f>
        <v/>
      </c>
      <c r="O3357" s="52" t="str">
        <f>IF(AND($B3357&gt;='111'!$N$11,$B3357&lt;='111'!$O$11,OR($L3357=$O$7,$M3357=$O$7)),"x","")</f>
        <v/>
      </c>
      <c r="P3357" s="52" t="str">
        <f>IF(AND($L3357=$O$7,$B3357&lt;'111'!$N$11),"x","")</f>
        <v/>
      </c>
      <c r="Q3357" s="52" t="str">
        <f>IF(AND($M3357=$O$7,$B3357&lt;'111'!$N$11),"x","")</f>
        <v/>
      </c>
      <c r="R3357" s="52" t="str">
        <f>IF(ISERROR(FIND('112'!$M$9,G3357,1)),"",IF((AND(FIND('112'!$M$9,G3357,1)&gt;=1,$B3357&gt;='112'!$N$8,$B3357&lt;='112'!$O$8,OR($L3357='112'!$I$6,$M3357='112'!$I$6))),"x",""))</f>
        <v/>
      </c>
      <c r="S3357" s="52" t="str">
        <f>IF(ISERROR(FIND('112'!$M$9,G3357,1)),"",IF((AND(LEFT(G3357,2)=LEFT('112'!$M$9,2),B3357&lt;'112'!$N$8,$L3357='112'!$I$6)),"x",""))</f>
        <v/>
      </c>
      <c r="T3357" s="52" t="str">
        <f>IF(ISERROR(FIND('112'!$M$9,G3357,1)),"",IF((AND(RIGHT(G3357,2)=RIGHT('112'!$M$9,2),B3357&lt;'112'!$N$8,$M3357='112'!$I$6)),"x",""))</f>
        <v/>
      </c>
      <c r="U3357" s="52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>x</v>
      </c>
      <c r="AA3357" s="826"/>
    </row>
    <row r="3358" spans="1:27" ht="15.75" customHeight="1">
      <c r="A3358" s="827" t="str">
        <f>IF(B3358&lt;&gt;"",IF(AND(B3358&gt;=_TM1,B3358&lt;=_TM2,OR(TH!L3358="1111",TH!M3358="1111")),TH!D3358,""),"")</f>
        <v/>
      </c>
      <c r="B3358" s="36">
        <f t="shared" si="437"/>
        <v>8</v>
      </c>
      <c r="C3358" s="190">
        <f t="shared" si="438"/>
        <v>42612</v>
      </c>
      <c r="D3358" s="856" t="s">
        <v>1662</v>
      </c>
      <c r="E3358" s="906">
        <v>42612</v>
      </c>
      <c r="F3358" s="868" t="s">
        <v>1577</v>
      </c>
      <c r="G3358" s="831" t="s">
        <v>1537</v>
      </c>
      <c r="H3358" s="859" t="s">
        <v>1310</v>
      </c>
      <c r="I3358" s="251">
        <v>8</v>
      </c>
      <c r="J3358" s="251">
        <v>131100</v>
      </c>
      <c r="K3358" s="860">
        <f t="shared" si="439"/>
        <v>1048800</v>
      </c>
      <c r="L3358" s="861" t="s">
        <v>162</v>
      </c>
      <c r="M3358" s="861" t="s">
        <v>857</v>
      </c>
      <c r="N3358" s="52" t="str">
        <f>IF(AND('331-CT'!$E$7=TH!H3358,OR(L3358="331",M3358="331")),"331",IF(AND(OR(L3358="131",M3358="131"),H3358='131-CT'!$E$7),"131",""))</f>
        <v/>
      </c>
      <c r="O3358" s="52" t="str">
        <f>IF(AND($B3358&gt;='111'!$N$11,$B3358&lt;='111'!$O$11,OR($L3358=$O$7,$M3358=$O$7)),"x","")</f>
        <v/>
      </c>
      <c r="P3358" s="52" t="str">
        <f>IF(AND($L3358=$O$7,$B3358&lt;'111'!$N$11),"x","")</f>
        <v/>
      </c>
      <c r="Q3358" s="52" t="str">
        <f>IF(AND($M3358=$O$7,$B3358&lt;'111'!$N$11),"x","")</f>
        <v/>
      </c>
      <c r="R3358" s="52" t="str">
        <f>IF(ISERROR(FIND('112'!$M$9,G3358,1)),"",IF((AND(FIND('112'!$M$9,G3358,1)&gt;=1,$B3358&gt;='112'!$N$8,$B3358&lt;='112'!$O$8,OR($L3358='112'!$I$6,$M3358='112'!$I$6))),"x",""))</f>
        <v/>
      </c>
      <c r="S3358" s="52" t="str">
        <f>IF(ISERROR(FIND('112'!$M$9,G3358,1)),"",IF((AND(LEFT(G3358,2)=LEFT('112'!$M$9,2),B3358&lt;'112'!$N$8,$L3358='112'!$I$6)),"x",""))</f>
        <v/>
      </c>
      <c r="T3358" s="52" t="str">
        <f>IF(ISERROR(FIND('112'!$M$9,G3358,1)),"",IF((AND(RIGHT(G3358,2)=RIGHT('112'!$M$9,2),B3358&lt;'112'!$N$8,$M3358='112'!$I$6)),"x",""))</f>
        <v/>
      </c>
      <c r="U3358" s="52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>x</v>
      </c>
      <c r="AA3358" s="826"/>
    </row>
    <row r="3359" spans="1:27" ht="15.75" customHeight="1">
      <c r="A3359" s="827" t="str">
        <f>IF(B3359&lt;&gt;"",IF(AND(B3359&gt;=_TM1,B3359&lt;=_TM2,OR(TH!L3359="1111",TH!M3359="1111")),TH!D3359,""),"")</f>
        <v/>
      </c>
      <c r="B3359" s="36">
        <f t="shared" si="437"/>
        <v>8</v>
      </c>
      <c r="C3359" s="190">
        <f t="shared" si="438"/>
        <v>42612</v>
      </c>
      <c r="D3359" s="856" t="s">
        <v>1662</v>
      </c>
      <c r="E3359" s="906">
        <v>42612</v>
      </c>
      <c r="F3359" s="49" t="s">
        <v>863</v>
      </c>
      <c r="G3359" s="831" t="s">
        <v>1537</v>
      </c>
      <c r="H3359" s="859" t="s">
        <v>1310</v>
      </c>
      <c r="I3359" s="251">
        <v>16</v>
      </c>
      <c r="J3359" s="251">
        <v>20200</v>
      </c>
      <c r="K3359" s="860">
        <f t="shared" si="439"/>
        <v>323200</v>
      </c>
      <c r="L3359" s="861" t="s">
        <v>162</v>
      </c>
      <c r="M3359" s="861" t="s">
        <v>857</v>
      </c>
      <c r="N3359" s="52" t="str">
        <f>IF(AND('331-CT'!$E$7=TH!H3359,OR(L3359="331",M3359="331")),"331",IF(AND(OR(L3359="131",M3359="131"),H3359='131-CT'!$E$7),"131",""))</f>
        <v/>
      </c>
      <c r="O3359" s="52" t="str">
        <f>IF(AND($B3359&gt;='111'!$N$11,$B3359&lt;='111'!$O$11,OR($L3359=$O$7,$M3359=$O$7)),"x","")</f>
        <v/>
      </c>
      <c r="P3359" s="52" t="str">
        <f>IF(AND($L3359=$O$7,$B3359&lt;'111'!$N$11),"x","")</f>
        <v/>
      </c>
      <c r="Q3359" s="52" t="str">
        <f>IF(AND($M3359=$O$7,$B3359&lt;'111'!$N$11),"x","")</f>
        <v/>
      </c>
      <c r="R3359" s="52" t="str">
        <f>IF(ISERROR(FIND('112'!$M$9,G3359,1)),"",IF((AND(FIND('112'!$M$9,G3359,1)&gt;=1,$B3359&gt;='112'!$N$8,$B3359&lt;='112'!$O$8,OR($L3359='112'!$I$6,$M3359='112'!$I$6))),"x",""))</f>
        <v/>
      </c>
      <c r="S3359" s="52" t="str">
        <f>IF(ISERROR(FIND('112'!$M$9,G3359,1)),"",IF((AND(LEFT(G3359,2)=LEFT('112'!$M$9,2),B3359&lt;'112'!$N$8,$L3359='112'!$I$6)),"x",""))</f>
        <v/>
      </c>
      <c r="T3359" s="52" t="str">
        <f>IF(ISERROR(FIND('112'!$M$9,G3359,1)),"",IF((AND(RIGHT(G3359,2)=RIGHT('112'!$M$9,2),B3359&lt;'112'!$N$8,$M3359='112'!$I$6)),"x",""))</f>
        <v/>
      </c>
      <c r="U3359" s="52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>x</v>
      </c>
      <c r="AA3359" s="826"/>
    </row>
    <row r="3360" spans="1:27" ht="15.75" customHeight="1">
      <c r="A3360" s="827" t="str">
        <f>IF(B3360&lt;&gt;"",IF(AND(B3360&gt;=_TM1,B3360&lt;=_TM2,OR(TH!L3360="1111",TH!M3360="1111")),TH!D3360,""),"")</f>
        <v/>
      </c>
      <c r="B3360" s="36">
        <f t="shared" si="437"/>
        <v>8</v>
      </c>
      <c r="C3360" s="190">
        <f t="shared" si="438"/>
        <v>42612</v>
      </c>
      <c r="D3360" s="856" t="s">
        <v>1662</v>
      </c>
      <c r="E3360" s="906">
        <v>42612</v>
      </c>
      <c r="F3360" s="49" t="s">
        <v>1565</v>
      </c>
      <c r="G3360" s="831" t="s">
        <v>1537</v>
      </c>
      <c r="H3360" s="859" t="s">
        <v>1310</v>
      </c>
      <c r="I3360" s="251">
        <v>10</v>
      </c>
      <c r="J3360" s="251">
        <v>75000</v>
      </c>
      <c r="K3360" s="860">
        <f t="shared" si="439"/>
        <v>750000</v>
      </c>
      <c r="L3360" s="861" t="s">
        <v>162</v>
      </c>
      <c r="M3360" s="861" t="s">
        <v>857</v>
      </c>
      <c r="N3360" s="52" t="str">
        <f>IF(AND('331-CT'!$E$7=TH!H3360,OR(L3360="331",M3360="331")),"331",IF(AND(OR(L3360="131",M3360="131"),H3360='131-CT'!$E$7),"131",""))</f>
        <v/>
      </c>
      <c r="O3360" s="52" t="str">
        <f>IF(AND($B3360&gt;='111'!$N$11,$B3360&lt;='111'!$O$11,OR($L3360=$O$7,$M3360=$O$7)),"x","")</f>
        <v/>
      </c>
      <c r="P3360" s="52" t="str">
        <f>IF(AND($L3360=$O$7,$B3360&lt;'111'!$N$11),"x","")</f>
        <v/>
      </c>
      <c r="Q3360" s="52" t="str">
        <f>IF(AND($M3360=$O$7,$B3360&lt;'111'!$N$11),"x","")</f>
        <v/>
      </c>
      <c r="R3360" s="52" t="str">
        <f>IF(ISERROR(FIND('112'!$M$9,G3360,1)),"",IF((AND(FIND('112'!$M$9,G3360,1)&gt;=1,$B3360&gt;='112'!$N$8,$B3360&lt;='112'!$O$8,OR($L3360='112'!$I$6,$M3360='112'!$I$6))),"x",""))</f>
        <v/>
      </c>
      <c r="S3360" s="52" t="str">
        <f>IF(ISERROR(FIND('112'!$M$9,G3360,1)),"",IF((AND(LEFT(G3360,2)=LEFT('112'!$M$9,2),B3360&lt;'112'!$N$8,$L3360='112'!$I$6)),"x",""))</f>
        <v/>
      </c>
      <c r="T3360" s="52" t="str">
        <f>IF(ISERROR(FIND('112'!$M$9,G3360,1)),"",IF((AND(RIGHT(G3360,2)=RIGHT('112'!$M$9,2),B3360&lt;'112'!$N$8,$M3360='112'!$I$6)),"x",""))</f>
        <v/>
      </c>
      <c r="U3360" s="52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>x</v>
      </c>
      <c r="AA3360" s="826"/>
    </row>
    <row r="3361" spans="1:27" ht="15.75" customHeight="1">
      <c r="A3361" s="827" t="str">
        <f>IF(B3361&lt;&gt;"",IF(AND(B3361&gt;=_TM1,B3361&lt;=_TM2,OR(TH!L3361="1111",TH!M3361="1111")),TH!D3361,""),"")</f>
        <v/>
      </c>
      <c r="B3361" s="36">
        <f t="shared" ref="B3361:B3382" si="440">IF(C3361&lt;&gt;"",MONTH(C3361),"")</f>
        <v>8</v>
      </c>
      <c r="C3361" s="190">
        <f t="shared" ref="C3361:C3382" si="441">E3361</f>
        <v>42612</v>
      </c>
      <c r="D3361" s="856" t="s">
        <v>1662</v>
      </c>
      <c r="E3361" s="906">
        <v>42612</v>
      </c>
      <c r="F3361" s="868" t="s">
        <v>499</v>
      </c>
      <c r="G3361" s="831" t="s">
        <v>1537</v>
      </c>
      <c r="H3361" s="859" t="s">
        <v>1310</v>
      </c>
      <c r="I3361" s="251">
        <v>24</v>
      </c>
      <c r="J3361" s="251">
        <v>35000</v>
      </c>
      <c r="K3361" s="860">
        <f t="shared" ref="K3361:K3382" si="442">ROUND(I3361*J3361,0)</f>
        <v>840000</v>
      </c>
      <c r="L3361" s="861" t="s">
        <v>162</v>
      </c>
      <c r="M3361" s="861" t="s">
        <v>857</v>
      </c>
      <c r="N3361" s="52" t="str">
        <f>IF(AND('331-CT'!$E$7=TH!H3361,OR(L3361="331",M3361="331")),"331",IF(AND(OR(L3361="131",M3361="131"),H3361='131-CT'!$E$7),"131",""))</f>
        <v/>
      </c>
      <c r="O3361" s="52" t="str">
        <f>IF(AND($B3361&gt;='111'!$N$11,$B3361&lt;='111'!$O$11,OR($L3361=$O$7,$M3361=$O$7)),"x","")</f>
        <v/>
      </c>
      <c r="P3361" s="52" t="str">
        <f>IF(AND($L3361=$O$7,$B3361&lt;'111'!$N$11),"x","")</f>
        <v/>
      </c>
      <c r="Q3361" s="52" t="str">
        <f>IF(AND($M3361=$O$7,$B3361&lt;'111'!$N$11),"x","")</f>
        <v/>
      </c>
      <c r="R3361" s="52" t="str">
        <f>IF(ISERROR(FIND('112'!$M$9,G3361,1)),"",IF((AND(FIND('112'!$M$9,G3361,1)&gt;=1,$B3361&gt;='112'!$N$8,$B3361&lt;='112'!$O$8,OR($L3361='112'!$I$6,$M3361='112'!$I$6))),"x",""))</f>
        <v/>
      </c>
      <c r="S3361" s="52" t="str">
        <f>IF(ISERROR(FIND('112'!$M$9,G3361,1)),"",IF((AND(LEFT(G3361,2)=LEFT('112'!$M$9,2),B3361&lt;'112'!$N$8,$L3361='112'!$I$6)),"x",""))</f>
        <v/>
      </c>
      <c r="T3361" s="52" t="str">
        <f>IF(ISERROR(FIND('112'!$M$9,G3361,1)),"",IF((AND(RIGHT(G3361,2)=RIGHT('112'!$M$9,2),B3361&lt;'112'!$N$8,$M3361='112'!$I$6)),"x",""))</f>
        <v/>
      </c>
      <c r="U3361" s="52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>x</v>
      </c>
      <c r="AA3361" s="826"/>
    </row>
    <row r="3362" spans="1:27" ht="15.75" customHeight="1">
      <c r="A3362" s="827" t="str">
        <f>IF(B3362&lt;&gt;"",IF(AND(B3362&gt;=_TM1,B3362&lt;=_TM2,OR(TH!L3362="1111",TH!M3362="1111")),TH!D3362,""),"")</f>
        <v/>
      </c>
      <c r="B3362" s="36">
        <f t="shared" si="440"/>
        <v>8</v>
      </c>
      <c r="C3362" s="190">
        <f t="shared" si="441"/>
        <v>42612</v>
      </c>
      <c r="D3362" s="856" t="s">
        <v>1662</v>
      </c>
      <c r="E3362" s="906">
        <v>42612</v>
      </c>
      <c r="F3362" s="49" t="s">
        <v>534</v>
      </c>
      <c r="G3362" s="831" t="s">
        <v>1537</v>
      </c>
      <c r="H3362" s="859" t="s">
        <v>1310</v>
      </c>
      <c r="I3362" s="251">
        <v>16</v>
      </c>
      <c r="J3362" s="251">
        <v>98560</v>
      </c>
      <c r="K3362" s="860">
        <f t="shared" si="442"/>
        <v>1576960</v>
      </c>
      <c r="L3362" s="861" t="s">
        <v>162</v>
      </c>
      <c r="M3362" s="861" t="s">
        <v>857</v>
      </c>
      <c r="N3362" s="52" t="str">
        <f>IF(AND('331-CT'!$E$7=TH!H3362,OR(L3362="331",M3362="331")),"331",IF(AND(OR(L3362="131",M3362="131"),H3362='131-CT'!$E$7),"131",""))</f>
        <v/>
      </c>
      <c r="O3362" s="52" t="str">
        <f>IF(AND($B3362&gt;='111'!$N$11,$B3362&lt;='111'!$O$11,OR($L3362=$O$7,$M3362=$O$7)),"x","")</f>
        <v/>
      </c>
      <c r="P3362" s="52" t="str">
        <f>IF(AND($L3362=$O$7,$B3362&lt;'111'!$N$11),"x","")</f>
        <v/>
      </c>
      <c r="Q3362" s="52" t="str">
        <f>IF(AND($M3362=$O$7,$B3362&lt;'111'!$N$11),"x","")</f>
        <v/>
      </c>
      <c r="R3362" s="52" t="str">
        <f>IF(ISERROR(FIND('112'!$M$9,G3362,1)),"",IF((AND(FIND('112'!$M$9,G3362,1)&gt;=1,$B3362&gt;='112'!$N$8,$B3362&lt;='112'!$O$8,OR($L3362='112'!$I$6,$M3362='112'!$I$6))),"x",""))</f>
        <v/>
      </c>
      <c r="S3362" s="52" t="str">
        <f>IF(ISERROR(FIND('112'!$M$9,G3362,1)),"",IF((AND(LEFT(G3362,2)=LEFT('112'!$M$9,2),B3362&lt;'112'!$N$8,$L3362='112'!$I$6)),"x",""))</f>
        <v/>
      </c>
      <c r="T3362" s="52" t="str">
        <f>IF(ISERROR(FIND('112'!$M$9,G3362,1)),"",IF((AND(RIGHT(G3362,2)=RIGHT('112'!$M$9,2),B3362&lt;'112'!$N$8,$M3362='112'!$I$6)),"x",""))</f>
        <v/>
      </c>
      <c r="U3362" s="52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>x</v>
      </c>
      <c r="AA3362" s="826"/>
    </row>
    <row r="3363" spans="1:27" s="887" customFormat="1" ht="15.75" customHeight="1">
      <c r="A3363" s="827" t="str">
        <f>IF(B3363&lt;&gt;"",IF(AND(B3363&gt;=_TM1,B3363&lt;=_TM2,OR(TH!L3363="1111",TH!M3363="1111")),TH!D3363,""),"")</f>
        <v/>
      </c>
      <c r="B3363" s="876">
        <f t="shared" si="440"/>
        <v>7</v>
      </c>
      <c r="C3363" s="877">
        <f t="shared" si="441"/>
        <v>42566</v>
      </c>
      <c r="D3363" s="877" t="s">
        <v>1662</v>
      </c>
      <c r="E3363" s="912">
        <v>42566</v>
      </c>
      <c r="F3363" s="891" t="s">
        <v>1440</v>
      </c>
      <c r="G3363" s="913" t="s">
        <v>1436</v>
      </c>
      <c r="H3363" s="859" t="s">
        <v>1310</v>
      </c>
      <c r="I3363" s="882">
        <v>81</v>
      </c>
      <c r="J3363" s="882">
        <v>114700.27147371446</v>
      </c>
      <c r="K3363" s="883">
        <f t="shared" si="442"/>
        <v>9290722</v>
      </c>
      <c r="L3363" s="884" t="s">
        <v>162</v>
      </c>
      <c r="M3363" s="884" t="s">
        <v>857</v>
      </c>
      <c r="N3363" s="52" t="str">
        <f>IF(AND('331-CT'!$E$7=TH!H3363,OR(L3363="331",M3363="331")),"331",IF(AND(OR(L3363="131",M3363="131"),H3363='131-CT'!$E$7),"131",""))</f>
        <v/>
      </c>
      <c r="O3363" s="52" t="str">
        <f>IF(AND($B3363&gt;='111'!$N$11,$B3363&lt;='111'!$O$11,OR($L3363=$O$7,$M3363=$O$7)),"x","")</f>
        <v/>
      </c>
      <c r="P3363" s="52" t="str">
        <f>IF(AND($L3363=$O$7,$B3363&lt;'111'!$N$11),"x","")</f>
        <v/>
      </c>
      <c r="Q3363" s="52" t="str">
        <f>IF(AND($M3363=$O$7,$B3363&lt;'111'!$N$11),"x","")</f>
        <v/>
      </c>
      <c r="R3363" s="52" t="str">
        <f>IF(ISERROR(FIND('112'!$M$9,G3363,1)),"",IF((AND(FIND('112'!$M$9,G3363,1)&gt;=1,$B3363&gt;='112'!$N$8,$B3363&lt;='112'!$O$8,OR($L3363='112'!$I$6,$M3363='112'!$I$6))),"x",""))</f>
        <v/>
      </c>
      <c r="S3363" s="52" t="str">
        <f>IF(ISERROR(FIND('112'!$M$9,G3363,1)),"",IF((AND(LEFT(G3363,2)=LEFT('112'!$M$9,2),B3363&lt;'112'!$N$8,$L3363='112'!$I$6)),"x",""))</f>
        <v/>
      </c>
      <c r="T3363" s="52" t="str">
        <f>IF(ISERROR(FIND('112'!$M$9,G3363,1)),"",IF((AND(RIGHT(G3363,2)=RIGHT('112'!$M$9,2),B3363&lt;'112'!$N$8,$M3363='112'!$I$6)),"x",""))</f>
        <v/>
      </c>
      <c r="U3363" s="52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>x</v>
      </c>
      <c r="AA3363" s="885"/>
    </row>
    <row r="3364" spans="1:27" ht="15.75" customHeight="1">
      <c r="A3364" s="827" t="str">
        <f>IF(B3364&lt;&gt;"",IF(AND(B3364&gt;=_TM1,B3364&lt;=_TM2,OR(TH!L3364="1111",TH!M3364="1111")),TH!D3364,""),"")</f>
        <v/>
      </c>
      <c r="B3364" s="36">
        <f t="shared" si="440"/>
        <v>7</v>
      </c>
      <c r="C3364" s="190">
        <f t="shared" si="441"/>
        <v>42576</v>
      </c>
      <c r="D3364" s="856" t="s">
        <v>1662</v>
      </c>
      <c r="E3364" s="906">
        <v>42576</v>
      </c>
      <c r="F3364" s="49" t="s">
        <v>921</v>
      </c>
      <c r="G3364" s="831" t="s">
        <v>1445</v>
      </c>
      <c r="H3364" s="859" t="s">
        <v>1310</v>
      </c>
      <c r="I3364" s="251">
        <v>5000</v>
      </c>
      <c r="J3364" s="251">
        <v>9211.7634737144508</v>
      </c>
      <c r="K3364" s="860">
        <f t="shared" si="442"/>
        <v>46058817</v>
      </c>
      <c r="L3364" s="861" t="s">
        <v>162</v>
      </c>
      <c r="M3364" s="861" t="s">
        <v>857</v>
      </c>
      <c r="N3364" s="52" t="str">
        <f>IF(AND('331-CT'!$E$7=TH!H3364,OR(L3364="331",M3364="331")),"331",IF(AND(OR(L3364="131",M3364="131"),H3364='131-CT'!$E$7),"131",""))</f>
        <v/>
      </c>
      <c r="O3364" s="52" t="str">
        <f>IF(AND($B3364&gt;='111'!$N$11,$B3364&lt;='111'!$O$11,OR($L3364=$O$7,$M3364=$O$7)),"x","")</f>
        <v/>
      </c>
      <c r="P3364" s="52" t="str">
        <f>IF(AND($L3364=$O$7,$B3364&lt;'111'!$N$11),"x","")</f>
        <v/>
      </c>
      <c r="Q3364" s="52" t="str">
        <f>IF(AND($M3364=$O$7,$B3364&lt;'111'!$N$11),"x","")</f>
        <v/>
      </c>
      <c r="R3364" s="52" t="str">
        <f>IF(ISERROR(FIND('112'!$M$9,G3364,1)),"",IF((AND(FIND('112'!$M$9,G3364,1)&gt;=1,$B3364&gt;='112'!$N$8,$B3364&lt;='112'!$O$8,OR($L3364='112'!$I$6,$M3364='112'!$I$6))),"x",""))</f>
        <v/>
      </c>
      <c r="S3364" s="52" t="str">
        <f>IF(ISERROR(FIND('112'!$M$9,G3364,1)),"",IF((AND(LEFT(G3364,2)=LEFT('112'!$M$9,2),B3364&lt;'112'!$N$8,$L3364='112'!$I$6)),"x",""))</f>
        <v/>
      </c>
      <c r="T3364" s="52" t="str">
        <f>IF(ISERROR(FIND('112'!$M$9,G3364,1)),"",IF((AND(RIGHT(G3364,2)=RIGHT('112'!$M$9,2),B3364&lt;'112'!$N$8,$M3364='112'!$I$6)),"x",""))</f>
        <v/>
      </c>
      <c r="U3364" s="52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>x</v>
      </c>
      <c r="AA3364" s="826"/>
    </row>
    <row r="3365" spans="1:27" ht="15.75" customHeight="1">
      <c r="A3365" s="827" t="str">
        <f>IF(B3365&lt;&gt;"",IF(AND(B3365&gt;=_TM1,B3365&lt;=_TM2,OR(TH!L3365="1111",TH!M3365="1111")),TH!D3365,""),"")</f>
        <v/>
      </c>
      <c r="B3365" s="36">
        <f t="shared" si="440"/>
        <v>7</v>
      </c>
      <c r="C3365" s="190">
        <f t="shared" si="441"/>
        <v>42576</v>
      </c>
      <c r="D3365" s="856" t="s">
        <v>1662</v>
      </c>
      <c r="E3365" s="906">
        <v>42576</v>
      </c>
      <c r="F3365" s="868" t="s">
        <v>1447</v>
      </c>
      <c r="G3365" s="831" t="s">
        <v>1446</v>
      </c>
      <c r="H3365" s="859" t="s">
        <v>1310</v>
      </c>
      <c r="I3365" s="251">
        <v>500</v>
      </c>
      <c r="J3365" s="251">
        <v>20384.111473714449</v>
      </c>
      <c r="K3365" s="860">
        <f t="shared" si="442"/>
        <v>10192056</v>
      </c>
      <c r="L3365" s="861" t="s">
        <v>162</v>
      </c>
      <c r="M3365" s="861" t="s">
        <v>857</v>
      </c>
      <c r="N3365" s="52" t="str">
        <f>IF(AND('331-CT'!$E$7=TH!H3365,OR(L3365="331",M3365="331")),"331",IF(AND(OR(L3365="131",M3365="131"),H3365='131-CT'!$E$7),"131",""))</f>
        <v/>
      </c>
      <c r="O3365" s="52" t="str">
        <f>IF(AND($B3365&gt;='111'!$N$11,$B3365&lt;='111'!$O$11,OR($L3365=$O$7,$M3365=$O$7)),"x","")</f>
        <v/>
      </c>
      <c r="P3365" s="52" t="str">
        <f>IF(AND($L3365=$O$7,$B3365&lt;'111'!$N$11),"x","")</f>
        <v/>
      </c>
      <c r="Q3365" s="52" t="str">
        <f>IF(AND($M3365=$O$7,$B3365&lt;'111'!$N$11),"x","")</f>
        <v/>
      </c>
      <c r="R3365" s="52" t="str">
        <f>IF(ISERROR(FIND('112'!$M$9,G3365,1)),"",IF((AND(FIND('112'!$M$9,G3365,1)&gt;=1,$B3365&gt;='112'!$N$8,$B3365&lt;='112'!$O$8,OR($L3365='112'!$I$6,$M3365='112'!$I$6))),"x",""))</f>
        <v/>
      </c>
      <c r="S3365" s="52" t="str">
        <f>IF(ISERROR(FIND('112'!$M$9,G3365,1)),"",IF((AND(LEFT(G3365,2)=LEFT('112'!$M$9,2),B3365&lt;'112'!$N$8,$L3365='112'!$I$6)),"x",""))</f>
        <v/>
      </c>
      <c r="T3365" s="52" t="str">
        <f>IF(ISERROR(FIND('112'!$M$9,G3365,1)),"",IF((AND(RIGHT(G3365,2)=RIGHT('112'!$M$9,2),B3365&lt;'112'!$N$8,$M3365='112'!$I$6)),"x",""))</f>
        <v/>
      </c>
      <c r="U3365" s="52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>x</v>
      </c>
      <c r="AA3365" s="826"/>
    </row>
    <row r="3366" spans="1:27" ht="15.75" customHeight="1">
      <c r="A3366" s="827" t="str">
        <f>IF(B3366&lt;&gt;"",IF(AND(B3366&gt;=_TM1,B3366&lt;=_TM2,OR(TH!L3366="1111",TH!M3366="1111")),TH!D3366,""),"")</f>
        <v/>
      </c>
      <c r="B3366" s="36">
        <f t="shared" si="440"/>
        <v>7</v>
      </c>
      <c r="C3366" s="190">
        <f t="shared" si="441"/>
        <v>42580</v>
      </c>
      <c r="D3366" s="856" t="s">
        <v>1662</v>
      </c>
      <c r="E3366" s="906">
        <v>42580</v>
      </c>
      <c r="F3366" s="49" t="s">
        <v>1178</v>
      </c>
      <c r="G3366" s="831" t="s">
        <v>1452</v>
      </c>
      <c r="H3366" s="859" t="s">
        <v>1310</v>
      </c>
      <c r="I3366" s="251">
        <v>1450</v>
      </c>
      <c r="J3366" s="251">
        <v>35139.374921990311</v>
      </c>
      <c r="K3366" s="860">
        <f t="shared" si="442"/>
        <v>50952094</v>
      </c>
      <c r="L3366" s="861" t="s">
        <v>162</v>
      </c>
      <c r="M3366" s="861" t="s">
        <v>857</v>
      </c>
      <c r="N3366" s="52" t="str">
        <f>IF(AND('331-CT'!$E$7=TH!H3366,OR(L3366="331",M3366="331")),"331",IF(AND(OR(L3366="131",M3366="131"),H3366='131-CT'!$E$7),"131",""))</f>
        <v/>
      </c>
      <c r="O3366" s="52" t="str">
        <f>IF(AND($B3366&gt;='111'!$N$11,$B3366&lt;='111'!$O$11,OR($L3366=$O$7,$M3366=$O$7)),"x","")</f>
        <v/>
      </c>
      <c r="P3366" s="52" t="str">
        <f>IF(AND($L3366=$O$7,$B3366&lt;'111'!$N$11),"x","")</f>
        <v/>
      </c>
      <c r="Q3366" s="52" t="str">
        <f>IF(AND($M3366=$O$7,$B3366&lt;'111'!$N$11),"x","")</f>
        <v/>
      </c>
      <c r="R3366" s="52" t="str">
        <f>IF(ISERROR(FIND('112'!$M$9,G3366,1)),"",IF((AND(FIND('112'!$M$9,G3366,1)&gt;=1,$B3366&gt;='112'!$N$8,$B3366&lt;='112'!$O$8,OR($L3366='112'!$I$6,$M3366='112'!$I$6))),"x",""))</f>
        <v/>
      </c>
      <c r="S3366" s="52" t="str">
        <f>IF(ISERROR(FIND('112'!$M$9,G3366,1)),"",IF((AND(LEFT(G3366,2)=LEFT('112'!$M$9,2),B3366&lt;'112'!$N$8,$L3366='112'!$I$6)),"x",""))</f>
        <v/>
      </c>
      <c r="T3366" s="52" t="str">
        <f>IF(ISERROR(FIND('112'!$M$9,G3366,1)),"",IF((AND(RIGHT(G3366,2)=RIGHT('112'!$M$9,2),B3366&lt;'112'!$N$8,$M3366='112'!$I$6)),"x",""))</f>
        <v/>
      </c>
      <c r="U3366" s="52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>x</v>
      </c>
      <c r="AA3366" s="826"/>
    </row>
    <row r="3367" spans="1:27" ht="15.75" customHeight="1">
      <c r="A3367" s="827" t="str">
        <f>IF(B3367&lt;&gt;"",IF(AND(B3367&gt;=_TM1,B3367&lt;=_TM2,OR(TH!L3367="1111",TH!M3367="1111")),TH!D3367,""),"")</f>
        <v/>
      </c>
      <c r="B3367" s="36">
        <f t="shared" si="440"/>
        <v>7</v>
      </c>
      <c r="C3367" s="190">
        <f t="shared" si="441"/>
        <v>42580</v>
      </c>
      <c r="D3367" s="856" t="s">
        <v>1662</v>
      </c>
      <c r="E3367" s="906">
        <v>42580</v>
      </c>
      <c r="F3367" s="49" t="s">
        <v>1179</v>
      </c>
      <c r="G3367" s="831" t="s">
        <v>1452</v>
      </c>
      <c r="H3367" s="859" t="s">
        <v>1310</v>
      </c>
      <c r="I3367" s="251">
        <v>1500</v>
      </c>
      <c r="J3367" s="251">
        <v>32665.978140381118</v>
      </c>
      <c r="K3367" s="860">
        <f t="shared" si="442"/>
        <v>48998967</v>
      </c>
      <c r="L3367" s="861" t="s">
        <v>162</v>
      </c>
      <c r="M3367" s="861" t="s">
        <v>857</v>
      </c>
      <c r="N3367" s="52" t="str">
        <f>IF(AND('331-CT'!$E$7=TH!H3367,OR(L3367="331",M3367="331")),"331",IF(AND(OR(L3367="131",M3367="131"),H3367='131-CT'!$E$7),"131",""))</f>
        <v/>
      </c>
      <c r="O3367" s="52" t="str">
        <f>IF(AND($B3367&gt;='111'!$N$11,$B3367&lt;='111'!$O$11,OR($L3367=$O$7,$M3367=$O$7)),"x","")</f>
        <v/>
      </c>
      <c r="P3367" s="52" t="str">
        <f>IF(AND($L3367=$O$7,$B3367&lt;'111'!$N$11),"x","")</f>
        <v/>
      </c>
      <c r="Q3367" s="52" t="str">
        <f>IF(AND($M3367=$O$7,$B3367&lt;'111'!$N$11),"x","")</f>
        <v/>
      </c>
      <c r="R3367" s="52" t="str">
        <f>IF(ISERROR(FIND('112'!$M$9,G3367,1)),"",IF((AND(FIND('112'!$M$9,G3367,1)&gt;=1,$B3367&gt;='112'!$N$8,$B3367&lt;='112'!$O$8,OR($L3367='112'!$I$6,$M3367='112'!$I$6))),"x",""))</f>
        <v/>
      </c>
      <c r="S3367" s="52" t="str">
        <f>IF(ISERROR(FIND('112'!$M$9,G3367,1)),"",IF((AND(LEFT(G3367,2)=LEFT('112'!$M$9,2),B3367&lt;'112'!$N$8,$L3367='112'!$I$6)),"x",""))</f>
        <v/>
      </c>
      <c r="T3367" s="52" t="str">
        <f>IF(ISERROR(FIND('112'!$M$9,G3367,1)),"",IF((AND(RIGHT(G3367,2)=RIGHT('112'!$M$9,2),B3367&lt;'112'!$N$8,$M3367='112'!$I$6)),"x",""))</f>
        <v/>
      </c>
      <c r="U3367" s="52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>x</v>
      </c>
      <c r="AA3367" s="826"/>
    </row>
    <row r="3368" spans="1:27" ht="15.75" customHeight="1">
      <c r="A3368" s="827" t="str">
        <f>IF(B3368&lt;&gt;"",IF(AND(B3368&gt;=_TM1,B3368&lt;=_TM2,OR(TH!L3368="1111",TH!M3368="1111")),TH!D3368,""),"")</f>
        <v/>
      </c>
      <c r="B3368" s="36">
        <f t="shared" si="440"/>
        <v>7</v>
      </c>
      <c r="C3368" s="190">
        <f t="shared" si="441"/>
        <v>42581</v>
      </c>
      <c r="D3368" s="856" t="s">
        <v>1662</v>
      </c>
      <c r="E3368" s="906">
        <v>42581</v>
      </c>
      <c r="F3368" s="908" t="s">
        <v>820</v>
      </c>
      <c r="G3368" s="831" t="s">
        <v>1470</v>
      </c>
      <c r="H3368" s="859" t="s">
        <v>1310</v>
      </c>
      <c r="I3368" s="251">
        <v>6</v>
      </c>
      <c r="J3368" s="251">
        <v>89757.271473714442</v>
      </c>
      <c r="K3368" s="860">
        <f t="shared" si="442"/>
        <v>538544</v>
      </c>
      <c r="L3368" s="861" t="s">
        <v>162</v>
      </c>
      <c r="M3368" s="861" t="s">
        <v>857</v>
      </c>
      <c r="N3368" s="52" t="str">
        <f>IF(AND('331-CT'!$E$7=TH!H3368,OR(L3368="331",M3368="331")),"331",IF(AND(OR(L3368="131",M3368="131"),H3368='131-CT'!$E$7),"131",""))</f>
        <v/>
      </c>
      <c r="O3368" s="52" t="str">
        <f>IF(AND($B3368&gt;='111'!$N$11,$B3368&lt;='111'!$O$11,OR($L3368=$O$7,$M3368=$O$7)),"x","")</f>
        <v/>
      </c>
      <c r="P3368" s="52" t="str">
        <f>IF(AND($L3368=$O$7,$B3368&lt;'111'!$N$11),"x","")</f>
        <v/>
      </c>
      <c r="Q3368" s="52" t="str">
        <f>IF(AND($M3368=$O$7,$B3368&lt;'111'!$N$11),"x","")</f>
        <v/>
      </c>
      <c r="R3368" s="52" t="str">
        <f>IF(ISERROR(FIND('112'!$M$9,G3368,1)),"",IF((AND(FIND('112'!$M$9,G3368,1)&gt;=1,$B3368&gt;='112'!$N$8,$B3368&lt;='112'!$O$8,OR($L3368='112'!$I$6,$M3368='112'!$I$6))),"x",""))</f>
        <v/>
      </c>
      <c r="S3368" s="52" t="str">
        <f>IF(ISERROR(FIND('112'!$M$9,G3368,1)),"",IF((AND(LEFT(G3368,2)=LEFT('112'!$M$9,2),B3368&lt;'112'!$N$8,$L3368='112'!$I$6)),"x",""))</f>
        <v/>
      </c>
      <c r="T3368" s="52" t="str">
        <f>IF(ISERROR(FIND('112'!$M$9,G3368,1)),"",IF((AND(RIGHT(G3368,2)=RIGHT('112'!$M$9,2),B3368&lt;'112'!$N$8,$M3368='112'!$I$6)),"x",""))</f>
        <v/>
      </c>
      <c r="U3368" s="52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>x</v>
      </c>
      <c r="AA3368" s="826"/>
    </row>
    <row r="3369" spans="1:27" ht="15.75" customHeight="1">
      <c r="A3369" s="827" t="str">
        <f>IF(B3369&lt;&gt;"",IF(AND(B3369&gt;=_TM1,B3369&lt;=_TM2,OR(TH!L3369="1111",TH!M3369="1111")),TH!D3369,""),"")</f>
        <v/>
      </c>
      <c r="B3369" s="36">
        <f t="shared" si="440"/>
        <v>8</v>
      </c>
      <c r="C3369" s="190">
        <f t="shared" si="441"/>
        <v>42587</v>
      </c>
      <c r="D3369" s="856" t="s">
        <v>1662</v>
      </c>
      <c r="E3369" s="906">
        <v>42587</v>
      </c>
      <c r="F3369" s="868" t="s">
        <v>1479</v>
      </c>
      <c r="G3369" s="831" t="s">
        <v>1488</v>
      </c>
      <c r="H3369" s="859" t="s">
        <v>1310</v>
      </c>
      <c r="I3369" s="251">
        <v>200</v>
      </c>
      <c r="J3369" s="251">
        <v>12591.42147371445</v>
      </c>
      <c r="K3369" s="860">
        <f t="shared" si="442"/>
        <v>2518284</v>
      </c>
      <c r="L3369" s="861" t="s">
        <v>162</v>
      </c>
      <c r="M3369" s="861" t="s">
        <v>857</v>
      </c>
      <c r="N3369" s="52" t="str">
        <f>IF(AND('331-CT'!$E$7=TH!H3369,OR(L3369="331",M3369="331")),"331",IF(AND(OR(L3369="131",M3369="131"),H3369='131-CT'!$E$7),"131",""))</f>
        <v/>
      </c>
      <c r="O3369" s="52" t="str">
        <f>IF(AND($B3369&gt;='111'!$N$11,$B3369&lt;='111'!$O$11,OR($L3369=$O$7,$M3369=$O$7)),"x","")</f>
        <v/>
      </c>
      <c r="P3369" s="52" t="str">
        <f>IF(AND($L3369=$O$7,$B3369&lt;'111'!$N$11),"x","")</f>
        <v/>
      </c>
      <c r="Q3369" s="52" t="str">
        <f>IF(AND($M3369=$O$7,$B3369&lt;'111'!$N$11),"x","")</f>
        <v/>
      </c>
      <c r="R3369" s="52" t="str">
        <f>IF(ISERROR(FIND('112'!$M$9,G3369,1)),"",IF((AND(FIND('112'!$M$9,G3369,1)&gt;=1,$B3369&gt;='112'!$N$8,$B3369&lt;='112'!$O$8,OR($L3369='112'!$I$6,$M3369='112'!$I$6))),"x",""))</f>
        <v/>
      </c>
      <c r="S3369" s="52" t="str">
        <f>IF(ISERROR(FIND('112'!$M$9,G3369,1)),"",IF((AND(LEFT(G3369,2)=LEFT('112'!$M$9,2),B3369&lt;'112'!$N$8,$L3369='112'!$I$6)),"x",""))</f>
        <v/>
      </c>
      <c r="T3369" s="52" t="str">
        <f>IF(ISERROR(FIND('112'!$M$9,G3369,1)),"",IF((AND(RIGHT(G3369,2)=RIGHT('112'!$M$9,2),B3369&lt;'112'!$N$8,$M3369='112'!$I$6)),"x",""))</f>
        <v/>
      </c>
      <c r="U3369" s="52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>x</v>
      </c>
      <c r="AA3369" s="826"/>
    </row>
    <row r="3370" spans="1:27" ht="15.75" customHeight="1">
      <c r="A3370" s="827" t="str">
        <f>IF(B3370&lt;&gt;"",IF(AND(B3370&gt;=_TM1,B3370&lt;=_TM2,OR(TH!L3370="1111",TH!M3370="1111")),TH!D3370,""),"")</f>
        <v/>
      </c>
      <c r="B3370" s="36">
        <f t="shared" si="440"/>
        <v>8</v>
      </c>
      <c r="C3370" s="190">
        <f t="shared" si="441"/>
        <v>42598</v>
      </c>
      <c r="D3370" s="856" t="s">
        <v>1662</v>
      </c>
      <c r="E3370" s="906">
        <v>42598</v>
      </c>
      <c r="F3370" s="49" t="s">
        <v>1484</v>
      </c>
      <c r="G3370" s="831" t="s">
        <v>1514</v>
      </c>
      <c r="H3370" s="859" t="s">
        <v>1310</v>
      </c>
      <c r="I3370" s="251">
        <v>150</v>
      </c>
      <c r="J3370" s="251">
        <v>49742.604807047785</v>
      </c>
      <c r="K3370" s="860">
        <f t="shared" si="442"/>
        <v>7461391</v>
      </c>
      <c r="L3370" s="861" t="s">
        <v>162</v>
      </c>
      <c r="M3370" s="861" t="s">
        <v>857</v>
      </c>
      <c r="N3370" s="52" t="str">
        <f>IF(AND('331-CT'!$E$7=TH!H3370,OR(L3370="331",M3370="331")),"331",IF(AND(OR(L3370="131",M3370="131"),H3370='131-CT'!$E$7),"131",""))</f>
        <v/>
      </c>
      <c r="O3370" s="52" t="str">
        <f>IF(AND($B3370&gt;='111'!$N$11,$B3370&lt;='111'!$O$11,OR($L3370=$O$7,$M3370=$O$7)),"x","")</f>
        <v/>
      </c>
      <c r="P3370" s="52" t="str">
        <f>IF(AND($L3370=$O$7,$B3370&lt;'111'!$N$11),"x","")</f>
        <v/>
      </c>
      <c r="Q3370" s="52" t="str">
        <f>IF(AND($M3370=$O$7,$B3370&lt;'111'!$N$11),"x","")</f>
        <v/>
      </c>
      <c r="R3370" s="52" t="str">
        <f>IF(ISERROR(FIND('112'!$M$9,G3370,1)),"",IF((AND(FIND('112'!$M$9,G3370,1)&gt;=1,$B3370&gt;='112'!$N$8,$B3370&lt;='112'!$O$8,OR($L3370='112'!$I$6,$M3370='112'!$I$6))),"x",""))</f>
        <v/>
      </c>
      <c r="S3370" s="52" t="str">
        <f>IF(ISERROR(FIND('112'!$M$9,G3370,1)),"",IF((AND(LEFT(G3370,2)=LEFT('112'!$M$9,2),B3370&lt;'112'!$N$8,$L3370='112'!$I$6)),"x",""))</f>
        <v/>
      </c>
      <c r="T3370" s="52" t="str">
        <f>IF(ISERROR(FIND('112'!$M$9,G3370,1)),"",IF((AND(RIGHT(G3370,2)=RIGHT('112'!$M$9,2),B3370&lt;'112'!$N$8,$M3370='112'!$I$6)),"x",""))</f>
        <v/>
      </c>
      <c r="U3370" s="52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>x</v>
      </c>
      <c r="AA3370" s="826"/>
    </row>
    <row r="3371" spans="1:27" ht="15.75" customHeight="1">
      <c r="A3371" s="827" t="str">
        <f>IF(B3371&lt;&gt;"",IF(AND(B3371&gt;=_TM1,B3371&lt;=_TM2,OR(TH!L3371="1111",TH!M3371="1111")),TH!D3371,""),"")</f>
        <v/>
      </c>
      <c r="B3371" s="36">
        <f t="shared" si="440"/>
        <v>8</v>
      </c>
      <c r="C3371" s="190">
        <f t="shared" si="441"/>
        <v>42598</v>
      </c>
      <c r="D3371" s="856" t="s">
        <v>1662</v>
      </c>
      <c r="E3371" s="906">
        <v>42598</v>
      </c>
      <c r="F3371" s="868" t="s">
        <v>1485</v>
      </c>
      <c r="G3371" s="831" t="s">
        <v>1514</v>
      </c>
      <c r="H3371" s="859" t="s">
        <v>1310</v>
      </c>
      <c r="I3371" s="251">
        <v>210</v>
      </c>
      <c r="J3371" s="251">
        <v>39518.319092762074</v>
      </c>
      <c r="K3371" s="860">
        <f t="shared" si="442"/>
        <v>8298847</v>
      </c>
      <c r="L3371" s="861" t="s">
        <v>162</v>
      </c>
      <c r="M3371" s="861" t="s">
        <v>857</v>
      </c>
      <c r="N3371" s="52" t="str">
        <f>IF(AND('331-CT'!$E$7=TH!H3371,OR(L3371="331",M3371="331")),"331",IF(AND(OR(L3371="131",M3371="131"),H3371='131-CT'!$E$7),"131",""))</f>
        <v/>
      </c>
      <c r="O3371" s="52" t="str">
        <f>IF(AND($B3371&gt;='111'!$N$11,$B3371&lt;='111'!$O$11,OR($L3371=$O$7,$M3371=$O$7)),"x","")</f>
        <v/>
      </c>
      <c r="P3371" s="52" t="str">
        <f>IF(AND($L3371=$O$7,$B3371&lt;'111'!$N$11),"x","")</f>
        <v/>
      </c>
      <c r="Q3371" s="52" t="str">
        <f>IF(AND($M3371=$O$7,$B3371&lt;'111'!$N$11),"x","")</f>
        <v/>
      </c>
      <c r="R3371" s="52" t="str">
        <f>IF(ISERROR(FIND('112'!$M$9,G3371,1)),"",IF((AND(FIND('112'!$M$9,G3371,1)&gt;=1,$B3371&gt;='112'!$N$8,$B3371&lt;='112'!$O$8,OR($L3371='112'!$I$6,$M3371='112'!$I$6))),"x",""))</f>
        <v/>
      </c>
      <c r="S3371" s="52" t="str">
        <f>IF(ISERROR(FIND('112'!$M$9,G3371,1)),"",IF((AND(LEFT(G3371,2)=LEFT('112'!$M$9,2),B3371&lt;'112'!$N$8,$L3371='112'!$I$6)),"x",""))</f>
        <v/>
      </c>
      <c r="T3371" s="52" t="str">
        <f>IF(ISERROR(FIND('112'!$M$9,G3371,1)),"",IF((AND(RIGHT(G3371,2)=RIGHT('112'!$M$9,2),B3371&lt;'112'!$N$8,$M3371='112'!$I$6)),"x",""))</f>
        <v/>
      </c>
      <c r="U3371" s="52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>x</v>
      </c>
      <c r="AA3371" s="826"/>
    </row>
    <row r="3372" spans="1:27" ht="15.75" customHeight="1">
      <c r="A3372" s="827" t="str">
        <f>IF(B3372&lt;&gt;"",IF(AND(B3372&gt;=_TM1,B3372&lt;=_TM2,OR(TH!L3372="1111",TH!M3372="1111")),TH!D3372,""),"")</f>
        <v/>
      </c>
      <c r="B3372" s="36">
        <f t="shared" si="440"/>
        <v>8</v>
      </c>
      <c r="C3372" s="190">
        <f t="shared" si="441"/>
        <v>42598</v>
      </c>
      <c r="D3372" s="856" t="s">
        <v>1662</v>
      </c>
      <c r="E3372" s="906">
        <v>42598</v>
      </c>
      <c r="F3372" s="49" t="s">
        <v>1517</v>
      </c>
      <c r="G3372" s="831" t="s">
        <v>1516</v>
      </c>
      <c r="H3372" s="859" t="s">
        <v>1310</v>
      </c>
      <c r="I3372" s="251">
        <v>700</v>
      </c>
      <c r="J3372" s="251">
        <v>4751.6857594287358</v>
      </c>
      <c r="K3372" s="860">
        <f t="shared" si="442"/>
        <v>3326180</v>
      </c>
      <c r="L3372" s="861" t="s">
        <v>162</v>
      </c>
      <c r="M3372" s="861" t="s">
        <v>857</v>
      </c>
      <c r="N3372" s="52" t="str">
        <f>IF(AND('331-CT'!$E$7=TH!H3372,OR(L3372="331",M3372="331")),"331",IF(AND(OR(L3372="131",M3372="131"),H3372='131-CT'!$E$7),"131",""))</f>
        <v/>
      </c>
      <c r="O3372" s="52" t="str">
        <f>IF(AND($B3372&gt;='111'!$N$11,$B3372&lt;='111'!$O$11,OR($L3372=$O$7,$M3372=$O$7)),"x","")</f>
        <v/>
      </c>
      <c r="P3372" s="52" t="str">
        <f>IF(AND($L3372=$O$7,$B3372&lt;'111'!$N$11),"x","")</f>
        <v/>
      </c>
      <c r="Q3372" s="52" t="str">
        <f>IF(AND($M3372=$O$7,$B3372&lt;'111'!$N$11),"x","")</f>
        <v/>
      </c>
      <c r="R3372" s="52" t="str">
        <f>IF(ISERROR(FIND('112'!$M$9,G3372,1)),"",IF((AND(FIND('112'!$M$9,G3372,1)&gt;=1,$B3372&gt;='112'!$N$8,$B3372&lt;='112'!$O$8,OR($L3372='112'!$I$6,$M3372='112'!$I$6))),"x",""))</f>
        <v/>
      </c>
      <c r="S3372" s="52" t="str">
        <f>IF(ISERROR(FIND('112'!$M$9,G3372,1)),"",IF((AND(LEFT(G3372,2)=LEFT('112'!$M$9,2),B3372&lt;'112'!$N$8,$L3372='112'!$I$6)),"x",""))</f>
        <v/>
      </c>
      <c r="T3372" s="52" t="str">
        <f>IF(ISERROR(FIND('112'!$M$9,G3372,1)),"",IF((AND(RIGHT(G3372,2)=RIGHT('112'!$M$9,2),B3372&lt;'112'!$N$8,$M3372='112'!$I$6)),"x",""))</f>
        <v/>
      </c>
      <c r="U3372" s="52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>x</v>
      </c>
      <c r="AA3372" s="826"/>
    </row>
    <row r="3373" spans="1:27" ht="15.75" customHeight="1">
      <c r="A3373" s="827" t="str">
        <f>IF(B3373&lt;&gt;"",IF(AND(B3373&gt;=_TM1,B3373&lt;=_TM2,OR(TH!L3373="1111",TH!M3373="1111")),TH!D3373,""),"")</f>
        <v/>
      </c>
      <c r="B3373" s="36">
        <f t="shared" si="440"/>
        <v>8</v>
      </c>
      <c r="C3373" s="190">
        <f t="shared" si="441"/>
        <v>42601</v>
      </c>
      <c r="D3373" s="856" t="s">
        <v>1662</v>
      </c>
      <c r="E3373" s="906">
        <v>42601</v>
      </c>
      <c r="F3373" s="868" t="s">
        <v>812</v>
      </c>
      <c r="G3373" s="831" t="s">
        <v>1522</v>
      </c>
      <c r="H3373" s="859" t="s">
        <v>1310</v>
      </c>
      <c r="I3373" s="251">
        <v>1990</v>
      </c>
      <c r="J3373" s="251">
        <v>25286.457403362692</v>
      </c>
      <c r="K3373" s="860">
        <f t="shared" si="442"/>
        <v>50320050</v>
      </c>
      <c r="L3373" s="861" t="s">
        <v>162</v>
      </c>
      <c r="M3373" s="861" t="s">
        <v>857</v>
      </c>
      <c r="N3373" s="52" t="str">
        <f>IF(AND('331-CT'!$E$7=TH!H3373,OR(L3373="331",M3373="331")),"331",IF(AND(OR(L3373="131",M3373="131"),H3373='131-CT'!$E$7),"131",""))</f>
        <v/>
      </c>
      <c r="O3373" s="52" t="str">
        <f>IF(AND($B3373&gt;='111'!$N$11,$B3373&lt;='111'!$O$11,OR($L3373=$O$7,$M3373=$O$7)),"x","")</f>
        <v/>
      </c>
      <c r="P3373" s="52" t="str">
        <f>IF(AND($L3373=$O$7,$B3373&lt;'111'!$N$11),"x","")</f>
        <v/>
      </c>
      <c r="Q3373" s="52" t="str">
        <f>IF(AND($M3373=$O$7,$B3373&lt;'111'!$N$11),"x","")</f>
        <v/>
      </c>
      <c r="R3373" s="52" t="str">
        <f>IF(ISERROR(FIND('112'!$M$9,G3373,1)),"",IF((AND(FIND('112'!$M$9,G3373,1)&gt;=1,$B3373&gt;='112'!$N$8,$B3373&lt;='112'!$O$8,OR($L3373='112'!$I$6,$M3373='112'!$I$6))),"x",""))</f>
        <v/>
      </c>
      <c r="S3373" s="52" t="str">
        <f>IF(ISERROR(FIND('112'!$M$9,G3373,1)),"",IF((AND(LEFT(G3373,2)=LEFT('112'!$M$9,2),B3373&lt;'112'!$N$8,$L3373='112'!$I$6)),"x",""))</f>
        <v/>
      </c>
      <c r="T3373" s="52" t="str">
        <f>IF(ISERROR(FIND('112'!$M$9,G3373,1)),"",IF((AND(RIGHT(G3373,2)=RIGHT('112'!$M$9,2),B3373&lt;'112'!$N$8,$M3373='112'!$I$6)),"x",""))</f>
        <v/>
      </c>
      <c r="U3373" s="52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>x</v>
      </c>
      <c r="AA3373" s="826"/>
    </row>
    <row r="3374" spans="1:27" ht="15.75" customHeight="1">
      <c r="A3374" s="827" t="str">
        <f>IF(B3374&lt;&gt;"",IF(AND(B3374&gt;=_TM1,B3374&lt;=_TM2,OR(TH!L3374="1111",TH!M3374="1111")),TH!D3374,""),"")</f>
        <v/>
      </c>
      <c r="B3374" s="36">
        <f t="shared" si="440"/>
        <v>8</v>
      </c>
      <c r="C3374" s="190">
        <f t="shared" si="441"/>
        <v>42602</v>
      </c>
      <c r="D3374" s="856" t="s">
        <v>1662</v>
      </c>
      <c r="E3374" s="906">
        <v>42602</v>
      </c>
      <c r="F3374" s="49" t="s">
        <v>1481</v>
      </c>
      <c r="G3374" s="831" t="s">
        <v>1525</v>
      </c>
      <c r="H3374" s="859" t="s">
        <v>1310</v>
      </c>
      <c r="I3374" s="251">
        <v>5000</v>
      </c>
      <c r="J3374" s="251">
        <v>9054.5614737144497</v>
      </c>
      <c r="K3374" s="860">
        <f t="shared" si="442"/>
        <v>45272807</v>
      </c>
      <c r="L3374" s="861" t="s">
        <v>162</v>
      </c>
      <c r="M3374" s="861" t="s">
        <v>857</v>
      </c>
      <c r="N3374" s="52" t="str">
        <f>IF(AND('331-CT'!$E$7=TH!H3374,OR(L3374="331",M3374="331")),"331",IF(AND(OR(L3374="131",M3374="131"),H3374='131-CT'!$E$7),"131",""))</f>
        <v/>
      </c>
      <c r="O3374" s="52" t="str">
        <f>IF(AND($B3374&gt;='111'!$N$11,$B3374&lt;='111'!$O$11,OR($L3374=$O$7,$M3374=$O$7)),"x","")</f>
        <v/>
      </c>
      <c r="P3374" s="52" t="str">
        <f>IF(AND($L3374=$O$7,$B3374&lt;'111'!$N$11),"x","")</f>
        <v/>
      </c>
      <c r="Q3374" s="52" t="str">
        <f>IF(AND($M3374=$O$7,$B3374&lt;'111'!$N$11),"x","")</f>
        <v/>
      </c>
      <c r="R3374" s="52" t="str">
        <f>IF(ISERROR(FIND('112'!$M$9,G3374,1)),"",IF((AND(FIND('112'!$M$9,G3374,1)&gt;=1,$B3374&gt;='112'!$N$8,$B3374&lt;='112'!$O$8,OR($L3374='112'!$I$6,$M3374='112'!$I$6))),"x",""))</f>
        <v/>
      </c>
      <c r="S3374" s="52" t="str">
        <f>IF(ISERROR(FIND('112'!$M$9,G3374,1)),"",IF((AND(LEFT(G3374,2)=LEFT('112'!$M$9,2),B3374&lt;'112'!$N$8,$L3374='112'!$I$6)),"x",""))</f>
        <v/>
      </c>
      <c r="T3374" s="52" t="str">
        <f>IF(ISERROR(FIND('112'!$M$9,G3374,1)),"",IF((AND(RIGHT(G3374,2)=RIGHT('112'!$M$9,2),B3374&lt;'112'!$N$8,$M3374='112'!$I$6)),"x",""))</f>
        <v/>
      </c>
      <c r="U3374" s="52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>x</v>
      </c>
      <c r="AA3374" s="826"/>
    </row>
    <row r="3375" spans="1:27" ht="15.75" customHeight="1">
      <c r="A3375" s="827" t="str">
        <f>IF(B3375&lt;&gt;"",IF(AND(B3375&gt;=_TM1,B3375&lt;=_TM2,OR(TH!L3375="1111",TH!M3375="1111")),TH!D3375,""),"")</f>
        <v/>
      </c>
      <c r="B3375" s="36">
        <f t="shared" si="440"/>
        <v>8</v>
      </c>
      <c r="C3375" s="190">
        <f t="shared" si="441"/>
        <v>42604</v>
      </c>
      <c r="D3375" s="856" t="s">
        <v>1662</v>
      </c>
      <c r="E3375" s="906">
        <v>42604</v>
      </c>
      <c r="F3375" s="868" t="s">
        <v>1178</v>
      </c>
      <c r="G3375" s="831" t="s">
        <v>1526</v>
      </c>
      <c r="H3375" s="859" t="s">
        <v>1310</v>
      </c>
      <c r="I3375" s="251">
        <v>1500</v>
      </c>
      <c r="J3375" s="251">
        <v>34634.005473714453</v>
      </c>
      <c r="K3375" s="860">
        <f t="shared" si="442"/>
        <v>51951008</v>
      </c>
      <c r="L3375" s="861" t="s">
        <v>162</v>
      </c>
      <c r="M3375" s="861" t="s">
        <v>857</v>
      </c>
      <c r="N3375" s="52" t="str">
        <f>IF(AND('331-CT'!$E$7=TH!H3375,OR(L3375="331",M3375="331")),"331",IF(AND(OR(L3375="131",M3375="131"),H3375='131-CT'!$E$7),"131",""))</f>
        <v/>
      </c>
      <c r="O3375" s="52" t="str">
        <f>IF(AND($B3375&gt;='111'!$N$11,$B3375&lt;='111'!$O$11,OR($L3375=$O$7,$M3375=$O$7)),"x","")</f>
        <v/>
      </c>
      <c r="P3375" s="52" t="str">
        <f>IF(AND($L3375=$O$7,$B3375&lt;'111'!$N$11),"x","")</f>
        <v/>
      </c>
      <c r="Q3375" s="52" t="str">
        <f>IF(AND($M3375=$O$7,$B3375&lt;'111'!$N$11),"x","")</f>
        <v/>
      </c>
      <c r="R3375" s="52" t="str">
        <f>IF(ISERROR(FIND('112'!$M$9,G3375,1)),"",IF((AND(FIND('112'!$M$9,G3375,1)&gt;=1,$B3375&gt;='112'!$N$8,$B3375&lt;='112'!$O$8,OR($L3375='112'!$I$6,$M3375='112'!$I$6))),"x",""))</f>
        <v/>
      </c>
      <c r="S3375" s="52" t="str">
        <f>IF(ISERROR(FIND('112'!$M$9,G3375,1)),"",IF((AND(LEFT(G3375,2)=LEFT('112'!$M$9,2),B3375&lt;'112'!$N$8,$L3375='112'!$I$6)),"x",""))</f>
        <v/>
      </c>
      <c r="T3375" s="52" t="str">
        <f>IF(ISERROR(FIND('112'!$M$9,G3375,1)),"",IF((AND(RIGHT(G3375,2)=RIGHT('112'!$M$9,2),B3375&lt;'112'!$N$8,$M3375='112'!$I$6)),"x",""))</f>
        <v/>
      </c>
      <c r="U3375" s="52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>x</v>
      </c>
      <c r="AA3375" s="826"/>
    </row>
    <row r="3376" spans="1:27" ht="15.75" customHeight="1">
      <c r="A3376" s="827" t="str">
        <f>IF(B3376&lt;&gt;"",IF(AND(B3376&gt;=_TM1,B3376&lt;=_TM2,OR(TH!L3376="1111",TH!M3376="1111")),TH!D3376,""),"")</f>
        <v/>
      </c>
      <c r="B3376" s="36">
        <f t="shared" si="440"/>
        <v>8</v>
      </c>
      <c r="C3376" s="190">
        <f t="shared" si="441"/>
        <v>42604</v>
      </c>
      <c r="D3376" s="856" t="s">
        <v>1662</v>
      </c>
      <c r="E3376" s="906">
        <v>42604</v>
      </c>
      <c r="F3376" s="49" t="s">
        <v>1179</v>
      </c>
      <c r="G3376" s="831" t="s">
        <v>1526</v>
      </c>
      <c r="H3376" s="859" t="s">
        <v>1310</v>
      </c>
      <c r="I3376" s="251">
        <v>1500</v>
      </c>
      <c r="J3376" s="251">
        <v>32010.711473714451</v>
      </c>
      <c r="K3376" s="860">
        <f t="shared" si="442"/>
        <v>48016067</v>
      </c>
      <c r="L3376" s="861" t="s">
        <v>162</v>
      </c>
      <c r="M3376" s="861" t="s">
        <v>857</v>
      </c>
      <c r="N3376" s="52" t="str">
        <f>IF(AND('331-CT'!$E$7=TH!H3376,OR(L3376="331",M3376="331")),"331",IF(AND(OR(L3376="131",M3376="131"),H3376='131-CT'!$E$7),"131",""))</f>
        <v/>
      </c>
      <c r="O3376" s="52" t="str">
        <f>IF(AND($B3376&gt;='111'!$N$11,$B3376&lt;='111'!$O$11,OR($L3376=$O$7,$M3376=$O$7)),"x","")</f>
        <v/>
      </c>
      <c r="P3376" s="52" t="str">
        <f>IF(AND($L3376=$O$7,$B3376&lt;'111'!$N$11),"x","")</f>
        <v/>
      </c>
      <c r="Q3376" s="52" t="str">
        <f>IF(AND($M3376=$O$7,$B3376&lt;'111'!$N$11),"x","")</f>
        <v/>
      </c>
      <c r="R3376" s="52" t="str">
        <f>IF(ISERROR(FIND('112'!$M$9,G3376,1)),"",IF((AND(FIND('112'!$M$9,G3376,1)&gt;=1,$B3376&gt;='112'!$N$8,$B3376&lt;='112'!$O$8,OR($L3376='112'!$I$6,$M3376='112'!$I$6))),"x",""))</f>
        <v/>
      </c>
      <c r="S3376" s="52" t="str">
        <f>IF(ISERROR(FIND('112'!$M$9,G3376,1)),"",IF((AND(LEFT(G3376,2)=LEFT('112'!$M$9,2),B3376&lt;'112'!$N$8,$L3376='112'!$I$6)),"x",""))</f>
        <v/>
      </c>
      <c r="T3376" s="52" t="str">
        <f>IF(ISERROR(FIND('112'!$M$9,G3376,1)),"",IF((AND(RIGHT(G3376,2)=RIGHT('112'!$M$9,2),B3376&lt;'112'!$N$8,$M3376='112'!$I$6)),"x",""))</f>
        <v/>
      </c>
      <c r="U3376" s="52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>x</v>
      </c>
      <c r="AA3376" s="826"/>
    </row>
    <row r="3377" spans="1:27" ht="15.75" customHeight="1">
      <c r="A3377" s="827" t="str">
        <f>IF(B3377&lt;&gt;"",IF(AND(B3377&gt;=_TM1,B3377&lt;=_TM2,OR(TH!L3377="1111",TH!M3377="1111")),TH!D3377,""),"")</f>
        <v/>
      </c>
      <c r="B3377" s="36">
        <f t="shared" si="440"/>
        <v>8</v>
      </c>
      <c r="C3377" s="190">
        <f t="shared" si="441"/>
        <v>42612</v>
      </c>
      <c r="D3377" s="856" t="s">
        <v>1662</v>
      </c>
      <c r="E3377" s="906">
        <v>42612</v>
      </c>
      <c r="F3377" s="49" t="s">
        <v>552</v>
      </c>
      <c r="G3377" s="831" t="s">
        <v>1537</v>
      </c>
      <c r="H3377" s="859" t="s">
        <v>1310</v>
      </c>
      <c r="I3377" s="251">
        <v>24</v>
      </c>
      <c r="J3377" s="251">
        <v>36371.93814038112</v>
      </c>
      <c r="K3377" s="860">
        <f t="shared" si="442"/>
        <v>872927</v>
      </c>
      <c r="L3377" s="861" t="s">
        <v>162</v>
      </c>
      <c r="M3377" s="861" t="s">
        <v>857</v>
      </c>
      <c r="N3377" s="52" t="str">
        <f>IF(AND('331-CT'!$E$7=TH!H3377,OR(L3377="331",M3377="331")),"331",IF(AND(OR(L3377="131",M3377="131"),H3377='131-CT'!$E$7),"131",""))</f>
        <v/>
      </c>
      <c r="O3377" s="52" t="str">
        <f>IF(AND($B3377&gt;='111'!$N$11,$B3377&lt;='111'!$O$11,OR($L3377=$O$7,$M3377=$O$7)),"x","")</f>
        <v/>
      </c>
      <c r="P3377" s="52" t="str">
        <f>IF(AND($L3377=$O$7,$B3377&lt;'111'!$N$11),"x","")</f>
        <v/>
      </c>
      <c r="Q3377" s="52" t="str">
        <f>IF(AND($M3377=$O$7,$B3377&lt;'111'!$N$11),"x","")</f>
        <v/>
      </c>
      <c r="R3377" s="52" t="str">
        <f>IF(ISERROR(FIND('112'!$M$9,G3377,1)),"",IF((AND(FIND('112'!$M$9,G3377,1)&gt;=1,$B3377&gt;='112'!$N$8,$B3377&lt;='112'!$O$8,OR($L3377='112'!$I$6,$M3377='112'!$I$6))),"x",""))</f>
        <v/>
      </c>
      <c r="S3377" s="52" t="str">
        <f>IF(ISERROR(FIND('112'!$M$9,G3377,1)),"",IF((AND(LEFT(G3377,2)=LEFT('112'!$M$9,2),B3377&lt;'112'!$N$8,$L3377='112'!$I$6)),"x",""))</f>
        <v/>
      </c>
      <c r="T3377" s="52" t="str">
        <f>IF(ISERROR(FIND('112'!$M$9,G3377,1)),"",IF((AND(RIGHT(G3377,2)=RIGHT('112'!$M$9,2),B3377&lt;'112'!$N$8,$M3377='112'!$I$6)),"x",""))</f>
        <v/>
      </c>
      <c r="U3377" s="52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>x</v>
      </c>
      <c r="AA3377" s="826"/>
    </row>
    <row r="3378" spans="1:27" ht="15.75" customHeight="1">
      <c r="A3378" s="827" t="str">
        <f>IF(B3378&lt;&gt;"",IF(AND(B3378&gt;=_TM1,B3378&lt;=_TM2,OR(TH!L3378="1111",TH!M3378="1111")),TH!D3378,""),"")</f>
        <v/>
      </c>
      <c r="B3378" s="36">
        <f t="shared" si="440"/>
        <v>9</v>
      </c>
      <c r="C3378" s="190">
        <f t="shared" si="441"/>
        <v>42619</v>
      </c>
      <c r="D3378" s="856" t="s">
        <v>1662</v>
      </c>
      <c r="E3378" s="906">
        <v>42619</v>
      </c>
      <c r="F3378" s="868" t="s">
        <v>1669</v>
      </c>
      <c r="G3378" s="831" t="s">
        <v>1668</v>
      </c>
      <c r="H3378" s="859" t="s">
        <v>1310</v>
      </c>
      <c r="I3378" s="251">
        <v>500</v>
      </c>
      <c r="J3378" s="251">
        <v>16102</v>
      </c>
      <c r="K3378" s="860">
        <f t="shared" si="442"/>
        <v>8051000</v>
      </c>
      <c r="L3378" s="861" t="s">
        <v>162</v>
      </c>
      <c r="M3378" s="861" t="s">
        <v>857</v>
      </c>
      <c r="N3378" s="52" t="str">
        <f>IF(AND('331-CT'!$E$7=TH!H3378,OR(L3378="331",M3378="331")),"331",IF(AND(OR(L3378="131",M3378="131"),H3378='131-CT'!$E$7),"131",""))</f>
        <v/>
      </c>
      <c r="O3378" s="52" t="str">
        <f>IF(AND($B3378&gt;='111'!$N$11,$B3378&lt;='111'!$O$11,OR($L3378=$O$7,$M3378=$O$7)),"x","")</f>
        <v/>
      </c>
      <c r="P3378" s="52" t="str">
        <f>IF(AND($L3378=$O$7,$B3378&lt;'111'!$N$11),"x","")</f>
        <v/>
      </c>
      <c r="Q3378" s="52" t="str">
        <f>IF(AND($M3378=$O$7,$B3378&lt;'111'!$N$11),"x","")</f>
        <v/>
      </c>
      <c r="R3378" s="52" t="str">
        <f>IF(ISERROR(FIND('112'!$M$9,G3378,1)),"",IF((AND(FIND('112'!$M$9,G3378,1)&gt;=1,$B3378&gt;='112'!$N$8,$B3378&lt;='112'!$O$8,OR($L3378='112'!$I$6,$M3378='112'!$I$6))),"x",""))</f>
        <v/>
      </c>
      <c r="S3378" s="52" t="str">
        <f>IF(ISERROR(FIND('112'!$M$9,G3378,1)),"",IF((AND(LEFT(G3378,2)=LEFT('112'!$M$9,2),B3378&lt;'112'!$N$8,$L3378='112'!$I$6)),"x",""))</f>
        <v/>
      </c>
      <c r="T3378" s="52" t="str">
        <f>IF(ISERROR(FIND('112'!$M$9,G3378,1)),"",IF((AND(RIGHT(G3378,2)=RIGHT('112'!$M$9,2),B3378&lt;'112'!$N$8,$M3378='112'!$I$6)),"x",""))</f>
        <v/>
      </c>
      <c r="U3378" s="52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>x</v>
      </c>
      <c r="AA3378" s="826"/>
    </row>
    <row r="3379" spans="1:27" ht="15.75" customHeight="1">
      <c r="A3379" s="827" t="str">
        <f>IF(B3379&lt;&gt;"",IF(AND(B3379&gt;=_TM1,B3379&lt;=_TM2,OR(TH!L3379="1111",TH!M3379="1111")),TH!D3379,""),"")</f>
        <v/>
      </c>
      <c r="B3379" s="36">
        <f t="shared" si="440"/>
        <v>9</v>
      </c>
      <c r="C3379" s="190">
        <f t="shared" si="441"/>
        <v>42622</v>
      </c>
      <c r="D3379" s="856" t="s">
        <v>1662</v>
      </c>
      <c r="E3379" s="906">
        <v>42622</v>
      </c>
      <c r="F3379" s="49" t="s">
        <v>451</v>
      </c>
      <c r="G3379" s="831" t="s">
        <v>1671</v>
      </c>
      <c r="H3379" s="859" t="s">
        <v>1310</v>
      </c>
      <c r="I3379" s="251">
        <v>1000</v>
      </c>
      <c r="J3379" s="251">
        <v>9975</v>
      </c>
      <c r="K3379" s="860">
        <f t="shared" si="442"/>
        <v>9975000</v>
      </c>
      <c r="L3379" s="861" t="s">
        <v>162</v>
      </c>
      <c r="M3379" s="861" t="s">
        <v>857</v>
      </c>
      <c r="N3379" s="52" t="str">
        <f>IF(AND('331-CT'!$E$7=TH!H3379,OR(L3379="331",M3379="331")),"331",IF(AND(OR(L3379="131",M3379="131"),H3379='131-CT'!$E$7),"131",""))</f>
        <v/>
      </c>
      <c r="O3379" s="52" t="str">
        <f>IF(AND($B3379&gt;='111'!$N$11,$B3379&lt;='111'!$O$11,OR($L3379=$O$7,$M3379=$O$7)),"x","")</f>
        <v/>
      </c>
      <c r="P3379" s="52" t="str">
        <f>IF(AND($L3379=$O$7,$B3379&lt;'111'!$N$11),"x","")</f>
        <v/>
      </c>
      <c r="Q3379" s="52" t="str">
        <f>IF(AND($M3379=$O$7,$B3379&lt;'111'!$N$11),"x","")</f>
        <v/>
      </c>
      <c r="R3379" s="52" t="str">
        <f>IF(ISERROR(FIND('112'!$M$9,G3379,1)),"",IF((AND(FIND('112'!$M$9,G3379,1)&gt;=1,$B3379&gt;='112'!$N$8,$B3379&lt;='112'!$O$8,OR($L3379='112'!$I$6,$M3379='112'!$I$6))),"x",""))</f>
        <v/>
      </c>
      <c r="S3379" s="52" t="str">
        <f>IF(ISERROR(FIND('112'!$M$9,G3379,1)),"",IF((AND(LEFT(G3379,2)=LEFT('112'!$M$9,2),B3379&lt;'112'!$N$8,$L3379='112'!$I$6)),"x",""))</f>
        <v/>
      </c>
      <c r="T3379" s="52" t="str">
        <f>IF(ISERROR(FIND('112'!$M$9,G3379,1)),"",IF((AND(RIGHT(G3379,2)=RIGHT('112'!$M$9,2),B3379&lt;'112'!$N$8,$M3379='112'!$I$6)),"x",""))</f>
        <v/>
      </c>
      <c r="U3379" s="52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>x</v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>x</v>
      </c>
      <c r="AA3379" s="826"/>
    </row>
    <row r="3380" spans="1:27" ht="15.75" customHeight="1">
      <c r="A3380" s="827" t="str">
        <f>IF(B3380&lt;&gt;"",IF(AND(B3380&gt;=_TM1,B3380&lt;=_TM2,OR(TH!L3380="1111",TH!M3380="1111")),TH!D3380,""),"")</f>
        <v/>
      </c>
      <c r="B3380" s="36">
        <f t="shared" si="440"/>
        <v>9</v>
      </c>
      <c r="C3380" s="190">
        <f t="shared" si="441"/>
        <v>42625</v>
      </c>
      <c r="D3380" s="856" t="s">
        <v>1662</v>
      </c>
      <c r="E3380" s="906">
        <v>42625</v>
      </c>
      <c r="F3380" s="868" t="s">
        <v>1677</v>
      </c>
      <c r="G3380" s="831" t="s">
        <v>1676</v>
      </c>
      <c r="H3380" s="859" t="s">
        <v>1310</v>
      </c>
      <c r="I3380" s="251">
        <v>1000</v>
      </c>
      <c r="J3380" s="251">
        <v>16806</v>
      </c>
      <c r="K3380" s="860">
        <f t="shared" si="442"/>
        <v>16806000</v>
      </c>
      <c r="L3380" s="861" t="s">
        <v>162</v>
      </c>
      <c r="M3380" s="861" t="s">
        <v>857</v>
      </c>
      <c r="N3380" s="52" t="str">
        <f>IF(AND('331-CT'!$E$7=TH!H3380,OR(L3380="331",M3380="331")),"331",IF(AND(OR(L3380="131",M3380="131"),H3380='131-CT'!$E$7),"131",""))</f>
        <v/>
      </c>
      <c r="O3380" s="52" t="str">
        <f>IF(AND($B3380&gt;='111'!$N$11,$B3380&lt;='111'!$O$11,OR($L3380=$O$7,$M3380=$O$7)),"x","")</f>
        <v/>
      </c>
      <c r="P3380" s="52" t="str">
        <f>IF(AND($L3380=$O$7,$B3380&lt;'111'!$N$11),"x","")</f>
        <v/>
      </c>
      <c r="Q3380" s="52" t="str">
        <f>IF(AND($M3380=$O$7,$B3380&lt;'111'!$N$11),"x","")</f>
        <v/>
      </c>
      <c r="R3380" s="52" t="str">
        <f>IF(ISERROR(FIND('112'!$M$9,G3380,1)),"",IF((AND(FIND('112'!$M$9,G3380,1)&gt;=1,$B3380&gt;='112'!$N$8,$B3380&lt;='112'!$O$8,OR($L3380='112'!$I$6,$M3380='112'!$I$6))),"x",""))</f>
        <v/>
      </c>
      <c r="S3380" s="52" t="str">
        <f>IF(ISERROR(FIND('112'!$M$9,G3380,1)),"",IF((AND(LEFT(G3380,2)=LEFT('112'!$M$9,2),B3380&lt;'112'!$N$8,$L3380='112'!$I$6)),"x",""))</f>
        <v/>
      </c>
      <c r="T3380" s="52" t="str">
        <f>IF(ISERROR(FIND('112'!$M$9,G3380,1)),"",IF((AND(RIGHT(G3380,2)=RIGHT('112'!$M$9,2),B3380&lt;'112'!$N$8,$M3380='112'!$I$6)),"x",""))</f>
        <v/>
      </c>
      <c r="U3380" s="52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>x</v>
      </c>
      <c r="AA3380" s="826"/>
    </row>
    <row r="3381" spans="1:27" ht="15.75" customHeight="1">
      <c r="A3381" s="827" t="str">
        <f>IF(B3381&lt;&gt;"",IF(AND(B3381&gt;=_TM1,B3381&lt;=_TM2,OR(TH!L3381="1111",TH!M3381="1111")),TH!D3381,""),"")</f>
        <v/>
      </c>
      <c r="B3381" s="36">
        <f t="shared" si="440"/>
        <v>9</v>
      </c>
      <c r="C3381" s="190">
        <f t="shared" si="441"/>
        <v>42626</v>
      </c>
      <c r="D3381" s="856" t="s">
        <v>1662</v>
      </c>
      <c r="E3381" s="906">
        <v>42626</v>
      </c>
      <c r="F3381" s="49" t="s">
        <v>451</v>
      </c>
      <c r="G3381" s="831" t="s">
        <v>1678</v>
      </c>
      <c r="H3381" s="859" t="s">
        <v>1310</v>
      </c>
      <c r="I3381" s="251">
        <v>490</v>
      </c>
      <c r="J3381" s="251">
        <v>9975</v>
      </c>
      <c r="K3381" s="860">
        <f t="shared" si="442"/>
        <v>4887750</v>
      </c>
      <c r="L3381" s="861" t="s">
        <v>162</v>
      </c>
      <c r="M3381" s="861" t="s">
        <v>857</v>
      </c>
      <c r="N3381" s="52" t="str">
        <f>IF(AND('331-CT'!$E$7=TH!H3381,OR(L3381="331",M3381="331")),"331",IF(AND(OR(L3381="131",M3381="131"),H3381='131-CT'!$E$7),"131",""))</f>
        <v/>
      </c>
      <c r="O3381" s="52" t="str">
        <f>IF(AND($B3381&gt;='111'!$N$11,$B3381&lt;='111'!$O$11,OR($L3381=$O$7,$M3381=$O$7)),"x","")</f>
        <v/>
      </c>
      <c r="P3381" s="52" t="str">
        <f>IF(AND($L3381=$O$7,$B3381&lt;'111'!$N$11),"x","")</f>
        <v/>
      </c>
      <c r="Q3381" s="52" t="str">
        <f>IF(AND($M3381=$O$7,$B3381&lt;'111'!$N$11),"x","")</f>
        <v/>
      </c>
      <c r="R3381" s="52" t="str">
        <f>IF(ISERROR(FIND('112'!$M$9,G3381,1)),"",IF((AND(FIND('112'!$M$9,G3381,1)&gt;=1,$B3381&gt;='112'!$N$8,$B3381&lt;='112'!$O$8,OR($L3381='112'!$I$6,$M3381='112'!$I$6))),"x",""))</f>
        <v/>
      </c>
      <c r="S3381" s="52" t="str">
        <f>IF(ISERROR(FIND('112'!$M$9,G3381,1)),"",IF((AND(LEFT(G3381,2)=LEFT('112'!$M$9,2),B3381&lt;'112'!$N$8,$L3381='112'!$I$6)),"x",""))</f>
        <v/>
      </c>
      <c r="T3381" s="52" t="str">
        <f>IF(ISERROR(FIND('112'!$M$9,G3381,1)),"",IF((AND(RIGHT(G3381,2)=RIGHT('112'!$M$9,2),B3381&lt;'112'!$N$8,$M3381='112'!$I$6)),"x",""))</f>
        <v/>
      </c>
      <c r="U3381" s="52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>x</v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>x</v>
      </c>
      <c r="AA3381" s="826"/>
    </row>
    <row r="3382" spans="1:27" ht="15.75" customHeight="1">
      <c r="A3382" s="827" t="str">
        <f>IF(B3382&lt;&gt;"",IF(AND(B3382&gt;=_TM1,B3382&lt;=_TM2,OR(TH!L3382="1111",TH!M3382="1111")),TH!D3382,""),"")</f>
        <v/>
      </c>
      <c r="B3382" s="36">
        <f t="shared" si="440"/>
        <v>9</v>
      </c>
      <c r="C3382" s="190">
        <f t="shared" si="441"/>
        <v>42629</v>
      </c>
      <c r="D3382" s="856" t="s">
        <v>1662</v>
      </c>
      <c r="E3382" s="906">
        <v>42629</v>
      </c>
      <c r="F3382" s="49" t="s">
        <v>1682</v>
      </c>
      <c r="G3382" s="831" t="s">
        <v>1679</v>
      </c>
      <c r="H3382" s="859" t="s">
        <v>1310</v>
      </c>
      <c r="I3382" s="251">
        <v>6</v>
      </c>
      <c r="J3382" s="251">
        <v>42719</v>
      </c>
      <c r="K3382" s="860">
        <f t="shared" si="442"/>
        <v>256314</v>
      </c>
      <c r="L3382" s="861" t="s">
        <v>162</v>
      </c>
      <c r="M3382" s="861" t="s">
        <v>857</v>
      </c>
      <c r="N3382" s="52" t="str">
        <f>IF(AND('331-CT'!$E$7=TH!H3382,OR(L3382="331",M3382="331")),"331",IF(AND(OR(L3382="131",M3382="131"),H3382='131-CT'!$E$7),"131",""))</f>
        <v/>
      </c>
      <c r="O3382" s="52" t="str">
        <f>IF(AND($B3382&gt;='111'!$N$11,$B3382&lt;='111'!$O$11,OR($L3382=$O$7,$M3382=$O$7)),"x","")</f>
        <v/>
      </c>
      <c r="P3382" s="52" t="str">
        <f>IF(AND($L3382=$O$7,$B3382&lt;'111'!$N$11),"x","")</f>
        <v/>
      </c>
      <c r="Q3382" s="52" t="str">
        <f>IF(AND($M3382=$O$7,$B3382&lt;'111'!$N$11),"x","")</f>
        <v/>
      </c>
      <c r="R3382" s="52" t="str">
        <f>IF(ISERROR(FIND('112'!$M$9,G3382,1)),"",IF((AND(FIND('112'!$M$9,G3382,1)&gt;=1,$B3382&gt;='112'!$N$8,$B3382&lt;='112'!$O$8,OR($L3382='112'!$I$6,$M3382='112'!$I$6))),"x",""))</f>
        <v/>
      </c>
      <c r="S3382" s="52" t="str">
        <f>IF(ISERROR(FIND('112'!$M$9,G3382,1)),"",IF((AND(LEFT(G3382,2)=LEFT('112'!$M$9,2),B3382&lt;'112'!$N$8,$L3382='112'!$I$6)),"x",""))</f>
        <v/>
      </c>
      <c r="T3382" s="52" t="str">
        <f>IF(ISERROR(FIND('112'!$M$9,G3382,1)),"",IF((AND(RIGHT(G3382,2)=RIGHT('112'!$M$9,2),B3382&lt;'112'!$N$8,$M3382='112'!$I$6)),"x",""))</f>
        <v/>
      </c>
      <c r="U3382" s="52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>x</v>
      </c>
      <c r="AA3382" s="826"/>
    </row>
    <row r="3383" spans="1:27" ht="15.75" customHeight="1">
      <c r="A3383" s="827" t="str">
        <f>IF(B3383&lt;&gt;"",IF(AND(B3383&gt;=_TM1,B3383&lt;=_TM2,OR(TH!L3383="1111",TH!M3383="1111")),TH!D3383,""),"")</f>
        <v/>
      </c>
      <c r="B3383" s="36">
        <f t="shared" si="430"/>
        <v>9</v>
      </c>
      <c r="C3383" s="190">
        <f t="shared" si="428"/>
        <v>42629</v>
      </c>
      <c r="D3383" s="856" t="s">
        <v>1662</v>
      </c>
      <c r="E3383" s="906">
        <v>42629</v>
      </c>
      <c r="F3383" s="868" t="s">
        <v>1683</v>
      </c>
      <c r="G3383" s="831" t="s">
        <v>1679</v>
      </c>
      <c r="H3383" s="859" t="s">
        <v>1310</v>
      </c>
      <c r="I3383" s="251">
        <v>1</v>
      </c>
      <c r="J3383" s="251">
        <v>61456</v>
      </c>
      <c r="K3383" s="860">
        <f t="shared" si="429"/>
        <v>61456</v>
      </c>
      <c r="L3383" s="861" t="s">
        <v>162</v>
      </c>
      <c r="M3383" s="861" t="s">
        <v>857</v>
      </c>
      <c r="N3383" s="52" t="str">
        <f>IF(AND('331-CT'!$E$7=TH!H3383,OR(L3383="331",M3383="331")),"331",IF(AND(OR(L3383="131",M3383="131"),H3383='131-CT'!$E$7),"131",""))</f>
        <v/>
      </c>
      <c r="O3383" s="52" t="str">
        <f>IF(AND($B3383&gt;='111'!$N$11,$B3383&lt;='111'!$O$11,OR($L3383=$O$7,$M3383=$O$7)),"x","")</f>
        <v/>
      </c>
      <c r="P3383" s="52" t="str">
        <f>IF(AND($L3383=$O$7,$B3383&lt;'111'!$N$11),"x","")</f>
        <v/>
      </c>
      <c r="Q3383" s="52" t="str">
        <f>IF(AND($M3383=$O$7,$B3383&lt;'111'!$N$11),"x","")</f>
        <v/>
      </c>
      <c r="R3383" s="52" t="str">
        <f>IF(ISERROR(FIND('112'!$M$9,G3383,1)),"",IF((AND(FIND('112'!$M$9,G3383,1)&gt;=1,$B3383&gt;='112'!$N$8,$B3383&lt;='112'!$O$8,OR($L3383='112'!$I$6,$M3383='112'!$I$6))),"x",""))</f>
        <v/>
      </c>
      <c r="S3383" s="52" t="str">
        <f>IF(ISERROR(FIND('112'!$M$9,G3383,1)),"",IF((AND(LEFT(G3383,2)=LEFT('112'!$M$9,2),B3383&lt;'112'!$N$8,$L3383='112'!$I$6)),"x",""))</f>
        <v/>
      </c>
      <c r="T3383" s="52" t="str">
        <f>IF(ISERROR(FIND('112'!$M$9,G3383,1)),"",IF((AND(RIGHT(G3383,2)=RIGHT('112'!$M$9,2),B3383&lt;'112'!$N$8,$M3383='112'!$I$6)),"x",""))</f>
        <v/>
      </c>
      <c r="U3383" s="52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>x</v>
      </c>
      <c r="AA3383" s="826"/>
    </row>
    <row r="3384" spans="1:27" ht="15.75" customHeight="1">
      <c r="A3384" s="827" t="str">
        <f>IF(B3384&lt;&gt;"",IF(AND(B3384&gt;=_TM1,B3384&lt;=_TM2,OR(TH!L3384="1111",TH!M3384="1111")),TH!D3384,""),"")</f>
        <v/>
      </c>
      <c r="B3384" s="36">
        <f t="shared" si="430"/>
        <v>9</v>
      </c>
      <c r="C3384" s="190">
        <f t="shared" si="428"/>
        <v>42629</v>
      </c>
      <c r="D3384" s="856" t="s">
        <v>1662</v>
      </c>
      <c r="E3384" s="906">
        <v>42629</v>
      </c>
      <c r="F3384" s="49" t="s">
        <v>1684</v>
      </c>
      <c r="G3384" s="831" t="s">
        <v>1679</v>
      </c>
      <c r="H3384" s="859" t="s">
        <v>1310</v>
      </c>
      <c r="I3384" s="251">
        <v>1</v>
      </c>
      <c r="J3384" s="251">
        <v>92950</v>
      </c>
      <c r="K3384" s="860">
        <f t="shared" si="429"/>
        <v>92950</v>
      </c>
      <c r="L3384" s="861" t="s">
        <v>162</v>
      </c>
      <c r="M3384" s="861" t="s">
        <v>857</v>
      </c>
      <c r="N3384" s="52" t="str">
        <f>IF(AND('331-CT'!$E$7=TH!H3384,OR(L3384="331",M3384="331")),"331",IF(AND(OR(L3384="131",M3384="131"),H3384='131-CT'!$E$7),"131",""))</f>
        <v/>
      </c>
      <c r="O3384" s="52" t="str">
        <f>IF(AND($B3384&gt;='111'!$N$11,$B3384&lt;='111'!$O$11,OR($L3384=$O$7,$M3384=$O$7)),"x","")</f>
        <v/>
      </c>
      <c r="P3384" s="52" t="str">
        <f>IF(AND($L3384=$O$7,$B3384&lt;'111'!$N$11),"x","")</f>
        <v/>
      </c>
      <c r="Q3384" s="52" t="str">
        <f>IF(AND($M3384=$O$7,$B3384&lt;'111'!$N$11),"x","")</f>
        <v/>
      </c>
      <c r="R3384" s="52" t="str">
        <f>IF(ISERROR(FIND('112'!$M$9,G3384,1)),"",IF((AND(FIND('112'!$M$9,G3384,1)&gt;=1,$B3384&gt;='112'!$N$8,$B3384&lt;='112'!$O$8,OR($L3384='112'!$I$6,$M3384='112'!$I$6))),"x",""))</f>
        <v/>
      </c>
      <c r="S3384" s="52" t="str">
        <f>IF(ISERROR(FIND('112'!$M$9,G3384,1)),"",IF((AND(LEFT(G3384,2)=LEFT('112'!$M$9,2),B3384&lt;'112'!$N$8,$L3384='112'!$I$6)),"x",""))</f>
        <v/>
      </c>
      <c r="T3384" s="52" t="str">
        <f>IF(ISERROR(FIND('112'!$M$9,G3384,1)),"",IF((AND(RIGHT(G3384,2)=RIGHT('112'!$M$9,2),B3384&lt;'112'!$N$8,$M3384='112'!$I$6)),"x",""))</f>
        <v/>
      </c>
      <c r="U3384" s="52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>x</v>
      </c>
      <c r="AA3384" s="826"/>
    </row>
    <row r="3385" spans="1:27" ht="15.75" customHeight="1">
      <c r="A3385" s="827" t="str">
        <f>IF(B3385&lt;&gt;"",IF(AND(B3385&gt;=_TM1,B3385&lt;=_TM2,OR(TH!L3385="1111",TH!M3385="1111")),TH!D3385,""),"")</f>
        <v/>
      </c>
      <c r="B3385" s="36">
        <f t="shared" si="430"/>
        <v>9</v>
      </c>
      <c r="C3385" s="190">
        <f t="shared" si="428"/>
        <v>42629</v>
      </c>
      <c r="D3385" s="856" t="s">
        <v>1662</v>
      </c>
      <c r="E3385" s="906">
        <v>42629</v>
      </c>
      <c r="F3385" s="49" t="s">
        <v>719</v>
      </c>
      <c r="G3385" s="831" t="s">
        <v>1679</v>
      </c>
      <c r="H3385" s="859" t="s">
        <v>1310</v>
      </c>
      <c r="I3385" s="251">
        <v>4</v>
      </c>
      <c r="J3385" s="251">
        <v>26468</v>
      </c>
      <c r="K3385" s="860">
        <f t="shared" si="429"/>
        <v>105872</v>
      </c>
      <c r="L3385" s="861" t="s">
        <v>162</v>
      </c>
      <c r="M3385" s="861" t="s">
        <v>857</v>
      </c>
      <c r="N3385" s="52" t="str">
        <f>IF(AND('331-CT'!$E$7=TH!H3385,OR(L3385="331",M3385="331")),"331",IF(AND(OR(L3385="131",M3385="131"),H3385='131-CT'!$E$7),"131",""))</f>
        <v/>
      </c>
      <c r="O3385" s="52" t="str">
        <f>IF(AND($B3385&gt;='111'!$N$11,$B3385&lt;='111'!$O$11,OR($L3385=$O$7,$M3385=$O$7)),"x","")</f>
        <v/>
      </c>
      <c r="P3385" s="52" t="str">
        <f>IF(AND($L3385=$O$7,$B3385&lt;'111'!$N$11),"x","")</f>
        <v/>
      </c>
      <c r="Q3385" s="52" t="str">
        <f>IF(AND($M3385=$O$7,$B3385&lt;'111'!$N$11),"x","")</f>
        <v/>
      </c>
      <c r="R3385" s="52" t="str">
        <f>IF(ISERROR(FIND('112'!$M$9,G3385,1)),"",IF((AND(FIND('112'!$M$9,G3385,1)&gt;=1,$B3385&gt;='112'!$N$8,$B3385&lt;='112'!$O$8,OR($L3385='112'!$I$6,$M3385='112'!$I$6))),"x",""))</f>
        <v/>
      </c>
      <c r="S3385" s="52" t="str">
        <f>IF(ISERROR(FIND('112'!$M$9,G3385,1)),"",IF((AND(LEFT(G3385,2)=LEFT('112'!$M$9,2),B3385&lt;'112'!$N$8,$L3385='112'!$I$6)),"x",""))</f>
        <v/>
      </c>
      <c r="T3385" s="52" t="str">
        <f>IF(ISERROR(FIND('112'!$M$9,G3385,1)),"",IF((AND(RIGHT(G3385,2)=RIGHT('112'!$M$9,2),B3385&lt;'112'!$N$8,$M3385='112'!$I$6)),"x",""))</f>
        <v/>
      </c>
      <c r="U3385" s="52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>x</v>
      </c>
      <c r="AA3385" s="826"/>
    </row>
    <row r="3386" spans="1:27" ht="15.75" customHeight="1">
      <c r="A3386" s="827" t="str">
        <f>IF(B3386&lt;&gt;"",IF(AND(B3386&gt;=_TM1,B3386&lt;=_TM2,OR(TH!L3386="1111",TH!M3386="1111")),TH!D3386,""),"")</f>
        <v/>
      </c>
      <c r="B3386" s="36">
        <f t="shared" si="430"/>
        <v>9</v>
      </c>
      <c r="C3386" s="190">
        <f t="shared" ref="C3386:C3473" si="443">E3386</f>
        <v>42629</v>
      </c>
      <c r="D3386" s="856" t="s">
        <v>1662</v>
      </c>
      <c r="E3386" s="906">
        <v>42629</v>
      </c>
      <c r="F3386" s="49" t="s">
        <v>1685</v>
      </c>
      <c r="G3386" s="831" t="s">
        <v>1679</v>
      </c>
      <c r="H3386" s="859" t="s">
        <v>1310</v>
      </c>
      <c r="I3386" s="251">
        <v>1</v>
      </c>
      <c r="J3386" s="251">
        <v>74374</v>
      </c>
      <c r="K3386" s="860">
        <f t="shared" si="429"/>
        <v>74374</v>
      </c>
      <c r="L3386" s="861" t="s">
        <v>162</v>
      </c>
      <c r="M3386" s="861" t="s">
        <v>857</v>
      </c>
      <c r="N3386" s="52" t="str">
        <f>IF(AND('331-CT'!$E$7=TH!H3386,OR(L3386="331",M3386="331")),"331",IF(AND(OR(L3386="131",M3386="131"),H3386='131-CT'!$E$7),"131",""))</f>
        <v/>
      </c>
      <c r="O3386" s="52" t="str">
        <f>IF(AND($B3386&gt;='111'!$N$11,$B3386&lt;='111'!$O$11,OR($L3386=$O$7,$M3386=$O$7)),"x","")</f>
        <v/>
      </c>
      <c r="P3386" s="52" t="str">
        <f>IF(AND($L3386=$O$7,$B3386&lt;'111'!$N$11),"x","")</f>
        <v/>
      </c>
      <c r="Q3386" s="52" t="str">
        <f>IF(AND($M3386=$O$7,$B3386&lt;'111'!$N$11),"x","")</f>
        <v/>
      </c>
      <c r="R3386" s="52" t="str">
        <f>IF(ISERROR(FIND('112'!$M$9,G3386,1)),"",IF((AND(FIND('112'!$M$9,G3386,1)&gt;=1,$B3386&gt;='112'!$N$8,$B3386&lt;='112'!$O$8,OR($L3386='112'!$I$6,$M3386='112'!$I$6))),"x",""))</f>
        <v/>
      </c>
      <c r="S3386" s="52" t="str">
        <f>IF(ISERROR(FIND('112'!$M$9,G3386,1)),"",IF((AND(LEFT(G3386,2)=LEFT('112'!$M$9,2),B3386&lt;'112'!$N$8,$L3386='112'!$I$6)),"x",""))</f>
        <v/>
      </c>
      <c r="T3386" s="52" t="str">
        <f>IF(ISERROR(FIND('112'!$M$9,G3386,1)),"",IF((AND(RIGHT(G3386,2)=RIGHT('112'!$M$9,2),B3386&lt;'112'!$N$8,$M3386='112'!$I$6)),"x",""))</f>
        <v/>
      </c>
      <c r="U3386" s="52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>x</v>
      </c>
      <c r="AA3386" s="826"/>
    </row>
    <row r="3387" spans="1:27" ht="15.75" customHeight="1">
      <c r="A3387" s="827" t="str">
        <f>IF(B3387&lt;&gt;"",IF(AND(B3387&gt;=_TM1,B3387&lt;=_TM2,OR(TH!L3387="1111",TH!M3387="1111")),TH!D3387,""),"")</f>
        <v/>
      </c>
      <c r="B3387" s="36">
        <f t="shared" si="430"/>
        <v>9</v>
      </c>
      <c r="C3387" s="190">
        <f t="shared" si="443"/>
        <v>42634</v>
      </c>
      <c r="D3387" s="856" t="s">
        <v>1662</v>
      </c>
      <c r="E3387" s="906">
        <v>42634</v>
      </c>
      <c r="F3387" s="868" t="s">
        <v>451</v>
      </c>
      <c r="G3387" s="831" t="s">
        <v>1688</v>
      </c>
      <c r="H3387" s="859" t="s">
        <v>1310</v>
      </c>
      <c r="I3387" s="251">
        <v>4400</v>
      </c>
      <c r="J3387" s="251">
        <v>17575</v>
      </c>
      <c r="K3387" s="860">
        <f t="shared" si="429"/>
        <v>77330000</v>
      </c>
      <c r="L3387" s="861" t="s">
        <v>162</v>
      </c>
      <c r="M3387" s="861" t="s">
        <v>857</v>
      </c>
      <c r="N3387" s="52" t="str">
        <f>IF(AND('331-CT'!$E$7=TH!H3387,OR(L3387="331",M3387="331")),"331",IF(AND(OR(L3387="131",M3387="131"),H3387='131-CT'!$E$7),"131",""))</f>
        <v/>
      </c>
      <c r="O3387" s="52" t="str">
        <f>IF(AND($B3387&gt;='111'!$N$11,$B3387&lt;='111'!$O$11,OR($L3387=$O$7,$M3387=$O$7)),"x","")</f>
        <v/>
      </c>
      <c r="P3387" s="52" t="str">
        <f>IF(AND($L3387=$O$7,$B3387&lt;'111'!$N$11),"x","")</f>
        <v/>
      </c>
      <c r="Q3387" s="52" t="str">
        <f>IF(AND($M3387=$O$7,$B3387&lt;'111'!$N$11),"x","")</f>
        <v/>
      </c>
      <c r="R3387" s="52" t="str">
        <f>IF(ISERROR(FIND('112'!$M$9,G3387,1)),"",IF((AND(FIND('112'!$M$9,G3387,1)&gt;=1,$B3387&gt;='112'!$N$8,$B3387&lt;='112'!$O$8,OR($L3387='112'!$I$6,$M3387='112'!$I$6))),"x",""))</f>
        <v/>
      </c>
      <c r="S3387" s="52" t="str">
        <f>IF(ISERROR(FIND('112'!$M$9,G3387,1)),"",IF((AND(LEFT(G3387,2)=LEFT('112'!$M$9,2),B3387&lt;'112'!$N$8,$L3387='112'!$I$6)),"x",""))</f>
        <v/>
      </c>
      <c r="T3387" s="52" t="str">
        <f>IF(ISERROR(FIND('112'!$M$9,G3387,1)),"",IF((AND(RIGHT(G3387,2)=RIGHT('112'!$M$9,2),B3387&lt;'112'!$N$8,$M3387='112'!$I$6)),"x",""))</f>
        <v/>
      </c>
      <c r="U3387" s="52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>x</v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>x</v>
      </c>
      <c r="AA3387" s="826"/>
    </row>
    <row r="3388" spans="1:27" ht="15.75" customHeight="1">
      <c r="A3388" s="827" t="str">
        <f>IF(B3388&lt;&gt;"",IF(AND(B3388&gt;=_TM1,B3388&lt;=_TM2,OR(TH!L3388="1111",TH!M3388="1111")),TH!D3388,""),"")</f>
        <v/>
      </c>
      <c r="B3388" s="36">
        <f t="shared" si="430"/>
        <v>9</v>
      </c>
      <c r="C3388" s="190">
        <f t="shared" si="443"/>
        <v>42634</v>
      </c>
      <c r="D3388" s="856" t="s">
        <v>1662</v>
      </c>
      <c r="E3388" s="906">
        <v>42634</v>
      </c>
      <c r="F3388" s="49" t="s">
        <v>450</v>
      </c>
      <c r="G3388" s="831" t="s">
        <v>1688</v>
      </c>
      <c r="H3388" s="859" t="s">
        <v>1310</v>
      </c>
      <c r="I3388" s="251">
        <v>4200</v>
      </c>
      <c r="J3388" s="251">
        <v>17575</v>
      </c>
      <c r="K3388" s="860">
        <f t="shared" si="429"/>
        <v>73815000</v>
      </c>
      <c r="L3388" s="861" t="s">
        <v>162</v>
      </c>
      <c r="M3388" s="861" t="s">
        <v>857</v>
      </c>
      <c r="N3388" s="52" t="str">
        <f>IF(AND('331-CT'!$E$7=TH!H3388,OR(L3388="331",M3388="331")),"331",IF(AND(OR(L3388="131",M3388="131"),H3388='131-CT'!$E$7),"131",""))</f>
        <v/>
      </c>
      <c r="O3388" s="52" t="str">
        <f>IF(AND($B3388&gt;='111'!$N$11,$B3388&lt;='111'!$O$11,OR($L3388=$O$7,$M3388=$O$7)),"x","")</f>
        <v/>
      </c>
      <c r="P3388" s="52" t="str">
        <f>IF(AND($L3388=$O$7,$B3388&lt;'111'!$N$11),"x","")</f>
        <v/>
      </c>
      <c r="Q3388" s="52" t="str">
        <f>IF(AND($M3388=$O$7,$B3388&lt;'111'!$N$11),"x","")</f>
        <v/>
      </c>
      <c r="R3388" s="52" t="str">
        <f>IF(ISERROR(FIND('112'!$M$9,G3388,1)),"",IF((AND(FIND('112'!$M$9,G3388,1)&gt;=1,$B3388&gt;='112'!$N$8,$B3388&lt;='112'!$O$8,OR($L3388='112'!$I$6,$M3388='112'!$I$6))),"x",""))</f>
        <v/>
      </c>
      <c r="S3388" s="52" t="str">
        <f>IF(ISERROR(FIND('112'!$M$9,G3388,1)),"",IF((AND(LEFT(G3388,2)=LEFT('112'!$M$9,2),B3388&lt;'112'!$N$8,$L3388='112'!$I$6)),"x",""))</f>
        <v/>
      </c>
      <c r="T3388" s="52" t="str">
        <f>IF(ISERROR(FIND('112'!$M$9,G3388,1)),"",IF((AND(RIGHT(G3388,2)=RIGHT('112'!$M$9,2),B3388&lt;'112'!$N$8,$M3388='112'!$I$6)),"x",""))</f>
        <v/>
      </c>
      <c r="U3388" s="52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>x</v>
      </c>
      <c r="AA3388" s="826"/>
    </row>
    <row r="3389" spans="1:27" ht="15.75" customHeight="1">
      <c r="A3389" s="827" t="str">
        <f>IF(B3389&lt;&gt;"",IF(AND(B3389&gt;=_TM1,B3389&lt;=_TM2,OR(TH!L3389="1111",TH!M3389="1111")),TH!D3389,""),"")</f>
        <v/>
      </c>
      <c r="B3389" s="36">
        <f t="shared" si="430"/>
        <v>9</v>
      </c>
      <c r="C3389" s="190">
        <f t="shared" si="443"/>
        <v>42636</v>
      </c>
      <c r="D3389" s="856" t="s">
        <v>1662</v>
      </c>
      <c r="E3389" s="906">
        <v>42636</v>
      </c>
      <c r="F3389" s="49" t="s">
        <v>1690</v>
      </c>
      <c r="G3389" s="831" t="s">
        <v>1689</v>
      </c>
      <c r="H3389" s="859" t="s">
        <v>1310</v>
      </c>
      <c r="I3389" s="251">
        <v>4100</v>
      </c>
      <c r="J3389" s="251">
        <v>7300</v>
      </c>
      <c r="K3389" s="860">
        <f t="shared" si="429"/>
        <v>29930000</v>
      </c>
      <c r="L3389" s="861" t="s">
        <v>162</v>
      </c>
      <c r="M3389" s="861" t="s">
        <v>857</v>
      </c>
      <c r="N3389" s="52" t="str">
        <f>IF(AND('331-CT'!$E$7=TH!H3389,OR(L3389="331",M3389="331")),"331",IF(AND(OR(L3389="131",M3389="131"),H3389='131-CT'!$E$7),"131",""))</f>
        <v/>
      </c>
      <c r="O3389" s="52" t="str">
        <f>IF(AND($B3389&gt;='111'!$N$11,$B3389&lt;='111'!$O$11,OR($L3389=$O$7,$M3389=$O$7)),"x","")</f>
        <v/>
      </c>
      <c r="P3389" s="52" t="str">
        <f>IF(AND($L3389=$O$7,$B3389&lt;'111'!$N$11),"x","")</f>
        <v/>
      </c>
      <c r="Q3389" s="52" t="str">
        <f>IF(AND($M3389=$O$7,$B3389&lt;'111'!$N$11),"x","")</f>
        <v/>
      </c>
      <c r="R3389" s="52" t="str">
        <f>IF(ISERROR(FIND('112'!$M$9,G3389,1)),"",IF((AND(FIND('112'!$M$9,G3389,1)&gt;=1,$B3389&gt;='112'!$N$8,$B3389&lt;='112'!$O$8,OR($L3389='112'!$I$6,$M3389='112'!$I$6))),"x",""))</f>
        <v/>
      </c>
      <c r="S3389" s="52" t="str">
        <f>IF(ISERROR(FIND('112'!$M$9,G3389,1)),"",IF((AND(LEFT(G3389,2)=LEFT('112'!$M$9,2),B3389&lt;'112'!$N$8,$L3389='112'!$I$6)),"x",""))</f>
        <v/>
      </c>
      <c r="T3389" s="52" t="str">
        <f>IF(ISERROR(FIND('112'!$M$9,G3389,1)),"",IF((AND(RIGHT(G3389,2)=RIGHT('112'!$M$9,2),B3389&lt;'112'!$N$8,$M3389='112'!$I$6)),"x",""))</f>
        <v/>
      </c>
      <c r="U3389" s="52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>x</v>
      </c>
      <c r="AA3389" s="826"/>
    </row>
    <row r="3390" spans="1:27" ht="15.75" customHeight="1">
      <c r="A3390" s="827" t="str">
        <f>IF(B3390&lt;&gt;"",IF(AND(B3390&gt;=_TM1,B3390&lt;=_TM2,OR(TH!L3390="1111",TH!M3390="1111")),TH!D3390,""),"")</f>
        <v/>
      </c>
      <c r="B3390" s="36">
        <f t="shared" si="430"/>
        <v>9</v>
      </c>
      <c r="C3390" s="190">
        <f t="shared" si="443"/>
        <v>42642</v>
      </c>
      <c r="D3390" s="856" t="s">
        <v>1662</v>
      </c>
      <c r="E3390" s="906">
        <v>42642</v>
      </c>
      <c r="F3390" s="908" t="s">
        <v>1693</v>
      </c>
      <c r="G3390" s="831" t="s">
        <v>1691</v>
      </c>
      <c r="H3390" s="859" t="s">
        <v>1310</v>
      </c>
      <c r="I3390" s="251">
        <v>300</v>
      </c>
      <c r="J3390" s="251">
        <v>7900</v>
      </c>
      <c r="K3390" s="860">
        <f t="shared" si="429"/>
        <v>2370000</v>
      </c>
      <c r="L3390" s="861" t="s">
        <v>162</v>
      </c>
      <c r="M3390" s="861" t="s">
        <v>857</v>
      </c>
      <c r="N3390" s="52" t="str">
        <f>IF(AND('331-CT'!$E$7=TH!H3390,OR(L3390="331",M3390="331")),"331",IF(AND(OR(L3390="131",M3390="131"),H3390='131-CT'!$E$7),"131",""))</f>
        <v/>
      </c>
      <c r="O3390" s="52" t="str">
        <f>IF(AND($B3390&gt;='111'!$N$11,$B3390&lt;='111'!$O$11,OR($L3390=$O$7,$M3390=$O$7)),"x","")</f>
        <v/>
      </c>
      <c r="P3390" s="52" t="str">
        <f>IF(AND($L3390=$O$7,$B3390&lt;'111'!$N$11),"x","")</f>
        <v/>
      </c>
      <c r="Q3390" s="52" t="str">
        <f>IF(AND($M3390=$O$7,$B3390&lt;'111'!$N$11),"x","")</f>
        <v/>
      </c>
      <c r="R3390" s="52" t="str">
        <f>IF(ISERROR(FIND('112'!$M$9,G3390,1)),"",IF((AND(FIND('112'!$M$9,G3390,1)&gt;=1,$B3390&gt;='112'!$N$8,$B3390&lt;='112'!$O$8,OR($L3390='112'!$I$6,$M3390='112'!$I$6))),"x",""))</f>
        <v/>
      </c>
      <c r="S3390" s="52" t="str">
        <f>IF(ISERROR(FIND('112'!$M$9,G3390,1)),"",IF((AND(LEFT(G3390,2)=LEFT('112'!$M$9,2),B3390&lt;'112'!$N$8,$L3390='112'!$I$6)),"x",""))</f>
        <v/>
      </c>
      <c r="T3390" s="52" t="str">
        <f>IF(ISERROR(FIND('112'!$M$9,G3390,1)),"",IF((AND(RIGHT(G3390,2)=RIGHT('112'!$M$9,2),B3390&lt;'112'!$N$8,$M3390='112'!$I$6)),"x",""))</f>
        <v/>
      </c>
      <c r="U3390" s="52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>x</v>
      </c>
      <c r="AA3390" s="826"/>
    </row>
    <row r="3391" spans="1:27" ht="15.75" customHeight="1">
      <c r="A3391" s="827" t="str">
        <f>IF(B3391&lt;&gt;"",IF(AND(B3391&gt;=_TM1,B3391&lt;=_TM2,OR(TH!L3391="1111",TH!M3391="1111")),TH!D3391,""),"")</f>
        <v/>
      </c>
      <c r="B3391" s="36">
        <f t="shared" si="430"/>
        <v>9</v>
      </c>
      <c r="C3391" s="190">
        <f t="shared" si="443"/>
        <v>42642</v>
      </c>
      <c r="D3391" s="856" t="s">
        <v>1662</v>
      </c>
      <c r="E3391" s="906">
        <v>42642</v>
      </c>
      <c r="F3391" s="868" t="s">
        <v>451</v>
      </c>
      <c r="G3391" s="831" t="s">
        <v>1692</v>
      </c>
      <c r="H3391" s="859" t="s">
        <v>1310</v>
      </c>
      <c r="I3391" s="251">
        <v>120</v>
      </c>
      <c r="J3391" s="251">
        <v>17575</v>
      </c>
      <c r="K3391" s="860">
        <f t="shared" si="429"/>
        <v>2109000</v>
      </c>
      <c r="L3391" s="861" t="s">
        <v>162</v>
      </c>
      <c r="M3391" s="861" t="s">
        <v>857</v>
      </c>
      <c r="N3391" s="52" t="str">
        <f>IF(AND('331-CT'!$E$7=TH!H3391,OR(L3391="331",M3391="331")),"331",IF(AND(OR(L3391="131",M3391="131"),H3391='131-CT'!$E$7),"131",""))</f>
        <v/>
      </c>
      <c r="O3391" s="52" t="str">
        <f>IF(AND($B3391&gt;='111'!$N$11,$B3391&lt;='111'!$O$11,OR($L3391=$O$7,$M3391=$O$7)),"x","")</f>
        <v/>
      </c>
      <c r="P3391" s="52" t="str">
        <f>IF(AND($L3391=$O$7,$B3391&lt;'111'!$N$11),"x","")</f>
        <v/>
      </c>
      <c r="Q3391" s="52" t="str">
        <f>IF(AND($M3391=$O$7,$B3391&lt;'111'!$N$11),"x","")</f>
        <v/>
      </c>
      <c r="R3391" s="52" t="str">
        <f>IF(ISERROR(FIND('112'!$M$9,G3391,1)),"",IF((AND(FIND('112'!$M$9,G3391,1)&gt;=1,$B3391&gt;='112'!$N$8,$B3391&lt;='112'!$O$8,OR($L3391='112'!$I$6,$M3391='112'!$I$6))),"x",""))</f>
        <v/>
      </c>
      <c r="S3391" s="52" t="str">
        <f>IF(ISERROR(FIND('112'!$M$9,G3391,1)),"",IF((AND(LEFT(G3391,2)=LEFT('112'!$M$9,2),B3391&lt;'112'!$N$8,$L3391='112'!$I$6)),"x",""))</f>
        <v/>
      </c>
      <c r="T3391" s="52" t="str">
        <f>IF(ISERROR(FIND('112'!$M$9,G3391,1)),"",IF((AND(RIGHT(G3391,2)=RIGHT('112'!$M$9,2),B3391&lt;'112'!$N$8,$M3391='112'!$I$6)),"x",""))</f>
        <v/>
      </c>
      <c r="U3391" s="52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>x</v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>x</v>
      </c>
      <c r="AA3391" s="826"/>
    </row>
    <row r="3392" spans="1:27" ht="15.75" customHeight="1">
      <c r="A3392" s="827" t="str">
        <f>IF(B3392&lt;&gt;"",IF(AND(B3392&gt;=_TM1,B3392&lt;=_TM2,OR(TH!L3392="1111",TH!M3392="1111")),TH!D3392,""),"")</f>
        <v/>
      </c>
      <c r="B3392" s="36">
        <f t="shared" si="430"/>
        <v>9</v>
      </c>
      <c r="C3392" s="190">
        <f t="shared" si="443"/>
        <v>42642</v>
      </c>
      <c r="D3392" s="856" t="s">
        <v>1662</v>
      </c>
      <c r="E3392" s="906">
        <v>42642</v>
      </c>
      <c r="F3392" s="49" t="s">
        <v>1697</v>
      </c>
      <c r="G3392" s="831" t="s">
        <v>1695</v>
      </c>
      <c r="H3392" s="859" t="s">
        <v>1310</v>
      </c>
      <c r="I3392" s="251">
        <v>2300</v>
      </c>
      <c r="J3392" s="251">
        <v>5700</v>
      </c>
      <c r="K3392" s="860">
        <f t="shared" si="429"/>
        <v>13110000</v>
      </c>
      <c r="L3392" s="861" t="s">
        <v>162</v>
      </c>
      <c r="M3392" s="861" t="s">
        <v>857</v>
      </c>
      <c r="N3392" s="52" t="str">
        <f>IF(AND('331-CT'!$E$7=TH!H3392,OR(L3392="331",M3392="331")),"331",IF(AND(OR(L3392="131",M3392="131"),H3392='131-CT'!$E$7),"131",""))</f>
        <v/>
      </c>
      <c r="O3392" s="52" t="str">
        <f>IF(AND($B3392&gt;='111'!$N$11,$B3392&lt;='111'!$O$11,OR($L3392=$O$7,$M3392=$O$7)),"x","")</f>
        <v/>
      </c>
      <c r="P3392" s="52" t="str">
        <f>IF(AND($L3392=$O$7,$B3392&lt;'111'!$N$11),"x","")</f>
        <v/>
      </c>
      <c r="Q3392" s="52" t="str">
        <f>IF(AND($M3392=$O$7,$B3392&lt;'111'!$N$11),"x","")</f>
        <v/>
      </c>
      <c r="R3392" s="52" t="str">
        <f>IF(ISERROR(FIND('112'!$M$9,G3392,1)),"",IF((AND(FIND('112'!$M$9,G3392,1)&gt;=1,$B3392&gt;='112'!$N$8,$B3392&lt;='112'!$O$8,OR($L3392='112'!$I$6,$M3392='112'!$I$6))),"x",""))</f>
        <v/>
      </c>
      <c r="S3392" s="52" t="str">
        <f>IF(ISERROR(FIND('112'!$M$9,G3392,1)),"",IF((AND(LEFT(G3392,2)=LEFT('112'!$M$9,2),B3392&lt;'112'!$N$8,$L3392='112'!$I$6)),"x",""))</f>
        <v/>
      </c>
      <c r="T3392" s="52" t="str">
        <f>IF(ISERROR(FIND('112'!$M$9,G3392,1)),"",IF((AND(RIGHT(G3392,2)=RIGHT('112'!$M$9,2),B3392&lt;'112'!$N$8,$M3392='112'!$I$6)),"x",""))</f>
        <v/>
      </c>
      <c r="U3392" s="52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>x</v>
      </c>
      <c r="AA3392" s="826"/>
    </row>
    <row r="3393" spans="1:27" ht="15.75" customHeight="1">
      <c r="A3393" s="827" t="str">
        <f>IF(B3393&lt;&gt;"",IF(AND(B3393&gt;=_TM1,B3393&lt;=_TM2,OR(TH!L3393="1111",TH!M3393="1111")),TH!D3393,""),"")</f>
        <v/>
      </c>
      <c r="B3393" s="36">
        <f t="shared" si="430"/>
        <v>9</v>
      </c>
      <c r="C3393" s="190">
        <f t="shared" si="443"/>
        <v>42642</v>
      </c>
      <c r="D3393" s="856" t="s">
        <v>1662</v>
      </c>
      <c r="E3393" s="906">
        <v>42642</v>
      </c>
      <c r="F3393" s="868" t="s">
        <v>1699</v>
      </c>
      <c r="G3393" s="831" t="s">
        <v>1695</v>
      </c>
      <c r="H3393" s="859" t="s">
        <v>1310</v>
      </c>
      <c r="I3393" s="251">
        <v>2500</v>
      </c>
      <c r="J3393" s="251">
        <v>8400</v>
      </c>
      <c r="K3393" s="860">
        <f t="shared" si="429"/>
        <v>21000000</v>
      </c>
      <c r="L3393" s="861" t="s">
        <v>162</v>
      </c>
      <c r="M3393" s="861" t="s">
        <v>857</v>
      </c>
      <c r="N3393" s="52" t="str">
        <f>IF(AND('331-CT'!$E$7=TH!H3393,OR(L3393="331",M3393="331")),"331",IF(AND(OR(L3393="131",M3393="131"),H3393='131-CT'!$E$7),"131",""))</f>
        <v/>
      </c>
      <c r="O3393" s="52" t="str">
        <f>IF(AND($B3393&gt;='111'!$N$11,$B3393&lt;='111'!$O$11,OR($L3393=$O$7,$M3393=$O$7)),"x","")</f>
        <v/>
      </c>
      <c r="P3393" s="52" t="str">
        <f>IF(AND($L3393=$O$7,$B3393&lt;'111'!$N$11),"x","")</f>
        <v/>
      </c>
      <c r="Q3393" s="52" t="str">
        <f>IF(AND($M3393=$O$7,$B3393&lt;'111'!$N$11),"x","")</f>
        <v/>
      </c>
      <c r="R3393" s="52" t="str">
        <f>IF(ISERROR(FIND('112'!$M$9,G3393,1)),"",IF((AND(FIND('112'!$M$9,G3393,1)&gt;=1,$B3393&gt;='112'!$N$8,$B3393&lt;='112'!$O$8,OR($L3393='112'!$I$6,$M3393='112'!$I$6))),"x",""))</f>
        <v/>
      </c>
      <c r="S3393" s="52" t="str">
        <f>IF(ISERROR(FIND('112'!$M$9,G3393,1)),"",IF((AND(LEFT(G3393,2)=LEFT('112'!$M$9,2),B3393&lt;'112'!$N$8,$L3393='112'!$I$6)),"x",""))</f>
        <v/>
      </c>
      <c r="T3393" s="52" t="str">
        <f>IF(ISERROR(FIND('112'!$M$9,G3393,1)),"",IF((AND(RIGHT(G3393,2)=RIGHT('112'!$M$9,2),B3393&lt;'112'!$N$8,$M3393='112'!$I$6)),"x",""))</f>
        <v/>
      </c>
      <c r="U3393" s="52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>x</v>
      </c>
      <c r="AA3393" s="826"/>
    </row>
    <row r="3394" spans="1:27" ht="15.75" customHeight="1">
      <c r="A3394" s="827" t="str">
        <f>IF(B3394&lt;&gt;"",IF(AND(B3394&gt;=_TM1,B3394&lt;=_TM2,OR(TH!L3394="1111",TH!M3394="1111")),TH!D3394,""),"")</f>
        <v/>
      </c>
      <c r="B3394" s="36">
        <f t="shared" si="430"/>
        <v>9</v>
      </c>
      <c r="C3394" s="190">
        <f t="shared" si="443"/>
        <v>42642</v>
      </c>
      <c r="D3394" s="856" t="s">
        <v>1662</v>
      </c>
      <c r="E3394" s="906">
        <v>42642</v>
      </c>
      <c r="F3394" s="49" t="s">
        <v>1701</v>
      </c>
      <c r="G3394" s="831" t="s">
        <v>1700</v>
      </c>
      <c r="H3394" s="859" t="s">
        <v>1310</v>
      </c>
      <c r="I3394" s="251">
        <v>1600</v>
      </c>
      <c r="J3394" s="251">
        <v>5150</v>
      </c>
      <c r="K3394" s="860">
        <f t="shared" si="429"/>
        <v>8240000</v>
      </c>
      <c r="L3394" s="861" t="s">
        <v>162</v>
      </c>
      <c r="M3394" s="861" t="s">
        <v>857</v>
      </c>
      <c r="N3394" s="52" t="str">
        <f>IF(AND('331-CT'!$E$7=TH!H3394,OR(L3394="331",M3394="331")),"331",IF(AND(OR(L3394="131",M3394="131"),H3394='131-CT'!$E$7),"131",""))</f>
        <v/>
      </c>
      <c r="O3394" s="52" t="str">
        <f>IF(AND($B3394&gt;='111'!$N$11,$B3394&lt;='111'!$O$11,OR($L3394=$O$7,$M3394=$O$7)),"x","")</f>
        <v/>
      </c>
      <c r="P3394" s="52" t="str">
        <f>IF(AND($L3394=$O$7,$B3394&lt;'111'!$N$11),"x","")</f>
        <v/>
      </c>
      <c r="Q3394" s="52" t="str">
        <f>IF(AND($M3394=$O$7,$B3394&lt;'111'!$N$11),"x","")</f>
        <v/>
      </c>
      <c r="R3394" s="52" t="str">
        <f>IF(ISERROR(FIND('112'!$M$9,G3394,1)),"",IF((AND(FIND('112'!$M$9,G3394,1)&gt;=1,$B3394&gt;='112'!$N$8,$B3394&lt;='112'!$O$8,OR($L3394='112'!$I$6,$M3394='112'!$I$6))),"x",""))</f>
        <v/>
      </c>
      <c r="S3394" s="52" t="str">
        <f>IF(ISERROR(FIND('112'!$M$9,G3394,1)),"",IF((AND(LEFT(G3394,2)=LEFT('112'!$M$9,2),B3394&lt;'112'!$N$8,$L3394='112'!$I$6)),"x",""))</f>
        <v/>
      </c>
      <c r="T3394" s="52" t="str">
        <f>IF(ISERROR(FIND('112'!$M$9,G3394,1)),"",IF((AND(RIGHT(G3394,2)=RIGHT('112'!$M$9,2),B3394&lt;'112'!$N$8,$M3394='112'!$I$6)),"x",""))</f>
        <v/>
      </c>
      <c r="U3394" s="52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>x</v>
      </c>
      <c r="AA3394" s="826"/>
    </row>
    <row r="3395" spans="1:27" ht="15.75" customHeight="1">
      <c r="A3395" s="827" t="str">
        <f>IF(B3395&lt;&gt;"",IF(AND(B3395&gt;=_TM1,B3395&lt;=_TM2,OR(TH!L3395="1111",TH!M3395="1111")),TH!D3395,""),"")</f>
        <v/>
      </c>
      <c r="B3395" s="36">
        <f t="shared" si="430"/>
        <v>9</v>
      </c>
      <c r="C3395" s="190">
        <f t="shared" si="443"/>
        <v>42643</v>
      </c>
      <c r="D3395" s="856" t="s">
        <v>1662</v>
      </c>
      <c r="E3395" s="906">
        <v>42643</v>
      </c>
      <c r="F3395" s="868" t="s">
        <v>1728</v>
      </c>
      <c r="G3395" s="871" t="s">
        <v>1773</v>
      </c>
      <c r="H3395" s="859" t="s">
        <v>1310</v>
      </c>
      <c r="I3395" s="251">
        <v>38250</v>
      </c>
      <c r="J3395" s="251">
        <v>7250</v>
      </c>
      <c r="K3395" s="860">
        <f t="shared" ref="K3395:K3473" si="444">ROUND(I3395*J3395,0)</f>
        <v>277312500</v>
      </c>
      <c r="L3395" s="861" t="s">
        <v>162</v>
      </c>
      <c r="M3395" s="861" t="s">
        <v>857</v>
      </c>
      <c r="N3395" s="52" t="str">
        <f>IF(AND('331-CT'!$E$7=TH!H3395,OR(L3395="331",M3395="331")),"331",IF(AND(OR(L3395="131",M3395="131"),H3395='131-CT'!$E$7),"131",""))</f>
        <v/>
      </c>
      <c r="O3395" s="52" t="str">
        <f>IF(AND($B3395&gt;='111'!$N$11,$B3395&lt;='111'!$O$11,OR($L3395=$O$7,$M3395=$O$7)),"x","")</f>
        <v/>
      </c>
      <c r="P3395" s="52" t="str">
        <f>IF(AND($L3395=$O$7,$B3395&lt;'111'!$N$11),"x","")</f>
        <v/>
      </c>
      <c r="Q3395" s="52" t="str">
        <f>IF(AND($M3395=$O$7,$B3395&lt;'111'!$N$11),"x","")</f>
        <v/>
      </c>
      <c r="R3395" s="52" t="str">
        <f>IF(ISERROR(FIND('112'!$M$9,G3395,1)),"",IF((AND(FIND('112'!$M$9,G3395,1)&gt;=1,$B3395&gt;='112'!$N$8,$B3395&lt;='112'!$O$8,OR($L3395='112'!$I$6,$M3395='112'!$I$6))),"x",""))</f>
        <v/>
      </c>
      <c r="S3395" s="52" t="str">
        <f>IF(ISERROR(FIND('112'!$M$9,G3395,1)),"",IF((AND(LEFT(G3395,2)=LEFT('112'!$M$9,2),B3395&lt;'112'!$N$8,$L3395='112'!$I$6)),"x",""))</f>
        <v/>
      </c>
      <c r="T3395" s="52" t="str">
        <f>IF(ISERROR(FIND('112'!$M$9,G3395,1)),"",IF((AND(RIGHT(G3395,2)=RIGHT('112'!$M$9,2),B3395&lt;'112'!$N$8,$M3395='112'!$I$6)),"x",""))</f>
        <v/>
      </c>
      <c r="U3395" s="52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>x</v>
      </c>
      <c r="AA3395" s="826"/>
    </row>
    <row r="3396" spans="1:27" ht="15.75" customHeight="1">
      <c r="A3396" s="827" t="str">
        <f>IF(B3396&lt;&gt;"",IF(AND(B3396&gt;=_TM1,B3396&lt;=_TM2,OR(TH!L3396="1111",TH!M3396="1111")),TH!D3396,""),"")</f>
        <v/>
      </c>
      <c r="B3396" s="36">
        <f t="shared" ref="B3396:B3414" si="445">IF(C3396&lt;&gt;"",MONTH(C3396),"")</f>
        <v>9</v>
      </c>
      <c r="C3396" s="190">
        <f t="shared" ref="C3396:C3414" si="446">E3396</f>
        <v>42643</v>
      </c>
      <c r="D3396" s="856" t="s">
        <v>1662</v>
      </c>
      <c r="E3396" s="906">
        <v>42643</v>
      </c>
      <c r="F3396" s="49" t="s">
        <v>496</v>
      </c>
      <c r="G3396" s="831" t="s">
        <v>1775</v>
      </c>
      <c r="H3396" s="859" t="s">
        <v>1310</v>
      </c>
      <c r="I3396" s="251">
        <v>140</v>
      </c>
      <c r="J3396" s="251">
        <v>17100</v>
      </c>
      <c r="K3396" s="860">
        <f t="shared" si="444"/>
        <v>2394000</v>
      </c>
      <c r="L3396" s="861" t="s">
        <v>162</v>
      </c>
      <c r="M3396" s="861" t="s">
        <v>857</v>
      </c>
      <c r="N3396" s="52" t="str">
        <f>IF(AND('331-CT'!$E$7=TH!H3396,OR(L3396="331",M3396="331")),"331",IF(AND(OR(L3396="131",M3396="131"),H3396='131-CT'!$E$7),"131",""))</f>
        <v/>
      </c>
      <c r="O3396" s="52" t="str">
        <f>IF(AND($B3396&gt;='111'!$N$11,$B3396&lt;='111'!$O$11,OR($L3396=$O$7,$M3396=$O$7)),"x","")</f>
        <v/>
      </c>
      <c r="P3396" s="52" t="str">
        <f>IF(AND($L3396=$O$7,$B3396&lt;'111'!$N$11),"x","")</f>
        <v/>
      </c>
      <c r="Q3396" s="52" t="str">
        <f>IF(AND($M3396=$O$7,$B3396&lt;'111'!$N$11),"x","")</f>
        <v/>
      </c>
      <c r="R3396" s="52" t="str">
        <f>IF(ISERROR(FIND('112'!$M$9,G3396,1)),"",IF((AND(FIND('112'!$M$9,G3396,1)&gt;=1,$B3396&gt;='112'!$N$8,$B3396&lt;='112'!$O$8,OR($L3396='112'!$I$6,$M3396='112'!$I$6))),"x",""))</f>
        <v/>
      </c>
      <c r="S3396" s="52" t="str">
        <f>IF(ISERROR(FIND('112'!$M$9,G3396,1)),"",IF((AND(LEFT(G3396,2)=LEFT('112'!$M$9,2),B3396&lt;'112'!$N$8,$L3396='112'!$I$6)),"x",""))</f>
        <v/>
      </c>
      <c r="T3396" s="52" t="str">
        <f>IF(ISERROR(FIND('112'!$M$9,G3396,1)),"",IF((AND(RIGHT(G3396,2)=RIGHT('112'!$M$9,2),B3396&lt;'112'!$N$8,$M3396='112'!$I$6)),"x",""))</f>
        <v/>
      </c>
      <c r="U3396" s="52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>x</v>
      </c>
      <c r="AA3396" s="826"/>
    </row>
    <row r="3397" spans="1:27" ht="15.75" customHeight="1">
      <c r="A3397" s="827" t="str">
        <f>IF(B3397&lt;&gt;"",IF(AND(B3397&gt;=_TM1,B3397&lt;=_TM2,OR(TH!L3397="1111",TH!M3397="1111")),TH!D3397,""),"")</f>
        <v/>
      </c>
      <c r="B3397" s="36">
        <f t="shared" si="445"/>
        <v>9</v>
      </c>
      <c r="C3397" s="190">
        <f t="shared" si="446"/>
        <v>42643</v>
      </c>
      <c r="D3397" s="856" t="s">
        <v>1662</v>
      </c>
      <c r="E3397" s="906">
        <v>42643</v>
      </c>
      <c r="F3397" s="868" t="s">
        <v>1729</v>
      </c>
      <c r="G3397" s="831" t="s">
        <v>1775</v>
      </c>
      <c r="H3397" s="859" t="s">
        <v>1310</v>
      </c>
      <c r="I3397" s="251">
        <v>54</v>
      </c>
      <c r="J3397" s="251">
        <v>19000</v>
      </c>
      <c r="K3397" s="860">
        <f t="shared" si="444"/>
        <v>1026000</v>
      </c>
      <c r="L3397" s="861" t="s">
        <v>162</v>
      </c>
      <c r="M3397" s="861" t="s">
        <v>857</v>
      </c>
      <c r="N3397" s="52" t="str">
        <f>IF(AND('331-CT'!$E$7=TH!H3397,OR(L3397="331",M3397="331")),"331",IF(AND(OR(L3397="131",M3397="131"),H3397='131-CT'!$E$7),"131",""))</f>
        <v/>
      </c>
      <c r="O3397" s="52" t="str">
        <f>IF(AND($B3397&gt;='111'!$N$11,$B3397&lt;='111'!$O$11,OR($L3397=$O$7,$M3397=$O$7)),"x","")</f>
        <v/>
      </c>
      <c r="P3397" s="52" t="str">
        <f>IF(AND($L3397=$O$7,$B3397&lt;'111'!$N$11),"x","")</f>
        <v/>
      </c>
      <c r="Q3397" s="52" t="str">
        <f>IF(AND($M3397=$O$7,$B3397&lt;'111'!$N$11),"x","")</f>
        <v/>
      </c>
      <c r="R3397" s="52" t="str">
        <f>IF(ISERROR(FIND('112'!$M$9,G3397,1)),"",IF((AND(FIND('112'!$M$9,G3397,1)&gt;=1,$B3397&gt;='112'!$N$8,$B3397&lt;='112'!$O$8,OR($L3397='112'!$I$6,$M3397='112'!$I$6))),"x",""))</f>
        <v/>
      </c>
      <c r="S3397" s="52" t="str">
        <f>IF(ISERROR(FIND('112'!$M$9,G3397,1)),"",IF((AND(LEFT(G3397,2)=LEFT('112'!$M$9,2),B3397&lt;'112'!$N$8,$L3397='112'!$I$6)),"x",""))</f>
        <v/>
      </c>
      <c r="T3397" s="52" t="str">
        <f>IF(ISERROR(FIND('112'!$M$9,G3397,1)),"",IF((AND(RIGHT(G3397,2)=RIGHT('112'!$M$9,2),B3397&lt;'112'!$N$8,$M3397='112'!$I$6)),"x",""))</f>
        <v/>
      </c>
      <c r="U3397" s="52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>x</v>
      </c>
      <c r="AA3397" s="826"/>
    </row>
    <row r="3398" spans="1:27" ht="15.75" customHeight="1">
      <c r="A3398" s="827" t="str">
        <f>IF(B3398&lt;&gt;"",IF(AND(B3398&gt;=_TM1,B3398&lt;=_TM2,OR(TH!L3398="1111",TH!M3398="1111")),TH!D3398,""),"")</f>
        <v/>
      </c>
      <c r="B3398" s="36">
        <f t="shared" si="445"/>
        <v>9</v>
      </c>
      <c r="C3398" s="190">
        <f t="shared" si="446"/>
        <v>42643</v>
      </c>
      <c r="D3398" s="856" t="s">
        <v>1662</v>
      </c>
      <c r="E3398" s="906">
        <v>42643</v>
      </c>
      <c r="F3398" s="49" t="s">
        <v>1730</v>
      </c>
      <c r="G3398" s="831" t="s">
        <v>1775</v>
      </c>
      <c r="H3398" s="859" t="s">
        <v>1310</v>
      </c>
      <c r="I3398" s="251">
        <v>14</v>
      </c>
      <c r="J3398" s="251">
        <v>19100</v>
      </c>
      <c r="K3398" s="860">
        <f t="shared" si="444"/>
        <v>267400</v>
      </c>
      <c r="L3398" s="861" t="s">
        <v>162</v>
      </c>
      <c r="M3398" s="861" t="s">
        <v>857</v>
      </c>
      <c r="N3398" s="52" t="str">
        <f>IF(AND('331-CT'!$E$7=TH!H3398,OR(L3398="331",M3398="331")),"331",IF(AND(OR(L3398="131",M3398="131"),H3398='131-CT'!$E$7),"131",""))</f>
        <v/>
      </c>
      <c r="O3398" s="52" t="str">
        <f>IF(AND($B3398&gt;='111'!$N$11,$B3398&lt;='111'!$O$11,OR($L3398=$O$7,$M3398=$O$7)),"x","")</f>
        <v/>
      </c>
      <c r="P3398" s="52" t="str">
        <f>IF(AND($L3398=$O$7,$B3398&lt;'111'!$N$11),"x","")</f>
        <v/>
      </c>
      <c r="Q3398" s="52" t="str">
        <f>IF(AND($M3398=$O$7,$B3398&lt;'111'!$N$11),"x","")</f>
        <v/>
      </c>
      <c r="R3398" s="52" t="str">
        <f>IF(ISERROR(FIND('112'!$M$9,G3398,1)),"",IF((AND(FIND('112'!$M$9,G3398,1)&gt;=1,$B3398&gt;='112'!$N$8,$B3398&lt;='112'!$O$8,OR($L3398='112'!$I$6,$M3398='112'!$I$6))),"x",""))</f>
        <v/>
      </c>
      <c r="S3398" s="52" t="str">
        <f>IF(ISERROR(FIND('112'!$M$9,G3398,1)),"",IF((AND(LEFT(G3398,2)=LEFT('112'!$M$9,2),B3398&lt;'112'!$N$8,$L3398='112'!$I$6)),"x",""))</f>
        <v/>
      </c>
      <c r="T3398" s="52" t="str">
        <f>IF(ISERROR(FIND('112'!$M$9,G3398,1)),"",IF((AND(RIGHT(G3398,2)=RIGHT('112'!$M$9,2),B3398&lt;'112'!$N$8,$M3398='112'!$I$6)),"x",""))</f>
        <v/>
      </c>
      <c r="U3398" s="52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>x</v>
      </c>
      <c r="AA3398" s="826"/>
    </row>
    <row r="3399" spans="1:27" ht="15.75" customHeight="1">
      <c r="A3399" s="827" t="str">
        <f>IF(B3399&lt;&gt;"",IF(AND(B3399&gt;=_TM1,B3399&lt;=_TM2,OR(TH!L3399="1111",TH!M3399="1111")),TH!D3399,""),"")</f>
        <v/>
      </c>
      <c r="B3399" s="36">
        <f t="shared" si="445"/>
        <v>9</v>
      </c>
      <c r="C3399" s="190">
        <f t="shared" si="446"/>
        <v>42643</v>
      </c>
      <c r="D3399" s="856" t="s">
        <v>1662</v>
      </c>
      <c r="E3399" s="906">
        <v>42643</v>
      </c>
      <c r="F3399" s="49" t="s">
        <v>1731</v>
      </c>
      <c r="G3399" s="831" t="s">
        <v>1775</v>
      </c>
      <c r="H3399" s="859" t="s">
        <v>1310</v>
      </c>
      <c r="I3399" s="251">
        <v>280</v>
      </c>
      <c r="J3399" s="251">
        <v>20000</v>
      </c>
      <c r="K3399" s="860">
        <f t="shared" si="444"/>
        <v>5600000</v>
      </c>
      <c r="L3399" s="861" t="s">
        <v>162</v>
      </c>
      <c r="M3399" s="861" t="s">
        <v>857</v>
      </c>
      <c r="N3399" s="52" t="str">
        <f>IF(AND('331-CT'!$E$7=TH!H3399,OR(L3399="331",M3399="331")),"331",IF(AND(OR(L3399="131",M3399="131"),H3399='131-CT'!$E$7),"131",""))</f>
        <v/>
      </c>
      <c r="O3399" s="52" t="str">
        <f>IF(AND($B3399&gt;='111'!$N$11,$B3399&lt;='111'!$O$11,OR($L3399=$O$7,$M3399=$O$7)),"x","")</f>
        <v/>
      </c>
      <c r="P3399" s="52" t="str">
        <f>IF(AND($L3399=$O$7,$B3399&lt;'111'!$N$11),"x","")</f>
        <v/>
      </c>
      <c r="Q3399" s="52" t="str">
        <f>IF(AND($M3399=$O$7,$B3399&lt;'111'!$N$11),"x","")</f>
        <v/>
      </c>
      <c r="R3399" s="52" t="str">
        <f>IF(ISERROR(FIND('112'!$M$9,G3399,1)),"",IF((AND(FIND('112'!$M$9,G3399,1)&gt;=1,$B3399&gt;='112'!$N$8,$B3399&lt;='112'!$O$8,OR($L3399='112'!$I$6,$M3399='112'!$I$6))),"x",""))</f>
        <v/>
      </c>
      <c r="S3399" s="52" t="str">
        <f>IF(ISERROR(FIND('112'!$M$9,G3399,1)),"",IF((AND(LEFT(G3399,2)=LEFT('112'!$M$9,2),B3399&lt;'112'!$N$8,$L3399='112'!$I$6)),"x",""))</f>
        <v/>
      </c>
      <c r="T3399" s="52" t="str">
        <f>IF(ISERROR(FIND('112'!$M$9,G3399,1)),"",IF((AND(RIGHT(G3399,2)=RIGHT('112'!$M$9,2),B3399&lt;'112'!$N$8,$M3399='112'!$I$6)),"x",""))</f>
        <v/>
      </c>
      <c r="U3399" s="52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>x</v>
      </c>
      <c r="AA3399" s="826"/>
    </row>
    <row r="3400" spans="1:27" ht="15.75" customHeight="1">
      <c r="A3400" s="827" t="str">
        <f>IF(B3400&lt;&gt;"",IF(AND(B3400&gt;=_TM1,B3400&lt;=_TM2,OR(TH!L3400="1111",TH!M3400="1111")),TH!D3400,""),"")</f>
        <v/>
      </c>
      <c r="B3400" s="36">
        <f t="shared" si="445"/>
        <v>9</v>
      </c>
      <c r="C3400" s="190">
        <f t="shared" si="446"/>
        <v>42643</v>
      </c>
      <c r="D3400" s="856" t="s">
        <v>1662</v>
      </c>
      <c r="E3400" s="906">
        <v>42643</v>
      </c>
      <c r="F3400" s="868" t="s">
        <v>511</v>
      </c>
      <c r="G3400" s="831" t="s">
        <v>1775</v>
      </c>
      <c r="H3400" s="859" t="s">
        <v>1310</v>
      </c>
      <c r="I3400" s="251">
        <v>115</v>
      </c>
      <c r="J3400" s="251">
        <v>20000</v>
      </c>
      <c r="K3400" s="860">
        <f t="shared" si="444"/>
        <v>2300000</v>
      </c>
      <c r="L3400" s="861" t="s">
        <v>162</v>
      </c>
      <c r="M3400" s="861" t="s">
        <v>857</v>
      </c>
      <c r="N3400" s="52" t="str">
        <f>IF(AND('331-CT'!$E$7=TH!H3400,OR(L3400="331",M3400="331")),"331",IF(AND(OR(L3400="131",M3400="131"),H3400='131-CT'!$E$7),"131",""))</f>
        <v/>
      </c>
      <c r="O3400" s="52" t="str">
        <f>IF(AND($B3400&gt;='111'!$N$11,$B3400&lt;='111'!$O$11,OR($L3400=$O$7,$M3400=$O$7)),"x","")</f>
        <v/>
      </c>
      <c r="P3400" s="52" t="str">
        <f>IF(AND($L3400=$O$7,$B3400&lt;'111'!$N$11),"x","")</f>
        <v/>
      </c>
      <c r="Q3400" s="52" t="str">
        <f>IF(AND($M3400=$O$7,$B3400&lt;'111'!$N$11),"x","")</f>
        <v/>
      </c>
      <c r="R3400" s="52" t="str">
        <f>IF(ISERROR(FIND('112'!$M$9,G3400,1)),"",IF((AND(FIND('112'!$M$9,G3400,1)&gt;=1,$B3400&gt;='112'!$N$8,$B3400&lt;='112'!$O$8,OR($L3400='112'!$I$6,$M3400='112'!$I$6))),"x",""))</f>
        <v/>
      </c>
      <c r="S3400" s="52" t="str">
        <f>IF(ISERROR(FIND('112'!$M$9,G3400,1)),"",IF((AND(LEFT(G3400,2)=LEFT('112'!$M$9,2),B3400&lt;'112'!$N$8,$L3400='112'!$I$6)),"x",""))</f>
        <v/>
      </c>
      <c r="T3400" s="52" t="str">
        <f>IF(ISERROR(FIND('112'!$M$9,G3400,1)),"",IF((AND(RIGHT(G3400,2)=RIGHT('112'!$M$9,2),B3400&lt;'112'!$N$8,$M3400='112'!$I$6)),"x",""))</f>
        <v/>
      </c>
      <c r="U3400" s="52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>x</v>
      </c>
      <c r="AA3400" s="826"/>
    </row>
    <row r="3401" spans="1:27" ht="15.75" customHeight="1">
      <c r="A3401" s="827" t="str">
        <f>IF(B3401&lt;&gt;"",IF(AND(B3401&gt;=_TM1,B3401&lt;=_TM2,OR(TH!L3401="1111",TH!M3401="1111")),TH!D3401,""),"")</f>
        <v/>
      </c>
      <c r="B3401" s="36">
        <f t="shared" si="445"/>
        <v>9</v>
      </c>
      <c r="C3401" s="190">
        <f t="shared" si="446"/>
        <v>42643</v>
      </c>
      <c r="D3401" s="856" t="s">
        <v>1662</v>
      </c>
      <c r="E3401" s="906">
        <v>42643</v>
      </c>
      <c r="F3401" s="49" t="s">
        <v>1732</v>
      </c>
      <c r="G3401" s="831" t="s">
        <v>1775</v>
      </c>
      <c r="H3401" s="859" t="s">
        <v>1310</v>
      </c>
      <c r="I3401" s="251">
        <v>4</v>
      </c>
      <c r="J3401" s="251">
        <v>20100</v>
      </c>
      <c r="K3401" s="860">
        <f t="shared" si="444"/>
        <v>80400</v>
      </c>
      <c r="L3401" s="861" t="s">
        <v>162</v>
      </c>
      <c r="M3401" s="861" t="s">
        <v>857</v>
      </c>
      <c r="N3401" s="52" t="str">
        <f>IF(AND('331-CT'!$E$7=TH!H3401,OR(L3401="331",M3401="331")),"331",IF(AND(OR(L3401="131",M3401="131"),H3401='131-CT'!$E$7),"131",""))</f>
        <v/>
      </c>
      <c r="O3401" s="52" t="str">
        <f>IF(AND($B3401&gt;='111'!$N$11,$B3401&lt;='111'!$O$11,OR($L3401=$O$7,$M3401=$O$7)),"x","")</f>
        <v/>
      </c>
      <c r="P3401" s="52" t="str">
        <f>IF(AND($L3401=$O$7,$B3401&lt;'111'!$N$11),"x","")</f>
        <v/>
      </c>
      <c r="Q3401" s="52" t="str">
        <f>IF(AND($M3401=$O$7,$B3401&lt;'111'!$N$11),"x","")</f>
        <v/>
      </c>
      <c r="R3401" s="52" t="str">
        <f>IF(ISERROR(FIND('112'!$M$9,G3401,1)),"",IF((AND(FIND('112'!$M$9,G3401,1)&gt;=1,$B3401&gt;='112'!$N$8,$B3401&lt;='112'!$O$8,OR($L3401='112'!$I$6,$M3401='112'!$I$6))),"x",""))</f>
        <v/>
      </c>
      <c r="S3401" s="52" t="str">
        <f>IF(ISERROR(FIND('112'!$M$9,G3401,1)),"",IF((AND(LEFT(G3401,2)=LEFT('112'!$M$9,2),B3401&lt;'112'!$N$8,$L3401='112'!$I$6)),"x",""))</f>
        <v/>
      </c>
      <c r="T3401" s="52" t="str">
        <f>IF(ISERROR(FIND('112'!$M$9,G3401,1)),"",IF((AND(RIGHT(G3401,2)=RIGHT('112'!$M$9,2),B3401&lt;'112'!$N$8,$M3401='112'!$I$6)),"x",""))</f>
        <v/>
      </c>
      <c r="U3401" s="52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>x</v>
      </c>
      <c r="AA3401" s="826"/>
    </row>
    <row r="3402" spans="1:27" ht="15.75" customHeight="1">
      <c r="A3402" s="827" t="str">
        <f>IF(B3402&lt;&gt;"",IF(AND(B3402&gt;=_TM1,B3402&lt;=_TM2,OR(TH!L3402="1111",TH!M3402="1111")),TH!D3402,""),"")</f>
        <v/>
      </c>
      <c r="B3402" s="36">
        <f t="shared" si="445"/>
        <v>9</v>
      </c>
      <c r="C3402" s="190">
        <f t="shared" si="446"/>
        <v>42643</v>
      </c>
      <c r="D3402" s="856" t="s">
        <v>1662</v>
      </c>
      <c r="E3402" s="906">
        <v>42643</v>
      </c>
      <c r="F3402" s="868" t="s">
        <v>700</v>
      </c>
      <c r="G3402" s="831" t="s">
        <v>1775</v>
      </c>
      <c r="H3402" s="859" t="s">
        <v>1310</v>
      </c>
      <c r="I3402" s="251">
        <v>48</v>
      </c>
      <c r="J3402" s="251">
        <v>20200</v>
      </c>
      <c r="K3402" s="860">
        <f t="shared" si="444"/>
        <v>969600</v>
      </c>
      <c r="L3402" s="861" t="s">
        <v>162</v>
      </c>
      <c r="M3402" s="861" t="s">
        <v>857</v>
      </c>
      <c r="N3402" s="52" t="str">
        <f>IF(AND('331-CT'!$E$7=TH!H3402,OR(L3402="331",M3402="331")),"331",IF(AND(OR(L3402="131",M3402="131"),H3402='131-CT'!$E$7),"131",""))</f>
        <v/>
      </c>
      <c r="O3402" s="52" t="str">
        <f>IF(AND($B3402&gt;='111'!$N$11,$B3402&lt;='111'!$O$11,OR($L3402=$O$7,$M3402=$O$7)),"x","")</f>
        <v/>
      </c>
      <c r="P3402" s="52" t="str">
        <f>IF(AND($L3402=$O$7,$B3402&lt;'111'!$N$11),"x","")</f>
        <v/>
      </c>
      <c r="Q3402" s="52" t="str">
        <f>IF(AND($M3402=$O$7,$B3402&lt;'111'!$N$11),"x","")</f>
        <v/>
      </c>
      <c r="R3402" s="52" t="str">
        <f>IF(ISERROR(FIND('112'!$M$9,G3402,1)),"",IF((AND(FIND('112'!$M$9,G3402,1)&gt;=1,$B3402&gt;='112'!$N$8,$B3402&lt;='112'!$O$8,OR($L3402='112'!$I$6,$M3402='112'!$I$6))),"x",""))</f>
        <v/>
      </c>
      <c r="S3402" s="52" t="str">
        <f>IF(ISERROR(FIND('112'!$M$9,G3402,1)),"",IF((AND(LEFT(G3402,2)=LEFT('112'!$M$9,2),B3402&lt;'112'!$N$8,$L3402='112'!$I$6)),"x",""))</f>
        <v/>
      </c>
      <c r="T3402" s="52" t="str">
        <f>IF(ISERROR(FIND('112'!$M$9,G3402,1)),"",IF((AND(RIGHT(G3402,2)=RIGHT('112'!$M$9,2),B3402&lt;'112'!$N$8,$M3402='112'!$I$6)),"x",""))</f>
        <v/>
      </c>
      <c r="U3402" s="52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>x</v>
      </c>
      <c r="AA3402" s="826"/>
    </row>
    <row r="3403" spans="1:27" ht="15.75" customHeight="1">
      <c r="A3403" s="827" t="str">
        <f>IF(B3403&lt;&gt;"",IF(AND(B3403&gt;=_TM1,B3403&lt;=_TM2,OR(TH!L3403="1111",TH!M3403="1111")),TH!D3403,""),"")</f>
        <v/>
      </c>
      <c r="B3403" s="36">
        <f t="shared" si="445"/>
        <v>9</v>
      </c>
      <c r="C3403" s="190">
        <f t="shared" si="446"/>
        <v>42643</v>
      </c>
      <c r="D3403" s="856" t="s">
        <v>1662</v>
      </c>
      <c r="E3403" s="906">
        <v>42643</v>
      </c>
      <c r="F3403" s="49" t="s">
        <v>1733</v>
      </c>
      <c r="G3403" s="831" t="s">
        <v>1775</v>
      </c>
      <c r="H3403" s="859" t="s">
        <v>1310</v>
      </c>
      <c r="I3403" s="251">
        <v>30</v>
      </c>
      <c r="J3403" s="251">
        <v>20300</v>
      </c>
      <c r="K3403" s="860">
        <f t="shared" si="444"/>
        <v>609000</v>
      </c>
      <c r="L3403" s="861" t="s">
        <v>162</v>
      </c>
      <c r="M3403" s="861" t="s">
        <v>857</v>
      </c>
      <c r="N3403" s="52" t="str">
        <f>IF(AND('331-CT'!$E$7=TH!H3403,OR(L3403="331",M3403="331")),"331",IF(AND(OR(L3403="131",M3403="131"),H3403='131-CT'!$E$7),"131",""))</f>
        <v/>
      </c>
      <c r="O3403" s="52" t="str">
        <f>IF(AND($B3403&gt;='111'!$N$11,$B3403&lt;='111'!$O$11,OR($L3403=$O$7,$M3403=$O$7)),"x","")</f>
        <v/>
      </c>
      <c r="P3403" s="52" t="str">
        <f>IF(AND($L3403=$O$7,$B3403&lt;'111'!$N$11),"x","")</f>
        <v/>
      </c>
      <c r="Q3403" s="52" t="str">
        <f>IF(AND($M3403=$O$7,$B3403&lt;'111'!$N$11),"x","")</f>
        <v/>
      </c>
      <c r="R3403" s="52" t="str">
        <f>IF(ISERROR(FIND('112'!$M$9,G3403,1)),"",IF((AND(FIND('112'!$M$9,G3403,1)&gt;=1,$B3403&gt;='112'!$N$8,$B3403&lt;='112'!$O$8,OR($L3403='112'!$I$6,$M3403='112'!$I$6))),"x",""))</f>
        <v/>
      </c>
      <c r="S3403" s="52" t="str">
        <f>IF(ISERROR(FIND('112'!$M$9,G3403,1)),"",IF((AND(LEFT(G3403,2)=LEFT('112'!$M$9,2),B3403&lt;'112'!$N$8,$L3403='112'!$I$6)),"x",""))</f>
        <v/>
      </c>
      <c r="T3403" s="52" t="str">
        <f>IF(ISERROR(FIND('112'!$M$9,G3403,1)),"",IF((AND(RIGHT(G3403,2)=RIGHT('112'!$M$9,2),B3403&lt;'112'!$N$8,$M3403='112'!$I$6)),"x",""))</f>
        <v/>
      </c>
      <c r="U3403" s="52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>x</v>
      </c>
      <c r="AA3403" s="826"/>
    </row>
    <row r="3404" spans="1:27" ht="15.75" customHeight="1">
      <c r="A3404" s="827" t="str">
        <f>IF(B3404&lt;&gt;"",IF(AND(B3404&gt;=_TM1,B3404&lt;=_TM2,OR(TH!L3404="1111",TH!M3404="1111")),TH!D3404,""),"")</f>
        <v/>
      </c>
      <c r="B3404" s="36">
        <f t="shared" si="445"/>
        <v>9</v>
      </c>
      <c r="C3404" s="190">
        <f t="shared" si="446"/>
        <v>42643</v>
      </c>
      <c r="D3404" s="856" t="s">
        <v>1662</v>
      </c>
      <c r="E3404" s="906">
        <v>42643</v>
      </c>
      <c r="F3404" s="49" t="s">
        <v>1734</v>
      </c>
      <c r="G3404" s="831" t="s">
        <v>1775</v>
      </c>
      <c r="H3404" s="859" t="s">
        <v>1310</v>
      </c>
      <c r="I3404" s="251">
        <v>12</v>
      </c>
      <c r="J3404" s="251">
        <v>20500</v>
      </c>
      <c r="K3404" s="860">
        <f t="shared" si="444"/>
        <v>246000</v>
      </c>
      <c r="L3404" s="861" t="s">
        <v>162</v>
      </c>
      <c r="M3404" s="861" t="s">
        <v>857</v>
      </c>
      <c r="N3404" s="52" t="str">
        <f>IF(AND('331-CT'!$E$7=TH!H3404,OR(L3404="331",M3404="331")),"331",IF(AND(OR(L3404="131",M3404="131"),H3404='131-CT'!$E$7),"131",""))</f>
        <v/>
      </c>
      <c r="O3404" s="52" t="str">
        <f>IF(AND($B3404&gt;='111'!$N$11,$B3404&lt;='111'!$O$11,OR($L3404=$O$7,$M3404=$O$7)),"x","")</f>
        <v/>
      </c>
      <c r="P3404" s="52" t="str">
        <f>IF(AND($L3404=$O$7,$B3404&lt;'111'!$N$11),"x","")</f>
        <v/>
      </c>
      <c r="Q3404" s="52" t="str">
        <f>IF(AND($M3404=$O$7,$B3404&lt;'111'!$N$11),"x","")</f>
        <v/>
      </c>
      <c r="R3404" s="52" t="str">
        <f>IF(ISERROR(FIND('112'!$M$9,G3404,1)),"",IF((AND(FIND('112'!$M$9,G3404,1)&gt;=1,$B3404&gt;='112'!$N$8,$B3404&lt;='112'!$O$8,OR($L3404='112'!$I$6,$M3404='112'!$I$6))),"x",""))</f>
        <v/>
      </c>
      <c r="S3404" s="52" t="str">
        <f>IF(ISERROR(FIND('112'!$M$9,G3404,1)),"",IF((AND(LEFT(G3404,2)=LEFT('112'!$M$9,2),B3404&lt;'112'!$N$8,$L3404='112'!$I$6)),"x",""))</f>
        <v/>
      </c>
      <c r="T3404" s="52" t="str">
        <f>IF(ISERROR(FIND('112'!$M$9,G3404,1)),"",IF((AND(RIGHT(G3404,2)=RIGHT('112'!$M$9,2),B3404&lt;'112'!$N$8,$M3404='112'!$I$6)),"x",""))</f>
        <v/>
      </c>
      <c r="U3404" s="52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>x</v>
      </c>
      <c r="AA3404" s="826"/>
    </row>
    <row r="3405" spans="1:27" ht="15.75" customHeight="1">
      <c r="A3405" s="827" t="str">
        <f>IF(B3405&lt;&gt;"",IF(AND(B3405&gt;=_TM1,B3405&lt;=_TM2,OR(TH!L3405="1111",TH!M3405="1111")),TH!D3405,""),"")</f>
        <v/>
      </c>
      <c r="B3405" s="36">
        <f t="shared" si="445"/>
        <v>9</v>
      </c>
      <c r="C3405" s="190">
        <f t="shared" si="446"/>
        <v>42643</v>
      </c>
      <c r="D3405" s="856" t="s">
        <v>1662</v>
      </c>
      <c r="E3405" s="906">
        <v>42643</v>
      </c>
      <c r="F3405" s="868" t="s">
        <v>1735</v>
      </c>
      <c r="G3405" s="831" t="s">
        <v>1775</v>
      </c>
      <c r="H3405" s="859" t="s">
        <v>1310</v>
      </c>
      <c r="I3405" s="251">
        <v>14</v>
      </c>
      <c r="J3405" s="251">
        <v>20700</v>
      </c>
      <c r="K3405" s="860">
        <f t="shared" si="444"/>
        <v>289800</v>
      </c>
      <c r="L3405" s="861" t="s">
        <v>162</v>
      </c>
      <c r="M3405" s="861" t="s">
        <v>857</v>
      </c>
      <c r="N3405" s="52" t="str">
        <f>IF(AND('331-CT'!$E$7=TH!H3405,OR(L3405="331",M3405="331")),"331",IF(AND(OR(L3405="131",M3405="131"),H3405='131-CT'!$E$7),"131",""))</f>
        <v/>
      </c>
      <c r="O3405" s="52" t="str">
        <f>IF(AND($B3405&gt;='111'!$N$11,$B3405&lt;='111'!$O$11,OR($L3405=$O$7,$M3405=$O$7)),"x","")</f>
        <v/>
      </c>
      <c r="P3405" s="52" t="str">
        <f>IF(AND($L3405=$O$7,$B3405&lt;'111'!$N$11),"x","")</f>
        <v/>
      </c>
      <c r="Q3405" s="52" t="str">
        <f>IF(AND($M3405=$O$7,$B3405&lt;'111'!$N$11),"x","")</f>
        <v/>
      </c>
      <c r="R3405" s="52" t="str">
        <f>IF(ISERROR(FIND('112'!$M$9,G3405,1)),"",IF((AND(FIND('112'!$M$9,G3405,1)&gt;=1,$B3405&gt;='112'!$N$8,$B3405&lt;='112'!$O$8,OR($L3405='112'!$I$6,$M3405='112'!$I$6))),"x",""))</f>
        <v/>
      </c>
      <c r="S3405" s="52" t="str">
        <f>IF(ISERROR(FIND('112'!$M$9,G3405,1)),"",IF((AND(LEFT(G3405,2)=LEFT('112'!$M$9,2),B3405&lt;'112'!$N$8,$L3405='112'!$I$6)),"x",""))</f>
        <v/>
      </c>
      <c r="T3405" s="52" t="str">
        <f>IF(ISERROR(FIND('112'!$M$9,G3405,1)),"",IF((AND(RIGHT(G3405,2)=RIGHT('112'!$M$9,2),B3405&lt;'112'!$N$8,$M3405='112'!$I$6)),"x",""))</f>
        <v/>
      </c>
      <c r="U3405" s="52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>x</v>
      </c>
      <c r="AA3405" s="826"/>
    </row>
    <row r="3406" spans="1:27" ht="15.75" customHeight="1">
      <c r="A3406" s="827" t="str">
        <f>IF(B3406&lt;&gt;"",IF(AND(B3406&gt;=_TM1,B3406&lt;=_TM2,OR(TH!L3406="1111",TH!M3406="1111")),TH!D3406,""),"")</f>
        <v/>
      </c>
      <c r="B3406" s="36">
        <f t="shared" si="445"/>
        <v>9</v>
      </c>
      <c r="C3406" s="190">
        <f t="shared" si="446"/>
        <v>42643</v>
      </c>
      <c r="D3406" s="856" t="s">
        <v>1662</v>
      </c>
      <c r="E3406" s="906">
        <v>42643</v>
      </c>
      <c r="F3406" s="49" t="s">
        <v>1736</v>
      </c>
      <c r="G3406" s="831" t="s">
        <v>1775</v>
      </c>
      <c r="H3406" s="859" t="s">
        <v>1310</v>
      </c>
      <c r="I3406" s="251">
        <v>14</v>
      </c>
      <c r="J3406" s="251">
        <v>21000</v>
      </c>
      <c r="K3406" s="860">
        <f t="shared" si="444"/>
        <v>294000</v>
      </c>
      <c r="L3406" s="861" t="s">
        <v>162</v>
      </c>
      <c r="M3406" s="861" t="s">
        <v>857</v>
      </c>
      <c r="N3406" s="52" t="str">
        <f>IF(AND('331-CT'!$E$7=TH!H3406,OR(L3406="331",M3406="331")),"331",IF(AND(OR(L3406="131",M3406="131"),H3406='131-CT'!$E$7),"131",""))</f>
        <v/>
      </c>
      <c r="O3406" s="52" t="str">
        <f>IF(AND($B3406&gt;='111'!$N$11,$B3406&lt;='111'!$O$11,OR($L3406=$O$7,$M3406=$O$7)),"x","")</f>
        <v/>
      </c>
      <c r="P3406" s="52" t="str">
        <f>IF(AND($L3406=$O$7,$B3406&lt;'111'!$N$11),"x","")</f>
        <v/>
      </c>
      <c r="Q3406" s="52" t="str">
        <f>IF(AND($M3406=$O$7,$B3406&lt;'111'!$N$11),"x","")</f>
        <v/>
      </c>
      <c r="R3406" s="52" t="str">
        <f>IF(ISERROR(FIND('112'!$M$9,G3406,1)),"",IF((AND(FIND('112'!$M$9,G3406,1)&gt;=1,$B3406&gt;='112'!$N$8,$B3406&lt;='112'!$O$8,OR($L3406='112'!$I$6,$M3406='112'!$I$6))),"x",""))</f>
        <v/>
      </c>
      <c r="S3406" s="52" t="str">
        <f>IF(ISERROR(FIND('112'!$M$9,G3406,1)),"",IF((AND(LEFT(G3406,2)=LEFT('112'!$M$9,2),B3406&lt;'112'!$N$8,$L3406='112'!$I$6)),"x",""))</f>
        <v/>
      </c>
      <c r="T3406" s="52" t="str">
        <f>IF(ISERROR(FIND('112'!$M$9,G3406,1)),"",IF((AND(RIGHT(G3406,2)=RIGHT('112'!$M$9,2),B3406&lt;'112'!$N$8,$M3406='112'!$I$6)),"x",""))</f>
        <v/>
      </c>
      <c r="U3406" s="52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>x</v>
      </c>
      <c r="AA3406" s="826"/>
    </row>
    <row r="3407" spans="1:27" ht="15.75" customHeight="1">
      <c r="A3407" s="827" t="str">
        <f>IF(B3407&lt;&gt;"",IF(AND(B3407&gt;=_TM1,B3407&lt;=_TM2,OR(TH!L3407="1111",TH!M3407="1111")),TH!D3407,""),"")</f>
        <v/>
      </c>
      <c r="B3407" s="36">
        <f t="shared" si="445"/>
        <v>9</v>
      </c>
      <c r="C3407" s="190">
        <f t="shared" si="446"/>
        <v>42643</v>
      </c>
      <c r="D3407" s="856" t="s">
        <v>1662</v>
      </c>
      <c r="E3407" s="906">
        <v>42643</v>
      </c>
      <c r="F3407" s="868" t="s">
        <v>1737</v>
      </c>
      <c r="G3407" s="831" t="s">
        <v>1775</v>
      </c>
      <c r="H3407" s="859" t="s">
        <v>1310</v>
      </c>
      <c r="I3407" s="251">
        <v>12</v>
      </c>
      <c r="J3407" s="251">
        <v>21000</v>
      </c>
      <c r="K3407" s="860">
        <f t="shared" si="444"/>
        <v>252000</v>
      </c>
      <c r="L3407" s="861" t="s">
        <v>162</v>
      </c>
      <c r="M3407" s="861" t="s">
        <v>857</v>
      </c>
      <c r="N3407" s="52" t="str">
        <f>IF(AND('331-CT'!$E$7=TH!H3407,OR(L3407="331",M3407="331")),"331",IF(AND(OR(L3407="131",M3407="131"),H3407='131-CT'!$E$7),"131",""))</f>
        <v/>
      </c>
      <c r="O3407" s="52" t="str">
        <f>IF(AND($B3407&gt;='111'!$N$11,$B3407&lt;='111'!$O$11,OR($L3407=$O$7,$M3407=$O$7)),"x","")</f>
        <v/>
      </c>
      <c r="P3407" s="52" t="str">
        <f>IF(AND($L3407=$O$7,$B3407&lt;'111'!$N$11),"x","")</f>
        <v/>
      </c>
      <c r="Q3407" s="52" t="str">
        <f>IF(AND($M3407=$O$7,$B3407&lt;'111'!$N$11),"x","")</f>
        <v/>
      </c>
      <c r="R3407" s="52" t="str">
        <f>IF(ISERROR(FIND('112'!$M$9,G3407,1)),"",IF((AND(FIND('112'!$M$9,G3407,1)&gt;=1,$B3407&gt;='112'!$N$8,$B3407&lt;='112'!$O$8,OR($L3407='112'!$I$6,$M3407='112'!$I$6))),"x",""))</f>
        <v/>
      </c>
      <c r="S3407" s="52" t="str">
        <f>IF(ISERROR(FIND('112'!$M$9,G3407,1)),"",IF((AND(LEFT(G3407,2)=LEFT('112'!$M$9,2),B3407&lt;'112'!$N$8,$L3407='112'!$I$6)),"x",""))</f>
        <v/>
      </c>
      <c r="T3407" s="52" t="str">
        <f>IF(ISERROR(FIND('112'!$M$9,G3407,1)),"",IF((AND(RIGHT(G3407,2)=RIGHT('112'!$M$9,2),B3407&lt;'112'!$N$8,$M3407='112'!$I$6)),"x",""))</f>
        <v/>
      </c>
      <c r="U3407" s="52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>x</v>
      </c>
      <c r="AA3407" s="826"/>
    </row>
    <row r="3408" spans="1:27" ht="15.75" customHeight="1">
      <c r="A3408" s="827" t="str">
        <f>IF(B3408&lt;&gt;"",IF(AND(B3408&gt;=_TM1,B3408&lt;=_TM2,OR(TH!L3408="1111",TH!M3408="1111")),TH!D3408,""),"")</f>
        <v/>
      </c>
      <c r="B3408" s="36">
        <f t="shared" si="445"/>
        <v>9</v>
      </c>
      <c r="C3408" s="190">
        <f t="shared" si="446"/>
        <v>42643</v>
      </c>
      <c r="D3408" s="856" t="s">
        <v>1662</v>
      </c>
      <c r="E3408" s="906">
        <v>42643</v>
      </c>
      <c r="F3408" s="49" t="s">
        <v>1737</v>
      </c>
      <c r="G3408" s="831" t="s">
        <v>1775</v>
      </c>
      <c r="H3408" s="859" t="s">
        <v>1310</v>
      </c>
      <c r="I3408" s="251">
        <v>60</v>
      </c>
      <c r="J3408" s="251">
        <v>21000</v>
      </c>
      <c r="K3408" s="860">
        <f t="shared" si="444"/>
        <v>1260000</v>
      </c>
      <c r="L3408" s="861" t="s">
        <v>162</v>
      </c>
      <c r="M3408" s="861" t="s">
        <v>857</v>
      </c>
      <c r="N3408" s="52" t="str">
        <f>IF(AND('331-CT'!$E$7=TH!H3408,OR(L3408="331",M3408="331")),"331",IF(AND(OR(L3408="131",M3408="131"),H3408='131-CT'!$E$7),"131",""))</f>
        <v/>
      </c>
      <c r="O3408" s="52" t="str">
        <f>IF(AND($B3408&gt;='111'!$N$11,$B3408&lt;='111'!$O$11,OR($L3408=$O$7,$M3408=$O$7)),"x","")</f>
        <v/>
      </c>
      <c r="P3408" s="52" t="str">
        <f>IF(AND($L3408=$O$7,$B3408&lt;'111'!$N$11),"x","")</f>
        <v/>
      </c>
      <c r="Q3408" s="52" t="str">
        <f>IF(AND($M3408=$O$7,$B3408&lt;'111'!$N$11),"x","")</f>
        <v/>
      </c>
      <c r="R3408" s="52" t="str">
        <f>IF(ISERROR(FIND('112'!$M$9,G3408,1)),"",IF((AND(FIND('112'!$M$9,G3408,1)&gt;=1,$B3408&gt;='112'!$N$8,$B3408&lt;='112'!$O$8,OR($L3408='112'!$I$6,$M3408='112'!$I$6))),"x",""))</f>
        <v/>
      </c>
      <c r="S3408" s="52" t="str">
        <f>IF(ISERROR(FIND('112'!$M$9,G3408,1)),"",IF((AND(LEFT(G3408,2)=LEFT('112'!$M$9,2),B3408&lt;'112'!$N$8,$L3408='112'!$I$6)),"x",""))</f>
        <v/>
      </c>
      <c r="T3408" s="52" t="str">
        <f>IF(ISERROR(FIND('112'!$M$9,G3408,1)),"",IF((AND(RIGHT(G3408,2)=RIGHT('112'!$M$9,2),B3408&lt;'112'!$N$8,$M3408='112'!$I$6)),"x",""))</f>
        <v/>
      </c>
      <c r="U3408" s="52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>x</v>
      </c>
      <c r="AA3408" s="826"/>
    </row>
    <row r="3409" spans="1:27" ht="15.75" customHeight="1">
      <c r="A3409" s="827" t="str">
        <f>IF(B3409&lt;&gt;"",IF(AND(B3409&gt;=_TM1,B3409&lt;=_TM2,OR(TH!L3409="1111",TH!M3409="1111")),TH!D3409,""),"")</f>
        <v/>
      </c>
      <c r="B3409" s="36">
        <f t="shared" si="445"/>
        <v>9</v>
      </c>
      <c r="C3409" s="190">
        <f t="shared" si="446"/>
        <v>42643</v>
      </c>
      <c r="D3409" s="856" t="s">
        <v>1662</v>
      </c>
      <c r="E3409" s="906">
        <v>42643</v>
      </c>
      <c r="F3409" s="49" t="s">
        <v>1738</v>
      </c>
      <c r="G3409" s="831" t="s">
        <v>1775</v>
      </c>
      <c r="H3409" s="859" t="s">
        <v>1310</v>
      </c>
      <c r="I3409" s="251">
        <v>60</v>
      </c>
      <c r="J3409" s="251">
        <v>22000</v>
      </c>
      <c r="K3409" s="860">
        <f t="shared" si="444"/>
        <v>1320000</v>
      </c>
      <c r="L3409" s="861" t="s">
        <v>162</v>
      </c>
      <c r="M3409" s="861" t="s">
        <v>857</v>
      </c>
      <c r="N3409" s="52" t="str">
        <f>IF(AND('331-CT'!$E$7=TH!H3409,OR(L3409="331",M3409="331")),"331",IF(AND(OR(L3409="131",M3409="131"),H3409='131-CT'!$E$7),"131",""))</f>
        <v/>
      </c>
      <c r="O3409" s="52" t="str">
        <f>IF(AND($B3409&gt;='111'!$N$11,$B3409&lt;='111'!$O$11,OR($L3409=$O$7,$M3409=$O$7)),"x","")</f>
        <v/>
      </c>
      <c r="P3409" s="52" t="str">
        <f>IF(AND($L3409=$O$7,$B3409&lt;'111'!$N$11),"x","")</f>
        <v/>
      </c>
      <c r="Q3409" s="52" t="str">
        <f>IF(AND($M3409=$O$7,$B3409&lt;'111'!$N$11),"x","")</f>
        <v/>
      </c>
      <c r="R3409" s="52" t="str">
        <f>IF(ISERROR(FIND('112'!$M$9,G3409,1)),"",IF((AND(FIND('112'!$M$9,G3409,1)&gt;=1,$B3409&gt;='112'!$N$8,$B3409&lt;='112'!$O$8,OR($L3409='112'!$I$6,$M3409='112'!$I$6))),"x",""))</f>
        <v/>
      </c>
      <c r="S3409" s="52" t="str">
        <f>IF(ISERROR(FIND('112'!$M$9,G3409,1)),"",IF((AND(LEFT(G3409,2)=LEFT('112'!$M$9,2),B3409&lt;'112'!$N$8,$L3409='112'!$I$6)),"x",""))</f>
        <v/>
      </c>
      <c r="T3409" s="52" t="str">
        <f>IF(ISERROR(FIND('112'!$M$9,G3409,1)),"",IF((AND(RIGHT(G3409,2)=RIGHT('112'!$M$9,2),B3409&lt;'112'!$N$8,$M3409='112'!$I$6)),"x",""))</f>
        <v/>
      </c>
      <c r="U3409" s="52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>x</v>
      </c>
      <c r="AA3409" s="826"/>
    </row>
    <row r="3410" spans="1:27" ht="15.75" customHeight="1">
      <c r="A3410" s="827" t="str">
        <f>IF(B3410&lt;&gt;"",IF(AND(B3410&gt;=_TM1,B3410&lt;=_TM2,OR(TH!L3410="1111",TH!M3410="1111")),TH!D3410,""),"")</f>
        <v/>
      </c>
      <c r="B3410" s="36">
        <f t="shared" si="445"/>
        <v>9</v>
      </c>
      <c r="C3410" s="190">
        <f t="shared" si="446"/>
        <v>42643</v>
      </c>
      <c r="D3410" s="856" t="s">
        <v>1662</v>
      </c>
      <c r="E3410" s="906">
        <v>42643</v>
      </c>
      <c r="F3410" s="49" t="s">
        <v>1738</v>
      </c>
      <c r="G3410" s="831" t="s">
        <v>1775</v>
      </c>
      <c r="H3410" s="859" t="s">
        <v>1310</v>
      </c>
      <c r="I3410" s="251">
        <v>60</v>
      </c>
      <c r="J3410" s="251">
        <v>22000</v>
      </c>
      <c r="K3410" s="860">
        <f t="shared" ref="K3410:K3414" si="447">ROUND(I3410*J3410,0)</f>
        <v>1320000</v>
      </c>
      <c r="L3410" s="861" t="s">
        <v>162</v>
      </c>
      <c r="M3410" s="861" t="s">
        <v>857</v>
      </c>
      <c r="N3410" s="52" t="str">
        <f>IF(AND('331-CT'!$E$7=TH!H3410,OR(L3410="331",M3410="331")),"331",IF(AND(OR(L3410="131",M3410="131"),H3410='131-CT'!$E$7),"131",""))</f>
        <v/>
      </c>
      <c r="O3410" s="52" t="str">
        <f>IF(AND($B3410&gt;='111'!$N$11,$B3410&lt;='111'!$O$11,OR($L3410=$O$7,$M3410=$O$7)),"x","")</f>
        <v/>
      </c>
      <c r="P3410" s="52" t="str">
        <f>IF(AND($L3410=$O$7,$B3410&lt;'111'!$N$11),"x","")</f>
        <v/>
      </c>
      <c r="Q3410" s="52" t="str">
        <f>IF(AND($M3410=$O$7,$B3410&lt;'111'!$N$11),"x","")</f>
        <v/>
      </c>
      <c r="R3410" s="52" t="str">
        <f>IF(ISERROR(FIND('112'!$M$9,G3410,1)),"",IF((AND(FIND('112'!$M$9,G3410,1)&gt;=1,$B3410&gt;='112'!$N$8,$B3410&lt;='112'!$O$8,OR($L3410='112'!$I$6,$M3410='112'!$I$6))),"x",""))</f>
        <v/>
      </c>
      <c r="S3410" s="52" t="str">
        <f>IF(ISERROR(FIND('112'!$M$9,G3410,1)),"",IF((AND(LEFT(G3410,2)=LEFT('112'!$M$9,2),B3410&lt;'112'!$N$8,$L3410='112'!$I$6)),"x",""))</f>
        <v/>
      </c>
      <c r="T3410" s="52" t="str">
        <f>IF(ISERROR(FIND('112'!$M$9,G3410,1)),"",IF((AND(RIGHT(G3410,2)=RIGHT('112'!$M$9,2),B3410&lt;'112'!$N$8,$M3410='112'!$I$6)),"x",""))</f>
        <v/>
      </c>
      <c r="U3410" s="52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>x</v>
      </c>
      <c r="AA3410" s="826"/>
    </row>
    <row r="3411" spans="1:27" ht="15.75" customHeight="1">
      <c r="A3411" s="827" t="str">
        <f>IF(B3411&lt;&gt;"",IF(AND(B3411&gt;=_TM1,B3411&lt;=_TM2,OR(TH!L3411="1111",TH!M3411="1111")),TH!D3411,""),"")</f>
        <v/>
      </c>
      <c r="B3411" s="36">
        <f t="shared" si="445"/>
        <v>9</v>
      </c>
      <c r="C3411" s="190">
        <f t="shared" si="446"/>
        <v>42643</v>
      </c>
      <c r="D3411" s="856" t="s">
        <v>1662</v>
      </c>
      <c r="E3411" s="906">
        <v>42643</v>
      </c>
      <c r="F3411" s="868" t="s">
        <v>498</v>
      </c>
      <c r="G3411" s="831" t="s">
        <v>1775</v>
      </c>
      <c r="H3411" s="859" t="s">
        <v>1310</v>
      </c>
      <c r="I3411" s="251">
        <v>85</v>
      </c>
      <c r="J3411" s="251">
        <v>22100</v>
      </c>
      <c r="K3411" s="860">
        <f t="shared" si="447"/>
        <v>1878500</v>
      </c>
      <c r="L3411" s="861" t="s">
        <v>162</v>
      </c>
      <c r="M3411" s="861" t="s">
        <v>857</v>
      </c>
      <c r="N3411" s="52" t="str">
        <f>IF(AND('331-CT'!$E$7=TH!H3411,OR(L3411="331",M3411="331")),"331",IF(AND(OR(L3411="131",M3411="131"),H3411='131-CT'!$E$7),"131",""))</f>
        <v/>
      </c>
      <c r="O3411" s="52" t="str">
        <f>IF(AND($B3411&gt;='111'!$N$11,$B3411&lt;='111'!$O$11,OR($L3411=$O$7,$M3411=$O$7)),"x","")</f>
        <v/>
      </c>
      <c r="P3411" s="52" t="str">
        <f>IF(AND($L3411=$O$7,$B3411&lt;'111'!$N$11),"x","")</f>
        <v/>
      </c>
      <c r="Q3411" s="52" t="str">
        <f>IF(AND($M3411=$O$7,$B3411&lt;'111'!$N$11),"x","")</f>
        <v/>
      </c>
      <c r="R3411" s="52" t="str">
        <f>IF(ISERROR(FIND('112'!$M$9,G3411,1)),"",IF((AND(FIND('112'!$M$9,G3411,1)&gt;=1,$B3411&gt;='112'!$N$8,$B3411&lt;='112'!$O$8,OR($L3411='112'!$I$6,$M3411='112'!$I$6))),"x",""))</f>
        <v/>
      </c>
      <c r="S3411" s="52" t="str">
        <f>IF(ISERROR(FIND('112'!$M$9,G3411,1)),"",IF((AND(LEFT(G3411,2)=LEFT('112'!$M$9,2),B3411&lt;'112'!$N$8,$L3411='112'!$I$6)),"x",""))</f>
        <v/>
      </c>
      <c r="T3411" s="52" t="str">
        <f>IF(ISERROR(FIND('112'!$M$9,G3411,1)),"",IF((AND(RIGHT(G3411,2)=RIGHT('112'!$M$9,2),B3411&lt;'112'!$N$8,$M3411='112'!$I$6)),"x",""))</f>
        <v/>
      </c>
      <c r="U3411" s="52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>x</v>
      </c>
      <c r="AA3411" s="826"/>
    </row>
    <row r="3412" spans="1:27" ht="15.75" customHeight="1">
      <c r="A3412" s="827" t="str">
        <f>IF(B3412&lt;&gt;"",IF(AND(B3412&gt;=_TM1,B3412&lt;=_TM2,OR(TH!L3412="1111",TH!M3412="1111")),TH!D3412,""),"")</f>
        <v/>
      </c>
      <c r="B3412" s="36">
        <f t="shared" si="445"/>
        <v>9</v>
      </c>
      <c r="C3412" s="190">
        <f t="shared" si="446"/>
        <v>42643</v>
      </c>
      <c r="D3412" s="856" t="s">
        <v>1662</v>
      </c>
      <c r="E3412" s="906">
        <v>42643</v>
      </c>
      <c r="F3412" s="49" t="s">
        <v>552</v>
      </c>
      <c r="G3412" s="831" t="s">
        <v>1775</v>
      </c>
      <c r="H3412" s="859" t="s">
        <v>1310</v>
      </c>
      <c r="I3412" s="251">
        <v>40</v>
      </c>
      <c r="J3412" s="251">
        <v>22700</v>
      </c>
      <c r="K3412" s="860">
        <f t="shared" si="447"/>
        <v>908000</v>
      </c>
      <c r="L3412" s="861" t="s">
        <v>162</v>
      </c>
      <c r="M3412" s="861" t="s">
        <v>857</v>
      </c>
      <c r="N3412" s="52" t="str">
        <f>IF(AND('331-CT'!$E$7=TH!H3412,OR(L3412="331",M3412="331")),"331",IF(AND(OR(L3412="131",M3412="131"),H3412='131-CT'!$E$7),"131",""))</f>
        <v/>
      </c>
      <c r="O3412" s="52" t="str">
        <f>IF(AND($B3412&gt;='111'!$N$11,$B3412&lt;='111'!$O$11,OR($L3412=$O$7,$M3412=$O$7)),"x","")</f>
        <v/>
      </c>
      <c r="P3412" s="52" t="str">
        <f>IF(AND($L3412=$O$7,$B3412&lt;'111'!$N$11),"x","")</f>
        <v/>
      </c>
      <c r="Q3412" s="52" t="str">
        <f>IF(AND($M3412=$O$7,$B3412&lt;'111'!$N$11),"x","")</f>
        <v/>
      </c>
      <c r="R3412" s="52" t="str">
        <f>IF(ISERROR(FIND('112'!$M$9,G3412,1)),"",IF((AND(FIND('112'!$M$9,G3412,1)&gt;=1,$B3412&gt;='112'!$N$8,$B3412&lt;='112'!$O$8,OR($L3412='112'!$I$6,$M3412='112'!$I$6))),"x",""))</f>
        <v/>
      </c>
      <c r="S3412" s="52" t="str">
        <f>IF(ISERROR(FIND('112'!$M$9,G3412,1)),"",IF((AND(LEFT(G3412,2)=LEFT('112'!$M$9,2),B3412&lt;'112'!$N$8,$L3412='112'!$I$6)),"x",""))</f>
        <v/>
      </c>
      <c r="T3412" s="52" t="str">
        <f>IF(ISERROR(FIND('112'!$M$9,G3412,1)),"",IF((AND(RIGHT(G3412,2)=RIGHT('112'!$M$9,2),B3412&lt;'112'!$N$8,$M3412='112'!$I$6)),"x",""))</f>
        <v/>
      </c>
      <c r="U3412" s="52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>x</v>
      </c>
      <c r="AA3412" s="826"/>
    </row>
    <row r="3413" spans="1:27" ht="15.75" customHeight="1">
      <c r="A3413" s="827" t="str">
        <f>IF(B3413&lt;&gt;"",IF(AND(B3413&gt;=_TM1,B3413&lt;=_TM2,OR(TH!L3413="1111",TH!M3413="1111")),TH!D3413,""),"")</f>
        <v/>
      </c>
      <c r="B3413" s="36">
        <f t="shared" si="445"/>
        <v>9</v>
      </c>
      <c r="C3413" s="190">
        <f t="shared" si="446"/>
        <v>42643</v>
      </c>
      <c r="D3413" s="856" t="s">
        <v>1662</v>
      </c>
      <c r="E3413" s="906">
        <v>42643</v>
      </c>
      <c r="F3413" s="49" t="s">
        <v>1739</v>
      </c>
      <c r="G3413" s="831" t="s">
        <v>1775</v>
      </c>
      <c r="H3413" s="859" t="s">
        <v>1310</v>
      </c>
      <c r="I3413" s="251">
        <v>46</v>
      </c>
      <c r="J3413" s="251">
        <v>22800</v>
      </c>
      <c r="K3413" s="860">
        <f t="shared" si="447"/>
        <v>1048800</v>
      </c>
      <c r="L3413" s="861" t="s">
        <v>162</v>
      </c>
      <c r="M3413" s="861" t="s">
        <v>857</v>
      </c>
      <c r="N3413" s="52" t="str">
        <f>IF(AND('331-CT'!$E$7=TH!H3413,OR(L3413="331",M3413="331")),"331",IF(AND(OR(L3413="131",M3413="131"),H3413='131-CT'!$E$7),"131",""))</f>
        <v/>
      </c>
      <c r="O3413" s="52" t="str">
        <f>IF(AND($B3413&gt;='111'!$N$11,$B3413&lt;='111'!$O$11,OR($L3413=$O$7,$M3413=$O$7)),"x","")</f>
        <v/>
      </c>
      <c r="P3413" s="52" t="str">
        <f>IF(AND($L3413=$O$7,$B3413&lt;'111'!$N$11),"x","")</f>
        <v/>
      </c>
      <c r="Q3413" s="52" t="str">
        <f>IF(AND($M3413=$O$7,$B3413&lt;'111'!$N$11),"x","")</f>
        <v/>
      </c>
      <c r="R3413" s="52" t="str">
        <f>IF(ISERROR(FIND('112'!$M$9,G3413,1)),"",IF((AND(FIND('112'!$M$9,G3413,1)&gt;=1,$B3413&gt;='112'!$N$8,$B3413&lt;='112'!$O$8,OR($L3413='112'!$I$6,$M3413='112'!$I$6))),"x",""))</f>
        <v/>
      </c>
      <c r="S3413" s="52" t="str">
        <f>IF(ISERROR(FIND('112'!$M$9,G3413,1)),"",IF((AND(LEFT(G3413,2)=LEFT('112'!$M$9,2),B3413&lt;'112'!$N$8,$L3413='112'!$I$6)),"x",""))</f>
        <v/>
      </c>
      <c r="T3413" s="52" t="str">
        <f>IF(ISERROR(FIND('112'!$M$9,G3413,1)),"",IF((AND(RIGHT(G3413,2)=RIGHT('112'!$M$9,2),B3413&lt;'112'!$N$8,$M3413='112'!$I$6)),"x",""))</f>
        <v/>
      </c>
      <c r="U3413" s="52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>x</v>
      </c>
      <c r="AA3413" s="826"/>
    </row>
    <row r="3414" spans="1:27" ht="15.75" customHeight="1">
      <c r="A3414" s="827" t="str">
        <f>IF(B3414&lt;&gt;"",IF(AND(B3414&gt;=_TM1,B3414&lt;=_TM2,OR(TH!L3414="1111",TH!M3414="1111")),TH!D3414,""),"")</f>
        <v/>
      </c>
      <c r="B3414" s="36">
        <f t="shared" si="445"/>
        <v>9</v>
      </c>
      <c r="C3414" s="190">
        <f t="shared" si="446"/>
        <v>42643</v>
      </c>
      <c r="D3414" s="856" t="s">
        <v>1662</v>
      </c>
      <c r="E3414" s="906">
        <v>42643</v>
      </c>
      <c r="F3414" s="868" t="s">
        <v>1740</v>
      </c>
      <c r="G3414" s="831" t="s">
        <v>1775</v>
      </c>
      <c r="H3414" s="859" t="s">
        <v>1310</v>
      </c>
      <c r="I3414" s="251">
        <v>6</v>
      </c>
      <c r="J3414" s="251">
        <v>22900</v>
      </c>
      <c r="K3414" s="860">
        <f t="shared" si="447"/>
        <v>137400</v>
      </c>
      <c r="L3414" s="861" t="s">
        <v>162</v>
      </c>
      <c r="M3414" s="861" t="s">
        <v>857</v>
      </c>
      <c r="N3414" s="52" t="str">
        <f>IF(AND('331-CT'!$E$7=TH!H3414,OR(L3414="331",M3414="331")),"331",IF(AND(OR(L3414="131",M3414="131"),H3414='131-CT'!$E$7),"131",""))</f>
        <v/>
      </c>
      <c r="O3414" s="52" t="str">
        <f>IF(AND($B3414&gt;='111'!$N$11,$B3414&lt;='111'!$O$11,OR($L3414=$O$7,$M3414=$O$7)),"x","")</f>
        <v/>
      </c>
      <c r="P3414" s="52" t="str">
        <f>IF(AND($L3414=$O$7,$B3414&lt;'111'!$N$11),"x","")</f>
        <v/>
      </c>
      <c r="Q3414" s="52" t="str">
        <f>IF(AND($M3414=$O$7,$B3414&lt;'111'!$N$11),"x","")</f>
        <v/>
      </c>
      <c r="R3414" s="52" t="str">
        <f>IF(ISERROR(FIND('112'!$M$9,G3414,1)),"",IF((AND(FIND('112'!$M$9,G3414,1)&gt;=1,$B3414&gt;='112'!$N$8,$B3414&lt;='112'!$O$8,OR($L3414='112'!$I$6,$M3414='112'!$I$6))),"x",""))</f>
        <v/>
      </c>
      <c r="S3414" s="52" t="str">
        <f>IF(ISERROR(FIND('112'!$M$9,G3414,1)),"",IF((AND(LEFT(G3414,2)=LEFT('112'!$M$9,2),B3414&lt;'112'!$N$8,$L3414='112'!$I$6)),"x",""))</f>
        <v/>
      </c>
      <c r="T3414" s="52" t="str">
        <f>IF(ISERROR(FIND('112'!$M$9,G3414,1)),"",IF((AND(RIGHT(G3414,2)=RIGHT('112'!$M$9,2),B3414&lt;'112'!$N$8,$M3414='112'!$I$6)),"x",""))</f>
        <v/>
      </c>
      <c r="U3414" s="52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>x</v>
      </c>
      <c r="AA3414" s="826"/>
    </row>
    <row r="3415" spans="1:27" ht="15.75" customHeight="1">
      <c r="A3415" s="827" t="str">
        <f>IF(B3415&lt;&gt;"",IF(AND(B3415&gt;=_TM1,B3415&lt;=_TM2,OR(TH!L3415="1111",TH!M3415="1111")),TH!D3415,""),"")</f>
        <v/>
      </c>
      <c r="B3415" s="36">
        <f t="shared" si="430"/>
        <v>9</v>
      </c>
      <c r="C3415" s="190">
        <f t="shared" si="443"/>
        <v>42643</v>
      </c>
      <c r="D3415" s="856" t="s">
        <v>1662</v>
      </c>
      <c r="E3415" s="906">
        <v>42643</v>
      </c>
      <c r="F3415" s="49" t="s">
        <v>484</v>
      </c>
      <c r="G3415" s="831" t="s">
        <v>1775</v>
      </c>
      <c r="H3415" s="859" t="s">
        <v>1310</v>
      </c>
      <c r="I3415" s="251">
        <v>6</v>
      </c>
      <c r="J3415" s="251">
        <v>23100</v>
      </c>
      <c r="K3415" s="860">
        <f t="shared" ref="K3415:K3432" si="448">ROUND(I3415*J3415,0)</f>
        <v>138600</v>
      </c>
      <c r="L3415" s="861" t="s">
        <v>162</v>
      </c>
      <c r="M3415" s="861" t="s">
        <v>857</v>
      </c>
      <c r="N3415" s="52" t="str">
        <f>IF(AND('331-CT'!$E$7=TH!H3415,OR(L3415="331",M3415="331")),"331",IF(AND(OR(L3415="131",M3415="131"),H3415='131-CT'!$E$7),"131",""))</f>
        <v/>
      </c>
      <c r="O3415" s="52" t="str">
        <f>IF(AND($B3415&gt;='111'!$N$11,$B3415&lt;='111'!$O$11,OR($L3415=$O$7,$M3415=$O$7)),"x","")</f>
        <v/>
      </c>
      <c r="P3415" s="52" t="str">
        <f>IF(AND($L3415=$O$7,$B3415&lt;'111'!$N$11),"x","")</f>
        <v/>
      </c>
      <c r="Q3415" s="52" t="str">
        <f>IF(AND($M3415=$O$7,$B3415&lt;'111'!$N$11),"x","")</f>
        <v/>
      </c>
      <c r="R3415" s="52" t="str">
        <f>IF(ISERROR(FIND('112'!$M$9,G3415,1)),"",IF((AND(FIND('112'!$M$9,G3415,1)&gt;=1,$B3415&gt;='112'!$N$8,$B3415&lt;='112'!$O$8,OR($L3415='112'!$I$6,$M3415='112'!$I$6))),"x",""))</f>
        <v/>
      </c>
      <c r="S3415" s="52" t="str">
        <f>IF(ISERROR(FIND('112'!$M$9,G3415,1)),"",IF((AND(LEFT(G3415,2)=LEFT('112'!$M$9,2),B3415&lt;'112'!$N$8,$L3415='112'!$I$6)),"x",""))</f>
        <v/>
      </c>
      <c r="T3415" s="52" t="str">
        <f>IF(ISERROR(FIND('112'!$M$9,G3415,1)),"",IF((AND(RIGHT(G3415,2)=RIGHT('112'!$M$9,2),B3415&lt;'112'!$N$8,$M3415='112'!$I$6)),"x",""))</f>
        <v/>
      </c>
      <c r="U3415" s="52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>x</v>
      </c>
      <c r="AA3415" s="826"/>
    </row>
    <row r="3416" spans="1:27" ht="15.75" customHeight="1">
      <c r="A3416" s="827" t="str">
        <f>IF(B3416&lt;&gt;"",IF(AND(B3416&gt;=_TM1,B3416&lt;=_TM2,OR(TH!L3416="1111",TH!M3416="1111")),TH!D3416,""),"")</f>
        <v/>
      </c>
      <c r="B3416" s="36">
        <f t="shared" si="430"/>
        <v>9</v>
      </c>
      <c r="C3416" s="190">
        <f t="shared" si="443"/>
        <v>42643</v>
      </c>
      <c r="D3416" s="856" t="s">
        <v>1662</v>
      </c>
      <c r="E3416" s="906">
        <v>42643</v>
      </c>
      <c r="F3416" s="868" t="s">
        <v>1741</v>
      </c>
      <c r="G3416" s="831" t="s">
        <v>1775</v>
      </c>
      <c r="H3416" s="859" t="s">
        <v>1310</v>
      </c>
      <c r="I3416" s="251">
        <v>12</v>
      </c>
      <c r="J3416" s="251">
        <v>24500</v>
      </c>
      <c r="K3416" s="860">
        <f t="shared" si="448"/>
        <v>294000</v>
      </c>
      <c r="L3416" s="861" t="s">
        <v>162</v>
      </c>
      <c r="M3416" s="861" t="s">
        <v>857</v>
      </c>
      <c r="N3416" s="52" t="str">
        <f>IF(AND('331-CT'!$E$7=TH!H3416,OR(L3416="331",M3416="331")),"331",IF(AND(OR(L3416="131",M3416="131"),H3416='131-CT'!$E$7),"131",""))</f>
        <v/>
      </c>
      <c r="O3416" s="52" t="str">
        <f>IF(AND($B3416&gt;='111'!$N$11,$B3416&lt;='111'!$O$11,OR($L3416=$O$7,$M3416=$O$7)),"x","")</f>
        <v/>
      </c>
      <c r="P3416" s="52" t="str">
        <f>IF(AND($L3416=$O$7,$B3416&lt;'111'!$N$11),"x","")</f>
        <v/>
      </c>
      <c r="Q3416" s="52" t="str">
        <f>IF(AND($M3416=$O$7,$B3416&lt;'111'!$N$11),"x","")</f>
        <v/>
      </c>
      <c r="R3416" s="52" t="str">
        <f>IF(ISERROR(FIND('112'!$M$9,G3416,1)),"",IF((AND(FIND('112'!$M$9,G3416,1)&gt;=1,$B3416&gt;='112'!$N$8,$B3416&lt;='112'!$O$8,OR($L3416='112'!$I$6,$M3416='112'!$I$6))),"x",""))</f>
        <v/>
      </c>
      <c r="S3416" s="52" t="str">
        <f>IF(ISERROR(FIND('112'!$M$9,G3416,1)),"",IF((AND(LEFT(G3416,2)=LEFT('112'!$M$9,2),B3416&lt;'112'!$N$8,$L3416='112'!$I$6)),"x",""))</f>
        <v/>
      </c>
      <c r="T3416" s="52" t="str">
        <f>IF(ISERROR(FIND('112'!$M$9,G3416,1)),"",IF((AND(RIGHT(G3416,2)=RIGHT('112'!$M$9,2),B3416&lt;'112'!$N$8,$M3416='112'!$I$6)),"x",""))</f>
        <v/>
      </c>
      <c r="U3416" s="52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>x</v>
      </c>
      <c r="AA3416" s="826"/>
    </row>
    <row r="3417" spans="1:27" ht="15.75" customHeight="1">
      <c r="A3417" s="827" t="str">
        <f>IF(B3417&lt;&gt;"",IF(AND(B3417&gt;=_TM1,B3417&lt;=_TM2,OR(TH!L3417="1111",TH!M3417="1111")),TH!D3417,""),"")</f>
        <v/>
      </c>
      <c r="B3417" s="36">
        <f t="shared" si="430"/>
        <v>9</v>
      </c>
      <c r="C3417" s="190">
        <f t="shared" si="443"/>
        <v>42643</v>
      </c>
      <c r="D3417" s="856" t="s">
        <v>1662</v>
      </c>
      <c r="E3417" s="906">
        <v>42643</v>
      </c>
      <c r="F3417" s="49" t="s">
        <v>503</v>
      </c>
      <c r="G3417" s="831" t="s">
        <v>1775</v>
      </c>
      <c r="H3417" s="859" t="s">
        <v>1310</v>
      </c>
      <c r="I3417" s="251">
        <v>50</v>
      </c>
      <c r="J3417" s="251">
        <v>25000</v>
      </c>
      <c r="K3417" s="860">
        <f t="shared" si="448"/>
        <v>1250000</v>
      </c>
      <c r="L3417" s="861" t="s">
        <v>162</v>
      </c>
      <c r="M3417" s="861" t="s">
        <v>857</v>
      </c>
      <c r="N3417" s="52" t="str">
        <f>IF(AND('331-CT'!$E$7=TH!H3417,OR(L3417="331",M3417="331")),"331",IF(AND(OR(L3417="131",M3417="131"),H3417='131-CT'!$E$7),"131",""))</f>
        <v/>
      </c>
      <c r="O3417" s="52" t="str">
        <f>IF(AND($B3417&gt;='111'!$N$11,$B3417&lt;='111'!$O$11,OR($L3417=$O$7,$M3417=$O$7)),"x","")</f>
        <v/>
      </c>
      <c r="P3417" s="52" t="str">
        <f>IF(AND($L3417=$O$7,$B3417&lt;'111'!$N$11),"x","")</f>
        <v/>
      </c>
      <c r="Q3417" s="52" t="str">
        <f>IF(AND($M3417=$O$7,$B3417&lt;'111'!$N$11),"x","")</f>
        <v/>
      </c>
      <c r="R3417" s="52" t="str">
        <f>IF(ISERROR(FIND('112'!$M$9,G3417,1)),"",IF((AND(FIND('112'!$M$9,G3417,1)&gt;=1,$B3417&gt;='112'!$N$8,$B3417&lt;='112'!$O$8,OR($L3417='112'!$I$6,$M3417='112'!$I$6))),"x",""))</f>
        <v/>
      </c>
      <c r="S3417" s="52" t="str">
        <f>IF(ISERROR(FIND('112'!$M$9,G3417,1)),"",IF((AND(LEFT(G3417,2)=LEFT('112'!$M$9,2),B3417&lt;'112'!$N$8,$L3417='112'!$I$6)),"x",""))</f>
        <v/>
      </c>
      <c r="T3417" s="52" t="str">
        <f>IF(ISERROR(FIND('112'!$M$9,G3417,1)),"",IF((AND(RIGHT(G3417,2)=RIGHT('112'!$M$9,2),B3417&lt;'112'!$N$8,$M3417='112'!$I$6)),"x",""))</f>
        <v/>
      </c>
      <c r="U3417" s="52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>x</v>
      </c>
      <c r="AA3417" s="826"/>
    </row>
    <row r="3418" spans="1:27" ht="15.75" customHeight="1">
      <c r="A3418" s="827" t="str">
        <f>IF(B3418&lt;&gt;"",IF(AND(B3418&gt;=_TM1,B3418&lt;=_TM2,OR(TH!L3418="1111",TH!M3418="1111")),TH!D3418,""),"")</f>
        <v/>
      </c>
      <c r="B3418" s="36">
        <f t="shared" si="430"/>
        <v>9</v>
      </c>
      <c r="C3418" s="190">
        <f t="shared" si="443"/>
        <v>42643</v>
      </c>
      <c r="D3418" s="856" t="s">
        <v>1662</v>
      </c>
      <c r="E3418" s="906">
        <v>42643</v>
      </c>
      <c r="F3418" s="49" t="s">
        <v>1742</v>
      </c>
      <c r="G3418" s="831" t="s">
        <v>1775</v>
      </c>
      <c r="H3418" s="859" t="s">
        <v>1310</v>
      </c>
      <c r="I3418" s="251">
        <v>4</v>
      </c>
      <c r="J3418" s="251">
        <v>25300</v>
      </c>
      <c r="K3418" s="860">
        <f t="shared" si="448"/>
        <v>101200</v>
      </c>
      <c r="L3418" s="861" t="s">
        <v>162</v>
      </c>
      <c r="M3418" s="861" t="s">
        <v>857</v>
      </c>
      <c r="N3418" s="52" t="str">
        <f>IF(AND('331-CT'!$E$7=TH!H3418,OR(L3418="331",M3418="331")),"331",IF(AND(OR(L3418="131",M3418="131"),H3418='131-CT'!$E$7),"131",""))</f>
        <v/>
      </c>
      <c r="O3418" s="52" t="str">
        <f>IF(AND($B3418&gt;='111'!$N$11,$B3418&lt;='111'!$O$11,OR($L3418=$O$7,$M3418=$O$7)),"x","")</f>
        <v/>
      </c>
      <c r="P3418" s="52" t="str">
        <f>IF(AND($L3418=$O$7,$B3418&lt;'111'!$N$11),"x","")</f>
        <v/>
      </c>
      <c r="Q3418" s="52" t="str">
        <f>IF(AND($M3418=$O$7,$B3418&lt;'111'!$N$11),"x","")</f>
        <v/>
      </c>
      <c r="R3418" s="52" t="str">
        <f>IF(ISERROR(FIND('112'!$M$9,G3418,1)),"",IF((AND(FIND('112'!$M$9,G3418,1)&gt;=1,$B3418&gt;='112'!$N$8,$B3418&lt;='112'!$O$8,OR($L3418='112'!$I$6,$M3418='112'!$I$6))),"x",""))</f>
        <v/>
      </c>
      <c r="S3418" s="52" t="str">
        <f>IF(ISERROR(FIND('112'!$M$9,G3418,1)),"",IF((AND(LEFT(G3418,2)=LEFT('112'!$M$9,2),B3418&lt;'112'!$N$8,$L3418='112'!$I$6)),"x",""))</f>
        <v/>
      </c>
      <c r="T3418" s="52" t="str">
        <f>IF(ISERROR(FIND('112'!$M$9,G3418,1)),"",IF((AND(RIGHT(G3418,2)=RIGHT('112'!$M$9,2),B3418&lt;'112'!$N$8,$M3418='112'!$I$6)),"x",""))</f>
        <v/>
      </c>
      <c r="U3418" s="52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>x</v>
      </c>
      <c r="AA3418" s="826"/>
    </row>
    <row r="3419" spans="1:27" ht="15.75" customHeight="1">
      <c r="A3419" s="827" t="str">
        <f>IF(B3419&lt;&gt;"",IF(AND(B3419&gt;=_TM1,B3419&lt;=_TM2,OR(TH!L3419="1111",TH!M3419="1111")),TH!D3419,""),"")</f>
        <v/>
      </c>
      <c r="B3419" s="36">
        <f t="shared" si="430"/>
        <v>9</v>
      </c>
      <c r="C3419" s="190">
        <f t="shared" si="443"/>
        <v>42643</v>
      </c>
      <c r="D3419" s="856" t="s">
        <v>1662</v>
      </c>
      <c r="E3419" s="906">
        <v>42643</v>
      </c>
      <c r="F3419" s="868" t="s">
        <v>485</v>
      </c>
      <c r="G3419" s="831" t="s">
        <v>1775</v>
      </c>
      <c r="H3419" s="859" t="s">
        <v>1310</v>
      </c>
      <c r="I3419" s="251">
        <v>12</v>
      </c>
      <c r="J3419" s="251">
        <v>27300</v>
      </c>
      <c r="K3419" s="860">
        <f t="shared" si="448"/>
        <v>327600</v>
      </c>
      <c r="L3419" s="861" t="s">
        <v>162</v>
      </c>
      <c r="M3419" s="861" t="s">
        <v>857</v>
      </c>
      <c r="N3419" s="52" t="str">
        <f>IF(AND('331-CT'!$E$7=TH!H3419,OR(L3419="331",M3419="331")),"331",IF(AND(OR(L3419="131",M3419="131"),H3419='131-CT'!$E$7),"131",""))</f>
        <v/>
      </c>
      <c r="O3419" s="52" t="str">
        <f>IF(AND($B3419&gt;='111'!$N$11,$B3419&lt;='111'!$O$11,OR($L3419=$O$7,$M3419=$O$7)),"x","")</f>
        <v/>
      </c>
      <c r="P3419" s="52" t="str">
        <f>IF(AND($L3419=$O$7,$B3419&lt;'111'!$N$11),"x","")</f>
        <v/>
      </c>
      <c r="Q3419" s="52" t="str">
        <f>IF(AND($M3419=$O$7,$B3419&lt;'111'!$N$11),"x","")</f>
        <v/>
      </c>
      <c r="R3419" s="52" t="str">
        <f>IF(ISERROR(FIND('112'!$M$9,G3419,1)),"",IF((AND(FIND('112'!$M$9,G3419,1)&gt;=1,$B3419&gt;='112'!$N$8,$B3419&lt;='112'!$O$8,OR($L3419='112'!$I$6,$M3419='112'!$I$6))),"x",""))</f>
        <v/>
      </c>
      <c r="S3419" s="52" t="str">
        <f>IF(ISERROR(FIND('112'!$M$9,G3419,1)),"",IF((AND(LEFT(G3419,2)=LEFT('112'!$M$9,2),B3419&lt;'112'!$N$8,$L3419='112'!$I$6)),"x",""))</f>
        <v/>
      </c>
      <c r="T3419" s="52" t="str">
        <f>IF(ISERROR(FIND('112'!$M$9,G3419,1)),"",IF((AND(RIGHT(G3419,2)=RIGHT('112'!$M$9,2),B3419&lt;'112'!$N$8,$M3419='112'!$I$6)),"x",""))</f>
        <v/>
      </c>
      <c r="U3419" s="52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>x</v>
      </c>
      <c r="AA3419" s="826"/>
    </row>
    <row r="3420" spans="1:27" ht="15.75" customHeight="1">
      <c r="A3420" s="827" t="str">
        <f>IF(B3420&lt;&gt;"",IF(AND(B3420&gt;=_TM1,B3420&lt;=_TM2,OR(TH!L3420="1111",TH!M3420="1111")),TH!D3420,""),"")</f>
        <v/>
      </c>
      <c r="B3420" s="36">
        <f t="shared" si="430"/>
        <v>9</v>
      </c>
      <c r="C3420" s="190">
        <f t="shared" si="443"/>
        <v>42643</v>
      </c>
      <c r="D3420" s="856" t="s">
        <v>1662</v>
      </c>
      <c r="E3420" s="906">
        <v>42643</v>
      </c>
      <c r="F3420" s="49" t="s">
        <v>1743</v>
      </c>
      <c r="G3420" s="831" t="s">
        <v>1775</v>
      </c>
      <c r="H3420" s="859" t="s">
        <v>1310</v>
      </c>
      <c r="I3420" s="251">
        <v>24</v>
      </c>
      <c r="J3420" s="251">
        <v>29400</v>
      </c>
      <c r="K3420" s="860">
        <f t="shared" si="448"/>
        <v>705600</v>
      </c>
      <c r="L3420" s="861" t="s">
        <v>162</v>
      </c>
      <c r="M3420" s="861" t="s">
        <v>857</v>
      </c>
      <c r="N3420" s="52" t="str">
        <f>IF(AND('331-CT'!$E$7=TH!H3420,OR(L3420="331",M3420="331")),"331",IF(AND(OR(L3420="131",M3420="131"),H3420='131-CT'!$E$7),"131",""))</f>
        <v/>
      </c>
      <c r="O3420" s="52" t="str">
        <f>IF(AND($B3420&gt;='111'!$N$11,$B3420&lt;='111'!$O$11,OR($L3420=$O$7,$M3420=$O$7)),"x","")</f>
        <v/>
      </c>
      <c r="P3420" s="52" t="str">
        <f>IF(AND($L3420=$O$7,$B3420&lt;'111'!$N$11),"x","")</f>
        <v/>
      </c>
      <c r="Q3420" s="52" t="str">
        <f>IF(AND($M3420=$O$7,$B3420&lt;'111'!$N$11),"x","")</f>
        <v/>
      </c>
      <c r="R3420" s="52" t="str">
        <f>IF(ISERROR(FIND('112'!$M$9,G3420,1)),"",IF((AND(FIND('112'!$M$9,G3420,1)&gt;=1,$B3420&gt;='112'!$N$8,$B3420&lt;='112'!$O$8,OR($L3420='112'!$I$6,$M3420='112'!$I$6))),"x",""))</f>
        <v/>
      </c>
      <c r="S3420" s="52" t="str">
        <f>IF(ISERROR(FIND('112'!$M$9,G3420,1)),"",IF((AND(LEFT(G3420,2)=LEFT('112'!$M$9,2),B3420&lt;'112'!$N$8,$L3420='112'!$I$6)),"x",""))</f>
        <v/>
      </c>
      <c r="T3420" s="52" t="str">
        <f>IF(ISERROR(FIND('112'!$M$9,G3420,1)),"",IF((AND(RIGHT(G3420,2)=RIGHT('112'!$M$9,2),B3420&lt;'112'!$N$8,$M3420='112'!$I$6)),"x",""))</f>
        <v/>
      </c>
      <c r="U3420" s="52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>x</v>
      </c>
      <c r="AA3420" s="826"/>
    </row>
    <row r="3421" spans="1:27" ht="15.75" customHeight="1">
      <c r="A3421" s="827" t="str">
        <f>IF(B3421&lt;&gt;"",IF(AND(B3421&gt;=_TM1,B3421&lt;=_TM2,OR(TH!L3421="1111",TH!M3421="1111")),TH!D3421,""),"")</f>
        <v/>
      </c>
      <c r="B3421" s="36">
        <f t="shared" si="430"/>
        <v>9</v>
      </c>
      <c r="C3421" s="190">
        <f t="shared" si="443"/>
        <v>42643</v>
      </c>
      <c r="D3421" s="856" t="s">
        <v>1662</v>
      </c>
      <c r="E3421" s="906">
        <v>42643</v>
      </c>
      <c r="F3421" s="868" t="s">
        <v>1744</v>
      </c>
      <c r="G3421" s="831" t="s">
        <v>1775</v>
      </c>
      <c r="H3421" s="859" t="s">
        <v>1310</v>
      </c>
      <c r="I3421" s="251">
        <v>40</v>
      </c>
      <c r="J3421" s="251">
        <v>31100</v>
      </c>
      <c r="K3421" s="860">
        <f t="shared" si="448"/>
        <v>1244000</v>
      </c>
      <c r="L3421" s="861" t="s">
        <v>162</v>
      </c>
      <c r="M3421" s="861" t="s">
        <v>857</v>
      </c>
      <c r="N3421" s="52" t="str">
        <f>IF(AND('331-CT'!$E$7=TH!H3421,OR(L3421="331",M3421="331")),"331",IF(AND(OR(L3421="131",M3421="131"),H3421='131-CT'!$E$7),"131",""))</f>
        <v/>
      </c>
      <c r="O3421" s="52" t="str">
        <f>IF(AND($B3421&gt;='111'!$N$11,$B3421&lt;='111'!$O$11,OR($L3421=$O$7,$M3421=$O$7)),"x","")</f>
        <v/>
      </c>
      <c r="P3421" s="52" t="str">
        <f>IF(AND($L3421=$O$7,$B3421&lt;'111'!$N$11),"x","")</f>
        <v/>
      </c>
      <c r="Q3421" s="52" t="str">
        <f>IF(AND($M3421=$O$7,$B3421&lt;'111'!$N$11),"x","")</f>
        <v/>
      </c>
      <c r="R3421" s="52" t="str">
        <f>IF(ISERROR(FIND('112'!$M$9,G3421,1)),"",IF((AND(FIND('112'!$M$9,G3421,1)&gt;=1,$B3421&gt;='112'!$N$8,$B3421&lt;='112'!$O$8,OR($L3421='112'!$I$6,$M3421='112'!$I$6))),"x",""))</f>
        <v/>
      </c>
      <c r="S3421" s="52" t="str">
        <f>IF(ISERROR(FIND('112'!$M$9,G3421,1)),"",IF((AND(LEFT(G3421,2)=LEFT('112'!$M$9,2),B3421&lt;'112'!$N$8,$L3421='112'!$I$6)),"x",""))</f>
        <v/>
      </c>
      <c r="T3421" s="52" t="str">
        <f>IF(ISERROR(FIND('112'!$M$9,G3421,1)),"",IF((AND(RIGHT(G3421,2)=RIGHT('112'!$M$9,2),B3421&lt;'112'!$N$8,$M3421='112'!$I$6)),"x",""))</f>
        <v/>
      </c>
      <c r="U3421" s="52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>x</v>
      </c>
      <c r="AA3421" s="826"/>
    </row>
    <row r="3422" spans="1:27" ht="15.75" customHeight="1">
      <c r="A3422" s="827" t="str">
        <f>IF(B3422&lt;&gt;"",IF(AND(B3422&gt;=_TM1,B3422&lt;=_TM2,OR(TH!L3422="1111",TH!M3422="1111")),TH!D3422,""),"")</f>
        <v/>
      </c>
      <c r="B3422" s="36">
        <f t="shared" si="430"/>
        <v>9</v>
      </c>
      <c r="C3422" s="190">
        <f t="shared" si="443"/>
        <v>42643</v>
      </c>
      <c r="D3422" s="856" t="s">
        <v>1662</v>
      </c>
      <c r="E3422" s="906">
        <v>42643</v>
      </c>
      <c r="F3422" s="49" t="s">
        <v>1745</v>
      </c>
      <c r="G3422" s="831" t="s">
        <v>1775</v>
      </c>
      <c r="H3422" s="859" t="s">
        <v>1310</v>
      </c>
      <c r="I3422" s="251">
        <v>24</v>
      </c>
      <c r="J3422" s="251">
        <v>32000</v>
      </c>
      <c r="K3422" s="860">
        <f t="shared" si="448"/>
        <v>768000</v>
      </c>
      <c r="L3422" s="861" t="s">
        <v>162</v>
      </c>
      <c r="M3422" s="861" t="s">
        <v>857</v>
      </c>
      <c r="N3422" s="52" t="str">
        <f>IF(AND('331-CT'!$E$7=TH!H3422,OR(L3422="331",M3422="331")),"331",IF(AND(OR(L3422="131",M3422="131"),H3422='131-CT'!$E$7),"131",""))</f>
        <v/>
      </c>
      <c r="O3422" s="52" t="str">
        <f>IF(AND($B3422&gt;='111'!$N$11,$B3422&lt;='111'!$O$11,OR($L3422=$O$7,$M3422=$O$7)),"x","")</f>
        <v/>
      </c>
      <c r="P3422" s="52" t="str">
        <f>IF(AND($L3422=$O$7,$B3422&lt;'111'!$N$11),"x","")</f>
        <v/>
      </c>
      <c r="Q3422" s="52" t="str">
        <f>IF(AND($M3422=$O$7,$B3422&lt;'111'!$N$11),"x","")</f>
        <v/>
      </c>
      <c r="R3422" s="52" t="str">
        <f>IF(ISERROR(FIND('112'!$M$9,G3422,1)),"",IF((AND(FIND('112'!$M$9,G3422,1)&gt;=1,$B3422&gt;='112'!$N$8,$B3422&lt;='112'!$O$8,OR($L3422='112'!$I$6,$M3422='112'!$I$6))),"x",""))</f>
        <v/>
      </c>
      <c r="S3422" s="52" t="str">
        <f>IF(ISERROR(FIND('112'!$M$9,G3422,1)),"",IF((AND(LEFT(G3422,2)=LEFT('112'!$M$9,2),B3422&lt;'112'!$N$8,$L3422='112'!$I$6)),"x",""))</f>
        <v/>
      </c>
      <c r="T3422" s="52" t="str">
        <f>IF(ISERROR(FIND('112'!$M$9,G3422,1)),"",IF((AND(RIGHT(G3422,2)=RIGHT('112'!$M$9,2),B3422&lt;'112'!$N$8,$M3422='112'!$I$6)),"x",""))</f>
        <v/>
      </c>
      <c r="U3422" s="52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>x</v>
      </c>
      <c r="AA3422" s="826"/>
    </row>
    <row r="3423" spans="1:27" ht="15.75" customHeight="1">
      <c r="A3423" s="827" t="str">
        <f>IF(B3423&lt;&gt;"",IF(AND(B3423&gt;=_TM1,B3423&lt;=_TM2,OR(TH!L3423="1111",TH!M3423="1111")),TH!D3423,""),"")</f>
        <v/>
      </c>
      <c r="B3423" s="36">
        <f t="shared" si="430"/>
        <v>9</v>
      </c>
      <c r="C3423" s="190">
        <f t="shared" si="443"/>
        <v>42643</v>
      </c>
      <c r="D3423" s="856" t="s">
        <v>1662</v>
      </c>
      <c r="E3423" s="906">
        <v>42643</v>
      </c>
      <c r="F3423" s="49" t="s">
        <v>1746</v>
      </c>
      <c r="G3423" s="831" t="s">
        <v>1775</v>
      </c>
      <c r="H3423" s="859" t="s">
        <v>1310</v>
      </c>
      <c r="I3423" s="251">
        <v>40</v>
      </c>
      <c r="J3423" s="251">
        <v>31980</v>
      </c>
      <c r="K3423" s="860">
        <f t="shared" si="448"/>
        <v>1279200</v>
      </c>
      <c r="L3423" s="861" t="s">
        <v>162</v>
      </c>
      <c r="M3423" s="861" t="s">
        <v>857</v>
      </c>
      <c r="N3423" s="52" t="str">
        <f>IF(AND('331-CT'!$E$7=TH!H3423,OR(L3423="331",M3423="331")),"331",IF(AND(OR(L3423="131",M3423="131"),H3423='131-CT'!$E$7),"131",""))</f>
        <v/>
      </c>
      <c r="O3423" s="52" t="str">
        <f>IF(AND($B3423&gt;='111'!$N$11,$B3423&lt;='111'!$O$11,OR($L3423=$O$7,$M3423=$O$7)),"x","")</f>
        <v/>
      </c>
      <c r="P3423" s="52" t="str">
        <f>IF(AND($L3423=$O$7,$B3423&lt;'111'!$N$11),"x","")</f>
        <v/>
      </c>
      <c r="Q3423" s="52" t="str">
        <f>IF(AND($M3423=$O$7,$B3423&lt;'111'!$N$11),"x","")</f>
        <v/>
      </c>
      <c r="R3423" s="52" t="str">
        <f>IF(ISERROR(FIND('112'!$M$9,G3423,1)),"",IF((AND(FIND('112'!$M$9,G3423,1)&gt;=1,$B3423&gt;='112'!$N$8,$B3423&lt;='112'!$O$8,OR($L3423='112'!$I$6,$M3423='112'!$I$6))),"x",""))</f>
        <v/>
      </c>
      <c r="S3423" s="52" t="str">
        <f>IF(ISERROR(FIND('112'!$M$9,G3423,1)),"",IF((AND(LEFT(G3423,2)=LEFT('112'!$M$9,2),B3423&lt;'112'!$N$8,$L3423='112'!$I$6)),"x",""))</f>
        <v/>
      </c>
      <c r="T3423" s="52" t="str">
        <f>IF(ISERROR(FIND('112'!$M$9,G3423,1)),"",IF((AND(RIGHT(G3423,2)=RIGHT('112'!$M$9,2),B3423&lt;'112'!$N$8,$M3423='112'!$I$6)),"x",""))</f>
        <v/>
      </c>
      <c r="U3423" s="52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>x</v>
      </c>
      <c r="AA3423" s="826"/>
    </row>
    <row r="3424" spans="1:27" ht="15.75" customHeight="1">
      <c r="A3424" s="827" t="str">
        <f>IF(B3424&lt;&gt;"",IF(AND(B3424&gt;=_TM1,B3424&lt;=_TM2,OR(TH!L3424="1111",TH!M3424="1111")),TH!D3424,""),"")</f>
        <v/>
      </c>
      <c r="B3424" s="36">
        <f t="shared" si="430"/>
        <v>9</v>
      </c>
      <c r="C3424" s="190">
        <f t="shared" si="443"/>
        <v>42643</v>
      </c>
      <c r="D3424" s="856" t="s">
        <v>1662</v>
      </c>
      <c r="E3424" s="906">
        <v>42643</v>
      </c>
      <c r="F3424" s="49" t="s">
        <v>1747</v>
      </c>
      <c r="G3424" s="831" t="s">
        <v>1775</v>
      </c>
      <c r="H3424" s="859" t="s">
        <v>1310</v>
      </c>
      <c r="I3424" s="251">
        <v>8</v>
      </c>
      <c r="J3424" s="251">
        <v>34300</v>
      </c>
      <c r="K3424" s="860">
        <f t="shared" si="448"/>
        <v>274400</v>
      </c>
      <c r="L3424" s="861" t="s">
        <v>162</v>
      </c>
      <c r="M3424" s="861" t="s">
        <v>857</v>
      </c>
      <c r="N3424" s="52" t="str">
        <f>IF(AND('331-CT'!$E$7=TH!H3424,OR(L3424="331",M3424="331")),"331",IF(AND(OR(L3424="131",M3424="131"),H3424='131-CT'!$E$7),"131",""))</f>
        <v/>
      </c>
      <c r="O3424" s="52" t="str">
        <f>IF(AND($B3424&gt;='111'!$N$11,$B3424&lt;='111'!$O$11,OR($L3424=$O$7,$M3424=$O$7)),"x","")</f>
        <v/>
      </c>
      <c r="P3424" s="52" t="str">
        <f>IF(AND($L3424=$O$7,$B3424&lt;'111'!$N$11),"x","")</f>
        <v/>
      </c>
      <c r="Q3424" s="52" t="str">
        <f>IF(AND($M3424=$O$7,$B3424&lt;'111'!$N$11),"x","")</f>
        <v/>
      </c>
      <c r="R3424" s="52" t="str">
        <f>IF(ISERROR(FIND('112'!$M$9,G3424,1)),"",IF((AND(FIND('112'!$M$9,G3424,1)&gt;=1,$B3424&gt;='112'!$N$8,$B3424&lt;='112'!$O$8,OR($L3424='112'!$I$6,$M3424='112'!$I$6))),"x",""))</f>
        <v/>
      </c>
      <c r="S3424" s="52" t="str">
        <f>IF(ISERROR(FIND('112'!$M$9,G3424,1)),"",IF((AND(LEFT(G3424,2)=LEFT('112'!$M$9,2),B3424&lt;'112'!$N$8,$L3424='112'!$I$6)),"x",""))</f>
        <v/>
      </c>
      <c r="T3424" s="52" t="str">
        <f>IF(ISERROR(FIND('112'!$M$9,G3424,1)),"",IF((AND(RIGHT(G3424,2)=RIGHT('112'!$M$9,2),B3424&lt;'112'!$N$8,$M3424='112'!$I$6)),"x",""))</f>
        <v/>
      </c>
      <c r="U3424" s="52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>x</v>
      </c>
      <c r="AA3424" s="826"/>
    </row>
    <row r="3425" spans="1:27" ht="15.75" customHeight="1">
      <c r="A3425" s="827" t="str">
        <f>IF(B3425&lt;&gt;"",IF(AND(B3425&gt;=_TM1,B3425&lt;=_TM2,OR(TH!L3425="1111",TH!M3425="1111")),TH!D3425,""),"")</f>
        <v/>
      </c>
      <c r="B3425" s="36">
        <f t="shared" si="430"/>
        <v>9</v>
      </c>
      <c r="C3425" s="190">
        <f t="shared" si="443"/>
        <v>42643</v>
      </c>
      <c r="D3425" s="856" t="s">
        <v>1662</v>
      </c>
      <c r="E3425" s="906">
        <v>42643</v>
      </c>
      <c r="F3425" s="868" t="s">
        <v>499</v>
      </c>
      <c r="G3425" s="831" t="s">
        <v>1775</v>
      </c>
      <c r="H3425" s="859" t="s">
        <v>1310</v>
      </c>
      <c r="I3425" s="251">
        <v>26</v>
      </c>
      <c r="J3425" s="251">
        <v>35000</v>
      </c>
      <c r="K3425" s="860">
        <f t="shared" si="448"/>
        <v>910000</v>
      </c>
      <c r="L3425" s="861" t="s">
        <v>162</v>
      </c>
      <c r="M3425" s="861" t="s">
        <v>857</v>
      </c>
      <c r="N3425" s="52" t="str">
        <f>IF(AND('331-CT'!$E$7=TH!H3425,OR(L3425="331",M3425="331")),"331",IF(AND(OR(L3425="131",M3425="131"),H3425='131-CT'!$E$7),"131",""))</f>
        <v/>
      </c>
      <c r="O3425" s="52" t="str">
        <f>IF(AND($B3425&gt;='111'!$N$11,$B3425&lt;='111'!$O$11,OR($L3425=$O$7,$M3425=$O$7)),"x","")</f>
        <v/>
      </c>
      <c r="P3425" s="52" t="str">
        <f>IF(AND($L3425=$O$7,$B3425&lt;'111'!$N$11),"x","")</f>
        <v/>
      </c>
      <c r="Q3425" s="52" t="str">
        <f>IF(AND($M3425=$O$7,$B3425&lt;'111'!$N$11),"x","")</f>
        <v/>
      </c>
      <c r="R3425" s="52" t="str">
        <f>IF(ISERROR(FIND('112'!$M$9,G3425,1)),"",IF((AND(FIND('112'!$M$9,G3425,1)&gt;=1,$B3425&gt;='112'!$N$8,$B3425&lt;='112'!$O$8,OR($L3425='112'!$I$6,$M3425='112'!$I$6))),"x",""))</f>
        <v/>
      </c>
      <c r="S3425" s="52" t="str">
        <f>IF(ISERROR(FIND('112'!$M$9,G3425,1)),"",IF((AND(LEFT(G3425,2)=LEFT('112'!$M$9,2),B3425&lt;'112'!$N$8,$L3425='112'!$I$6)),"x",""))</f>
        <v/>
      </c>
      <c r="T3425" s="52" t="str">
        <f>IF(ISERROR(FIND('112'!$M$9,G3425,1)),"",IF((AND(RIGHT(G3425,2)=RIGHT('112'!$M$9,2),B3425&lt;'112'!$N$8,$M3425='112'!$I$6)),"x",""))</f>
        <v/>
      </c>
      <c r="U3425" s="52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>x</v>
      </c>
      <c r="AA3425" s="826"/>
    </row>
    <row r="3426" spans="1:27" ht="15.75" customHeight="1">
      <c r="A3426" s="827" t="str">
        <f>IF(B3426&lt;&gt;"",IF(AND(B3426&gt;=_TM1,B3426&lt;=_TM2,OR(TH!L3426="1111",TH!M3426="1111")),TH!D3426,""),"")</f>
        <v/>
      </c>
      <c r="B3426" s="36">
        <f t="shared" si="430"/>
        <v>9</v>
      </c>
      <c r="C3426" s="190">
        <f t="shared" si="443"/>
        <v>42643</v>
      </c>
      <c r="D3426" s="856" t="s">
        <v>1662</v>
      </c>
      <c r="E3426" s="906">
        <v>42643</v>
      </c>
      <c r="F3426" s="49" t="s">
        <v>1747</v>
      </c>
      <c r="G3426" s="831" t="s">
        <v>1775</v>
      </c>
      <c r="H3426" s="859" t="s">
        <v>1310</v>
      </c>
      <c r="I3426" s="251">
        <v>40</v>
      </c>
      <c r="J3426" s="251">
        <v>35100</v>
      </c>
      <c r="K3426" s="860">
        <f t="shared" si="448"/>
        <v>1404000</v>
      </c>
      <c r="L3426" s="861" t="s">
        <v>162</v>
      </c>
      <c r="M3426" s="861" t="s">
        <v>857</v>
      </c>
      <c r="N3426" s="52" t="str">
        <f>IF(AND('331-CT'!$E$7=TH!H3426,OR(L3426="331",M3426="331")),"331",IF(AND(OR(L3426="131",M3426="131"),H3426='131-CT'!$E$7),"131",""))</f>
        <v/>
      </c>
      <c r="O3426" s="52" t="str">
        <f>IF(AND($B3426&gt;='111'!$N$11,$B3426&lt;='111'!$O$11,OR($L3426=$O$7,$M3426=$O$7)),"x","")</f>
        <v/>
      </c>
      <c r="P3426" s="52" t="str">
        <f>IF(AND($L3426=$O$7,$B3426&lt;'111'!$N$11),"x","")</f>
        <v/>
      </c>
      <c r="Q3426" s="52" t="str">
        <f>IF(AND($M3426=$O$7,$B3426&lt;'111'!$N$11),"x","")</f>
        <v/>
      </c>
      <c r="R3426" s="52" t="str">
        <f>IF(ISERROR(FIND('112'!$M$9,G3426,1)),"",IF((AND(FIND('112'!$M$9,G3426,1)&gt;=1,$B3426&gt;='112'!$N$8,$B3426&lt;='112'!$O$8,OR($L3426='112'!$I$6,$M3426='112'!$I$6))),"x",""))</f>
        <v/>
      </c>
      <c r="S3426" s="52" t="str">
        <f>IF(ISERROR(FIND('112'!$M$9,G3426,1)),"",IF((AND(LEFT(G3426,2)=LEFT('112'!$M$9,2),B3426&lt;'112'!$N$8,$L3426='112'!$I$6)),"x",""))</f>
        <v/>
      </c>
      <c r="T3426" s="52" t="str">
        <f>IF(ISERROR(FIND('112'!$M$9,G3426,1)),"",IF((AND(RIGHT(G3426,2)=RIGHT('112'!$M$9,2),B3426&lt;'112'!$N$8,$M3426='112'!$I$6)),"x",""))</f>
        <v/>
      </c>
      <c r="U3426" s="52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>x</v>
      </c>
      <c r="AA3426" s="826"/>
    </row>
    <row r="3427" spans="1:27" ht="15.75" customHeight="1">
      <c r="A3427" s="827" t="str">
        <f>IF(B3427&lt;&gt;"",IF(AND(B3427&gt;=_TM1,B3427&lt;=_TM2,OR(TH!L3427="1111",TH!M3427="1111")),TH!D3427,""),"")</f>
        <v/>
      </c>
      <c r="B3427" s="36">
        <f t="shared" si="430"/>
        <v>9</v>
      </c>
      <c r="C3427" s="190">
        <f t="shared" si="443"/>
        <v>42643</v>
      </c>
      <c r="D3427" s="856" t="s">
        <v>1662</v>
      </c>
      <c r="E3427" s="906">
        <v>42643</v>
      </c>
      <c r="F3427" s="49" t="s">
        <v>497</v>
      </c>
      <c r="G3427" s="831" t="s">
        <v>1775</v>
      </c>
      <c r="H3427" s="859" t="s">
        <v>1310</v>
      </c>
      <c r="I3427" s="251">
        <v>80</v>
      </c>
      <c r="J3427" s="251">
        <v>35300</v>
      </c>
      <c r="K3427" s="860">
        <f t="shared" si="448"/>
        <v>2824000</v>
      </c>
      <c r="L3427" s="861" t="s">
        <v>162</v>
      </c>
      <c r="M3427" s="861" t="s">
        <v>857</v>
      </c>
      <c r="N3427" s="52" t="str">
        <f>IF(AND('331-CT'!$E$7=TH!H3427,OR(L3427="331",M3427="331")),"331",IF(AND(OR(L3427="131",M3427="131"),H3427='131-CT'!$E$7),"131",""))</f>
        <v/>
      </c>
      <c r="O3427" s="52" t="str">
        <f>IF(AND($B3427&gt;='111'!$N$11,$B3427&lt;='111'!$O$11,OR($L3427=$O$7,$M3427=$O$7)),"x","")</f>
        <v/>
      </c>
      <c r="P3427" s="52" t="str">
        <f>IF(AND($L3427=$O$7,$B3427&lt;'111'!$N$11),"x","")</f>
        <v/>
      </c>
      <c r="Q3427" s="52" t="str">
        <f>IF(AND($M3427=$O$7,$B3427&lt;'111'!$N$11),"x","")</f>
        <v/>
      </c>
      <c r="R3427" s="52" t="str">
        <f>IF(ISERROR(FIND('112'!$M$9,G3427,1)),"",IF((AND(FIND('112'!$M$9,G3427,1)&gt;=1,$B3427&gt;='112'!$N$8,$B3427&lt;='112'!$O$8,OR($L3427='112'!$I$6,$M3427='112'!$I$6))),"x",""))</f>
        <v/>
      </c>
      <c r="S3427" s="52" t="str">
        <f>IF(ISERROR(FIND('112'!$M$9,G3427,1)),"",IF((AND(LEFT(G3427,2)=LEFT('112'!$M$9,2),B3427&lt;'112'!$N$8,$L3427='112'!$I$6)),"x",""))</f>
        <v/>
      </c>
      <c r="T3427" s="52" t="str">
        <f>IF(ISERROR(FIND('112'!$M$9,G3427,1)),"",IF((AND(RIGHT(G3427,2)=RIGHT('112'!$M$9,2),B3427&lt;'112'!$N$8,$M3427='112'!$I$6)),"x",""))</f>
        <v/>
      </c>
      <c r="U3427" s="52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>x</v>
      </c>
      <c r="AA3427" s="826"/>
    </row>
    <row r="3428" spans="1:27" ht="15.75" customHeight="1">
      <c r="A3428" s="827" t="str">
        <f>IF(B3428&lt;&gt;"",IF(AND(B3428&gt;=_TM1,B3428&lt;=_TM2,OR(TH!L3428="1111",TH!M3428="1111")),TH!D3428,""),"")</f>
        <v/>
      </c>
      <c r="B3428" s="36">
        <f t="shared" si="430"/>
        <v>9</v>
      </c>
      <c r="C3428" s="190">
        <f t="shared" si="443"/>
        <v>42643</v>
      </c>
      <c r="D3428" s="856" t="s">
        <v>1662</v>
      </c>
      <c r="E3428" s="906">
        <v>42643</v>
      </c>
      <c r="F3428" s="868" t="s">
        <v>1748</v>
      </c>
      <c r="G3428" s="831" t="s">
        <v>1775</v>
      </c>
      <c r="H3428" s="859" t="s">
        <v>1310</v>
      </c>
      <c r="I3428" s="251">
        <v>75</v>
      </c>
      <c r="J3428" s="251">
        <v>37500</v>
      </c>
      <c r="K3428" s="860">
        <f t="shared" si="448"/>
        <v>2812500</v>
      </c>
      <c r="L3428" s="861" t="s">
        <v>162</v>
      </c>
      <c r="M3428" s="861" t="s">
        <v>857</v>
      </c>
      <c r="N3428" s="52" t="str">
        <f>IF(AND('331-CT'!$E$7=TH!H3428,OR(L3428="331",M3428="331")),"331",IF(AND(OR(L3428="131",M3428="131"),H3428='131-CT'!$E$7),"131",""))</f>
        <v/>
      </c>
      <c r="O3428" s="52" t="str">
        <f>IF(AND($B3428&gt;='111'!$N$11,$B3428&lt;='111'!$O$11,OR($L3428=$O$7,$M3428=$O$7)),"x","")</f>
        <v/>
      </c>
      <c r="P3428" s="52" t="str">
        <f>IF(AND($L3428=$O$7,$B3428&lt;'111'!$N$11),"x","")</f>
        <v/>
      </c>
      <c r="Q3428" s="52" t="str">
        <f>IF(AND($M3428=$O$7,$B3428&lt;'111'!$N$11),"x","")</f>
        <v/>
      </c>
      <c r="R3428" s="52" t="str">
        <f>IF(ISERROR(FIND('112'!$M$9,G3428,1)),"",IF((AND(FIND('112'!$M$9,G3428,1)&gt;=1,$B3428&gt;='112'!$N$8,$B3428&lt;='112'!$O$8,OR($L3428='112'!$I$6,$M3428='112'!$I$6))),"x",""))</f>
        <v/>
      </c>
      <c r="S3428" s="52" t="str">
        <f>IF(ISERROR(FIND('112'!$M$9,G3428,1)),"",IF((AND(LEFT(G3428,2)=LEFT('112'!$M$9,2),B3428&lt;'112'!$N$8,$L3428='112'!$I$6)),"x",""))</f>
        <v/>
      </c>
      <c r="T3428" s="52" t="str">
        <f>IF(ISERROR(FIND('112'!$M$9,G3428,1)),"",IF((AND(RIGHT(G3428,2)=RIGHT('112'!$M$9,2),B3428&lt;'112'!$N$8,$M3428='112'!$I$6)),"x",""))</f>
        <v/>
      </c>
      <c r="U3428" s="52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>x</v>
      </c>
      <c r="AA3428" s="826"/>
    </row>
    <row r="3429" spans="1:27" ht="15.75" customHeight="1">
      <c r="A3429" s="827" t="str">
        <f>IF(B3429&lt;&gt;"",IF(AND(B3429&gt;=_TM1,B3429&lt;=_TM2,OR(TH!L3429="1111",TH!M3429="1111")),TH!D3429,""),"")</f>
        <v/>
      </c>
      <c r="B3429" s="36">
        <f t="shared" si="430"/>
        <v>9</v>
      </c>
      <c r="C3429" s="190">
        <f t="shared" si="443"/>
        <v>42643</v>
      </c>
      <c r="D3429" s="856" t="s">
        <v>1662</v>
      </c>
      <c r="E3429" s="906">
        <v>42643</v>
      </c>
      <c r="F3429" s="49" t="s">
        <v>489</v>
      </c>
      <c r="G3429" s="831" t="s">
        <v>1775</v>
      </c>
      <c r="H3429" s="859" t="s">
        <v>1310</v>
      </c>
      <c r="I3429" s="251">
        <v>50</v>
      </c>
      <c r="J3429" s="251">
        <v>37900</v>
      </c>
      <c r="K3429" s="860">
        <f t="shared" si="448"/>
        <v>1895000</v>
      </c>
      <c r="L3429" s="861" t="s">
        <v>162</v>
      </c>
      <c r="M3429" s="861" t="s">
        <v>857</v>
      </c>
      <c r="N3429" s="52" t="str">
        <f>IF(AND('331-CT'!$E$7=TH!H3429,OR(L3429="331",M3429="331")),"331",IF(AND(OR(L3429="131",M3429="131"),H3429='131-CT'!$E$7),"131",""))</f>
        <v/>
      </c>
      <c r="O3429" s="52" t="str">
        <f>IF(AND($B3429&gt;='111'!$N$11,$B3429&lt;='111'!$O$11,OR($L3429=$O$7,$M3429=$O$7)),"x","")</f>
        <v/>
      </c>
      <c r="P3429" s="52" t="str">
        <f>IF(AND($L3429=$O$7,$B3429&lt;'111'!$N$11),"x","")</f>
        <v/>
      </c>
      <c r="Q3429" s="52" t="str">
        <f>IF(AND($M3429=$O$7,$B3429&lt;'111'!$N$11),"x","")</f>
        <v/>
      </c>
      <c r="R3429" s="52" t="str">
        <f>IF(ISERROR(FIND('112'!$M$9,G3429,1)),"",IF((AND(FIND('112'!$M$9,G3429,1)&gt;=1,$B3429&gt;='112'!$N$8,$B3429&lt;='112'!$O$8,OR($L3429='112'!$I$6,$M3429='112'!$I$6))),"x",""))</f>
        <v/>
      </c>
      <c r="S3429" s="52" t="str">
        <f>IF(ISERROR(FIND('112'!$M$9,G3429,1)),"",IF((AND(LEFT(G3429,2)=LEFT('112'!$M$9,2),B3429&lt;'112'!$N$8,$L3429='112'!$I$6)),"x",""))</f>
        <v/>
      </c>
      <c r="T3429" s="52" t="str">
        <f>IF(ISERROR(FIND('112'!$M$9,G3429,1)),"",IF((AND(RIGHT(G3429,2)=RIGHT('112'!$M$9,2),B3429&lt;'112'!$N$8,$M3429='112'!$I$6)),"x",""))</f>
        <v/>
      </c>
      <c r="U3429" s="52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>x</v>
      </c>
      <c r="AA3429" s="826"/>
    </row>
    <row r="3430" spans="1:27" ht="15.75" customHeight="1">
      <c r="A3430" s="827" t="str">
        <f>IF(B3430&lt;&gt;"",IF(AND(B3430&gt;=_TM1,B3430&lt;=_TM2,OR(TH!L3430="1111",TH!M3430="1111")),TH!D3430,""),"")</f>
        <v/>
      </c>
      <c r="B3430" s="36">
        <f t="shared" si="430"/>
        <v>9</v>
      </c>
      <c r="C3430" s="190">
        <f t="shared" si="443"/>
        <v>42643</v>
      </c>
      <c r="D3430" s="856" t="s">
        <v>1662</v>
      </c>
      <c r="E3430" s="906">
        <v>42643</v>
      </c>
      <c r="F3430" s="868" t="s">
        <v>489</v>
      </c>
      <c r="G3430" s="831" t="s">
        <v>1775</v>
      </c>
      <c r="H3430" s="859" t="s">
        <v>1310</v>
      </c>
      <c r="I3430" s="251">
        <v>24</v>
      </c>
      <c r="J3430" s="251">
        <v>37900</v>
      </c>
      <c r="K3430" s="860">
        <f t="shared" si="448"/>
        <v>909600</v>
      </c>
      <c r="L3430" s="861" t="s">
        <v>162</v>
      </c>
      <c r="M3430" s="861" t="s">
        <v>857</v>
      </c>
      <c r="N3430" s="52" t="str">
        <f>IF(AND('331-CT'!$E$7=TH!H3430,OR(L3430="331",M3430="331")),"331",IF(AND(OR(L3430="131",M3430="131"),H3430='131-CT'!$E$7),"131",""))</f>
        <v/>
      </c>
      <c r="O3430" s="52" t="str">
        <f>IF(AND($B3430&gt;='111'!$N$11,$B3430&lt;='111'!$O$11,OR($L3430=$O$7,$M3430=$O$7)),"x","")</f>
        <v/>
      </c>
      <c r="P3430" s="52" t="str">
        <f>IF(AND($L3430=$O$7,$B3430&lt;'111'!$N$11),"x","")</f>
        <v/>
      </c>
      <c r="Q3430" s="52" t="str">
        <f>IF(AND($M3430=$O$7,$B3430&lt;'111'!$N$11),"x","")</f>
        <v/>
      </c>
      <c r="R3430" s="52" t="str">
        <f>IF(ISERROR(FIND('112'!$M$9,G3430,1)),"",IF((AND(FIND('112'!$M$9,G3430,1)&gt;=1,$B3430&gt;='112'!$N$8,$B3430&lt;='112'!$O$8,OR($L3430='112'!$I$6,$M3430='112'!$I$6))),"x",""))</f>
        <v/>
      </c>
      <c r="S3430" s="52" t="str">
        <f>IF(ISERROR(FIND('112'!$M$9,G3430,1)),"",IF((AND(LEFT(G3430,2)=LEFT('112'!$M$9,2),B3430&lt;'112'!$N$8,$L3430='112'!$I$6)),"x",""))</f>
        <v/>
      </c>
      <c r="T3430" s="52" t="str">
        <f>IF(ISERROR(FIND('112'!$M$9,G3430,1)),"",IF((AND(RIGHT(G3430,2)=RIGHT('112'!$M$9,2),B3430&lt;'112'!$N$8,$M3430='112'!$I$6)),"x",""))</f>
        <v/>
      </c>
      <c r="U3430" s="52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>x</v>
      </c>
      <c r="AA3430" s="826"/>
    </row>
    <row r="3431" spans="1:27" ht="15.75" customHeight="1">
      <c r="A3431" s="827" t="str">
        <f>IF(B3431&lt;&gt;"",IF(AND(B3431&gt;=_TM1,B3431&lt;=_TM2,OR(TH!L3431="1111",TH!M3431="1111")),TH!D3431,""),"")</f>
        <v/>
      </c>
      <c r="B3431" s="36">
        <f t="shared" si="430"/>
        <v>9</v>
      </c>
      <c r="C3431" s="190">
        <f t="shared" si="443"/>
        <v>42643</v>
      </c>
      <c r="D3431" s="856" t="s">
        <v>1662</v>
      </c>
      <c r="E3431" s="906">
        <v>42643</v>
      </c>
      <c r="F3431" s="49" t="s">
        <v>1749</v>
      </c>
      <c r="G3431" s="831" t="s">
        <v>1775</v>
      </c>
      <c r="H3431" s="859" t="s">
        <v>1310</v>
      </c>
      <c r="I3431" s="251">
        <v>40</v>
      </c>
      <c r="J3431" s="251">
        <v>38000</v>
      </c>
      <c r="K3431" s="860">
        <f t="shared" si="448"/>
        <v>1520000</v>
      </c>
      <c r="L3431" s="861" t="s">
        <v>162</v>
      </c>
      <c r="M3431" s="861" t="s">
        <v>857</v>
      </c>
      <c r="N3431" s="52" t="str">
        <f>IF(AND('331-CT'!$E$7=TH!H3431,OR(L3431="331",M3431="331")),"331",IF(AND(OR(L3431="131",M3431="131"),H3431='131-CT'!$E$7),"131",""))</f>
        <v/>
      </c>
      <c r="O3431" s="52" t="str">
        <f>IF(AND($B3431&gt;='111'!$N$11,$B3431&lt;='111'!$O$11,OR($L3431=$O$7,$M3431=$O$7)),"x","")</f>
        <v/>
      </c>
      <c r="P3431" s="52" t="str">
        <f>IF(AND($L3431=$O$7,$B3431&lt;'111'!$N$11),"x","")</f>
        <v/>
      </c>
      <c r="Q3431" s="52" t="str">
        <f>IF(AND($M3431=$O$7,$B3431&lt;'111'!$N$11),"x","")</f>
        <v/>
      </c>
      <c r="R3431" s="52" t="str">
        <f>IF(ISERROR(FIND('112'!$M$9,G3431,1)),"",IF((AND(FIND('112'!$M$9,G3431,1)&gt;=1,$B3431&gt;='112'!$N$8,$B3431&lt;='112'!$O$8,OR($L3431='112'!$I$6,$M3431='112'!$I$6))),"x",""))</f>
        <v/>
      </c>
      <c r="S3431" s="52" t="str">
        <f>IF(ISERROR(FIND('112'!$M$9,G3431,1)),"",IF((AND(LEFT(G3431,2)=LEFT('112'!$M$9,2),B3431&lt;'112'!$N$8,$L3431='112'!$I$6)),"x",""))</f>
        <v/>
      </c>
      <c r="T3431" s="52" t="str">
        <f>IF(ISERROR(FIND('112'!$M$9,G3431,1)),"",IF((AND(RIGHT(G3431,2)=RIGHT('112'!$M$9,2),B3431&lt;'112'!$N$8,$M3431='112'!$I$6)),"x",""))</f>
        <v/>
      </c>
      <c r="U3431" s="52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>x</v>
      </c>
      <c r="AA3431" s="826"/>
    </row>
    <row r="3432" spans="1:27" ht="15.75" customHeight="1">
      <c r="A3432" s="827" t="str">
        <f>IF(B3432&lt;&gt;"",IF(AND(B3432&gt;=_TM1,B3432&lt;=_TM2,OR(TH!L3432="1111",TH!M3432="1111")),TH!D3432,""),"")</f>
        <v/>
      </c>
      <c r="B3432" s="36">
        <f t="shared" si="430"/>
        <v>9</v>
      </c>
      <c r="C3432" s="190">
        <f t="shared" si="443"/>
        <v>42643</v>
      </c>
      <c r="D3432" s="856" t="s">
        <v>1662</v>
      </c>
      <c r="E3432" s="906">
        <v>42643</v>
      </c>
      <c r="F3432" s="49" t="s">
        <v>871</v>
      </c>
      <c r="G3432" s="831" t="s">
        <v>1775</v>
      </c>
      <c r="H3432" s="859" t="s">
        <v>1310</v>
      </c>
      <c r="I3432" s="251">
        <v>7</v>
      </c>
      <c r="J3432" s="251">
        <v>40000</v>
      </c>
      <c r="K3432" s="860">
        <f t="shared" si="448"/>
        <v>280000</v>
      </c>
      <c r="L3432" s="861" t="s">
        <v>162</v>
      </c>
      <c r="M3432" s="861" t="s">
        <v>857</v>
      </c>
      <c r="N3432" s="52" t="str">
        <f>IF(AND('331-CT'!$E$7=TH!H3432,OR(L3432="331",M3432="331")),"331",IF(AND(OR(L3432="131",M3432="131"),H3432='131-CT'!$E$7),"131",""))</f>
        <v/>
      </c>
      <c r="O3432" s="52" t="str">
        <f>IF(AND($B3432&gt;='111'!$N$11,$B3432&lt;='111'!$O$11,OR($L3432=$O$7,$M3432=$O$7)),"x","")</f>
        <v/>
      </c>
      <c r="P3432" s="52" t="str">
        <f>IF(AND($L3432=$O$7,$B3432&lt;'111'!$N$11),"x","")</f>
        <v/>
      </c>
      <c r="Q3432" s="52" t="str">
        <f>IF(AND($M3432=$O$7,$B3432&lt;'111'!$N$11),"x","")</f>
        <v/>
      </c>
      <c r="R3432" s="52" t="str">
        <f>IF(ISERROR(FIND('112'!$M$9,G3432,1)),"",IF((AND(FIND('112'!$M$9,G3432,1)&gt;=1,$B3432&gt;='112'!$N$8,$B3432&lt;='112'!$O$8,OR($L3432='112'!$I$6,$M3432='112'!$I$6))),"x",""))</f>
        <v/>
      </c>
      <c r="S3432" s="52" t="str">
        <f>IF(ISERROR(FIND('112'!$M$9,G3432,1)),"",IF((AND(LEFT(G3432,2)=LEFT('112'!$M$9,2),B3432&lt;'112'!$N$8,$L3432='112'!$I$6)),"x",""))</f>
        <v/>
      </c>
      <c r="T3432" s="52" t="str">
        <f>IF(ISERROR(FIND('112'!$M$9,G3432,1)),"",IF((AND(RIGHT(G3432,2)=RIGHT('112'!$M$9,2),B3432&lt;'112'!$N$8,$M3432='112'!$I$6)),"x",""))</f>
        <v/>
      </c>
      <c r="U3432" s="52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>x</v>
      </c>
      <c r="AA3432" s="826"/>
    </row>
    <row r="3433" spans="1:27" ht="15.75" customHeight="1">
      <c r="A3433" s="827" t="str">
        <f>IF(B3433&lt;&gt;"",IF(AND(B3433&gt;=_TM1,B3433&lt;=_TM2,OR(TH!L3433="1111",TH!M3433="1111")),TH!D3433,""),"")</f>
        <v/>
      </c>
      <c r="B3433" s="36">
        <f t="shared" ref="B3433:B3450" si="449">IF(C3433&lt;&gt;"",MONTH(C3433),"")</f>
        <v>9</v>
      </c>
      <c r="C3433" s="190">
        <f t="shared" ref="C3433:C3450" si="450">E3433</f>
        <v>42643</v>
      </c>
      <c r="D3433" s="856" t="s">
        <v>1662</v>
      </c>
      <c r="E3433" s="906">
        <v>42643</v>
      </c>
      <c r="F3433" s="49" t="s">
        <v>1750</v>
      </c>
      <c r="G3433" s="831" t="s">
        <v>1775</v>
      </c>
      <c r="H3433" s="859" t="s">
        <v>1310</v>
      </c>
      <c r="I3433" s="251">
        <v>12</v>
      </c>
      <c r="J3433" s="251">
        <v>40100</v>
      </c>
      <c r="K3433" s="860">
        <f t="shared" si="444"/>
        <v>481200</v>
      </c>
      <c r="L3433" s="861" t="s">
        <v>162</v>
      </c>
      <c r="M3433" s="861" t="s">
        <v>857</v>
      </c>
      <c r="N3433" s="52" t="str">
        <f>IF(AND('331-CT'!$E$7=TH!H3433,OR(L3433="331",M3433="331")),"331",IF(AND(OR(L3433="131",M3433="131"),H3433='131-CT'!$E$7),"131",""))</f>
        <v/>
      </c>
      <c r="O3433" s="52" t="str">
        <f>IF(AND($B3433&gt;='111'!$N$11,$B3433&lt;='111'!$O$11,OR($L3433=$O$7,$M3433=$O$7)),"x","")</f>
        <v/>
      </c>
      <c r="P3433" s="52" t="str">
        <f>IF(AND($L3433=$O$7,$B3433&lt;'111'!$N$11),"x","")</f>
        <v/>
      </c>
      <c r="Q3433" s="52" t="str">
        <f>IF(AND($M3433=$O$7,$B3433&lt;'111'!$N$11),"x","")</f>
        <v/>
      </c>
      <c r="R3433" s="52" t="str">
        <f>IF(ISERROR(FIND('112'!$M$9,G3433,1)),"",IF((AND(FIND('112'!$M$9,G3433,1)&gt;=1,$B3433&gt;='112'!$N$8,$B3433&lt;='112'!$O$8,OR($L3433='112'!$I$6,$M3433='112'!$I$6))),"x",""))</f>
        <v/>
      </c>
      <c r="S3433" s="52" t="str">
        <f>IF(ISERROR(FIND('112'!$M$9,G3433,1)),"",IF((AND(LEFT(G3433,2)=LEFT('112'!$M$9,2),B3433&lt;'112'!$N$8,$L3433='112'!$I$6)),"x",""))</f>
        <v/>
      </c>
      <c r="T3433" s="52" t="str">
        <f>IF(ISERROR(FIND('112'!$M$9,G3433,1)),"",IF((AND(RIGHT(G3433,2)=RIGHT('112'!$M$9,2),B3433&lt;'112'!$N$8,$M3433='112'!$I$6)),"x",""))</f>
        <v/>
      </c>
      <c r="U3433" s="52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>x</v>
      </c>
      <c r="AA3433" s="826"/>
    </row>
    <row r="3434" spans="1:27" ht="15.75" customHeight="1">
      <c r="A3434" s="827" t="str">
        <f>IF(B3434&lt;&gt;"",IF(AND(B3434&gt;=_TM1,B3434&lt;=_TM2,OR(TH!L3434="1111",TH!M3434="1111")),TH!D3434,""),"")</f>
        <v/>
      </c>
      <c r="B3434" s="36">
        <f t="shared" si="449"/>
        <v>9</v>
      </c>
      <c r="C3434" s="190">
        <f t="shared" si="450"/>
        <v>42643</v>
      </c>
      <c r="D3434" s="856" t="s">
        <v>1662</v>
      </c>
      <c r="E3434" s="906">
        <v>42643</v>
      </c>
      <c r="F3434" s="868" t="s">
        <v>1751</v>
      </c>
      <c r="G3434" s="831" t="s">
        <v>1775</v>
      </c>
      <c r="H3434" s="859" t="s">
        <v>1310</v>
      </c>
      <c r="I3434" s="251">
        <v>6</v>
      </c>
      <c r="J3434" s="251">
        <v>43000</v>
      </c>
      <c r="K3434" s="860">
        <f t="shared" si="444"/>
        <v>258000</v>
      </c>
      <c r="L3434" s="861" t="s">
        <v>162</v>
      </c>
      <c r="M3434" s="861" t="s">
        <v>857</v>
      </c>
      <c r="N3434" s="52" t="str">
        <f>IF(AND('331-CT'!$E$7=TH!H3434,OR(L3434="331",M3434="331")),"331",IF(AND(OR(L3434="131",M3434="131"),H3434='131-CT'!$E$7),"131",""))</f>
        <v/>
      </c>
      <c r="O3434" s="52" t="str">
        <f>IF(AND($B3434&gt;='111'!$N$11,$B3434&lt;='111'!$O$11,OR($L3434=$O$7,$M3434=$O$7)),"x","")</f>
        <v/>
      </c>
      <c r="P3434" s="52" t="str">
        <f>IF(AND($L3434=$O$7,$B3434&lt;'111'!$N$11),"x","")</f>
        <v/>
      </c>
      <c r="Q3434" s="52" t="str">
        <f>IF(AND($M3434=$O$7,$B3434&lt;'111'!$N$11),"x","")</f>
        <v/>
      </c>
      <c r="R3434" s="52" t="str">
        <f>IF(ISERROR(FIND('112'!$M$9,G3434,1)),"",IF((AND(FIND('112'!$M$9,G3434,1)&gt;=1,$B3434&gt;='112'!$N$8,$B3434&lt;='112'!$O$8,OR($L3434='112'!$I$6,$M3434='112'!$I$6))),"x",""))</f>
        <v/>
      </c>
      <c r="S3434" s="52" t="str">
        <f>IF(ISERROR(FIND('112'!$M$9,G3434,1)),"",IF((AND(LEFT(G3434,2)=LEFT('112'!$M$9,2),B3434&lt;'112'!$N$8,$L3434='112'!$I$6)),"x",""))</f>
        <v/>
      </c>
      <c r="T3434" s="52" t="str">
        <f>IF(ISERROR(FIND('112'!$M$9,G3434,1)),"",IF((AND(RIGHT(G3434,2)=RIGHT('112'!$M$9,2),B3434&lt;'112'!$N$8,$M3434='112'!$I$6)),"x",""))</f>
        <v/>
      </c>
      <c r="U3434" s="52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>x</v>
      </c>
      <c r="AA3434" s="826"/>
    </row>
    <row r="3435" spans="1:27" ht="15.75" customHeight="1">
      <c r="A3435" s="827" t="str">
        <f>IF(B3435&lt;&gt;"",IF(AND(B3435&gt;=_TM1,B3435&lt;=_TM2,OR(TH!L3435="1111",TH!M3435="1111")),TH!D3435,""),"")</f>
        <v/>
      </c>
      <c r="B3435" s="36">
        <f t="shared" si="449"/>
        <v>9</v>
      </c>
      <c r="C3435" s="190">
        <f t="shared" si="450"/>
        <v>42643</v>
      </c>
      <c r="D3435" s="856" t="s">
        <v>1662</v>
      </c>
      <c r="E3435" s="906">
        <v>42643</v>
      </c>
      <c r="F3435" s="49" t="s">
        <v>1751</v>
      </c>
      <c r="G3435" s="831" t="s">
        <v>1775</v>
      </c>
      <c r="H3435" s="859" t="s">
        <v>1310</v>
      </c>
      <c r="I3435" s="251">
        <v>24</v>
      </c>
      <c r="J3435" s="251">
        <v>43400</v>
      </c>
      <c r="K3435" s="860">
        <f t="shared" si="444"/>
        <v>1041600</v>
      </c>
      <c r="L3435" s="861" t="s">
        <v>162</v>
      </c>
      <c r="M3435" s="861" t="s">
        <v>857</v>
      </c>
      <c r="N3435" s="52" t="str">
        <f>IF(AND('331-CT'!$E$7=TH!H3435,OR(L3435="331",M3435="331")),"331",IF(AND(OR(L3435="131",M3435="131"),H3435='131-CT'!$E$7),"131",""))</f>
        <v/>
      </c>
      <c r="O3435" s="52" t="str">
        <f>IF(AND($B3435&gt;='111'!$N$11,$B3435&lt;='111'!$O$11,OR($L3435=$O$7,$M3435=$O$7)),"x","")</f>
        <v/>
      </c>
      <c r="P3435" s="52" t="str">
        <f>IF(AND($L3435=$O$7,$B3435&lt;'111'!$N$11),"x","")</f>
        <v/>
      </c>
      <c r="Q3435" s="52" t="str">
        <f>IF(AND($M3435=$O$7,$B3435&lt;'111'!$N$11),"x","")</f>
        <v/>
      </c>
      <c r="R3435" s="52" t="str">
        <f>IF(ISERROR(FIND('112'!$M$9,G3435,1)),"",IF((AND(FIND('112'!$M$9,G3435,1)&gt;=1,$B3435&gt;='112'!$N$8,$B3435&lt;='112'!$O$8,OR($L3435='112'!$I$6,$M3435='112'!$I$6))),"x",""))</f>
        <v/>
      </c>
      <c r="S3435" s="52" t="str">
        <f>IF(ISERROR(FIND('112'!$M$9,G3435,1)),"",IF((AND(LEFT(G3435,2)=LEFT('112'!$M$9,2),B3435&lt;'112'!$N$8,$L3435='112'!$I$6)),"x",""))</f>
        <v/>
      </c>
      <c r="T3435" s="52" t="str">
        <f>IF(ISERROR(FIND('112'!$M$9,G3435,1)),"",IF((AND(RIGHT(G3435,2)=RIGHT('112'!$M$9,2),B3435&lt;'112'!$N$8,$M3435='112'!$I$6)),"x",""))</f>
        <v/>
      </c>
      <c r="U3435" s="52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>x</v>
      </c>
      <c r="AA3435" s="826"/>
    </row>
    <row r="3436" spans="1:27" ht="15.75" customHeight="1">
      <c r="A3436" s="827" t="str">
        <f>IF(B3436&lt;&gt;"",IF(AND(B3436&gt;=_TM1,B3436&lt;=_TM2,OR(TH!L3436="1111",TH!M3436="1111")),TH!D3436,""),"")</f>
        <v/>
      </c>
      <c r="B3436" s="36">
        <f t="shared" si="449"/>
        <v>9</v>
      </c>
      <c r="C3436" s="190">
        <f t="shared" si="450"/>
        <v>42643</v>
      </c>
      <c r="D3436" s="856" t="s">
        <v>1662</v>
      </c>
      <c r="E3436" s="906">
        <v>42643</v>
      </c>
      <c r="F3436" s="49" t="s">
        <v>487</v>
      </c>
      <c r="G3436" s="831" t="s">
        <v>1775</v>
      </c>
      <c r="H3436" s="859" t="s">
        <v>1310</v>
      </c>
      <c r="I3436" s="251">
        <v>92</v>
      </c>
      <c r="J3436" s="251">
        <v>43500</v>
      </c>
      <c r="K3436" s="860">
        <f t="shared" si="444"/>
        <v>4002000</v>
      </c>
      <c r="L3436" s="861" t="s">
        <v>162</v>
      </c>
      <c r="M3436" s="861" t="s">
        <v>857</v>
      </c>
      <c r="N3436" s="52" t="str">
        <f>IF(AND('331-CT'!$E$7=TH!H3436,OR(L3436="331",M3436="331")),"331",IF(AND(OR(L3436="131",M3436="131"),H3436='131-CT'!$E$7),"131",""))</f>
        <v/>
      </c>
      <c r="O3436" s="52" t="str">
        <f>IF(AND($B3436&gt;='111'!$N$11,$B3436&lt;='111'!$O$11,OR($L3436=$O$7,$M3436=$O$7)),"x","")</f>
        <v/>
      </c>
      <c r="P3436" s="52" t="str">
        <f>IF(AND($L3436=$O$7,$B3436&lt;'111'!$N$11),"x","")</f>
        <v/>
      </c>
      <c r="Q3436" s="52" t="str">
        <f>IF(AND($M3436=$O$7,$B3436&lt;'111'!$N$11),"x","")</f>
        <v/>
      </c>
      <c r="R3436" s="52" t="str">
        <f>IF(ISERROR(FIND('112'!$M$9,G3436,1)),"",IF((AND(FIND('112'!$M$9,G3436,1)&gt;=1,$B3436&gt;='112'!$N$8,$B3436&lt;='112'!$O$8,OR($L3436='112'!$I$6,$M3436='112'!$I$6))),"x",""))</f>
        <v/>
      </c>
      <c r="S3436" s="52" t="str">
        <f>IF(ISERROR(FIND('112'!$M$9,G3436,1)),"",IF((AND(LEFT(G3436,2)=LEFT('112'!$M$9,2),B3436&lt;'112'!$N$8,$L3436='112'!$I$6)),"x",""))</f>
        <v/>
      </c>
      <c r="T3436" s="52" t="str">
        <f>IF(ISERROR(FIND('112'!$M$9,G3436,1)),"",IF((AND(RIGHT(G3436,2)=RIGHT('112'!$M$9,2),B3436&lt;'112'!$N$8,$M3436='112'!$I$6)),"x",""))</f>
        <v/>
      </c>
      <c r="U3436" s="52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>x</v>
      </c>
      <c r="AA3436" s="826"/>
    </row>
    <row r="3437" spans="1:27" ht="15.75" customHeight="1">
      <c r="A3437" s="827" t="str">
        <f>IF(B3437&lt;&gt;"",IF(AND(B3437&gt;=_TM1,B3437&lt;=_TM2,OR(TH!L3437="1111",TH!M3437="1111")),TH!D3437,""),"")</f>
        <v/>
      </c>
      <c r="B3437" s="36">
        <f t="shared" si="449"/>
        <v>9</v>
      </c>
      <c r="C3437" s="190">
        <f t="shared" si="450"/>
        <v>42643</v>
      </c>
      <c r="D3437" s="856" t="s">
        <v>1662</v>
      </c>
      <c r="E3437" s="906">
        <v>42643</v>
      </c>
      <c r="F3437" s="868" t="s">
        <v>524</v>
      </c>
      <c r="G3437" s="831" t="s">
        <v>1775</v>
      </c>
      <c r="H3437" s="859" t="s">
        <v>1310</v>
      </c>
      <c r="I3437" s="251">
        <v>6</v>
      </c>
      <c r="J3437" s="251">
        <v>46000</v>
      </c>
      <c r="K3437" s="860">
        <f t="shared" si="444"/>
        <v>276000</v>
      </c>
      <c r="L3437" s="861" t="s">
        <v>162</v>
      </c>
      <c r="M3437" s="861" t="s">
        <v>857</v>
      </c>
      <c r="N3437" s="52" t="str">
        <f>IF(AND('331-CT'!$E$7=TH!H3437,OR(L3437="331",M3437="331")),"331",IF(AND(OR(L3437="131",M3437="131"),H3437='131-CT'!$E$7),"131",""))</f>
        <v/>
      </c>
      <c r="O3437" s="52" t="str">
        <f>IF(AND($B3437&gt;='111'!$N$11,$B3437&lt;='111'!$O$11,OR($L3437=$O$7,$M3437=$O$7)),"x","")</f>
        <v/>
      </c>
      <c r="P3437" s="52" t="str">
        <f>IF(AND($L3437=$O$7,$B3437&lt;'111'!$N$11),"x","")</f>
        <v/>
      </c>
      <c r="Q3437" s="52" t="str">
        <f>IF(AND($M3437=$O$7,$B3437&lt;'111'!$N$11),"x","")</f>
        <v/>
      </c>
      <c r="R3437" s="52" t="str">
        <f>IF(ISERROR(FIND('112'!$M$9,G3437,1)),"",IF((AND(FIND('112'!$M$9,G3437,1)&gt;=1,$B3437&gt;='112'!$N$8,$B3437&lt;='112'!$O$8,OR($L3437='112'!$I$6,$M3437='112'!$I$6))),"x",""))</f>
        <v/>
      </c>
      <c r="S3437" s="52" t="str">
        <f>IF(ISERROR(FIND('112'!$M$9,G3437,1)),"",IF((AND(LEFT(G3437,2)=LEFT('112'!$M$9,2),B3437&lt;'112'!$N$8,$L3437='112'!$I$6)),"x",""))</f>
        <v/>
      </c>
      <c r="T3437" s="52" t="str">
        <f>IF(ISERROR(FIND('112'!$M$9,G3437,1)),"",IF((AND(RIGHT(G3437,2)=RIGHT('112'!$M$9,2),B3437&lt;'112'!$N$8,$M3437='112'!$I$6)),"x",""))</f>
        <v/>
      </c>
      <c r="U3437" s="52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>x</v>
      </c>
      <c r="AA3437" s="826"/>
    </row>
    <row r="3438" spans="1:27" ht="15.75" customHeight="1">
      <c r="A3438" s="827" t="str">
        <f>IF(B3438&lt;&gt;"",IF(AND(B3438&gt;=_TM1,B3438&lt;=_TM2,OR(TH!L3438="1111",TH!M3438="1111")),TH!D3438,""),"")</f>
        <v/>
      </c>
      <c r="B3438" s="36">
        <f t="shared" si="449"/>
        <v>9</v>
      </c>
      <c r="C3438" s="190">
        <f t="shared" si="450"/>
        <v>42643</v>
      </c>
      <c r="D3438" s="856" t="s">
        <v>1662</v>
      </c>
      <c r="E3438" s="906">
        <v>42643</v>
      </c>
      <c r="F3438" s="49" t="s">
        <v>511</v>
      </c>
      <c r="G3438" s="831" t="s">
        <v>1775</v>
      </c>
      <c r="H3438" s="859" t="s">
        <v>1310</v>
      </c>
      <c r="I3438" s="251">
        <v>8</v>
      </c>
      <c r="J3438" s="251">
        <v>47000</v>
      </c>
      <c r="K3438" s="860">
        <f t="shared" si="444"/>
        <v>376000</v>
      </c>
      <c r="L3438" s="861" t="s">
        <v>162</v>
      </c>
      <c r="M3438" s="861" t="s">
        <v>857</v>
      </c>
      <c r="N3438" s="52" t="str">
        <f>IF(AND('331-CT'!$E$7=TH!H3438,OR(L3438="331",M3438="331")),"331",IF(AND(OR(L3438="131",M3438="131"),H3438='131-CT'!$E$7),"131",""))</f>
        <v/>
      </c>
      <c r="O3438" s="52" t="str">
        <f>IF(AND($B3438&gt;='111'!$N$11,$B3438&lt;='111'!$O$11,OR($L3438=$O$7,$M3438=$O$7)),"x","")</f>
        <v/>
      </c>
      <c r="P3438" s="52" t="str">
        <f>IF(AND($L3438=$O$7,$B3438&lt;'111'!$N$11),"x","")</f>
        <v/>
      </c>
      <c r="Q3438" s="52" t="str">
        <f>IF(AND($M3438=$O$7,$B3438&lt;'111'!$N$11),"x","")</f>
        <v/>
      </c>
      <c r="R3438" s="52" t="str">
        <f>IF(ISERROR(FIND('112'!$M$9,G3438,1)),"",IF((AND(FIND('112'!$M$9,G3438,1)&gt;=1,$B3438&gt;='112'!$N$8,$B3438&lt;='112'!$O$8,OR($L3438='112'!$I$6,$M3438='112'!$I$6))),"x",""))</f>
        <v/>
      </c>
      <c r="S3438" s="52" t="str">
        <f>IF(ISERROR(FIND('112'!$M$9,G3438,1)),"",IF((AND(LEFT(G3438,2)=LEFT('112'!$M$9,2),B3438&lt;'112'!$N$8,$L3438='112'!$I$6)),"x",""))</f>
        <v/>
      </c>
      <c r="T3438" s="52" t="str">
        <f>IF(ISERROR(FIND('112'!$M$9,G3438,1)),"",IF((AND(RIGHT(G3438,2)=RIGHT('112'!$M$9,2),B3438&lt;'112'!$N$8,$M3438='112'!$I$6)),"x",""))</f>
        <v/>
      </c>
      <c r="U3438" s="52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>x</v>
      </c>
      <c r="AA3438" s="826"/>
    </row>
    <row r="3439" spans="1:27" ht="15.75" customHeight="1">
      <c r="A3439" s="827" t="str">
        <f>IF(B3439&lt;&gt;"",IF(AND(B3439&gt;=_TM1,B3439&lt;=_TM2,OR(TH!L3439="1111",TH!M3439="1111")),TH!D3439,""),"")</f>
        <v/>
      </c>
      <c r="B3439" s="36">
        <f t="shared" si="449"/>
        <v>9</v>
      </c>
      <c r="C3439" s="190">
        <f t="shared" si="450"/>
        <v>42643</v>
      </c>
      <c r="D3439" s="856" t="s">
        <v>1662</v>
      </c>
      <c r="E3439" s="906">
        <v>42643</v>
      </c>
      <c r="F3439" s="868" t="s">
        <v>1752</v>
      </c>
      <c r="G3439" s="831" t="s">
        <v>1775</v>
      </c>
      <c r="H3439" s="859" t="s">
        <v>1310</v>
      </c>
      <c r="I3439" s="251">
        <v>4</v>
      </c>
      <c r="J3439" s="251">
        <v>47200</v>
      </c>
      <c r="K3439" s="860">
        <f t="shared" si="444"/>
        <v>188800</v>
      </c>
      <c r="L3439" s="861" t="s">
        <v>162</v>
      </c>
      <c r="M3439" s="861" t="s">
        <v>857</v>
      </c>
      <c r="N3439" s="52" t="str">
        <f>IF(AND('331-CT'!$E$7=TH!H3439,OR(L3439="331",M3439="331")),"331",IF(AND(OR(L3439="131",M3439="131"),H3439='131-CT'!$E$7),"131",""))</f>
        <v/>
      </c>
      <c r="O3439" s="52" t="str">
        <f>IF(AND($B3439&gt;='111'!$N$11,$B3439&lt;='111'!$O$11,OR($L3439=$O$7,$M3439=$O$7)),"x","")</f>
        <v/>
      </c>
      <c r="P3439" s="52" t="str">
        <f>IF(AND($L3439=$O$7,$B3439&lt;'111'!$N$11),"x","")</f>
        <v/>
      </c>
      <c r="Q3439" s="52" t="str">
        <f>IF(AND($M3439=$O$7,$B3439&lt;'111'!$N$11),"x","")</f>
        <v/>
      </c>
      <c r="R3439" s="52" t="str">
        <f>IF(ISERROR(FIND('112'!$M$9,G3439,1)),"",IF((AND(FIND('112'!$M$9,G3439,1)&gt;=1,$B3439&gt;='112'!$N$8,$B3439&lt;='112'!$O$8,OR($L3439='112'!$I$6,$M3439='112'!$I$6))),"x",""))</f>
        <v/>
      </c>
      <c r="S3439" s="52" t="str">
        <f>IF(ISERROR(FIND('112'!$M$9,G3439,1)),"",IF((AND(LEFT(G3439,2)=LEFT('112'!$M$9,2),B3439&lt;'112'!$N$8,$L3439='112'!$I$6)),"x",""))</f>
        <v/>
      </c>
      <c r="T3439" s="52" t="str">
        <f>IF(ISERROR(FIND('112'!$M$9,G3439,1)),"",IF((AND(RIGHT(G3439,2)=RIGHT('112'!$M$9,2),B3439&lt;'112'!$N$8,$M3439='112'!$I$6)),"x",""))</f>
        <v/>
      </c>
      <c r="U3439" s="52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>x</v>
      </c>
      <c r="AA3439" s="826"/>
    </row>
    <row r="3440" spans="1:27" ht="15.75" customHeight="1">
      <c r="A3440" s="827" t="str">
        <f>IF(B3440&lt;&gt;"",IF(AND(B3440&gt;=_TM1,B3440&lt;=_TM2,OR(TH!L3440="1111",TH!M3440="1111")),TH!D3440,""),"")</f>
        <v/>
      </c>
      <c r="B3440" s="36">
        <f t="shared" si="449"/>
        <v>9</v>
      </c>
      <c r="C3440" s="190">
        <f t="shared" si="450"/>
        <v>42643</v>
      </c>
      <c r="D3440" s="856" t="s">
        <v>1662</v>
      </c>
      <c r="E3440" s="906">
        <v>42643</v>
      </c>
      <c r="F3440" s="49" t="s">
        <v>1753</v>
      </c>
      <c r="G3440" s="831" t="s">
        <v>1775</v>
      </c>
      <c r="H3440" s="859" t="s">
        <v>1310</v>
      </c>
      <c r="I3440" s="251">
        <v>24</v>
      </c>
      <c r="J3440" s="251">
        <v>47500</v>
      </c>
      <c r="K3440" s="860">
        <f t="shared" si="444"/>
        <v>1140000</v>
      </c>
      <c r="L3440" s="861" t="s">
        <v>162</v>
      </c>
      <c r="M3440" s="861" t="s">
        <v>857</v>
      </c>
      <c r="N3440" s="52" t="str">
        <f>IF(AND('331-CT'!$E$7=TH!H3440,OR(L3440="331",M3440="331")),"331",IF(AND(OR(L3440="131",M3440="131"),H3440='131-CT'!$E$7),"131",""))</f>
        <v/>
      </c>
      <c r="O3440" s="52" t="str">
        <f>IF(AND($B3440&gt;='111'!$N$11,$B3440&lt;='111'!$O$11,OR($L3440=$O$7,$M3440=$O$7)),"x","")</f>
        <v/>
      </c>
      <c r="P3440" s="52" t="str">
        <f>IF(AND($L3440=$O$7,$B3440&lt;'111'!$N$11),"x","")</f>
        <v/>
      </c>
      <c r="Q3440" s="52" t="str">
        <f>IF(AND($M3440=$O$7,$B3440&lt;'111'!$N$11),"x","")</f>
        <v/>
      </c>
      <c r="R3440" s="52" t="str">
        <f>IF(ISERROR(FIND('112'!$M$9,G3440,1)),"",IF((AND(FIND('112'!$M$9,G3440,1)&gt;=1,$B3440&gt;='112'!$N$8,$B3440&lt;='112'!$O$8,OR($L3440='112'!$I$6,$M3440='112'!$I$6))),"x",""))</f>
        <v/>
      </c>
      <c r="S3440" s="52" t="str">
        <f>IF(ISERROR(FIND('112'!$M$9,G3440,1)),"",IF((AND(LEFT(G3440,2)=LEFT('112'!$M$9,2),B3440&lt;'112'!$N$8,$L3440='112'!$I$6)),"x",""))</f>
        <v/>
      </c>
      <c r="T3440" s="52" t="str">
        <f>IF(ISERROR(FIND('112'!$M$9,G3440,1)),"",IF((AND(RIGHT(G3440,2)=RIGHT('112'!$M$9,2),B3440&lt;'112'!$N$8,$M3440='112'!$I$6)),"x",""))</f>
        <v/>
      </c>
      <c r="U3440" s="52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>x</v>
      </c>
      <c r="AA3440" s="826"/>
    </row>
    <row r="3441" spans="1:27" ht="15.75" customHeight="1">
      <c r="A3441" s="827" t="str">
        <f>IF(B3441&lt;&gt;"",IF(AND(B3441&gt;=_TM1,B3441&lt;=_TM2,OR(TH!L3441="1111",TH!M3441="1111")),TH!D3441,""),"")</f>
        <v/>
      </c>
      <c r="B3441" s="36">
        <f t="shared" si="449"/>
        <v>9</v>
      </c>
      <c r="C3441" s="190">
        <f t="shared" si="450"/>
        <v>42643</v>
      </c>
      <c r="D3441" s="856" t="s">
        <v>1662</v>
      </c>
      <c r="E3441" s="906">
        <v>42643</v>
      </c>
      <c r="F3441" s="49" t="s">
        <v>1754</v>
      </c>
      <c r="G3441" s="831" t="s">
        <v>1775</v>
      </c>
      <c r="H3441" s="859" t="s">
        <v>1310</v>
      </c>
      <c r="I3441" s="251">
        <v>12</v>
      </c>
      <c r="J3441" s="251">
        <v>48500</v>
      </c>
      <c r="K3441" s="860">
        <f t="shared" si="444"/>
        <v>582000</v>
      </c>
      <c r="L3441" s="861" t="s">
        <v>162</v>
      </c>
      <c r="M3441" s="861" t="s">
        <v>857</v>
      </c>
      <c r="N3441" s="52" t="str">
        <f>IF(AND('331-CT'!$E$7=TH!H3441,OR(L3441="331",M3441="331")),"331",IF(AND(OR(L3441="131",M3441="131"),H3441='131-CT'!$E$7),"131",""))</f>
        <v/>
      </c>
      <c r="O3441" s="52" t="str">
        <f>IF(AND($B3441&gt;='111'!$N$11,$B3441&lt;='111'!$O$11,OR($L3441=$O$7,$M3441=$O$7)),"x","")</f>
        <v/>
      </c>
      <c r="P3441" s="52" t="str">
        <f>IF(AND($L3441=$O$7,$B3441&lt;'111'!$N$11),"x","")</f>
        <v/>
      </c>
      <c r="Q3441" s="52" t="str">
        <f>IF(AND($M3441=$O$7,$B3441&lt;'111'!$N$11),"x","")</f>
        <v/>
      </c>
      <c r="R3441" s="52" t="str">
        <f>IF(ISERROR(FIND('112'!$M$9,G3441,1)),"",IF((AND(FIND('112'!$M$9,G3441,1)&gt;=1,$B3441&gt;='112'!$N$8,$B3441&lt;='112'!$O$8,OR($L3441='112'!$I$6,$M3441='112'!$I$6))),"x",""))</f>
        <v/>
      </c>
      <c r="S3441" s="52" t="str">
        <f>IF(ISERROR(FIND('112'!$M$9,G3441,1)),"",IF((AND(LEFT(G3441,2)=LEFT('112'!$M$9,2),B3441&lt;'112'!$N$8,$L3441='112'!$I$6)),"x",""))</f>
        <v/>
      </c>
      <c r="T3441" s="52" t="str">
        <f>IF(ISERROR(FIND('112'!$M$9,G3441,1)),"",IF((AND(RIGHT(G3441,2)=RIGHT('112'!$M$9,2),B3441&lt;'112'!$N$8,$M3441='112'!$I$6)),"x",""))</f>
        <v/>
      </c>
      <c r="U3441" s="52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>x</v>
      </c>
      <c r="AA3441" s="826"/>
    </row>
    <row r="3442" spans="1:27" ht="15.75" customHeight="1">
      <c r="A3442" s="827" t="str">
        <f>IF(B3442&lt;&gt;"",IF(AND(B3442&gt;=_TM1,B3442&lt;=_TM2,OR(TH!L3442="1111",TH!M3442="1111")),TH!D3442,""),"")</f>
        <v/>
      </c>
      <c r="B3442" s="36">
        <f t="shared" si="449"/>
        <v>9</v>
      </c>
      <c r="C3442" s="190">
        <f t="shared" si="450"/>
        <v>42643</v>
      </c>
      <c r="D3442" s="856" t="s">
        <v>1662</v>
      </c>
      <c r="E3442" s="906">
        <v>42643</v>
      </c>
      <c r="F3442" s="49" t="s">
        <v>1755</v>
      </c>
      <c r="G3442" s="831" t="s">
        <v>1775</v>
      </c>
      <c r="H3442" s="859" t="s">
        <v>1310</v>
      </c>
      <c r="I3442" s="251">
        <v>50</v>
      </c>
      <c r="J3442" s="251">
        <v>51300</v>
      </c>
      <c r="K3442" s="860">
        <f t="shared" ref="K3442:K3450" si="451">ROUND(I3442*J3442,0)</f>
        <v>2565000</v>
      </c>
      <c r="L3442" s="861" t="s">
        <v>162</v>
      </c>
      <c r="M3442" s="861" t="s">
        <v>857</v>
      </c>
      <c r="N3442" s="52" t="str">
        <f>IF(AND('331-CT'!$E$7=TH!H3442,OR(L3442="331",M3442="331")),"331",IF(AND(OR(L3442="131",M3442="131"),H3442='131-CT'!$E$7),"131",""))</f>
        <v/>
      </c>
      <c r="O3442" s="52" t="str">
        <f>IF(AND($B3442&gt;='111'!$N$11,$B3442&lt;='111'!$O$11,OR($L3442=$O$7,$M3442=$O$7)),"x","")</f>
        <v/>
      </c>
      <c r="P3442" s="52" t="str">
        <f>IF(AND($L3442=$O$7,$B3442&lt;'111'!$N$11),"x","")</f>
        <v/>
      </c>
      <c r="Q3442" s="52" t="str">
        <f>IF(AND($M3442=$O$7,$B3442&lt;'111'!$N$11),"x","")</f>
        <v/>
      </c>
      <c r="R3442" s="52" t="str">
        <f>IF(ISERROR(FIND('112'!$M$9,G3442,1)),"",IF((AND(FIND('112'!$M$9,G3442,1)&gt;=1,$B3442&gt;='112'!$N$8,$B3442&lt;='112'!$O$8,OR($L3442='112'!$I$6,$M3442='112'!$I$6))),"x",""))</f>
        <v/>
      </c>
      <c r="S3442" s="52" t="str">
        <f>IF(ISERROR(FIND('112'!$M$9,G3442,1)),"",IF((AND(LEFT(G3442,2)=LEFT('112'!$M$9,2),B3442&lt;'112'!$N$8,$L3442='112'!$I$6)),"x",""))</f>
        <v/>
      </c>
      <c r="T3442" s="52" t="str">
        <f>IF(ISERROR(FIND('112'!$M$9,G3442,1)),"",IF((AND(RIGHT(G3442,2)=RIGHT('112'!$M$9,2),B3442&lt;'112'!$N$8,$M3442='112'!$I$6)),"x",""))</f>
        <v/>
      </c>
      <c r="U3442" s="52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>x</v>
      </c>
      <c r="AA3442" s="826"/>
    </row>
    <row r="3443" spans="1:27" ht="15.75" customHeight="1">
      <c r="A3443" s="827" t="str">
        <f>IF(B3443&lt;&gt;"",IF(AND(B3443&gt;=_TM1,B3443&lt;=_TM2,OR(TH!L3443="1111",TH!M3443="1111")),TH!D3443,""),"")</f>
        <v/>
      </c>
      <c r="B3443" s="36">
        <f t="shared" si="449"/>
        <v>9</v>
      </c>
      <c r="C3443" s="190">
        <f t="shared" si="450"/>
        <v>42643</v>
      </c>
      <c r="D3443" s="856" t="s">
        <v>1662</v>
      </c>
      <c r="E3443" s="906">
        <v>42643</v>
      </c>
      <c r="F3443" s="868" t="s">
        <v>1756</v>
      </c>
      <c r="G3443" s="831" t="s">
        <v>1775</v>
      </c>
      <c r="H3443" s="859" t="s">
        <v>1310</v>
      </c>
      <c r="I3443" s="251">
        <v>16</v>
      </c>
      <c r="J3443" s="251">
        <v>52000</v>
      </c>
      <c r="K3443" s="860">
        <f t="shared" si="451"/>
        <v>832000</v>
      </c>
      <c r="L3443" s="861" t="s">
        <v>162</v>
      </c>
      <c r="M3443" s="861" t="s">
        <v>857</v>
      </c>
      <c r="N3443" s="52" t="str">
        <f>IF(AND('331-CT'!$E$7=TH!H3443,OR(L3443="331",M3443="331")),"331",IF(AND(OR(L3443="131",M3443="131"),H3443='131-CT'!$E$7),"131",""))</f>
        <v/>
      </c>
      <c r="O3443" s="52" t="str">
        <f>IF(AND($B3443&gt;='111'!$N$11,$B3443&lt;='111'!$O$11,OR($L3443=$O$7,$M3443=$O$7)),"x","")</f>
        <v/>
      </c>
      <c r="P3443" s="52" t="str">
        <f>IF(AND($L3443=$O$7,$B3443&lt;'111'!$N$11),"x","")</f>
        <v/>
      </c>
      <c r="Q3443" s="52" t="str">
        <f>IF(AND($M3443=$O$7,$B3443&lt;'111'!$N$11),"x","")</f>
        <v/>
      </c>
      <c r="R3443" s="52" t="str">
        <f>IF(ISERROR(FIND('112'!$M$9,G3443,1)),"",IF((AND(FIND('112'!$M$9,G3443,1)&gt;=1,$B3443&gt;='112'!$N$8,$B3443&lt;='112'!$O$8,OR($L3443='112'!$I$6,$M3443='112'!$I$6))),"x",""))</f>
        <v/>
      </c>
      <c r="S3443" s="52" t="str">
        <f>IF(ISERROR(FIND('112'!$M$9,G3443,1)),"",IF((AND(LEFT(G3443,2)=LEFT('112'!$M$9,2),B3443&lt;'112'!$N$8,$L3443='112'!$I$6)),"x",""))</f>
        <v/>
      </c>
      <c r="T3443" s="52" t="str">
        <f>IF(ISERROR(FIND('112'!$M$9,G3443,1)),"",IF((AND(RIGHT(G3443,2)=RIGHT('112'!$M$9,2),B3443&lt;'112'!$N$8,$M3443='112'!$I$6)),"x",""))</f>
        <v/>
      </c>
      <c r="U3443" s="52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>x</v>
      </c>
      <c r="AA3443" s="826"/>
    </row>
    <row r="3444" spans="1:27" ht="15.75" customHeight="1">
      <c r="A3444" s="827" t="str">
        <f>IF(B3444&lt;&gt;"",IF(AND(B3444&gt;=_TM1,B3444&lt;=_TM2,OR(TH!L3444="1111",TH!M3444="1111")),TH!D3444,""),"")</f>
        <v/>
      </c>
      <c r="B3444" s="36">
        <f t="shared" si="449"/>
        <v>9</v>
      </c>
      <c r="C3444" s="190">
        <f t="shared" si="450"/>
        <v>42643</v>
      </c>
      <c r="D3444" s="856" t="s">
        <v>1662</v>
      </c>
      <c r="E3444" s="906">
        <v>42643</v>
      </c>
      <c r="F3444" s="49" t="s">
        <v>483</v>
      </c>
      <c r="G3444" s="831" t="s">
        <v>1775</v>
      </c>
      <c r="H3444" s="859" t="s">
        <v>1310</v>
      </c>
      <c r="I3444" s="251">
        <v>10</v>
      </c>
      <c r="J3444" s="251">
        <v>53500</v>
      </c>
      <c r="K3444" s="860">
        <f t="shared" si="451"/>
        <v>535000</v>
      </c>
      <c r="L3444" s="861" t="s">
        <v>162</v>
      </c>
      <c r="M3444" s="861" t="s">
        <v>857</v>
      </c>
      <c r="N3444" s="52" t="str">
        <f>IF(AND('331-CT'!$E$7=TH!H3444,OR(L3444="331",M3444="331")),"331",IF(AND(OR(L3444="131",M3444="131"),H3444='131-CT'!$E$7),"131",""))</f>
        <v/>
      </c>
      <c r="O3444" s="52" t="str">
        <f>IF(AND($B3444&gt;='111'!$N$11,$B3444&lt;='111'!$O$11,OR($L3444=$O$7,$M3444=$O$7)),"x","")</f>
        <v/>
      </c>
      <c r="P3444" s="52" t="str">
        <f>IF(AND($L3444=$O$7,$B3444&lt;'111'!$N$11),"x","")</f>
        <v/>
      </c>
      <c r="Q3444" s="52" t="str">
        <f>IF(AND($M3444=$O$7,$B3444&lt;'111'!$N$11),"x","")</f>
        <v/>
      </c>
      <c r="R3444" s="52" t="str">
        <f>IF(ISERROR(FIND('112'!$M$9,G3444,1)),"",IF((AND(FIND('112'!$M$9,G3444,1)&gt;=1,$B3444&gt;='112'!$N$8,$B3444&lt;='112'!$O$8,OR($L3444='112'!$I$6,$M3444='112'!$I$6))),"x",""))</f>
        <v/>
      </c>
      <c r="S3444" s="52" t="str">
        <f>IF(ISERROR(FIND('112'!$M$9,G3444,1)),"",IF((AND(LEFT(G3444,2)=LEFT('112'!$M$9,2),B3444&lt;'112'!$N$8,$L3444='112'!$I$6)),"x",""))</f>
        <v/>
      </c>
      <c r="T3444" s="52" t="str">
        <f>IF(ISERROR(FIND('112'!$M$9,G3444,1)),"",IF((AND(RIGHT(G3444,2)=RIGHT('112'!$M$9,2),B3444&lt;'112'!$N$8,$M3444='112'!$I$6)),"x",""))</f>
        <v/>
      </c>
      <c r="U3444" s="52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>x</v>
      </c>
      <c r="AA3444" s="826"/>
    </row>
    <row r="3445" spans="1:27" ht="15.75" customHeight="1">
      <c r="A3445" s="827" t="str">
        <f>IF(B3445&lt;&gt;"",IF(AND(B3445&gt;=_TM1,B3445&lt;=_TM2,OR(TH!L3445="1111",TH!M3445="1111")),TH!D3445,""),"")</f>
        <v/>
      </c>
      <c r="B3445" s="36">
        <f t="shared" si="449"/>
        <v>9</v>
      </c>
      <c r="C3445" s="190">
        <f t="shared" si="450"/>
        <v>42643</v>
      </c>
      <c r="D3445" s="856" t="s">
        <v>1662</v>
      </c>
      <c r="E3445" s="906">
        <v>42643</v>
      </c>
      <c r="F3445" s="49" t="s">
        <v>1757</v>
      </c>
      <c r="G3445" s="831" t="s">
        <v>1775</v>
      </c>
      <c r="H3445" s="859" t="s">
        <v>1310</v>
      </c>
      <c r="I3445" s="251">
        <v>20</v>
      </c>
      <c r="J3445" s="251">
        <v>55001</v>
      </c>
      <c r="K3445" s="860">
        <f t="shared" si="451"/>
        <v>1100020</v>
      </c>
      <c r="L3445" s="861" t="s">
        <v>162</v>
      </c>
      <c r="M3445" s="861" t="s">
        <v>857</v>
      </c>
      <c r="N3445" s="52" t="str">
        <f>IF(AND('331-CT'!$E$7=TH!H3445,OR(L3445="331",M3445="331")),"331",IF(AND(OR(L3445="131",M3445="131"),H3445='131-CT'!$E$7),"131",""))</f>
        <v/>
      </c>
      <c r="O3445" s="52" t="str">
        <f>IF(AND($B3445&gt;='111'!$N$11,$B3445&lt;='111'!$O$11,OR($L3445=$O$7,$M3445=$O$7)),"x","")</f>
        <v/>
      </c>
      <c r="P3445" s="52" t="str">
        <f>IF(AND($L3445=$O$7,$B3445&lt;'111'!$N$11),"x","")</f>
        <v/>
      </c>
      <c r="Q3445" s="52" t="str">
        <f>IF(AND($M3445=$O$7,$B3445&lt;'111'!$N$11),"x","")</f>
        <v/>
      </c>
      <c r="R3445" s="52" t="str">
        <f>IF(ISERROR(FIND('112'!$M$9,G3445,1)),"",IF((AND(FIND('112'!$M$9,G3445,1)&gt;=1,$B3445&gt;='112'!$N$8,$B3445&lt;='112'!$O$8,OR($L3445='112'!$I$6,$M3445='112'!$I$6))),"x",""))</f>
        <v/>
      </c>
      <c r="S3445" s="52" t="str">
        <f>IF(ISERROR(FIND('112'!$M$9,G3445,1)),"",IF((AND(LEFT(G3445,2)=LEFT('112'!$M$9,2),B3445&lt;'112'!$N$8,$L3445='112'!$I$6)),"x",""))</f>
        <v/>
      </c>
      <c r="T3445" s="52" t="str">
        <f>IF(ISERROR(FIND('112'!$M$9,G3445,1)),"",IF((AND(RIGHT(G3445,2)=RIGHT('112'!$M$9,2),B3445&lt;'112'!$N$8,$M3445='112'!$I$6)),"x",""))</f>
        <v/>
      </c>
      <c r="U3445" s="52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/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>x</v>
      </c>
      <c r="AA3445" s="826"/>
    </row>
    <row r="3446" spans="1:27" ht="15.75" customHeight="1">
      <c r="A3446" s="827" t="str">
        <f>IF(B3446&lt;&gt;"",IF(AND(B3446&gt;=_TM1,B3446&lt;=_TM2,OR(TH!L3446="1111",TH!M3446="1111")),TH!D3446,""),"")</f>
        <v/>
      </c>
      <c r="B3446" s="36">
        <f t="shared" si="449"/>
        <v>9</v>
      </c>
      <c r="C3446" s="190">
        <f t="shared" si="450"/>
        <v>42643</v>
      </c>
      <c r="D3446" s="856" t="s">
        <v>1662</v>
      </c>
      <c r="E3446" s="906">
        <v>42643</v>
      </c>
      <c r="F3446" s="868" t="s">
        <v>488</v>
      </c>
      <c r="G3446" s="831" t="s">
        <v>1775</v>
      </c>
      <c r="H3446" s="859" t="s">
        <v>1310</v>
      </c>
      <c r="I3446" s="251">
        <v>24</v>
      </c>
      <c r="J3446" s="251">
        <v>55500</v>
      </c>
      <c r="K3446" s="860">
        <f t="shared" si="451"/>
        <v>1332000</v>
      </c>
      <c r="L3446" s="861" t="s">
        <v>162</v>
      </c>
      <c r="M3446" s="861" t="s">
        <v>857</v>
      </c>
      <c r="N3446" s="52" t="str">
        <f>IF(AND('331-CT'!$E$7=TH!H3446,OR(L3446="331",M3446="331")),"331",IF(AND(OR(L3446="131",M3446="131"),H3446='131-CT'!$E$7),"131",""))</f>
        <v/>
      </c>
      <c r="O3446" s="52" t="str">
        <f>IF(AND($B3446&gt;='111'!$N$11,$B3446&lt;='111'!$O$11,OR($L3446=$O$7,$M3446=$O$7)),"x","")</f>
        <v/>
      </c>
      <c r="P3446" s="52" t="str">
        <f>IF(AND($L3446=$O$7,$B3446&lt;'111'!$N$11),"x","")</f>
        <v/>
      </c>
      <c r="Q3446" s="52" t="str">
        <f>IF(AND($M3446=$O$7,$B3446&lt;'111'!$N$11),"x","")</f>
        <v/>
      </c>
      <c r="R3446" s="52" t="str">
        <f>IF(ISERROR(FIND('112'!$M$9,G3446,1)),"",IF((AND(FIND('112'!$M$9,G3446,1)&gt;=1,$B3446&gt;='112'!$N$8,$B3446&lt;='112'!$O$8,OR($L3446='112'!$I$6,$M3446='112'!$I$6))),"x",""))</f>
        <v/>
      </c>
      <c r="S3446" s="52" t="str">
        <f>IF(ISERROR(FIND('112'!$M$9,G3446,1)),"",IF((AND(LEFT(G3446,2)=LEFT('112'!$M$9,2),B3446&lt;'112'!$N$8,$L3446='112'!$I$6)),"x",""))</f>
        <v/>
      </c>
      <c r="T3446" s="52" t="str">
        <f>IF(ISERROR(FIND('112'!$M$9,G3446,1)),"",IF((AND(RIGHT(G3446,2)=RIGHT('112'!$M$9,2),B3446&lt;'112'!$N$8,$M3446='112'!$I$6)),"x",""))</f>
        <v/>
      </c>
      <c r="U3446" s="52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>x</v>
      </c>
      <c r="AA3446" s="826"/>
    </row>
    <row r="3447" spans="1:27" ht="15.75" customHeight="1">
      <c r="A3447" s="827" t="str">
        <f>IF(B3447&lt;&gt;"",IF(AND(B3447&gt;=_TM1,B3447&lt;=_TM2,OR(TH!L3447="1111",TH!M3447="1111")),TH!D3447,""),"")</f>
        <v/>
      </c>
      <c r="B3447" s="36">
        <f t="shared" si="449"/>
        <v>9</v>
      </c>
      <c r="C3447" s="190">
        <f t="shared" si="450"/>
        <v>42643</v>
      </c>
      <c r="D3447" s="856" t="s">
        <v>1662</v>
      </c>
      <c r="E3447" s="906">
        <v>42643</v>
      </c>
      <c r="F3447" s="49" t="s">
        <v>1758</v>
      </c>
      <c r="G3447" s="831" t="s">
        <v>1775</v>
      </c>
      <c r="H3447" s="859" t="s">
        <v>1310</v>
      </c>
      <c r="I3447" s="251">
        <v>6</v>
      </c>
      <c r="J3447" s="251">
        <v>56000</v>
      </c>
      <c r="K3447" s="860">
        <f t="shared" si="451"/>
        <v>336000</v>
      </c>
      <c r="L3447" s="861" t="s">
        <v>162</v>
      </c>
      <c r="M3447" s="861" t="s">
        <v>857</v>
      </c>
      <c r="N3447" s="52" t="str">
        <f>IF(AND('331-CT'!$E$7=TH!H3447,OR(L3447="331",M3447="331")),"331",IF(AND(OR(L3447="131",M3447="131"),H3447='131-CT'!$E$7),"131",""))</f>
        <v/>
      </c>
      <c r="O3447" s="52" t="str">
        <f>IF(AND($B3447&gt;='111'!$N$11,$B3447&lt;='111'!$O$11,OR($L3447=$O$7,$M3447=$O$7)),"x","")</f>
        <v/>
      </c>
      <c r="P3447" s="52" t="str">
        <f>IF(AND($L3447=$O$7,$B3447&lt;'111'!$N$11),"x","")</f>
        <v/>
      </c>
      <c r="Q3447" s="52" t="str">
        <f>IF(AND($M3447=$O$7,$B3447&lt;'111'!$N$11),"x","")</f>
        <v/>
      </c>
      <c r="R3447" s="52" t="str">
        <f>IF(ISERROR(FIND('112'!$M$9,G3447,1)),"",IF((AND(FIND('112'!$M$9,G3447,1)&gt;=1,$B3447&gt;='112'!$N$8,$B3447&lt;='112'!$O$8,OR($L3447='112'!$I$6,$M3447='112'!$I$6))),"x",""))</f>
        <v/>
      </c>
      <c r="S3447" s="52" t="str">
        <f>IF(ISERROR(FIND('112'!$M$9,G3447,1)),"",IF((AND(LEFT(G3447,2)=LEFT('112'!$M$9,2),B3447&lt;'112'!$N$8,$L3447='112'!$I$6)),"x",""))</f>
        <v/>
      </c>
      <c r="T3447" s="52" t="str">
        <f>IF(ISERROR(FIND('112'!$M$9,G3447,1)),"",IF((AND(RIGHT(G3447,2)=RIGHT('112'!$M$9,2),B3447&lt;'112'!$N$8,$M3447='112'!$I$6)),"x",""))</f>
        <v/>
      </c>
      <c r="U3447" s="52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/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>x</v>
      </c>
      <c r="AA3447" s="826"/>
    </row>
    <row r="3448" spans="1:27" ht="15.75" customHeight="1">
      <c r="A3448" s="827" t="str">
        <f>IF(B3448&lt;&gt;"",IF(AND(B3448&gt;=_TM1,B3448&lt;=_TM2,OR(TH!L3448="1111",TH!M3448="1111")),TH!D3448,""),"")</f>
        <v/>
      </c>
      <c r="B3448" s="36">
        <f t="shared" si="449"/>
        <v>9</v>
      </c>
      <c r="C3448" s="190">
        <f t="shared" si="450"/>
        <v>42643</v>
      </c>
      <c r="D3448" s="856" t="s">
        <v>1662</v>
      </c>
      <c r="E3448" s="906">
        <v>42643</v>
      </c>
      <c r="F3448" s="868" t="s">
        <v>1759</v>
      </c>
      <c r="G3448" s="831" t="s">
        <v>1775</v>
      </c>
      <c r="H3448" s="859" t="s">
        <v>1310</v>
      </c>
      <c r="I3448" s="251">
        <v>6</v>
      </c>
      <c r="J3448" s="251">
        <v>56400</v>
      </c>
      <c r="K3448" s="860">
        <f t="shared" si="451"/>
        <v>338400</v>
      </c>
      <c r="L3448" s="861" t="s">
        <v>162</v>
      </c>
      <c r="M3448" s="861" t="s">
        <v>857</v>
      </c>
      <c r="N3448" s="52" t="str">
        <f>IF(AND('331-CT'!$E$7=TH!H3448,OR(L3448="331",M3448="331")),"331",IF(AND(OR(L3448="131",M3448="131"),H3448='131-CT'!$E$7),"131",""))</f>
        <v/>
      </c>
      <c r="O3448" s="52" t="str">
        <f>IF(AND($B3448&gt;='111'!$N$11,$B3448&lt;='111'!$O$11,OR($L3448=$O$7,$M3448=$O$7)),"x","")</f>
        <v/>
      </c>
      <c r="P3448" s="52" t="str">
        <f>IF(AND($L3448=$O$7,$B3448&lt;'111'!$N$11),"x","")</f>
        <v/>
      </c>
      <c r="Q3448" s="52" t="str">
        <f>IF(AND($M3448=$O$7,$B3448&lt;'111'!$N$11),"x","")</f>
        <v/>
      </c>
      <c r="R3448" s="52" t="str">
        <f>IF(ISERROR(FIND('112'!$M$9,G3448,1)),"",IF((AND(FIND('112'!$M$9,G3448,1)&gt;=1,$B3448&gt;='112'!$N$8,$B3448&lt;='112'!$O$8,OR($L3448='112'!$I$6,$M3448='112'!$I$6))),"x",""))</f>
        <v/>
      </c>
      <c r="S3448" s="52" t="str">
        <f>IF(ISERROR(FIND('112'!$M$9,G3448,1)),"",IF((AND(LEFT(G3448,2)=LEFT('112'!$M$9,2),B3448&lt;'112'!$N$8,$L3448='112'!$I$6)),"x",""))</f>
        <v/>
      </c>
      <c r="T3448" s="52" t="str">
        <f>IF(ISERROR(FIND('112'!$M$9,G3448,1)),"",IF((AND(RIGHT(G3448,2)=RIGHT('112'!$M$9,2),B3448&lt;'112'!$N$8,$M3448='112'!$I$6)),"x",""))</f>
        <v/>
      </c>
      <c r="U3448" s="52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>x</v>
      </c>
      <c r="AA3448" s="826"/>
    </row>
    <row r="3449" spans="1:27" ht="15.75" customHeight="1">
      <c r="A3449" s="827" t="str">
        <f>IF(B3449&lt;&gt;"",IF(AND(B3449&gt;=_TM1,B3449&lt;=_TM2,OR(TH!L3449="1111",TH!M3449="1111")),TH!D3449,""),"")</f>
        <v/>
      </c>
      <c r="B3449" s="36">
        <f t="shared" si="449"/>
        <v>9</v>
      </c>
      <c r="C3449" s="190">
        <f t="shared" si="450"/>
        <v>42643</v>
      </c>
      <c r="D3449" s="856" t="s">
        <v>1662</v>
      </c>
      <c r="E3449" s="906">
        <v>42643</v>
      </c>
      <c r="F3449" s="49" t="s">
        <v>1760</v>
      </c>
      <c r="G3449" s="831" t="s">
        <v>1775</v>
      </c>
      <c r="H3449" s="859" t="s">
        <v>1310</v>
      </c>
      <c r="I3449" s="251">
        <v>20</v>
      </c>
      <c r="J3449" s="251">
        <v>62700</v>
      </c>
      <c r="K3449" s="860">
        <f t="shared" si="451"/>
        <v>1254000</v>
      </c>
      <c r="L3449" s="861" t="s">
        <v>162</v>
      </c>
      <c r="M3449" s="861" t="s">
        <v>857</v>
      </c>
      <c r="N3449" s="52" t="str">
        <f>IF(AND('331-CT'!$E$7=TH!H3449,OR(L3449="331",M3449="331")),"331",IF(AND(OR(L3449="131",M3449="131"),H3449='131-CT'!$E$7),"131",""))</f>
        <v/>
      </c>
      <c r="O3449" s="52" t="str">
        <f>IF(AND($B3449&gt;='111'!$N$11,$B3449&lt;='111'!$O$11,OR($L3449=$O$7,$M3449=$O$7)),"x","")</f>
        <v/>
      </c>
      <c r="P3449" s="52" t="str">
        <f>IF(AND($L3449=$O$7,$B3449&lt;'111'!$N$11),"x","")</f>
        <v/>
      </c>
      <c r="Q3449" s="52" t="str">
        <f>IF(AND($M3449=$O$7,$B3449&lt;'111'!$N$11),"x","")</f>
        <v/>
      </c>
      <c r="R3449" s="52" t="str">
        <f>IF(ISERROR(FIND('112'!$M$9,G3449,1)),"",IF((AND(FIND('112'!$M$9,G3449,1)&gt;=1,$B3449&gt;='112'!$N$8,$B3449&lt;='112'!$O$8,OR($L3449='112'!$I$6,$M3449='112'!$I$6))),"x",""))</f>
        <v/>
      </c>
      <c r="S3449" s="52" t="str">
        <f>IF(ISERROR(FIND('112'!$M$9,G3449,1)),"",IF((AND(LEFT(G3449,2)=LEFT('112'!$M$9,2),B3449&lt;'112'!$N$8,$L3449='112'!$I$6)),"x",""))</f>
        <v/>
      </c>
      <c r="T3449" s="52" t="str">
        <f>IF(ISERROR(FIND('112'!$M$9,G3449,1)),"",IF((AND(RIGHT(G3449,2)=RIGHT('112'!$M$9,2),B3449&lt;'112'!$N$8,$M3449='112'!$I$6)),"x",""))</f>
        <v/>
      </c>
      <c r="U3449" s="52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>x</v>
      </c>
      <c r="AA3449" s="826"/>
    </row>
    <row r="3450" spans="1:27" ht="15.75" customHeight="1">
      <c r="A3450" s="827" t="str">
        <f>IF(B3450&lt;&gt;"",IF(AND(B3450&gt;=_TM1,B3450&lt;=_TM2,OR(TH!L3450="1111",TH!M3450="1111")),TH!D3450,""),"")</f>
        <v/>
      </c>
      <c r="B3450" s="36">
        <f t="shared" si="449"/>
        <v>9</v>
      </c>
      <c r="C3450" s="190">
        <f t="shared" si="450"/>
        <v>42643</v>
      </c>
      <c r="D3450" s="856" t="s">
        <v>1662</v>
      </c>
      <c r="E3450" s="906">
        <v>42643</v>
      </c>
      <c r="F3450" s="49" t="s">
        <v>1761</v>
      </c>
      <c r="G3450" s="831" t="s">
        <v>1775</v>
      </c>
      <c r="H3450" s="859" t="s">
        <v>1310</v>
      </c>
      <c r="I3450" s="251">
        <v>58</v>
      </c>
      <c r="J3450" s="251">
        <v>63000</v>
      </c>
      <c r="K3450" s="860">
        <f t="shared" si="451"/>
        <v>3654000</v>
      </c>
      <c r="L3450" s="861" t="s">
        <v>162</v>
      </c>
      <c r="M3450" s="861" t="s">
        <v>857</v>
      </c>
      <c r="N3450" s="52" t="str">
        <f>IF(AND('331-CT'!$E$7=TH!H3450,OR(L3450="331",M3450="331")),"331",IF(AND(OR(L3450="131",M3450="131"),H3450='131-CT'!$E$7),"131",""))</f>
        <v/>
      </c>
      <c r="O3450" s="52" t="str">
        <f>IF(AND($B3450&gt;='111'!$N$11,$B3450&lt;='111'!$O$11,OR($L3450=$O$7,$M3450=$O$7)),"x","")</f>
        <v/>
      </c>
      <c r="P3450" s="52" t="str">
        <f>IF(AND($L3450=$O$7,$B3450&lt;'111'!$N$11),"x","")</f>
        <v/>
      </c>
      <c r="Q3450" s="52" t="str">
        <f>IF(AND($M3450=$O$7,$B3450&lt;'111'!$N$11),"x","")</f>
        <v/>
      </c>
      <c r="R3450" s="52" t="str">
        <f>IF(ISERROR(FIND('112'!$M$9,G3450,1)),"",IF((AND(FIND('112'!$M$9,G3450,1)&gt;=1,$B3450&gt;='112'!$N$8,$B3450&lt;='112'!$O$8,OR($L3450='112'!$I$6,$M3450='112'!$I$6))),"x",""))</f>
        <v/>
      </c>
      <c r="S3450" s="52" t="str">
        <f>IF(ISERROR(FIND('112'!$M$9,G3450,1)),"",IF((AND(LEFT(G3450,2)=LEFT('112'!$M$9,2),B3450&lt;'112'!$N$8,$L3450='112'!$I$6)),"x",""))</f>
        <v/>
      </c>
      <c r="T3450" s="52" t="str">
        <f>IF(ISERROR(FIND('112'!$M$9,G3450,1)),"",IF((AND(RIGHT(G3450,2)=RIGHT('112'!$M$9,2),B3450&lt;'112'!$N$8,$M3450='112'!$I$6)),"x",""))</f>
        <v/>
      </c>
      <c r="U3450" s="52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>x</v>
      </c>
      <c r="AA3450" s="826"/>
    </row>
    <row r="3451" spans="1:27" ht="15.75" customHeight="1">
      <c r="A3451" s="827" t="str">
        <f>IF(B3451&lt;&gt;"",IF(AND(B3451&gt;=_TM1,B3451&lt;=_TM2,OR(TH!L3451="1111",TH!M3451="1111")),TH!D3451,""),"")</f>
        <v/>
      </c>
      <c r="B3451" s="36">
        <f t="shared" si="430"/>
        <v>9</v>
      </c>
      <c r="C3451" s="190">
        <f t="shared" si="443"/>
        <v>42643</v>
      </c>
      <c r="D3451" s="856" t="s">
        <v>1662</v>
      </c>
      <c r="E3451" s="906">
        <v>42643</v>
      </c>
      <c r="F3451" s="49" t="s">
        <v>1762</v>
      </c>
      <c r="G3451" s="831" t="s">
        <v>1775</v>
      </c>
      <c r="H3451" s="859" t="s">
        <v>1310</v>
      </c>
      <c r="I3451" s="251">
        <v>23</v>
      </c>
      <c r="J3451" s="251">
        <v>63860</v>
      </c>
      <c r="K3451" s="860">
        <f t="shared" ref="K3451:K3459" si="452">ROUND(I3451*J3451,0)</f>
        <v>1468780</v>
      </c>
      <c r="L3451" s="861" t="s">
        <v>162</v>
      </c>
      <c r="M3451" s="861" t="s">
        <v>857</v>
      </c>
      <c r="N3451" s="52" t="str">
        <f>IF(AND('331-CT'!$E$7=TH!H3451,OR(L3451="331",M3451="331")),"331",IF(AND(OR(L3451="131",M3451="131"),H3451='131-CT'!$E$7),"131",""))</f>
        <v/>
      </c>
      <c r="O3451" s="52" t="str">
        <f>IF(AND($B3451&gt;='111'!$N$11,$B3451&lt;='111'!$O$11,OR($L3451=$O$7,$M3451=$O$7)),"x","")</f>
        <v/>
      </c>
      <c r="P3451" s="52" t="str">
        <f>IF(AND($L3451=$O$7,$B3451&lt;'111'!$N$11),"x","")</f>
        <v/>
      </c>
      <c r="Q3451" s="52" t="str">
        <f>IF(AND($M3451=$O$7,$B3451&lt;'111'!$N$11),"x","")</f>
        <v/>
      </c>
      <c r="R3451" s="52" t="str">
        <f>IF(ISERROR(FIND('112'!$M$9,G3451,1)),"",IF((AND(FIND('112'!$M$9,G3451,1)&gt;=1,$B3451&gt;='112'!$N$8,$B3451&lt;='112'!$O$8,OR($L3451='112'!$I$6,$M3451='112'!$I$6))),"x",""))</f>
        <v/>
      </c>
      <c r="S3451" s="52" t="str">
        <f>IF(ISERROR(FIND('112'!$M$9,G3451,1)),"",IF((AND(LEFT(G3451,2)=LEFT('112'!$M$9,2),B3451&lt;'112'!$N$8,$L3451='112'!$I$6)),"x",""))</f>
        <v/>
      </c>
      <c r="T3451" s="52" t="str">
        <f>IF(ISERROR(FIND('112'!$M$9,G3451,1)),"",IF((AND(RIGHT(G3451,2)=RIGHT('112'!$M$9,2),B3451&lt;'112'!$N$8,$M3451='112'!$I$6)),"x",""))</f>
        <v/>
      </c>
      <c r="U3451" s="52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>x</v>
      </c>
      <c r="AA3451" s="826"/>
    </row>
    <row r="3452" spans="1:27" ht="15.75" customHeight="1">
      <c r="A3452" s="827" t="str">
        <f>IF(B3452&lt;&gt;"",IF(AND(B3452&gt;=_TM1,B3452&lt;=_TM2,OR(TH!L3452="1111",TH!M3452="1111")),TH!D3452,""),"")</f>
        <v/>
      </c>
      <c r="B3452" s="36">
        <f t="shared" si="430"/>
        <v>9</v>
      </c>
      <c r="C3452" s="190">
        <f t="shared" si="443"/>
        <v>42643</v>
      </c>
      <c r="D3452" s="856" t="s">
        <v>1662</v>
      </c>
      <c r="E3452" s="906">
        <v>42643</v>
      </c>
      <c r="F3452" s="868" t="s">
        <v>1763</v>
      </c>
      <c r="G3452" s="831" t="s">
        <v>1775</v>
      </c>
      <c r="H3452" s="859" t="s">
        <v>1310</v>
      </c>
      <c r="I3452" s="251">
        <v>20</v>
      </c>
      <c r="J3452" s="251">
        <v>68000</v>
      </c>
      <c r="K3452" s="860">
        <f t="shared" si="452"/>
        <v>1360000</v>
      </c>
      <c r="L3452" s="861" t="s">
        <v>162</v>
      </c>
      <c r="M3452" s="861" t="s">
        <v>857</v>
      </c>
      <c r="N3452" s="52" t="str">
        <f>IF(AND('331-CT'!$E$7=TH!H3452,OR(L3452="331",M3452="331")),"331",IF(AND(OR(L3452="131",M3452="131"),H3452='131-CT'!$E$7),"131",""))</f>
        <v/>
      </c>
      <c r="O3452" s="52" t="str">
        <f>IF(AND($B3452&gt;='111'!$N$11,$B3452&lt;='111'!$O$11,OR($L3452=$O$7,$M3452=$O$7)),"x","")</f>
        <v/>
      </c>
      <c r="P3452" s="52" t="str">
        <f>IF(AND($L3452=$O$7,$B3452&lt;'111'!$N$11),"x","")</f>
        <v/>
      </c>
      <c r="Q3452" s="52" t="str">
        <f>IF(AND($M3452=$O$7,$B3452&lt;'111'!$N$11),"x","")</f>
        <v/>
      </c>
      <c r="R3452" s="52" t="str">
        <f>IF(ISERROR(FIND('112'!$M$9,G3452,1)),"",IF((AND(FIND('112'!$M$9,G3452,1)&gt;=1,$B3452&gt;='112'!$N$8,$B3452&lt;='112'!$O$8,OR($L3452='112'!$I$6,$M3452='112'!$I$6))),"x",""))</f>
        <v/>
      </c>
      <c r="S3452" s="52" t="str">
        <f>IF(ISERROR(FIND('112'!$M$9,G3452,1)),"",IF((AND(LEFT(G3452,2)=LEFT('112'!$M$9,2),B3452&lt;'112'!$N$8,$L3452='112'!$I$6)),"x",""))</f>
        <v/>
      </c>
      <c r="T3452" s="52" t="str">
        <f>IF(ISERROR(FIND('112'!$M$9,G3452,1)),"",IF((AND(RIGHT(G3452,2)=RIGHT('112'!$M$9,2),B3452&lt;'112'!$N$8,$M3452='112'!$I$6)),"x",""))</f>
        <v/>
      </c>
      <c r="U3452" s="52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>x</v>
      </c>
      <c r="AA3452" s="826"/>
    </row>
    <row r="3453" spans="1:27" ht="15.75" customHeight="1">
      <c r="A3453" s="827" t="str">
        <f>IF(B3453&lt;&gt;"",IF(AND(B3453&gt;=_TM1,B3453&lt;=_TM2,OR(TH!L3453="1111",TH!M3453="1111")),TH!D3453,""),"")</f>
        <v/>
      </c>
      <c r="B3453" s="36">
        <f t="shared" si="430"/>
        <v>9</v>
      </c>
      <c r="C3453" s="190">
        <f t="shared" si="443"/>
        <v>42643</v>
      </c>
      <c r="D3453" s="856" t="s">
        <v>1662</v>
      </c>
      <c r="E3453" s="906">
        <v>42643</v>
      </c>
      <c r="F3453" s="49" t="s">
        <v>1764</v>
      </c>
      <c r="G3453" s="831" t="s">
        <v>1775</v>
      </c>
      <c r="H3453" s="859" t="s">
        <v>1310</v>
      </c>
      <c r="I3453" s="251">
        <v>4</v>
      </c>
      <c r="J3453" s="251">
        <v>70000</v>
      </c>
      <c r="K3453" s="860">
        <f t="shared" si="452"/>
        <v>280000</v>
      </c>
      <c r="L3453" s="861" t="s">
        <v>162</v>
      </c>
      <c r="M3453" s="861" t="s">
        <v>857</v>
      </c>
      <c r="N3453" s="52" t="str">
        <f>IF(AND('331-CT'!$E$7=TH!H3453,OR(L3453="331",M3453="331")),"331",IF(AND(OR(L3453="131",M3453="131"),H3453='131-CT'!$E$7),"131",""))</f>
        <v/>
      </c>
      <c r="O3453" s="52" t="str">
        <f>IF(AND($B3453&gt;='111'!$N$11,$B3453&lt;='111'!$O$11,OR($L3453=$O$7,$M3453=$O$7)),"x","")</f>
        <v/>
      </c>
      <c r="P3453" s="52" t="str">
        <f>IF(AND($L3453=$O$7,$B3453&lt;'111'!$N$11),"x","")</f>
        <v/>
      </c>
      <c r="Q3453" s="52" t="str">
        <f>IF(AND($M3453=$O$7,$B3453&lt;'111'!$N$11),"x","")</f>
        <v/>
      </c>
      <c r="R3453" s="52" t="str">
        <f>IF(ISERROR(FIND('112'!$M$9,G3453,1)),"",IF((AND(FIND('112'!$M$9,G3453,1)&gt;=1,$B3453&gt;='112'!$N$8,$B3453&lt;='112'!$O$8,OR($L3453='112'!$I$6,$M3453='112'!$I$6))),"x",""))</f>
        <v/>
      </c>
      <c r="S3453" s="52" t="str">
        <f>IF(ISERROR(FIND('112'!$M$9,G3453,1)),"",IF((AND(LEFT(G3453,2)=LEFT('112'!$M$9,2),B3453&lt;'112'!$N$8,$L3453='112'!$I$6)),"x",""))</f>
        <v/>
      </c>
      <c r="T3453" s="52" t="str">
        <f>IF(ISERROR(FIND('112'!$M$9,G3453,1)),"",IF((AND(RIGHT(G3453,2)=RIGHT('112'!$M$9,2),B3453&lt;'112'!$N$8,$M3453='112'!$I$6)),"x",""))</f>
        <v/>
      </c>
      <c r="U3453" s="52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/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>x</v>
      </c>
      <c r="AA3453" s="826"/>
    </row>
    <row r="3454" spans="1:27" ht="15.75" customHeight="1">
      <c r="A3454" s="827" t="str">
        <f>IF(B3454&lt;&gt;"",IF(AND(B3454&gt;=_TM1,B3454&lt;=_TM2,OR(TH!L3454="1111",TH!M3454="1111")),TH!D3454,""),"")</f>
        <v/>
      </c>
      <c r="B3454" s="36">
        <f t="shared" si="430"/>
        <v>9</v>
      </c>
      <c r="C3454" s="190">
        <f t="shared" si="443"/>
        <v>42643</v>
      </c>
      <c r="D3454" s="856" t="s">
        <v>1662</v>
      </c>
      <c r="E3454" s="906">
        <v>42643</v>
      </c>
      <c r="F3454" s="49" t="s">
        <v>1765</v>
      </c>
      <c r="G3454" s="831" t="s">
        <v>1775</v>
      </c>
      <c r="H3454" s="859" t="s">
        <v>1310</v>
      </c>
      <c r="I3454" s="251">
        <v>6</v>
      </c>
      <c r="J3454" s="251">
        <v>71800</v>
      </c>
      <c r="K3454" s="860">
        <f t="shared" si="452"/>
        <v>430800</v>
      </c>
      <c r="L3454" s="861" t="s">
        <v>162</v>
      </c>
      <c r="M3454" s="861" t="s">
        <v>857</v>
      </c>
      <c r="N3454" s="52" t="str">
        <f>IF(AND('331-CT'!$E$7=TH!H3454,OR(L3454="331",M3454="331")),"331",IF(AND(OR(L3454="131",M3454="131"),H3454='131-CT'!$E$7),"131",""))</f>
        <v/>
      </c>
      <c r="O3454" s="52" t="str">
        <f>IF(AND($B3454&gt;='111'!$N$11,$B3454&lt;='111'!$O$11,OR($L3454=$O$7,$M3454=$O$7)),"x","")</f>
        <v/>
      </c>
      <c r="P3454" s="52" t="str">
        <f>IF(AND($L3454=$O$7,$B3454&lt;'111'!$N$11),"x","")</f>
        <v/>
      </c>
      <c r="Q3454" s="52" t="str">
        <f>IF(AND($M3454=$O$7,$B3454&lt;'111'!$N$11),"x","")</f>
        <v/>
      </c>
      <c r="R3454" s="52" t="str">
        <f>IF(ISERROR(FIND('112'!$M$9,G3454,1)),"",IF((AND(FIND('112'!$M$9,G3454,1)&gt;=1,$B3454&gt;='112'!$N$8,$B3454&lt;='112'!$O$8,OR($L3454='112'!$I$6,$M3454='112'!$I$6))),"x",""))</f>
        <v/>
      </c>
      <c r="S3454" s="52" t="str">
        <f>IF(ISERROR(FIND('112'!$M$9,G3454,1)),"",IF((AND(LEFT(G3454,2)=LEFT('112'!$M$9,2),B3454&lt;'112'!$N$8,$L3454='112'!$I$6)),"x",""))</f>
        <v/>
      </c>
      <c r="T3454" s="52" t="str">
        <f>IF(ISERROR(FIND('112'!$M$9,G3454,1)),"",IF((AND(RIGHT(G3454,2)=RIGHT('112'!$M$9,2),B3454&lt;'112'!$N$8,$M3454='112'!$I$6)),"x",""))</f>
        <v/>
      </c>
      <c r="U3454" s="52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>x</v>
      </c>
      <c r="AA3454" s="826"/>
    </row>
    <row r="3455" spans="1:27" ht="15.75" customHeight="1">
      <c r="A3455" s="827" t="str">
        <f>IF(B3455&lt;&gt;"",IF(AND(B3455&gt;=_TM1,B3455&lt;=_TM2,OR(TH!L3455="1111",TH!M3455="1111")),TH!D3455,""),"")</f>
        <v/>
      </c>
      <c r="B3455" s="36">
        <f t="shared" si="430"/>
        <v>9</v>
      </c>
      <c r="C3455" s="190">
        <f t="shared" si="443"/>
        <v>42643</v>
      </c>
      <c r="D3455" s="856" t="s">
        <v>1662</v>
      </c>
      <c r="E3455" s="906">
        <v>42643</v>
      </c>
      <c r="F3455" s="868" t="s">
        <v>1766</v>
      </c>
      <c r="G3455" s="831" t="s">
        <v>1775</v>
      </c>
      <c r="H3455" s="859" t="s">
        <v>1310</v>
      </c>
      <c r="I3455" s="251">
        <v>20</v>
      </c>
      <c r="J3455" s="251">
        <v>71901</v>
      </c>
      <c r="K3455" s="860">
        <f t="shared" si="452"/>
        <v>1438020</v>
      </c>
      <c r="L3455" s="861" t="s">
        <v>162</v>
      </c>
      <c r="M3455" s="861" t="s">
        <v>857</v>
      </c>
      <c r="N3455" s="52" t="str">
        <f>IF(AND('331-CT'!$E$7=TH!H3455,OR(L3455="331",M3455="331")),"331",IF(AND(OR(L3455="131",M3455="131"),H3455='131-CT'!$E$7),"131",""))</f>
        <v/>
      </c>
      <c r="O3455" s="52" t="str">
        <f>IF(AND($B3455&gt;='111'!$N$11,$B3455&lt;='111'!$O$11,OR($L3455=$O$7,$M3455=$O$7)),"x","")</f>
        <v/>
      </c>
      <c r="P3455" s="52" t="str">
        <f>IF(AND($L3455=$O$7,$B3455&lt;'111'!$N$11),"x","")</f>
        <v/>
      </c>
      <c r="Q3455" s="52" t="str">
        <f>IF(AND($M3455=$O$7,$B3455&lt;'111'!$N$11),"x","")</f>
        <v/>
      </c>
      <c r="R3455" s="52" t="str">
        <f>IF(ISERROR(FIND('112'!$M$9,G3455,1)),"",IF((AND(FIND('112'!$M$9,G3455,1)&gt;=1,$B3455&gt;='112'!$N$8,$B3455&lt;='112'!$O$8,OR($L3455='112'!$I$6,$M3455='112'!$I$6))),"x",""))</f>
        <v/>
      </c>
      <c r="S3455" s="52" t="str">
        <f>IF(ISERROR(FIND('112'!$M$9,G3455,1)),"",IF((AND(LEFT(G3455,2)=LEFT('112'!$M$9,2),B3455&lt;'112'!$N$8,$L3455='112'!$I$6)),"x",""))</f>
        <v/>
      </c>
      <c r="T3455" s="52" t="str">
        <f>IF(ISERROR(FIND('112'!$M$9,G3455,1)),"",IF((AND(RIGHT(G3455,2)=RIGHT('112'!$M$9,2),B3455&lt;'112'!$N$8,$M3455='112'!$I$6)),"x",""))</f>
        <v/>
      </c>
      <c r="U3455" s="52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>x</v>
      </c>
      <c r="AA3455" s="826"/>
    </row>
    <row r="3456" spans="1:27" ht="15.75" customHeight="1">
      <c r="A3456" s="827" t="str">
        <f>IF(B3456&lt;&gt;"",IF(AND(B3456&gt;=_TM1,B3456&lt;=_TM2,OR(TH!L3456="1111",TH!M3456="1111")),TH!D3456,""),"")</f>
        <v/>
      </c>
      <c r="B3456" s="36">
        <f t="shared" si="430"/>
        <v>9</v>
      </c>
      <c r="C3456" s="190">
        <f t="shared" si="443"/>
        <v>42643</v>
      </c>
      <c r="D3456" s="856" t="s">
        <v>1662</v>
      </c>
      <c r="E3456" s="906">
        <v>42643</v>
      </c>
      <c r="F3456" s="49" t="s">
        <v>1767</v>
      </c>
      <c r="G3456" s="831" t="s">
        <v>1775</v>
      </c>
      <c r="H3456" s="859" t="s">
        <v>1310</v>
      </c>
      <c r="I3456" s="251">
        <v>6</v>
      </c>
      <c r="J3456" s="251">
        <v>74000</v>
      </c>
      <c r="K3456" s="860">
        <f t="shared" si="452"/>
        <v>444000</v>
      </c>
      <c r="L3456" s="861" t="s">
        <v>162</v>
      </c>
      <c r="M3456" s="861" t="s">
        <v>857</v>
      </c>
      <c r="N3456" s="52" t="str">
        <f>IF(AND('331-CT'!$E$7=TH!H3456,OR(L3456="331",M3456="331")),"331",IF(AND(OR(L3456="131",M3456="131"),H3456='131-CT'!$E$7),"131",""))</f>
        <v/>
      </c>
      <c r="O3456" s="52" t="str">
        <f>IF(AND($B3456&gt;='111'!$N$11,$B3456&lt;='111'!$O$11,OR($L3456=$O$7,$M3456=$O$7)),"x","")</f>
        <v/>
      </c>
      <c r="P3456" s="52" t="str">
        <f>IF(AND($L3456=$O$7,$B3456&lt;'111'!$N$11),"x","")</f>
        <v/>
      </c>
      <c r="Q3456" s="52" t="str">
        <f>IF(AND($M3456=$O$7,$B3456&lt;'111'!$N$11),"x","")</f>
        <v/>
      </c>
      <c r="R3456" s="52" t="str">
        <f>IF(ISERROR(FIND('112'!$M$9,G3456,1)),"",IF((AND(FIND('112'!$M$9,G3456,1)&gt;=1,$B3456&gt;='112'!$N$8,$B3456&lt;='112'!$O$8,OR($L3456='112'!$I$6,$M3456='112'!$I$6))),"x",""))</f>
        <v/>
      </c>
      <c r="S3456" s="52" t="str">
        <f>IF(ISERROR(FIND('112'!$M$9,G3456,1)),"",IF((AND(LEFT(G3456,2)=LEFT('112'!$M$9,2),B3456&lt;'112'!$N$8,$L3456='112'!$I$6)),"x",""))</f>
        <v/>
      </c>
      <c r="T3456" s="52" t="str">
        <f>IF(ISERROR(FIND('112'!$M$9,G3456,1)),"",IF((AND(RIGHT(G3456,2)=RIGHT('112'!$M$9,2),B3456&lt;'112'!$N$8,$M3456='112'!$I$6)),"x",""))</f>
        <v/>
      </c>
      <c r="U3456" s="52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>x</v>
      </c>
      <c r="AA3456" s="826"/>
    </row>
    <row r="3457" spans="1:27" ht="15.75" customHeight="1">
      <c r="A3457" s="827" t="str">
        <f>IF(B3457&lt;&gt;"",IF(AND(B3457&gt;=_TM1,B3457&lt;=_TM2,OR(TH!L3457="1111",TH!M3457="1111")),TH!D3457,""),"")</f>
        <v/>
      </c>
      <c r="B3457" s="36">
        <f t="shared" si="430"/>
        <v>9</v>
      </c>
      <c r="C3457" s="190">
        <f t="shared" si="443"/>
        <v>42643</v>
      </c>
      <c r="D3457" s="856" t="s">
        <v>1662</v>
      </c>
      <c r="E3457" s="906">
        <v>42643</v>
      </c>
      <c r="F3457" s="868" t="s">
        <v>1768</v>
      </c>
      <c r="G3457" s="831" t="s">
        <v>1775</v>
      </c>
      <c r="H3457" s="859" t="s">
        <v>1310</v>
      </c>
      <c r="I3457" s="251">
        <v>6</v>
      </c>
      <c r="J3457" s="251">
        <v>75000</v>
      </c>
      <c r="K3457" s="860">
        <f t="shared" si="452"/>
        <v>450000</v>
      </c>
      <c r="L3457" s="861" t="s">
        <v>162</v>
      </c>
      <c r="M3457" s="861" t="s">
        <v>857</v>
      </c>
      <c r="N3457" s="52" t="str">
        <f>IF(AND('331-CT'!$E$7=TH!H3457,OR(L3457="331",M3457="331")),"331",IF(AND(OR(L3457="131",M3457="131"),H3457='131-CT'!$E$7),"131",""))</f>
        <v/>
      </c>
      <c r="O3457" s="52" t="str">
        <f>IF(AND($B3457&gt;='111'!$N$11,$B3457&lt;='111'!$O$11,OR($L3457=$O$7,$M3457=$O$7)),"x","")</f>
        <v/>
      </c>
      <c r="P3457" s="52" t="str">
        <f>IF(AND($L3457=$O$7,$B3457&lt;'111'!$N$11),"x","")</f>
        <v/>
      </c>
      <c r="Q3457" s="52" t="str">
        <f>IF(AND($M3457=$O$7,$B3457&lt;'111'!$N$11),"x","")</f>
        <v/>
      </c>
      <c r="R3457" s="52" t="str">
        <f>IF(ISERROR(FIND('112'!$M$9,G3457,1)),"",IF((AND(FIND('112'!$M$9,G3457,1)&gt;=1,$B3457&gt;='112'!$N$8,$B3457&lt;='112'!$O$8,OR($L3457='112'!$I$6,$M3457='112'!$I$6))),"x",""))</f>
        <v/>
      </c>
      <c r="S3457" s="52" t="str">
        <f>IF(ISERROR(FIND('112'!$M$9,G3457,1)),"",IF((AND(LEFT(G3457,2)=LEFT('112'!$M$9,2),B3457&lt;'112'!$N$8,$L3457='112'!$I$6)),"x",""))</f>
        <v/>
      </c>
      <c r="T3457" s="52" t="str">
        <f>IF(ISERROR(FIND('112'!$M$9,G3457,1)),"",IF((AND(RIGHT(G3457,2)=RIGHT('112'!$M$9,2),B3457&lt;'112'!$N$8,$M3457='112'!$I$6)),"x",""))</f>
        <v/>
      </c>
      <c r="U3457" s="52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/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>x</v>
      </c>
      <c r="AA3457" s="826"/>
    </row>
    <row r="3458" spans="1:27" ht="15.75" customHeight="1">
      <c r="A3458" s="827" t="str">
        <f>IF(B3458&lt;&gt;"",IF(AND(B3458&gt;=_TM1,B3458&lt;=_TM2,OR(TH!L3458="1111",TH!M3458="1111")),TH!D3458,""),"")</f>
        <v/>
      </c>
      <c r="B3458" s="36">
        <f t="shared" si="430"/>
        <v>9</v>
      </c>
      <c r="C3458" s="190">
        <f t="shared" si="443"/>
        <v>42643</v>
      </c>
      <c r="D3458" s="856" t="s">
        <v>1662</v>
      </c>
      <c r="E3458" s="906">
        <v>42643</v>
      </c>
      <c r="F3458" s="49" t="s">
        <v>1769</v>
      </c>
      <c r="G3458" s="831" t="s">
        <v>1775</v>
      </c>
      <c r="H3458" s="859" t="s">
        <v>1310</v>
      </c>
      <c r="I3458" s="251">
        <v>4</v>
      </c>
      <c r="J3458" s="251">
        <v>92600</v>
      </c>
      <c r="K3458" s="860">
        <f t="shared" si="452"/>
        <v>370400</v>
      </c>
      <c r="L3458" s="861" t="s">
        <v>162</v>
      </c>
      <c r="M3458" s="861" t="s">
        <v>857</v>
      </c>
      <c r="N3458" s="52" t="str">
        <f>IF(AND('331-CT'!$E$7=TH!H3458,OR(L3458="331",M3458="331")),"331",IF(AND(OR(L3458="131",M3458="131"),H3458='131-CT'!$E$7),"131",""))</f>
        <v/>
      </c>
      <c r="O3458" s="52" t="str">
        <f>IF(AND($B3458&gt;='111'!$N$11,$B3458&lt;='111'!$O$11,OR($L3458=$O$7,$M3458=$O$7)),"x","")</f>
        <v/>
      </c>
      <c r="P3458" s="52" t="str">
        <f>IF(AND($L3458=$O$7,$B3458&lt;'111'!$N$11),"x","")</f>
        <v/>
      </c>
      <c r="Q3458" s="52" t="str">
        <f>IF(AND($M3458=$O$7,$B3458&lt;'111'!$N$11),"x","")</f>
        <v/>
      </c>
      <c r="R3458" s="52" t="str">
        <f>IF(ISERROR(FIND('112'!$M$9,G3458,1)),"",IF((AND(FIND('112'!$M$9,G3458,1)&gt;=1,$B3458&gt;='112'!$N$8,$B3458&lt;='112'!$O$8,OR($L3458='112'!$I$6,$M3458='112'!$I$6))),"x",""))</f>
        <v/>
      </c>
      <c r="S3458" s="52" t="str">
        <f>IF(ISERROR(FIND('112'!$M$9,G3458,1)),"",IF((AND(LEFT(G3458,2)=LEFT('112'!$M$9,2),B3458&lt;'112'!$N$8,$L3458='112'!$I$6)),"x",""))</f>
        <v/>
      </c>
      <c r="T3458" s="52" t="str">
        <f>IF(ISERROR(FIND('112'!$M$9,G3458,1)),"",IF((AND(RIGHT(G3458,2)=RIGHT('112'!$M$9,2),B3458&lt;'112'!$N$8,$M3458='112'!$I$6)),"x",""))</f>
        <v/>
      </c>
      <c r="U3458" s="52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>x</v>
      </c>
      <c r="AA3458" s="826"/>
    </row>
    <row r="3459" spans="1:27" ht="15.75" customHeight="1">
      <c r="A3459" s="827" t="str">
        <f>IF(B3459&lt;&gt;"",IF(AND(B3459&gt;=_TM1,B3459&lt;=_TM2,OR(TH!L3459="1111",TH!M3459="1111")),TH!D3459,""),"")</f>
        <v/>
      </c>
      <c r="B3459" s="36">
        <f t="shared" si="430"/>
        <v>9</v>
      </c>
      <c r="C3459" s="190">
        <f t="shared" si="443"/>
        <v>42643</v>
      </c>
      <c r="D3459" s="856" t="s">
        <v>1662</v>
      </c>
      <c r="E3459" s="906">
        <v>42643</v>
      </c>
      <c r="F3459" s="49" t="s">
        <v>1770</v>
      </c>
      <c r="G3459" s="831" t="s">
        <v>1775</v>
      </c>
      <c r="H3459" s="859" t="s">
        <v>1310</v>
      </c>
      <c r="I3459" s="251">
        <v>7</v>
      </c>
      <c r="J3459" s="251">
        <v>92801</v>
      </c>
      <c r="K3459" s="860">
        <f t="shared" si="452"/>
        <v>649607</v>
      </c>
      <c r="L3459" s="861" t="s">
        <v>162</v>
      </c>
      <c r="M3459" s="861" t="s">
        <v>857</v>
      </c>
      <c r="N3459" s="52" t="str">
        <f>IF(AND('331-CT'!$E$7=TH!H3459,OR(L3459="331",M3459="331")),"331",IF(AND(OR(L3459="131",M3459="131"),H3459='131-CT'!$E$7),"131",""))</f>
        <v/>
      </c>
      <c r="O3459" s="52" t="str">
        <f>IF(AND($B3459&gt;='111'!$N$11,$B3459&lt;='111'!$O$11,OR($L3459=$O$7,$M3459=$O$7)),"x","")</f>
        <v/>
      </c>
      <c r="P3459" s="52" t="str">
        <f>IF(AND($L3459=$O$7,$B3459&lt;'111'!$N$11),"x","")</f>
        <v/>
      </c>
      <c r="Q3459" s="52" t="str">
        <f>IF(AND($M3459=$O$7,$B3459&lt;'111'!$N$11),"x","")</f>
        <v/>
      </c>
      <c r="R3459" s="52" t="str">
        <f>IF(ISERROR(FIND('112'!$M$9,G3459,1)),"",IF((AND(FIND('112'!$M$9,G3459,1)&gt;=1,$B3459&gt;='112'!$N$8,$B3459&lt;='112'!$O$8,OR($L3459='112'!$I$6,$M3459='112'!$I$6))),"x",""))</f>
        <v/>
      </c>
      <c r="S3459" s="52" t="str">
        <f>IF(ISERROR(FIND('112'!$M$9,G3459,1)),"",IF((AND(LEFT(G3459,2)=LEFT('112'!$M$9,2),B3459&lt;'112'!$N$8,$L3459='112'!$I$6)),"x",""))</f>
        <v/>
      </c>
      <c r="T3459" s="52" t="str">
        <f>IF(ISERROR(FIND('112'!$M$9,G3459,1)),"",IF((AND(RIGHT(G3459,2)=RIGHT('112'!$M$9,2),B3459&lt;'112'!$N$8,$M3459='112'!$I$6)),"x",""))</f>
        <v/>
      </c>
      <c r="U3459" s="52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>x</v>
      </c>
      <c r="AA3459" s="826"/>
    </row>
    <row r="3460" spans="1:27" ht="15.75" customHeight="1">
      <c r="A3460" s="827" t="str">
        <f>IF(B3460&lt;&gt;"",IF(AND(B3460&gt;=_TM1,B3460&lt;=_TM2,OR(TH!L3460="1111",TH!M3460="1111")),TH!D3460,""),"")</f>
        <v/>
      </c>
      <c r="B3460" s="36">
        <f t="shared" ref="B3460:B3464" si="453">IF(C3460&lt;&gt;"",MONTH(C3460),"")</f>
        <v>9</v>
      </c>
      <c r="C3460" s="190">
        <f t="shared" ref="C3460:C3464" si="454">E3460</f>
        <v>42643</v>
      </c>
      <c r="D3460" s="856" t="s">
        <v>1662</v>
      </c>
      <c r="E3460" s="906">
        <v>42643</v>
      </c>
      <c r="F3460" s="49" t="s">
        <v>1771</v>
      </c>
      <c r="G3460" s="831" t="s">
        <v>1775</v>
      </c>
      <c r="H3460" s="859" t="s">
        <v>1310</v>
      </c>
      <c r="I3460" s="251">
        <v>12</v>
      </c>
      <c r="J3460" s="251">
        <v>97000</v>
      </c>
      <c r="K3460" s="860">
        <f t="shared" si="444"/>
        <v>1164000</v>
      </c>
      <c r="L3460" s="861" t="s">
        <v>162</v>
      </c>
      <c r="M3460" s="861" t="s">
        <v>857</v>
      </c>
      <c r="N3460" s="52" t="str">
        <f>IF(AND('331-CT'!$E$7=TH!H3460,OR(L3460="331",M3460="331")),"331",IF(AND(OR(L3460="131",M3460="131"),H3460='131-CT'!$E$7),"131",""))</f>
        <v/>
      </c>
      <c r="O3460" s="52" t="str">
        <f>IF(AND($B3460&gt;='111'!$N$11,$B3460&lt;='111'!$O$11,OR($L3460=$O$7,$M3460=$O$7)),"x","")</f>
        <v/>
      </c>
      <c r="P3460" s="52" t="str">
        <f>IF(AND($L3460=$O$7,$B3460&lt;'111'!$N$11),"x","")</f>
        <v/>
      </c>
      <c r="Q3460" s="52" t="str">
        <f>IF(AND($M3460=$O$7,$B3460&lt;'111'!$N$11),"x","")</f>
        <v/>
      </c>
      <c r="R3460" s="52" t="str">
        <f>IF(ISERROR(FIND('112'!$M$9,G3460,1)),"",IF((AND(FIND('112'!$M$9,G3460,1)&gt;=1,$B3460&gt;='112'!$N$8,$B3460&lt;='112'!$O$8,OR($L3460='112'!$I$6,$M3460='112'!$I$6))),"x",""))</f>
        <v/>
      </c>
      <c r="S3460" s="52" t="str">
        <f>IF(ISERROR(FIND('112'!$M$9,G3460,1)),"",IF((AND(LEFT(G3460,2)=LEFT('112'!$M$9,2),B3460&lt;'112'!$N$8,$L3460='112'!$I$6)),"x",""))</f>
        <v/>
      </c>
      <c r="T3460" s="52" t="str">
        <f>IF(ISERROR(FIND('112'!$M$9,G3460,1)),"",IF((AND(RIGHT(G3460,2)=RIGHT('112'!$M$9,2),B3460&lt;'112'!$N$8,$M3460='112'!$I$6)),"x",""))</f>
        <v/>
      </c>
      <c r="U3460" s="52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>x</v>
      </c>
      <c r="AA3460" s="826"/>
    </row>
    <row r="3461" spans="1:27" ht="15.75" customHeight="1">
      <c r="A3461" s="827" t="str">
        <f>IF(B3461&lt;&gt;"",IF(AND(B3461&gt;=_TM1,B3461&lt;=_TM2,OR(TH!L3461="1111",TH!M3461="1111")),TH!D3461,""),"")</f>
        <v/>
      </c>
      <c r="B3461" s="36">
        <f t="shared" si="453"/>
        <v>9</v>
      </c>
      <c r="C3461" s="190">
        <f t="shared" si="454"/>
        <v>42643</v>
      </c>
      <c r="D3461" s="856" t="s">
        <v>1662</v>
      </c>
      <c r="E3461" s="906">
        <v>42643</v>
      </c>
      <c r="F3461" s="868" t="s">
        <v>1771</v>
      </c>
      <c r="G3461" s="831" t="s">
        <v>1775</v>
      </c>
      <c r="H3461" s="859" t="s">
        <v>1310</v>
      </c>
      <c r="I3461" s="251">
        <v>36</v>
      </c>
      <c r="J3461" s="251">
        <v>99000</v>
      </c>
      <c r="K3461" s="860">
        <f t="shared" si="444"/>
        <v>3564000</v>
      </c>
      <c r="L3461" s="861" t="s">
        <v>162</v>
      </c>
      <c r="M3461" s="861" t="s">
        <v>857</v>
      </c>
      <c r="N3461" s="52" t="str">
        <f>IF(AND('331-CT'!$E$7=TH!H3461,OR(L3461="331",M3461="331")),"331",IF(AND(OR(L3461="131",M3461="131"),H3461='131-CT'!$E$7),"131",""))</f>
        <v/>
      </c>
      <c r="O3461" s="52" t="str">
        <f>IF(AND($B3461&gt;='111'!$N$11,$B3461&lt;='111'!$O$11,OR($L3461=$O$7,$M3461=$O$7)),"x","")</f>
        <v/>
      </c>
      <c r="P3461" s="52" t="str">
        <f>IF(AND($L3461=$O$7,$B3461&lt;'111'!$N$11),"x","")</f>
        <v/>
      </c>
      <c r="Q3461" s="52" t="str">
        <f>IF(AND($M3461=$O$7,$B3461&lt;'111'!$N$11),"x","")</f>
        <v/>
      </c>
      <c r="R3461" s="52" t="str">
        <f>IF(ISERROR(FIND('112'!$M$9,G3461,1)),"",IF((AND(FIND('112'!$M$9,G3461,1)&gt;=1,$B3461&gt;='112'!$N$8,$B3461&lt;='112'!$O$8,OR($L3461='112'!$I$6,$M3461='112'!$I$6))),"x",""))</f>
        <v/>
      </c>
      <c r="S3461" s="52" t="str">
        <f>IF(ISERROR(FIND('112'!$M$9,G3461,1)),"",IF((AND(LEFT(G3461,2)=LEFT('112'!$M$9,2),B3461&lt;'112'!$N$8,$L3461='112'!$I$6)),"x",""))</f>
        <v/>
      </c>
      <c r="T3461" s="52" t="str">
        <f>IF(ISERROR(FIND('112'!$M$9,G3461,1)),"",IF((AND(RIGHT(G3461,2)=RIGHT('112'!$M$9,2),B3461&lt;'112'!$N$8,$M3461='112'!$I$6)),"x",""))</f>
        <v/>
      </c>
      <c r="U3461" s="52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>x</v>
      </c>
      <c r="AA3461" s="826"/>
    </row>
    <row r="3462" spans="1:27" ht="15.75" customHeight="1">
      <c r="A3462" s="827" t="str">
        <f>IF(B3462&lt;&gt;"",IF(AND(B3462&gt;=_TM1,B3462&lt;=_TM2,OR(TH!L3462="1111",TH!M3462="1111")),TH!D3462,""),"")</f>
        <v/>
      </c>
      <c r="B3462" s="36">
        <f t="shared" si="453"/>
        <v>9</v>
      </c>
      <c r="C3462" s="190">
        <f t="shared" si="454"/>
        <v>42643</v>
      </c>
      <c r="D3462" s="856" t="s">
        <v>1662</v>
      </c>
      <c r="E3462" s="906">
        <v>42643</v>
      </c>
      <c r="F3462" s="49" t="s">
        <v>502</v>
      </c>
      <c r="G3462" s="831" t="s">
        <v>1775</v>
      </c>
      <c r="H3462" s="859" t="s">
        <v>1310</v>
      </c>
      <c r="I3462" s="251">
        <v>25</v>
      </c>
      <c r="J3462" s="251">
        <v>99500</v>
      </c>
      <c r="K3462" s="860">
        <f t="shared" si="444"/>
        <v>2487500</v>
      </c>
      <c r="L3462" s="861" t="s">
        <v>162</v>
      </c>
      <c r="M3462" s="861" t="s">
        <v>857</v>
      </c>
      <c r="N3462" s="52" t="str">
        <f>IF(AND('331-CT'!$E$7=TH!H3462,OR(L3462="331",M3462="331")),"331",IF(AND(OR(L3462="131",M3462="131"),H3462='131-CT'!$E$7),"131",""))</f>
        <v/>
      </c>
      <c r="O3462" s="52" t="str">
        <f>IF(AND($B3462&gt;='111'!$N$11,$B3462&lt;='111'!$O$11,OR($L3462=$O$7,$M3462=$O$7)),"x","")</f>
        <v/>
      </c>
      <c r="P3462" s="52" t="str">
        <f>IF(AND($L3462=$O$7,$B3462&lt;'111'!$N$11),"x","")</f>
        <v/>
      </c>
      <c r="Q3462" s="52" t="str">
        <f>IF(AND($M3462=$O$7,$B3462&lt;'111'!$N$11),"x","")</f>
        <v/>
      </c>
      <c r="R3462" s="52" t="str">
        <f>IF(ISERROR(FIND('112'!$M$9,G3462,1)),"",IF((AND(FIND('112'!$M$9,G3462,1)&gt;=1,$B3462&gt;='112'!$N$8,$B3462&lt;='112'!$O$8,OR($L3462='112'!$I$6,$M3462='112'!$I$6))),"x",""))</f>
        <v/>
      </c>
      <c r="S3462" s="52" t="str">
        <f>IF(ISERROR(FIND('112'!$M$9,G3462,1)),"",IF((AND(LEFT(G3462,2)=LEFT('112'!$M$9,2),B3462&lt;'112'!$N$8,$L3462='112'!$I$6)),"x",""))</f>
        <v/>
      </c>
      <c r="T3462" s="52" t="str">
        <f>IF(ISERROR(FIND('112'!$M$9,G3462,1)),"",IF((AND(RIGHT(G3462,2)=RIGHT('112'!$M$9,2),B3462&lt;'112'!$N$8,$M3462='112'!$I$6)),"x",""))</f>
        <v/>
      </c>
      <c r="U3462" s="52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>x</v>
      </c>
      <c r="AA3462" s="826"/>
    </row>
    <row r="3463" spans="1:27" ht="15.75" customHeight="1">
      <c r="A3463" s="827" t="str">
        <f>IF(B3463&lt;&gt;"",IF(AND(B3463&gt;=_TM1,B3463&lt;=_TM2,OR(TH!L3463="1111",TH!M3463="1111")),TH!D3463,""),"")</f>
        <v/>
      </c>
      <c r="B3463" s="36">
        <f t="shared" si="453"/>
        <v>9</v>
      </c>
      <c r="C3463" s="190">
        <f t="shared" si="454"/>
        <v>42643</v>
      </c>
      <c r="D3463" s="856" t="s">
        <v>1662</v>
      </c>
      <c r="E3463" s="906">
        <v>42643</v>
      </c>
      <c r="F3463" s="49" t="s">
        <v>1753</v>
      </c>
      <c r="G3463" s="831" t="s">
        <v>1775</v>
      </c>
      <c r="H3463" s="859" t="s">
        <v>1310</v>
      </c>
      <c r="I3463" s="251">
        <v>8</v>
      </c>
      <c r="J3463" s="251">
        <v>101000</v>
      </c>
      <c r="K3463" s="860">
        <f t="shared" si="444"/>
        <v>808000</v>
      </c>
      <c r="L3463" s="861" t="s">
        <v>162</v>
      </c>
      <c r="M3463" s="861" t="s">
        <v>857</v>
      </c>
      <c r="N3463" s="52" t="str">
        <f>IF(AND('331-CT'!$E$7=TH!H3463,OR(L3463="331",M3463="331")),"331",IF(AND(OR(L3463="131",M3463="131"),H3463='131-CT'!$E$7),"131",""))</f>
        <v/>
      </c>
      <c r="O3463" s="52" t="str">
        <f>IF(AND($B3463&gt;='111'!$N$11,$B3463&lt;='111'!$O$11,OR($L3463=$O$7,$M3463=$O$7)),"x","")</f>
        <v/>
      </c>
      <c r="P3463" s="52" t="str">
        <f>IF(AND($L3463=$O$7,$B3463&lt;'111'!$N$11),"x","")</f>
        <v/>
      </c>
      <c r="Q3463" s="52" t="str">
        <f>IF(AND($M3463=$O$7,$B3463&lt;'111'!$N$11),"x","")</f>
        <v/>
      </c>
      <c r="R3463" s="52" t="str">
        <f>IF(ISERROR(FIND('112'!$M$9,G3463,1)),"",IF((AND(FIND('112'!$M$9,G3463,1)&gt;=1,$B3463&gt;='112'!$N$8,$B3463&lt;='112'!$O$8,OR($L3463='112'!$I$6,$M3463='112'!$I$6))),"x",""))</f>
        <v/>
      </c>
      <c r="S3463" s="52" t="str">
        <f>IF(ISERROR(FIND('112'!$M$9,G3463,1)),"",IF((AND(LEFT(G3463,2)=LEFT('112'!$M$9,2),B3463&lt;'112'!$N$8,$L3463='112'!$I$6)),"x",""))</f>
        <v/>
      </c>
      <c r="T3463" s="52" t="str">
        <f>IF(ISERROR(FIND('112'!$M$9,G3463,1)),"",IF((AND(RIGHT(G3463,2)=RIGHT('112'!$M$9,2),B3463&lt;'112'!$N$8,$M3463='112'!$I$6)),"x",""))</f>
        <v/>
      </c>
      <c r="U3463" s="52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>x</v>
      </c>
      <c r="AA3463" s="826"/>
    </row>
    <row r="3464" spans="1:27" ht="15.75" customHeight="1">
      <c r="A3464" s="827" t="str">
        <f>IF(B3464&lt;&gt;"",IF(AND(B3464&gt;=_TM1,B3464&lt;=_TM2,OR(TH!L3464="1111",TH!M3464="1111")),TH!D3464,""),"")</f>
        <v/>
      </c>
      <c r="B3464" s="36">
        <f t="shared" si="453"/>
        <v>9</v>
      </c>
      <c r="C3464" s="190">
        <f t="shared" si="454"/>
        <v>42643</v>
      </c>
      <c r="D3464" s="856" t="s">
        <v>1662</v>
      </c>
      <c r="E3464" s="906">
        <v>42643</v>
      </c>
      <c r="F3464" s="868" t="s">
        <v>1772</v>
      </c>
      <c r="G3464" s="831" t="s">
        <v>1775</v>
      </c>
      <c r="H3464" s="859" t="s">
        <v>1310</v>
      </c>
      <c r="I3464" s="251">
        <v>8</v>
      </c>
      <c r="J3464" s="251">
        <v>107300</v>
      </c>
      <c r="K3464" s="860">
        <f t="shared" si="444"/>
        <v>858400</v>
      </c>
      <c r="L3464" s="861" t="s">
        <v>162</v>
      </c>
      <c r="M3464" s="861" t="s">
        <v>857</v>
      </c>
      <c r="N3464" s="52" t="str">
        <f>IF(AND('331-CT'!$E$7=TH!H3464,OR(L3464="331",M3464="331")),"331",IF(AND(OR(L3464="131",M3464="131"),H3464='131-CT'!$E$7),"131",""))</f>
        <v/>
      </c>
      <c r="O3464" s="52" t="str">
        <f>IF(AND($B3464&gt;='111'!$N$11,$B3464&lt;='111'!$O$11,OR($L3464=$O$7,$M3464=$O$7)),"x","")</f>
        <v/>
      </c>
      <c r="P3464" s="52" t="str">
        <f>IF(AND($L3464=$O$7,$B3464&lt;'111'!$N$11),"x","")</f>
        <v/>
      </c>
      <c r="Q3464" s="52" t="str">
        <f>IF(AND($M3464=$O$7,$B3464&lt;'111'!$N$11),"x","")</f>
        <v/>
      </c>
      <c r="R3464" s="52" t="str">
        <f>IF(ISERROR(FIND('112'!$M$9,G3464,1)),"",IF((AND(FIND('112'!$M$9,G3464,1)&gt;=1,$B3464&gt;='112'!$N$8,$B3464&lt;='112'!$O$8,OR($L3464='112'!$I$6,$M3464='112'!$I$6))),"x",""))</f>
        <v/>
      </c>
      <c r="S3464" s="52" t="str">
        <f>IF(ISERROR(FIND('112'!$M$9,G3464,1)),"",IF((AND(LEFT(G3464,2)=LEFT('112'!$M$9,2),B3464&lt;'112'!$N$8,$L3464='112'!$I$6)),"x",""))</f>
        <v/>
      </c>
      <c r="T3464" s="52" t="str">
        <f>IF(ISERROR(FIND('112'!$M$9,G3464,1)),"",IF((AND(RIGHT(G3464,2)=RIGHT('112'!$M$9,2),B3464&lt;'112'!$N$8,$M3464='112'!$I$6)),"x",""))</f>
        <v/>
      </c>
      <c r="U3464" s="52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>x</v>
      </c>
      <c r="AA3464" s="826"/>
    </row>
    <row r="3465" spans="1:27" ht="15.75" customHeight="1">
      <c r="A3465" s="827" t="str">
        <f>IF(B3465&lt;&gt;"",IF(AND(B3465&gt;=_TM1,B3465&lt;=_TM2,OR(TH!L3465="1111",TH!M3465="1111")),TH!D3465,""),"")</f>
        <v/>
      </c>
      <c r="B3465" s="36">
        <f t="shared" si="430"/>
        <v>9</v>
      </c>
      <c r="C3465" s="190">
        <f t="shared" si="443"/>
        <v>42623</v>
      </c>
      <c r="D3465" s="856" t="s">
        <v>1662</v>
      </c>
      <c r="E3465" s="906">
        <v>42623</v>
      </c>
      <c r="F3465" s="49" t="s">
        <v>1675</v>
      </c>
      <c r="G3465" s="831" t="s">
        <v>1674</v>
      </c>
      <c r="H3465" s="859" t="s">
        <v>1310</v>
      </c>
      <c r="I3465" s="251">
        <v>980</v>
      </c>
      <c r="J3465" s="251">
        <v>12643.572494122614</v>
      </c>
      <c r="K3465" s="860">
        <f t="shared" si="444"/>
        <v>12390701</v>
      </c>
      <c r="L3465" s="861" t="s">
        <v>162</v>
      </c>
      <c r="M3465" s="861" t="s">
        <v>857</v>
      </c>
      <c r="N3465" s="52" t="str">
        <f>IF(AND('331-CT'!$E$7=TH!H3465,OR(L3465="331",M3465="331")),"331",IF(AND(OR(L3465="131",M3465="131"),H3465='131-CT'!$E$7),"131",""))</f>
        <v/>
      </c>
      <c r="O3465" s="52" t="str">
        <f>IF(AND($B3465&gt;='111'!$N$11,$B3465&lt;='111'!$O$11,OR($L3465=$O$7,$M3465=$O$7)),"x","")</f>
        <v/>
      </c>
      <c r="P3465" s="52" t="str">
        <f>IF(AND($L3465=$O$7,$B3465&lt;'111'!$N$11),"x","")</f>
        <v/>
      </c>
      <c r="Q3465" s="52" t="str">
        <f>IF(AND($M3465=$O$7,$B3465&lt;'111'!$N$11),"x","")</f>
        <v/>
      </c>
      <c r="R3465" s="52" t="str">
        <f>IF(ISERROR(FIND('112'!$M$9,G3465,1)),"",IF((AND(FIND('112'!$M$9,G3465,1)&gt;=1,$B3465&gt;='112'!$N$8,$B3465&lt;='112'!$O$8,OR($L3465='112'!$I$6,$M3465='112'!$I$6))),"x",""))</f>
        <v/>
      </c>
      <c r="S3465" s="52" t="str">
        <f>IF(ISERROR(FIND('112'!$M$9,G3465,1)),"",IF((AND(LEFT(G3465,2)=LEFT('112'!$M$9,2),B3465&lt;'112'!$N$8,$L3465='112'!$I$6)),"x",""))</f>
        <v/>
      </c>
      <c r="T3465" s="52" t="str">
        <f>IF(ISERROR(FIND('112'!$M$9,G3465,1)),"",IF((AND(RIGHT(G3465,2)=RIGHT('112'!$M$9,2),B3465&lt;'112'!$N$8,$M3465='112'!$I$6)),"x",""))</f>
        <v/>
      </c>
      <c r="U3465" s="52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>x</v>
      </c>
      <c r="AA3465" s="826"/>
    </row>
    <row r="3466" spans="1:27" ht="15.75" customHeight="1">
      <c r="A3466" s="827" t="str">
        <f>IF(B3466&lt;&gt;"",IF(AND(B3466&gt;=_TM1,B3466&lt;=_TM2,OR(TH!L3466="1111",TH!M3466="1111")),TH!D3466,""),"")</f>
        <v/>
      </c>
      <c r="B3466" s="36">
        <f t="shared" si="430"/>
        <v>9</v>
      </c>
      <c r="C3466" s="190">
        <f t="shared" si="443"/>
        <v>42630</v>
      </c>
      <c r="D3466" s="856" t="s">
        <v>1662</v>
      </c>
      <c r="E3466" s="906">
        <v>42630</v>
      </c>
      <c r="F3466" s="868" t="s">
        <v>1681</v>
      </c>
      <c r="G3466" s="831" t="s">
        <v>1680</v>
      </c>
      <c r="H3466" s="859" t="s">
        <v>1310</v>
      </c>
      <c r="I3466" s="251">
        <v>570</v>
      </c>
      <c r="J3466" s="251">
        <v>19967.450421082871</v>
      </c>
      <c r="K3466" s="860">
        <f t="shared" si="444"/>
        <v>11381447</v>
      </c>
      <c r="L3466" s="861" t="s">
        <v>162</v>
      </c>
      <c r="M3466" s="861" t="s">
        <v>857</v>
      </c>
      <c r="N3466" s="52" t="str">
        <f>IF(AND('331-CT'!$E$7=TH!H3466,OR(L3466="331",M3466="331")),"331",IF(AND(OR(L3466="131",M3466="131"),H3466='131-CT'!$E$7),"131",""))</f>
        <v/>
      </c>
      <c r="O3466" s="52" t="str">
        <f>IF(AND($B3466&gt;='111'!$N$11,$B3466&lt;='111'!$O$11,OR($L3466=$O$7,$M3466=$O$7)),"x","")</f>
        <v/>
      </c>
      <c r="P3466" s="52" t="str">
        <f>IF(AND($L3466=$O$7,$B3466&lt;'111'!$N$11),"x","")</f>
        <v/>
      </c>
      <c r="Q3466" s="52" t="str">
        <f>IF(AND($M3466=$O$7,$B3466&lt;'111'!$N$11),"x","")</f>
        <v/>
      </c>
      <c r="R3466" s="52" t="str">
        <f>IF(ISERROR(FIND('112'!$M$9,G3466,1)),"",IF((AND(FIND('112'!$M$9,G3466,1)&gt;=1,$B3466&gt;='112'!$N$8,$B3466&lt;='112'!$O$8,OR($L3466='112'!$I$6,$M3466='112'!$I$6))),"x",""))</f>
        <v/>
      </c>
      <c r="S3466" s="52" t="str">
        <f>IF(ISERROR(FIND('112'!$M$9,G3466,1)),"",IF((AND(LEFT(G3466,2)=LEFT('112'!$M$9,2),B3466&lt;'112'!$N$8,$L3466='112'!$I$6)),"x",""))</f>
        <v/>
      </c>
      <c r="T3466" s="52" t="str">
        <f>IF(ISERROR(FIND('112'!$M$9,G3466,1)),"",IF((AND(RIGHT(G3466,2)=RIGHT('112'!$M$9,2),B3466&lt;'112'!$N$8,$M3466='112'!$I$6)),"x",""))</f>
        <v/>
      </c>
      <c r="U3466" s="52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>x</v>
      </c>
      <c r="AA3466" s="826"/>
    </row>
    <row r="3467" spans="1:27" ht="15.75" customHeight="1">
      <c r="A3467" s="827" t="str">
        <f>IF(B3467&lt;&gt;"",IF(AND(B3467&gt;=_TM1,B3467&lt;=_TM2,OR(TH!L3467="1111",TH!M3467="1111")),TH!D3467,""),"")</f>
        <v/>
      </c>
      <c r="B3467" s="36">
        <f t="shared" ref="B3467:B3486" si="455">IF(C3467&lt;&gt;"",MONTH(C3467),"")</f>
        <v>9</v>
      </c>
      <c r="C3467" s="190">
        <f t="shared" si="443"/>
        <v>42633</v>
      </c>
      <c r="D3467" s="856" t="s">
        <v>1662</v>
      </c>
      <c r="E3467" s="906">
        <v>42633</v>
      </c>
      <c r="F3467" s="49" t="s">
        <v>1687</v>
      </c>
      <c r="G3467" s="831" t="s">
        <v>1686</v>
      </c>
      <c r="H3467" s="859" t="s">
        <v>1310</v>
      </c>
      <c r="I3467" s="251">
        <v>4950</v>
      </c>
      <c r="J3467" s="251">
        <v>9122.1007666437436</v>
      </c>
      <c r="K3467" s="860">
        <f t="shared" si="444"/>
        <v>45154399</v>
      </c>
      <c r="L3467" s="861" t="s">
        <v>162</v>
      </c>
      <c r="M3467" s="861" t="s">
        <v>857</v>
      </c>
      <c r="N3467" s="52" t="str">
        <f>IF(AND('331-CT'!$E$7=TH!H3467,OR(L3467="331",M3467="331")),"331",IF(AND(OR(L3467="131",M3467="131"),H3467='131-CT'!$E$7),"131",""))</f>
        <v/>
      </c>
      <c r="O3467" s="52" t="str">
        <f>IF(AND($B3467&gt;='111'!$N$11,$B3467&lt;='111'!$O$11,OR($L3467=$O$7,$M3467=$O$7)),"x","")</f>
        <v/>
      </c>
      <c r="P3467" s="52" t="str">
        <f>IF(AND($L3467=$O$7,$B3467&lt;'111'!$N$11),"x","")</f>
        <v/>
      </c>
      <c r="Q3467" s="52" t="str">
        <f>IF(AND($M3467=$O$7,$B3467&lt;'111'!$N$11),"x","")</f>
        <v/>
      </c>
      <c r="R3467" s="52" t="str">
        <f>IF(ISERROR(FIND('112'!$M$9,G3467,1)),"",IF((AND(FIND('112'!$M$9,G3467,1)&gt;=1,$B3467&gt;='112'!$N$8,$B3467&lt;='112'!$O$8,OR($L3467='112'!$I$6,$M3467='112'!$I$6))),"x",""))</f>
        <v/>
      </c>
      <c r="S3467" s="52" t="str">
        <f>IF(ISERROR(FIND('112'!$M$9,G3467,1)),"",IF((AND(LEFT(G3467,2)=LEFT('112'!$M$9,2),B3467&lt;'112'!$N$8,$L3467='112'!$I$6)),"x",""))</f>
        <v/>
      </c>
      <c r="T3467" s="52" t="str">
        <f>IF(ISERROR(FIND('112'!$M$9,G3467,1)),"",IF((AND(RIGHT(G3467,2)=RIGHT('112'!$M$9,2),B3467&lt;'112'!$N$8,$M3467='112'!$I$6)),"x",""))</f>
        <v/>
      </c>
      <c r="U3467" s="52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>x</v>
      </c>
      <c r="AA3467" s="826"/>
    </row>
    <row r="3468" spans="1:27" ht="15.75" customHeight="1">
      <c r="A3468" s="827" t="str">
        <f>IF(B3468&lt;&gt;"",IF(AND(B3468&gt;=_TM1,B3468&lt;=_TM2,OR(TH!L3468="1111",TH!M3468="1111")),TH!D3468,""),"")</f>
        <v/>
      </c>
      <c r="B3468" s="36">
        <f t="shared" si="455"/>
        <v>9</v>
      </c>
      <c r="C3468" s="190">
        <f t="shared" si="443"/>
        <v>42634</v>
      </c>
      <c r="D3468" s="856" t="s">
        <v>1662</v>
      </c>
      <c r="E3468" s="906">
        <v>42634</v>
      </c>
      <c r="F3468" s="49" t="s">
        <v>1178</v>
      </c>
      <c r="G3468" s="831" t="s">
        <v>1688</v>
      </c>
      <c r="H3468" s="859" t="s">
        <v>1310</v>
      </c>
      <c r="I3468" s="251">
        <v>1550</v>
      </c>
      <c r="J3468" s="251">
        <v>34886.835989843479</v>
      </c>
      <c r="K3468" s="860">
        <f t="shared" si="444"/>
        <v>54074596</v>
      </c>
      <c r="L3468" s="861" t="s">
        <v>162</v>
      </c>
      <c r="M3468" s="861" t="s">
        <v>857</v>
      </c>
      <c r="N3468" s="52" t="str">
        <f>IF(AND('331-CT'!$E$7=TH!H3468,OR(L3468="331",M3468="331")),"331",IF(AND(OR(L3468="131",M3468="131"),H3468='131-CT'!$E$7),"131",""))</f>
        <v/>
      </c>
      <c r="O3468" s="52" t="str">
        <f>IF(AND($B3468&gt;='111'!$N$11,$B3468&lt;='111'!$O$11,OR($L3468=$O$7,$M3468=$O$7)),"x","")</f>
        <v/>
      </c>
      <c r="P3468" s="52" t="str">
        <f>IF(AND($L3468=$O$7,$B3468&lt;'111'!$N$11),"x","")</f>
        <v/>
      </c>
      <c r="Q3468" s="52" t="str">
        <f>IF(AND($M3468=$O$7,$B3468&lt;'111'!$N$11),"x","")</f>
        <v/>
      </c>
      <c r="R3468" s="52" t="str">
        <f>IF(ISERROR(FIND('112'!$M$9,G3468,1)),"",IF((AND(FIND('112'!$M$9,G3468,1)&gt;=1,$B3468&gt;='112'!$N$8,$B3468&lt;='112'!$O$8,OR($L3468='112'!$I$6,$M3468='112'!$I$6))),"x",""))</f>
        <v/>
      </c>
      <c r="S3468" s="52" t="str">
        <f>IF(ISERROR(FIND('112'!$M$9,G3468,1)),"",IF((AND(LEFT(G3468,2)=LEFT('112'!$M$9,2),B3468&lt;'112'!$N$8,$L3468='112'!$I$6)),"x",""))</f>
        <v/>
      </c>
      <c r="T3468" s="52" t="str">
        <f>IF(ISERROR(FIND('112'!$M$9,G3468,1)),"",IF((AND(RIGHT(G3468,2)=RIGHT('112'!$M$9,2),B3468&lt;'112'!$N$8,$M3468='112'!$I$6)),"x",""))</f>
        <v/>
      </c>
      <c r="U3468" s="52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>x</v>
      </c>
      <c r="AA3468" s="826"/>
    </row>
    <row r="3469" spans="1:27" ht="15.75" customHeight="1">
      <c r="A3469" s="827" t="str">
        <f>IF(B3469&lt;&gt;"",IF(AND(B3469&gt;=_TM1,B3469&lt;=_TM2,OR(TH!L3469="1111",TH!M3469="1111")),TH!D3469,""),"")</f>
        <v/>
      </c>
      <c r="B3469" s="36">
        <f t="shared" si="455"/>
        <v>9</v>
      </c>
      <c r="C3469" s="190">
        <f t="shared" si="443"/>
        <v>42634</v>
      </c>
      <c r="D3469" s="856" t="s">
        <v>1662</v>
      </c>
      <c r="E3469" s="906">
        <v>42634</v>
      </c>
      <c r="F3469" s="868" t="s">
        <v>1179</v>
      </c>
      <c r="G3469" s="831" t="s">
        <v>1688</v>
      </c>
      <c r="H3469" s="859" t="s">
        <v>1310</v>
      </c>
      <c r="I3469" s="251">
        <v>1500</v>
      </c>
      <c r="J3469" s="251">
        <v>32624.314140381117</v>
      </c>
      <c r="K3469" s="860">
        <f t="shared" si="444"/>
        <v>48936471</v>
      </c>
      <c r="L3469" s="861" t="s">
        <v>162</v>
      </c>
      <c r="M3469" s="861" t="s">
        <v>857</v>
      </c>
      <c r="N3469" s="52" t="str">
        <f>IF(AND('331-CT'!$E$7=TH!H3469,OR(L3469="331",M3469="331")),"331",IF(AND(OR(L3469="131",M3469="131"),H3469='131-CT'!$E$7),"131",""))</f>
        <v/>
      </c>
      <c r="O3469" s="52" t="str">
        <f>IF(AND($B3469&gt;='111'!$N$11,$B3469&lt;='111'!$O$11,OR($L3469=$O$7,$M3469=$O$7)),"x","")</f>
        <v/>
      </c>
      <c r="P3469" s="52" t="str">
        <f>IF(AND($L3469=$O$7,$B3469&lt;'111'!$N$11),"x","")</f>
        <v/>
      </c>
      <c r="Q3469" s="52" t="str">
        <f>IF(AND($M3469=$O$7,$B3469&lt;'111'!$N$11),"x","")</f>
        <v/>
      </c>
      <c r="R3469" s="52" t="str">
        <f>IF(ISERROR(FIND('112'!$M$9,G3469,1)),"",IF((AND(FIND('112'!$M$9,G3469,1)&gt;=1,$B3469&gt;='112'!$N$8,$B3469&lt;='112'!$O$8,OR($L3469='112'!$I$6,$M3469='112'!$I$6))),"x",""))</f>
        <v/>
      </c>
      <c r="S3469" s="52" t="str">
        <f>IF(ISERROR(FIND('112'!$M$9,G3469,1)),"",IF((AND(LEFT(G3469,2)=LEFT('112'!$M$9,2),B3469&lt;'112'!$N$8,$L3469='112'!$I$6)),"x",""))</f>
        <v/>
      </c>
      <c r="T3469" s="52" t="str">
        <f>IF(ISERROR(FIND('112'!$M$9,G3469,1)),"",IF((AND(RIGHT(G3469,2)=RIGHT('112'!$M$9,2),B3469&lt;'112'!$N$8,$M3469='112'!$I$6)),"x",""))</f>
        <v/>
      </c>
      <c r="U3469" s="52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>x</v>
      </c>
      <c r="AA3469" s="826"/>
    </row>
    <row r="3470" spans="1:27" ht="15.75" customHeight="1">
      <c r="A3470" s="827" t="str">
        <f>IF(B3470&lt;&gt;"",IF(AND(B3470&gt;=_TM1,B3470&lt;=_TM2,OR(TH!L3470="1111",TH!M3470="1111")),TH!D3470,""),"")</f>
        <v/>
      </c>
      <c r="B3470" s="36">
        <f t="shared" si="455"/>
        <v>9</v>
      </c>
      <c r="C3470" s="190">
        <f t="shared" si="443"/>
        <v>42642</v>
      </c>
      <c r="D3470" s="856" t="s">
        <v>1662</v>
      </c>
      <c r="E3470" s="906">
        <v>42642</v>
      </c>
      <c r="F3470" s="49" t="s">
        <v>1178</v>
      </c>
      <c r="G3470" s="831" t="s">
        <v>1692</v>
      </c>
      <c r="H3470" s="859" t="s">
        <v>1310</v>
      </c>
      <c r="I3470" s="251">
        <v>420</v>
      </c>
      <c r="J3470" s="251">
        <v>37131.97385466683</v>
      </c>
      <c r="K3470" s="860">
        <f t="shared" si="444"/>
        <v>15595429</v>
      </c>
      <c r="L3470" s="861" t="s">
        <v>162</v>
      </c>
      <c r="M3470" s="861" t="s">
        <v>857</v>
      </c>
      <c r="N3470" s="52" t="str">
        <f>IF(AND('331-CT'!$E$7=TH!H3470,OR(L3470="331",M3470="331")),"331",IF(AND(OR(L3470="131",M3470="131"),H3470='131-CT'!$E$7),"131",""))</f>
        <v/>
      </c>
      <c r="O3470" s="52" t="str">
        <f>IF(AND($B3470&gt;='111'!$N$11,$B3470&lt;='111'!$O$11,OR($L3470=$O$7,$M3470=$O$7)),"x","")</f>
        <v/>
      </c>
      <c r="P3470" s="52" t="str">
        <f>IF(AND($L3470=$O$7,$B3470&lt;'111'!$N$11),"x","")</f>
        <v/>
      </c>
      <c r="Q3470" s="52" t="str">
        <f>IF(AND($M3470=$O$7,$B3470&lt;'111'!$N$11),"x","")</f>
        <v/>
      </c>
      <c r="R3470" s="52" t="str">
        <f>IF(ISERROR(FIND('112'!$M$9,G3470,1)),"",IF((AND(FIND('112'!$M$9,G3470,1)&gt;=1,$B3470&gt;='112'!$N$8,$B3470&lt;='112'!$O$8,OR($L3470='112'!$I$6,$M3470='112'!$I$6))),"x",""))</f>
        <v/>
      </c>
      <c r="S3470" s="52" t="str">
        <f>IF(ISERROR(FIND('112'!$M$9,G3470,1)),"",IF((AND(LEFT(G3470,2)=LEFT('112'!$M$9,2),B3470&lt;'112'!$N$8,$L3470='112'!$I$6)),"x",""))</f>
        <v/>
      </c>
      <c r="T3470" s="52" t="str">
        <f>IF(ISERROR(FIND('112'!$M$9,G3470,1)),"",IF((AND(RIGHT(G3470,2)=RIGHT('112'!$M$9,2),B3470&lt;'112'!$N$8,$M3470='112'!$I$6)),"x",""))</f>
        <v/>
      </c>
      <c r="U3470" s="52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>x</v>
      </c>
      <c r="AA3470" s="826"/>
    </row>
    <row r="3471" spans="1:27" ht="15.75" customHeight="1">
      <c r="A3471" s="827" t="str">
        <f>IF(B3471&lt;&gt;"",IF(AND(B3471&gt;=_TM1,B3471&lt;=_TM2,OR(TH!L3471="1111",TH!M3471="1111")),TH!D3471,""),"")</f>
        <v/>
      </c>
      <c r="B3471" s="36">
        <f t="shared" si="455"/>
        <v>9</v>
      </c>
      <c r="C3471" s="190">
        <f t="shared" si="443"/>
        <v>42642</v>
      </c>
      <c r="D3471" s="856" t="s">
        <v>1662</v>
      </c>
      <c r="E3471" s="906">
        <v>42642</v>
      </c>
      <c r="F3471" s="868" t="s">
        <v>1696</v>
      </c>
      <c r="G3471" s="831" t="s">
        <v>1695</v>
      </c>
      <c r="H3471" s="859" t="s">
        <v>1310</v>
      </c>
      <c r="I3471" s="251">
        <v>5000</v>
      </c>
      <c r="J3471" s="251">
        <v>7837.8074737144498</v>
      </c>
      <c r="K3471" s="860">
        <f t="shared" si="444"/>
        <v>39189037</v>
      </c>
      <c r="L3471" s="861" t="s">
        <v>162</v>
      </c>
      <c r="M3471" s="861" t="s">
        <v>857</v>
      </c>
      <c r="N3471" s="52" t="str">
        <f>IF(AND('331-CT'!$E$7=TH!H3471,OR(L3471="331",M3471="331")),"331",IF(AND(OR(L3471="131",M3471="131"),H3471='131-CT'!$E$7),"131",""))</f>
        <v/>
      </c>
      <c r="O3471" s="52" t="str">
        <f>IF(AND($B3471&gt;='111'!$N$11,$B3471&lt;='111'!$O$11,OR($L3471=$O$7,$M3471=$O$7)),"x","")</f>
        <v/>
      </c>
      <c r="P3471" s="52" t="str">
        <f>IF(AND($L3471=$O$7,$B3471&lt;'111'!$N$11),"x","")</f>
        <v/>
      </c>
      <c r="Q3471" s="52" t="str">
        <f>IF(AND($M3471=$O$7,$B3471&lt;'111'!$N$11),"x","")</f>
        <v/>
      </c>
      <c r="R3471" s="52" t="str">
        <f>IF(ISERROR(FIND('112'!$M$9,G3471,1)),"",IF((AND(FIND('112'!$M$9,G3471,1)&gt;=1,$B3471&gt;='112'!$N$8,$B3471&lt;='112'!$O$8,OR($L3471='112'!$I$6,$M3471='112'!$I$6))),"x",""))</f>
        <v/>
      </c>
      <c r="S3471" s="52" t="str">
        <f>IF(ISERROR(FIND('112'!$M$9,G3471,1)),"",IF((AND(LEFT(G3471,2)=LEFT('112'!$M$9,2),B3471&lt;'112'!$N$8,$L3471='112'!$I$6)),"x",""))</f>
        <v/>
      </c>
      <c r="T3471" s="52" t="str">
        <f>IF(ISERROR(FIND('112'!$M$9,G3471,1)),"",IF((AND(RIGHT(G3471,2)=RIGHT('112'!$M$9,2),B3471&lt;'112'!$N$8,$M3471='112'!$I$6)),"x",""))</f>
        <v/>
      </c>
      <c r="U3471" s="52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>x</v>
      </c>
      <c r="AA3471" s="826"/>
    </row>
    <row r="3472" spans="1:27" ht="15.75" customHeight="1">
      <c r="A3472" s="827" t="str">
        <f>IF(B3472&lt;&gt;"",IF(AND(B3472&gt;=_TM1,B3472&lt;=_TM2,OR(TH!L3472="1111",TH!M3472="1111")),TH!D3472,""),"")</f>
        <v/>
      </c>
      <c r="B3472" s="36">
        <f t="shared" si="455"/>
        <v>9</v>
      </c>
      <c r="C3472" s="190">
        <f t="shared" si="443"/>
        <v>42642</v>
      </c>
      <c r="D3472" s="856" t="s">
        <v>1662</v>
      </c>
      <c r="E3472" s="906">
        <v>42642</v>
      </c>
      <c r="F3472" s="49" t="s">
        <v>1698</v>
      </c>
      <c r="G3472" s="831" t="s">
        <v>1695</v>
      </c>
      <c r="H3472" s="859" t="s">
        <v>1310</v>
      </c>
      <c r="I3472" s="251">
        <v>3000</v>
      </c>
      <c r="J3472" s="251">
        <v>12752.378140381117</v>
      </c>
      <c r="K3472" s="860">
        <f t="shared" si="444"/>
        <v>38257134</v>
      </c>
      <c r="L3472" s="861" t="s">
        <v>162</v>
      </c>
      <c r="M3472" s="861" t="s">
        <v>857</v>
      </c>
      <c r="N3472" s="52" t="str">
        <f>IF(AND('331-CT'!$E$7=TH!H3472,OR(L3472="331",M3472="331")),"331",IF(AND(OR(L3472="131",M3472="131"),H3472='131-CT'!$E$7),"131",""))</f>
        <v/>
      </c>
      <c r="O3472" s="52" t="str">
        <f>IF(AND($B3472&gt;='111'!$N$11,$B3472&lt;='111'!$O$11,OR($L3472=$O$7,$M3472=$O$7)),"x","")</f>
        <v/>
      </c>
      <c r="P3472" s="52" t="str">
        <f>IF(AND($L3472=$O$7,$B3472&lt;'111'!$N$11),"x","")</f>
        <v/>
      </c>
      <c r="Q3472" s="52" t="str">
        <f>IF(AND($M3472=$O$7,$B3472&lt;'111'!$N$11),"x","")</f>
        <v/>
      </c>
      <c r="R3472" s="52" t="str">
        <f>IF(ISERROR(FIND('112'!$M$9,G3472,1)),"",IF((AND(FIND('112'!$M$9,G3472,1)&gt;=1,$B3472&gt;='112'!$N$8,$B3472&lt;='112'!$O$8,OR($L3472='112'!$I$6,$M3472='112'!$I$6))),"x",""))</f>
        <v/>
      </c>
      <c r="S3472" s="52" t="str">
        <f>IF(ISERROR(FIND('112'!$M$9,G3472,1)),"",IF((AND(LEFT(G3472,2)=LEFT('112'!$M$9,2),B3472&lt;'112'!$N$8,$L3472='112'!$I$6)),"x",""))</f>
        <v/>
      </c>
      <c r="T3472" s="52" t="str">
        <f>IF(ISERROR(FIND('112'!$M$9,G3472,1)),"",IF((AND(RIGHT(G3472,2)=RIGHT('112'!$M$9,2),B3472&lt;'112'!$N$8,$M3472='112'!$I$6)),"x",""))</f>
        <v/>
      </c>
      <c r="U3472" s="52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>x</v>
      </c>
      <c r="AA3472" s="826"/>
    </row>
    <row r="3473" spans="1:27" ht="15.75" customHeight="1">
      <c r="A3473" s="827" t="str">
        <f>IF(B3473&lt;&gt;"",IF(AND(B3473&gt;=_TM1,B3473&lt;=_TM2,OR(TH!L3473="1111",TH!M3473="1111")),TH!D3473,""),"")</f>
        <v/>
      </c>
      <c r="B3473" s="36">
        <f t="shared" si="455"/>
        <v>9</v>
      </c>
      <c r="C3473" s="190">
        <f t="shared" si="443"/>
        <v>42643</v>
      </c>
      <c r="D3473" s="856" t="s">
        <v>1662</v>
      </c>
      <c r="E3473" s="906">
        <v>42643</v>
      </c>
      <c r="F3473" s="49" t="s">
        <v>1698</v>
      </c>
      <c r="G3473" s="831" t="s">
        <v>1704</v>
      </c>
      <c r="H3473" s="859" t="s">
        <v>1310</v>
      </c>
      <c r="I3473" s="251">
        <v>3200</v>
      </c>
      <c r="J3473" s="251">
        <v>12747.871473714451</v>
      </c>
      <c r="K3473" s="860">
        <f t="shared" si="444"/>
        <v>40793189</v>
      </c>
      <c r="L3473" s="861" t="s">
        <v>162</v>
      </c>
      <c r="M3473" s="861" t="s">
        <v>857</v>
      </c>
      <c r="N3473" s="52" t="str">
        <f>IF(AND('331-CT'!$E$7=TH!H3473,OR(L3473="331",M3473="331")),"331",IF(AND(OR(L3473="131",M3473="131"),H3473='131-CT'!$E$7),"131",""))</f>
        <v/>
      </c>
      <c r="O3473" s="52" t="str">
        <f>IF(AND($B3473&gt;='111'!$N$11,$B3473&lt;='111'!$O$11,OR($L3473=$O$7,$M3473=$O$7)),"x","")</f>
        <v/>
      </c>
      <c r="P3473" s="52" t="str">
        <f>IF(AND($L3473=$O$7,$B3473&lt;'111'!$N$11),"x","")</f>
        <v/>
      </c>
      <c r="Q3473" s="52" t="str">
        <f>IF(AND($M3473=$O$7,$B3473&lt;'111'!$N$11),"x","")</f>
        <v/>
      </c>
      <c r="R3473" s="52" t="str">
        <f>IF(ISERROR(FIND('112'!$M$9,G3473,1)),"",IF((AND(FIND('112'!$M$9,G3473,1)&gt;=1,$B3473&gt;='112'!$N$8,$B3473&lt;='112'!$O$8,OR($L3473='112'!$I$6,$M3473='112'!$I$6))),"x",""))</f>
        <v/>
      </c>
      <c r="S3473" s="52" t="str">
        <f>IF(ISERROR(FIND('112'!$M$9,G3473,1)),"",IF((AND(LEFT(G3473,2)=LEFT('112'!$M$9,2),B3473&lt;'112'!$N$8,$L3473='112'!$I$6)),"x",""))</f>
        <v/>
      </c>
      <c r="T3473" s="52" t="str">
        <f>IF(ISERROR(FIND('112'!$M$9,G3473,1)),"",IF((AND(RIGHT(G3473,2)=RIGHT('112'!$M$9,2),B3473&lt;'112'!$N$8,$M3473='112'!$I$6)),"x",""))</f>
        <v/>
      </c>
      <c r="U3473" s="52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>x</v>
      </c>
      <c r="AA3473" s="826"/>
    </row>
    <row r="3474" spans="1:27" ht="15.75" customHeight="1">
      <c r="A3474" s="827" t="str">
        <f>IF(B3474&lt;&gt;"",IF(AND(B3474&gt;=_TM1,B3474&lt;=_TM2,OR(TH!L3474="1111",TH!M3474="1111")),TH!D3474,""),"")</f>
        <v/>
      </c>
      <c r="B3474" s="36">
        <f t="shared" ref="B3474:B3484" si="456">IF(C3474&lt;&gt;"",MONTH(C3474),"")</f>
        <v>9</v>
      </c>
      <c r="C3474" s="190">
        <f t="shared" ref="C3474:C3484" si="457">E3474</f>
        <v>42643</v>
      </c>
      <c r="D3474" s="856" t="s">
        <v>1662</v>
      </c>
      <c r="E3474" s="906">
        <v>42643</v>
      </c>
      <c r="F3474" s="49" t="s">
        <v>1779</v>
      </c>
      <c r="G3474" s="831" t="s">
        <v>1775</v>
      </c>
      <c r="H3474" s="859" t="s">
        <v>1310</v>
      </c>
      <c r="I3474" s="251">
        <v>4</v>
      </c>
      <c r="J3474" s="251">
        <v>12550.271473714451</v>
      </c>
      <c r="K3474" s="860">
        <f t="shared" ref="K3474:K3484" si="458">ROUND(I3474*J3474,0)</f>
        <v>50201</v>
      </c>
      <c r="L3474" s="861" t="s">
        <v>162</v>
      </c>
      <c r="M3474" s="861" t="s">
        <v>857</v>
      </c>
      <c r="N3474" s="52" t="str">
        <f>IF(AND('331-CT'!$E$7=TH!H3474,OR(L3474="331",M3474="331")),"331",IF(AND(OR(L3474="131",M3474="131"),H3474='131-CT'!$E$7),"131",""))</f>
        <v/>
      </c>
      <c r="O3474" s="52" t="str">
        <f>IF(AND($B3474&gt;='111'!$N$11,$B3474&lt;='111'!$O$11,OR($L3474=$O$7,$M3474=$O$7)),"x","")</f>
        <v/>
      </c>
      <c r="P3474" s="52" t="str">
        <f>IF(AND($L3474=$O$7,$B3474&lt;'111'!$N$11),"x","")</f>
        <v/>
      </c>
      <c r="Q3474" s="52" t="str">
        <f>IF(AND($M3474=$O$7,$B3474&lt;'111'!$N$11),"x","")</f>
        <v/>
      </c>
      <c r="R3474" s="52" t="str">
        <f>IF(ISERROR(FIND('112'!$M$9,G3474,1)),"",IF((AND(FIND('112'!$M$9,G3474,1)&gt;=1,$B3474&gt;='112'!$N$8,$B3474&lt;='112'!$O$8,OR($L3474='112'!$I$6,$M3474='112'!$I$6))),"x",""))</f>
        <v/>
      </c>
      <c r="S3474" s="52" t="str">
        <f>IF(ISERROR(FIND('112'!$M$9,G3474,1)),"",IF((AND(LEFT(G3474,2)=LEFT('112'!$M$9,2),B3474&lt;'112'!$N$8,$L3474='112'!$I$6)),"x",""))</f>
        <v/>
      </c>
      <c r="T3474" s="52" t="str">
        <f>IF(ISERROR(FIND('112'!$M$9,G3474,1)),"",IF((AND(RIGHT(G3474,2)=RIGHT('112'!$M$9,2),B3474&lt;'112'!$N$8,$M3474='112'!$I$6)),"x",""))</f>
        <v/>
      </c>
      <c r="U3474" s="52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>x</v>
      </c>
      <c r="AA3474" s="826"/>
    </row>
    <row r="3475" spans="1:27" ht="15.75" customHeight="1">
      <c r="A3475" s="827" t="str">
        <f>IF(B3475&lt;&gt;"",IF(AND(B3475&gt;=_TM1,B3475&lt;=_TM2,OR(TH!L3475="1111",TH!M3475="1111")),TH!D3475,""),"")</f>
        <v/>
      </c>
      <c r="B3475" s="36">
        <f t="shared" ref="B3475:B3476" si="459">IF(C3475&lt;&gt;"",MONTH(C3475),"")</f>
        <v>9</v>
      </c>
      <c r="C3475" s="190">
        <f t="shared" ref="C3475:C3476" si="460">E3475</f>
        <v>42643</v>
      </c>
      <c r="D3475" s="856" t="s">
        <v>1662</v>
      </c>
      <c r="E3475" s="906">
        <v>42643</v>
      </c>
      <c r="F3475" s="868" t="s">
        <v>1781</v>
      </c>
      <c r="G3475" s="831" t="s">
        <v>1775</v>
      </c>
      <c r="H3475" s="859" t="s">
        <v>1310</v>
      </c>
      <c r="I3475" s="251">
        <v>22</v>
      </c>
      <c r="J3475" s="251">
        <v>10542.453291896267</v>
      </c>
      <c r="K3475" s="860">
        <f t="shared" ref="K3475:K3476" si="461">ROUND(I3475*J3475,0)</f>
        <v>231934</v>
      </c>
      <c r="L3475" s="861" t="s">
        <v>162</v>
      </c>
      <c r="M3475" s="861" t="s">
        <v>857</v>
      </c>
      <c r="N3475" s="52" t="str">
        <f>IF(AND('331-CT'!$E$7=TH!H3475,OR(L3475="331",M3475="331")),"331",IF(AND(OR(L3475="131",M3475="131"),H3475='131-CT'!$E$7),"131",""))</f>
        <v/>
      </c>
      <c r="O3475" s="52" t="str">
        <f>IF(AND($B3475&gt;='111'!$N$11,$B3475&lt;='111'!$O$11,OR($L3475=$O$7,$M3475=$O$7)),"x","")</f>
        <v/>
      </c>
      <c r="P3475" s="52" t="str">
        <f>IF(AND($L3475=$O$7,$B3475&lt;'111'!$N$11),"x","")</f>
        <v/>
      </c>
      <c r="Q3475" s="52" t="str">
        <f>IF(AND($M3475=$O$7,$B3475&lt;'111'!$N$11),"x","")</f>
        <v/>
      </c>
      <c r="R3475" s="52" t="str">
        <f>IF(ISERROR(FIND('112'!$M$9,G3475,1)),"",IF((AND(FIND('112'!$M$9,G3475,1)&gt;=1,$B3475&gt;='112'!$N$8,$B3475&lt;='112'!$O$8,OR($L3475='112'!$I$6,$M3475='112'!$I$6))),"x",""))</f>
        <v/>
      </c>
      <c r="S3475" s="52" t="str">
        <f>IF(ISERROR(FIND('112'!$M$9,G3475,1)),"",IF((AND(LEFT(G3475,2)=LEFT('112'!$M$9,2),B3475&lt;'112'!$N$8,$L3475='112'!$I$6)),"x",""))</f>
        <v/>
      </c>
      <c r="T3475" s="52" t="str">
        <f>IF(ISERROR(FIND('112'!$M$9,G3475,1)),"",IF((AND(RIGHT(G3475,2)=RIGHT('112'!$M$9,2),B3475&lt;'112'!$N$8,$M3475='112'!$I$6)),"x",""))</f>
        <v/>
      </c>
      <c r="U3475" s="52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>x</v>
      </c>
      <c r="AA3475" s="826"/>
    </row>
    <row r="3476" spans="1:27" ht="15.75" customHeight="1">
      <c r="A3476" s="827" t="str">
        <f>IF(B3476&lt;&gt;"",IF(AND(B3476&gt;=_TM1,B3476&lt;=_TM2,OR(TH!L3476="1111",TH!M3476="1111")),TH!D3476,""),"")</f>
        <v/>
      </c>
      <c r="B3476" s="36">
        <f t="shared" si="459"/>
        <v>9</v>
      </c>
      <c r="C3476" s="190">
        <f t="shared" si="460"/>
        <v>42643</v>
      </c>
      <c r="D3476" s="856" t="s">
        <v>1662</v>
      </c>
      <c r="E3476" s="906">
        <v>42643</v>
      </c>
      <c r="F3476" s="49" t="s">
        <v>1782</v>
      </c>
      <c r="G3476" s="831" t="s">
        <v>1775</v>
      </c>
      <c r="H3476" s="859" t="s">
        <v>1310</v>
      </c>
      <c r="I3476" s="251">
        <v>42</v>
      </c>
      <c r="J3476" s="251">
        <v>12199.700045143021</v>
      </c>
      <c r="K3476" s="860">
        <f t="shared" si="461"/>
        <v>512387</v>
      </c>
      <c r="L3476" s="861" t="s">
        <v>162</v>
      </c>
      <c r="M3476" s="861" t="s">
        <v>857</v>
      </c>
      <c r="N3476" s="52" t="str">
        <f>IF(AND('331-CT'!$E$7=TH!H3476,OR(L3476="331",M3476="331")),"331",IF(AND(OR(L3476="131",M3476="131"),H3476='131-CT'!$E$7),"131",""))</f>
        <v/>
      </c>
      <c r="O3476" s="52" t="str">
        <f>IF(AND($B3476&gt;='111'!$N$11,$B3476&lt;='111'!$O$11,OR($L3476=$O$7,$M3476=$O$7)),"x","")</f>
        <v/>
      </c>
      <c r="P3476" s="52" t="str">
        <f>IF(AND($L3476=$O$7,$B3476&lt;'111'!$N$11),"x","")</f>
        <v/>
      </c>
      <c r="Q3476" s="52" t="str">
        <f>IF(AND($M3476=$O$7,$B3476&lt;'111'!$N$11),"x","")</f>
        <v/>
      </c>
      <c r="R3476" s="52" t="str">
        <f>IF(ISERROR(FIND('112'!$M$9,G3476,1)),"",IF((AND(FIND('112'!$M$9,G3476,1)&gt;=1,$B3476&gt;='112'!$N$8,$B3476&lt;='112'!$O$8,OR($L3476='112'!$I$6,$M3476='112'!$I$6))),"x",""))</f>
        <v/>
      </c>
      <c r="S3476" s="52" t="str">
        <f>IF(ISERROR(FIND('112'!$M$9,G3476,1)),"",IF((AND(LEFT(G3476,2)=LEFT('112'!$M$9,2),B3476&lt;'112'!$N$8,$L3476='112'!$I$6)),"x",""))</f>
        <v/>
      </c>
      <c r="T3476" s="52" t="str">
        <f>IF(ISERROR(FIND('112'!$M$9,G3476,1)),"",IF((AND(RIGHT(G3476,2)=RIGHT('112'!$M$9,2),B3476&lt;'112'!$N$8,$M3476='112'!$I$6)),"x",""))</f>
        <v/>
      </c>
      <c r="U3476" s="52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>x</v>
      </c>
      <c r="AA3476" s="826"/>
    </row>
    <row r="3477" spans="1:27" ht="15.75" customHeight="1">
      <c r="A3477" s="827" t="str">
        <f>IF(B3477&lt;&gt;"",IF(AND(B3477&gt;=_TM1,B3477&lt;=_TM2,OR(TH!L3477="1111",TH!M3477="1111")),TH!D3477,""),"")</f>
        <v/>
      </c>
      <c r="B3477" s="36">
        <f t="shared" si="456"/>
        <v>9</v>
      </c>
      <c r="C3477" s="190">
        <f t="shared" si="457"/>
        <v>42643</v>
      </c>
      <c r="D3477" s="856" t="s">
        <v>1662</v>
      </c>
      <c r="E3477" s="906">
        <v>42643</v>
      </c>
      <c r="F3477" s="868" t="s">
        <v>1783</v>
      </c>
      <c r="G3477" s="831" t="s">
        <v>1775</v>
      </c>
      <c r="H3477" s="859" t="s">
        <v>1310</v>
      </c>
      <c r="I3477" s="251">
        <v>9</v>
      </c>
      <c r="J3477" s="251">
        <v>12277.604807047783</v>
      </c>
      <c r="K3477" s="860">
        <f t="shared" si="458"/>
        <v>110498</v>
      </c>
      <c r="L3477" s="861" t="s">
        <v>162</v>
      </c>
      <c r="M3477" s="861" t="s">
        <v>857</v>
      </c>
      <c r="N3477" s="52" t="str">
        <f>IF(AND('331-CT'!$E$7=TH!H3477,OR(L3477="331",M3477="331")),"331",IF(AND(OR(L3477="131",M3477="131"),H3477='131-CT'!$E$7),"131",""))</f>
        <v/>
      </c>
      <c r="O3477" s="52" t="str">
        <f>IF(AND($B3477&gt;='111'!$N$11,$B3477&lt;='111'!$O$11,OR($L3477=$O$7,$M3477=$O$7)),"x","")</f>
        <v/>
      </c>
      <c r="P3477" s="52" t="str">
        <f>IF(AND($L3477=$O$7,$B3477&lt;'111'!$N$11),"x","")</f>
        <v/>
      </c>
      <c r="Q3477" s="52" t="str">
        <f>IF(AND($M3477=$O$7,$B3477&lt;'111'!$N$11),"x","")</f>
        <v/>
      </c>
      <c r="R3477" s="52" t="str">
        <f>IF(ISERROR(FIND('112'!$M$9,G3477,1)),"",IF((AND(FIND('112'!$M$9,G3477,1)&gt;=1,$B3477&gt;='112'!$N$8,$B3477&lt;='112'!$O$8,OR($L3477='112'!$I$6,$M3477='112'!$I$6))),"x",""))</f>
        <v/>
      </c>
      <c r="S3477" s="52" t="str">
        <f>IF(ISERROR(FIND('112'!$M$9,G3477,1)),"",IF((AND(LEFT(G3477,2)=LEFT('112'!$M$9,2),B3477&lt;'112'!$N$8,$L3477='112'!$I$6)),"x",""))</f>
        <v/>
      </c>
      <c r="T3477" s="52" t="str">
        <f>IF(ISERROR(FIND('112'!$M$9,G3477,1)),"",IF((AND(RIGHT(G3477,2)=RIGHT('112'!$M$9,2),B3477&lt;'112'!$N$8,$M3477='112'!$I$6)),"x",""))</f>
        <v/>
      </c>
      <c r="U3477" s="52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>x</v>
      </c>
      <c r="AA3477" s="826"/>
    </row>
    <row r="3478" spans="1:27" ht="15.75" customHeight="1">
      <c r="A3478" s="827" t="str">
        <f>IF(B3478&lt;&gt;"",IF(AND(B3478&gt;=_TM1,B3478&lt;=_TM2,OR(TH!L3478="1111",TH!M3478="1111")),TH!D3478,""),"")</f>
        <v/>
      </c>
      <c r="B3478" s="36">
        <f t="shared" si="456"/>
        <v>9</v>
      </c>
      <c r="C3478" s="190">
        <f t="shared" si="457"/>
        <v>42643</v>
      </c>
      <c r="D3478" s="856" t="s">
        <v>1662</v>
      </c>
      <c r="E3478" s="906">
        <v>42643</v>
      </c>
      <c r="F3478" s="49" t="s">
        <v>808</v>
      </c>
      <c r="G3478" s="831" t="s">
        <v>1775</v>
      </c>
      <c r="H3478" s="859" t="s">
        <v>1310</v>
      </c>
      <c r="I3478" s="251">
        <v>16</v>
      </c>
      <c r="J3478" s="251">
        <v>13777.271473714451</v>
      </c>
      <c r="K3478" s="860">
        <f t="shared" si="458"/>
        <v>220436</v>
      </c>
      <c r="L3478" s="861" t="s">
        <v>162</v>
      </c>
      <c r="M3478" s="861" t="s">
        <v>857</v>
      </c>
      <c r="N3478" s="52" t="str">
        <f>IF(AND('331-CT'!$E$7=TH!H3478,OR(L3478="331",M3478="331")),"331",IF(AND(OR(L3478="131",M3478="131"),H3478='131-CT'!$E$7),"131",""))</f>
        <v/>
      </c>
      <c r="O3478" s="52" t="str">
        <f>IF(AND($B3478&gt;='111'!$N$11,$B3478&lt;='111'!$O$11,OR($L3478=$O$7,$M3478=$O$7)),"x","")</f>
        <v/>
      </c>
      <c r="P3478" s="52" t="str">
        <f>IF(AND($L3478=$O$7,$B3478&lt;'111'!$N$11),"x","")</f>
        <v/>
      </c>
      <c r="Q3478" s="52" t="str">
        <f>IF(AND($M3478=$O$7,$B3478&lt;'111'!$N$11),"x","")</f>
        <v/>
      </c>
      <c r="R3478" s="52" t="str">
        <f>IF(ISERROR(FIND('112'!$M$9,G3478,1)),"",IF((AND(FIND('112'!$M$9,G3478,1)&gt;=1,$B3478&gt;='112'!$N$8,$B3478&lt;='112'!$O$8,OR($L3478='112'!$I$6,$M3478='112'!$I$6))),"x",""))</f>
        <v/>
      </c>
      <c r="S3478" s="52" t="str">
        <f>IF(ISERROR(FIND('112'!$M$9,G3478,1)),"",IF((AND(LEFT(G3478,2)=LEFT('112'!$M$9,2),B3478&lt;'112'!$N$8,$L3478='112'!$I$6)),"x",""))</f>
        <v/>
      </c>
      <c r="T3478" s="52" t="str">
        <f>IF(ISERROR(FIND('112'!$M$9,G3478,1)),"",IF((AND(RIGHT(G3478,2)=RIGHT('112'!$M$9,2),B3478&lt;'112'!$N$8,$M3478='112'!$I$6)),"x",""))</f>
        <v/>
      </c>
      <c r="U3478" s="52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>x</v>
      </c>
      <c r="AA3478" s="826"/>
    </row>
    <row r="3479" spans="1:27" ht="15.75" customHeight="1">
      <c r="A3479" s="827" t="str">
        <f>IF(B3479&lt;&gt;"",IF(AND(B3479&gt;=_TM1,B3479&lt;=_TM2,OR(TH!L3479="1111",TH!M3479="1111")),TH!D3479,""),"")</f>
        <v/>
      </c>
      <c r="B3479" s="36">
        <f t="shared" si="456"/>
        <v>9</v>
      </c>
      <c r="C3479" s="190">
        <f t="shared" si="457"/>
        <v>42643</v>
      </c>
      <c r="D3479" s="856" t="s">
        <v>1662</v>
      </c>
      <c r="E3479" s="906">
        <v>42643</v>
      </c>
      <c r="F3479" s="49" t="s">
        <v>486</v>
      </c>
      <c r="G3479" s="831" t="s">
        <v>1775</v>
      </c>
      <c r="H3479" s="859" t="s">
        <v>1310</v>
      </c>
      <c r="I3479" s="251">
        <v>45</v>
      </c>
      <c r="J3479" s="251">
        <v>13528.271473714451</v>
      </c>
      <c r="K3479" s="860">
        <f t="shared" si="458"/>
        <v>608772</v>
      </c>
      <c r="L3479" s="861" t="s">
        <v>162</v>
      </c>
      <c r="M3479" s="861" t="s">
        <v>857</v>
      </c>
      <c r="N3479" s="52" t="str">
        <f>IF(AND('331-CT'!$E$7=TH!H3479,OR(L3479="331",M3479="331")),"331",IF(AND(OR(L3479="131",M3479="131"),H3479='131-CT'!$E$7),"131",""))</f>
        <v/>
      </c>
      <c r="O3479" s="52" t="str">
        <f>IF(AND($B3479&gt;='111'!$N$11,$B3479&lt;='111'!$O$11,OR($L3479=$O$7,$M3479=$O$7)),"x","")</f>
        <v/>
      </c>
      <c r="P3479" s="52" t="str">
        <f>IF(AND($L3479=$O$7,$B3479&lt;'111'!$N$11),"x","")</f>
        <v/>
      </c>
      <c r="Q3479" s="52" t="str">
        <f>IF(AND($M3479=$O$7,$B3479&lt;'111'!$N$11),"x","")</f>
        <v/>
      </c>
      <c r="R3479" s="52" t="str">
        <f>IF(ISERROR(FIND('112'!$M$9,G3479,1)),"",IF((AND(FIND('112'!$M$9,G3479,1)&gt;=1,$B3479&gt;='112'!$N$8,$B3479&lt;='112'!$O$8,OR($L3479='112'!$I$6,$M3479='112'!$I$6))),"x",""))</f>
        <v/>
      </c>
      <c r="S3479" s="52" t="str">
        <f>IF(ISERROR(FIND('112'!$M$9,G3479,1)),"",IF((AND(LEFT(G3479,2)=LEFT('112'!$M$9,2),B3479&lt;'112'!$N$8,$L3479='112'!$I$6)),"x",""))</f>
        <v/>
      </c>
      <c r="T3479" s="52" t="str">
        <f>IF(ISERROR(FIND('112'!$M$9,G3479,1)),"",IF((AND(RIGHT(G3479,2)=RIGHT('112'!$M$9,2),B3479&lt;'112'!$N$8,$M3479='112'!$I$6)),"x",""))</f>
        <v/>
      </c>
      <c r="U3479" s="52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>x</v>
      </c>
      <c r="AA3479" s="826"/>
    </row>
    <row r="3480" spans="1:27" ht="15.75" customHeight="1">
      <c r="A3480" s="827" t="str">
        <f>IF(B3480&lt;&gt;"",IF(AND(B3480&gt;=_TM1,B3480&lt;=_TM2,OR(TH!L3480="1111",TH!M3480="1111")),TH!D3480,""),"")</f>
        <v/>
      </c>
      <c r="B3480" s="36">
        <f t="shared" si="456"/>
        <v>9</v>
      </c>
      <c r="C3480" s="190">
        <f t="shared" si="457"/>
        <v>42643</v>
      </c>
      <c r="D3480" s="856" t="s">
        <v>1662</v>
      </c>
      <c r="E3480" s="906">
        <v>42643</v>
      </c>
      <c r="F3480" s="868" t="s">
        <v>1784</v>
      </c>
      <c r="G3480" s="831" t="s">
        <v>1775</v>
      </c>
      <c r="H3480" s="859" t="s">
        <v>1310</v>
      </c>
      <c r="I3480" s="251">
        <v>4</v>
      </c>
      <c r="J3480" s="251">
        <v>20247.271473714449</v>
      </c>
      <c r="K3480" s="860">
        <f t="shared" si="458"/>
        <v>80989</v>
      </c>
      <c r="L3480" s="861" t="s">
        <v>162</v>
      </c>
      <c r="M3480" s="861" t="s">
        <v>857</v>
      </c>
      <c r="N3480" s="52" t="str">
        <f>IF(AND('331-CT'!$E$7=TH!H3480,OR(L3480="331",M3480="331")),"331",IF(AND(OR(L3480="131",M3480="131"),H3480='131-CT'!$E$7),"131",""))</f>
        <v/>
      </c>
      <c r="O3480" s="52" t="str">
        <f>IF(AND($B3480&gt;='111'!$N$11,$B3480&lt;='111'!$O$11,OR($L3480=$O$7,$M3480=$O$7)),"x","")</f>
        <v/>
      </c>
      <c r="P3480" s="52" t="str">
        <f>IF(AND($L3480=$O$7,$B3480&lt;'111'!$N$11),"x","")</f>
        <v/>
      </c>
      <c r="Q3480" s="52" t="str">
        <f>IF(AND($M3480=$O$7,$B3480&lt;'111'!$N$11),"x","")</f>
        <v/>
      </c>
      <c r="R3480" s="52" t="str">
        <f>IF(ISERROR(FIND('112'!$M$9,G3480,1)),"",IF((AND(FIND('112'!$M$9,G3480,1)&gt;=1,$B3480&gt;='112'!$N$8,$B3480&lt;='112'!$O$8,OR($L3480='112'!$I$6,$M3480='112'!$I$6))),"x",""))</f>
        <v/>
      </c>
      <c r="S3480" s="52" t="str">
        <f>IF(ISERROR(FIND('112'!$M$9,G3480,1)),"",IF((AND(LEFT(G3480,2)=LEFT('112'!$M$9,2),B3480&lt;'112'!$N$8,$L3480='112'!$I$6)),"x",""))</f>
        <v/>
      </c>
      <c r="T3480" s="52" t="str">
        <f>IF(ISERROR(FIND('112'!$M$9,G3480,1)),"",IF((AND(RIGHT(G3480,2)=RIGHT('112'!$M$9,2),B3480&lt;'112'!$N$8,$M3480='112'!$I$6)),"x",""))</f>
        <v/>
      </c>
      <c r="U3480" s="52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>x</v>
      </c>
      <c r="AA3480" s="826"/>
    </row>
    <row r="3481" spans="1:27" ht="15.75" customHeight="1">
      <c r="A3481" s="827" t="str">
        <f>IF(B3481&lt;&gt;"",IF(AND(B3481&gt;=_TM1,B3481&lt;=_TM2,OR(TH!L3481="1111",TH!M3481="1111")),TH!D3481,""),"")</f>
        <v/>
      </c>
      <c r="B3481" s="36">
        <f t="shared" si="456"/>
        <v>9</v>
      </c>
      <c r="C3481" s="190">
        <f t="shared" si="457"/>
        <v>42643</v>
      </c>
      <c r="D3481" s="856" t="s">
        <v>1662</v>
      </c>
      <c r="E3481" s="906">
        <v>42643</v>
      </c>
      <c r="F3481" s="49" t="s">
        <v>1785</v>
      </c>
      <c r="G3481" s="831" t="s">
        <v>1775</v>
      </c>
      <c r="H3481" s="859" t="s">
        <v>1310</v>
      </c>
      <c r="I3481" s="251">
        <v>6</v>
      </c>
      <c r="J3481" s="251">
        <v>20247.271473714449</v>
      </c>
      <c r="K3481" s="860">
        <f t="shared" si="458"/>
        <v>121484</v>
      </c>
      <c r="L3481" s="861" t="s">
        <v>162</v>
      </c>
      <c r="M3481" s="861" t="s">
        <v>857</v>
      </c>
      <c r="N3481" s="52" t="str">
        <f>IF(AND('331-CT'!$E$7=TH!H3481,OR(L3481="331",M3481="331")),"331",IF(AND(OR(L3481="131",M3481="131"),H3481='131-CT'!$E$7),"131",""))</f>
        <v/>
      </c>
      <c r="O3481" s="52" t="str">
        <f>IF(AND($B3481&gt;='111'!$N$11,$B3481&lt;='111'!$O$11,OR($L3481=$O$7,$M3481=$O$7)),"x","")</f>
        <v/>
      </c>
      <c r="P3481" s="52" t="str">
        <f>IF(AND($L3481=$O$7,$B3481&lt;'111'!$N$11),"x","")</f>
        <v/>
      </c>
      <c r="Q3481" s="52" t="str">
        <f>IF(AND($M3481=$O$7,$B3481&lt;'111'!$N$11),"x","")</f>
        <v/>
      </c>
      <c r="R3481" s="52" t="str">
        <f>IF(ISERROR(FIND('112'!$M$9,G3481,1)),"",IF((AND(FIND('112'!$M$9,G3481,1)&gt;=1,$B3481&gt;='112'!$N$8,$B3481&lt;='112'!$O$8,OR($L3481='112'!$I$6,$M3481='112'!$I$6))),"x",""))</f>
        <v/>
      </c>
      <c r="S3481" s="52" t="str">
        <f>IF(ISERROR(FIND('112'!$M$9,G3481,1)),"",IF((AND(LEFT(G3481,2)=LEFT('112'!$M$9,2),B3481&lt;'112'!$N$8,$L3481='112'!$I$6)),"x",""))</f>
        <v/>
      </c>
      <c r="T3481" s="52" t="str">
        <f>IF(ISERROR(FIND('112'!$M$9,G3481,1)),"",IF((AND(RIGHT(G3481,2)=RIGHT('112'!$M$9,2),B3481&lt;'112'!$N$8,$M3481='112'!$I$6)),"x",""))</f>
        <v/>
      </c>
      <c r="U3481" s="52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>x</v>
      </c>
      <c r="AA3481" s="826"/>
    </row>
    <row r="3482" spans="1:27" ht="15.75" customHeight="1">
      <c r="A3482" s="827" t="str">
        <f>IF(B3482&lt;&gt;"",IF(AND(B3482&gt;=_TM1,B3482&lt;=_TM2,OR(TH!L3482="1111",TH!M3482="1111")),TH!D3482,""),"")</f>
        <v/>
      </c>
      <c r="B3482" s="36">
        <f t="shared" si="456"/>
        <v>9</v>
      </c>
      <c r="C3482" s="190">
        <f t="shared" si="457"/>
        <v>42643</v>
      </c>
      <c r="D3482" s="856" t="s">
        <v>1662</v>
      </c>
      <c r="E3482" s="906">
        <v>42643</v>
      </c>
      <c r="F3482" s="868" t="s">
        <v>1786</v>
      </c>
      <c r="G3482" s="831" t="s">
        <v>1775</v>
      </c>
      <c r="H3482" s="859" t="s">
        <v>1310</v>
      </c>
      <c r="I3482" s="251">
        <v>14</v>
      </c>
      <c r="J3482" s="251">
        <v>21673.485759428735</v>
      </c>
      <c r="K3482" s="860">
        <f t="shared" si="458"/>
        <v>303429</v>
      </c>
      <c r="L3482" s="861" t="s">
        <v>162</v>
      </c>
      <c r="M3482" s="861" t="s">
        <v>857</v>
      </c>
      <c r="N3482" s="52" t="str">
        <f>IF(AND('331-CT'!$E$7=TH!H3482,OR(L3482="331",M3482="331")),"331",IF(AND(OR(L3482="131",M3482="131"),H3482='131-CT'!$E$7),"131",""))</f>
        <v/>
      </c>
      <c r="O3482" s="52" t="str">
        <f>IF(AND($B3482&gt;='111'!$N$11,$B3482&lt;='111'!$O$11,OR($L3482=$O$7,$M3482=$O$7)),"x","")</f>
        <v/>
      </c>
      <c r="P3482" s="52" t="str">
        <f>IF(AND($L3482=$O$7,$B3482&lt;'111'!$N$11),"x","")</f>
        <v/>
      </c>
      <c r="Q3482" s="52" t="str">
        <f>IF(AND($M3482=$O$7,$B3482&lt;'111'!$N$11),"x","")</f>
        <v/>
      </c>
      <c r="R3482" s="52" t="str">
        <f>IF(ISERROR(FIND('112'!$M$9,G3482,1)),"",IF((AND(FIND('112'!$M$9,G3482,1)&gt;=1,$B3482&gt;='112'!$N$8,$B3482&lt;='112'!$O$8,OR($L3482='112'!$I$6,$M3482='112'!$I$6))),"x",""))</f>
        <v/>
      </c>
      <c r="S3482" s="52" t="str">
        <f>IF(ISERROR(FIND('112'!$M$9,G3482,1)),"",IF((AND(LEFT(G3482,2)=LEFT('112'!$M$9,2),B3482&lt;'112'!$N$8,$L3482='112'!$I$6)),"x",""))</f>
        <v/>
      </c>
      <c r="T3482" s="52" t="str">
        <f>IF(ISERROR(FIND('112'!$M$9,G3482,1)),"",IF((AND(RIGHT(G3482,2)=RIGHT('112'!$M$9,2),B3482&lt;'112'!$N$8,$M3482='112'!$I$6)),"x",""))</f>
        <v/>
      </c>
      <c r="U3482" s="52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>x</v>
      </c>
      <c r="AA3482" s="826"/>
    </row>
    <row r="3483" spans="1:27" ht="15.75" customHeight="1">
      <c r="A3483" s="827" t="str">
        <f>IF(B3483&lt;&gt;"",IF(AND(B3483&gt;=_TM1,B3483&lt;=_TM2,OR(TH!L3483="1111",TH!M3483="1111")),TH!D3483,""),"")</f>
        <v/>
      </c>
      <c r="B3483" s="36">
        <f t="shared" si="456"/>
        <v>9</v>
      </c>
      <c r="C3483" s="190">
        <f t="shared" si="457"/>
        <v>42643</v>
      </c>
      <c r="D3483" s="856" t="s">
        <v>1662</v>
      </c>
      <c r="E3483" s="906">
        <v>42643</v>
      </c>
      <c r="F3483" s="49" t="s">
        <v>1787</v>
      </c>
      <c r="G3483" s="831" t="s">
        <v>1775</v>
      </c>
      <c r="H3483" s="859" t="s">
        <v>1310</v>
      </c>
      <c r="I3483" s="251">
        <v>4</v>
      </c>
      <c r="J3483" s="251">
        <v>25239.021473714449</v>
      </c>
      <c r="K3483" s="860">
        <f t="shared" si="458"/>
        <v>100956</v>
      </c>
      <c r="L3483" s="861" t="s">
        <v>162</v>
      </c>
      <c r="M3483" s="861" t="s">
        <v>857</v>
      </c>
      <c r="N3483" s="52" t="str">
        <f>IF(AND('331-CT'!$E$7=TH!H3483,OR(L3483="331",M3483="331")),"331",IF(AND(OR(L3483="131",M3483="131"),H3483='131-CT'!$E$7),"131",""))</f>
        <v/>
      </c>
      <c r="O3483" s="52" t="str">
        <f>IF(AND($B3483&gt;='111'!$N$11,$B3483&lt;='111'!$O$11,OR($L3483=$O$7,$M3483=$O$7)),"x","")</f>
        <v/>
      </c>
      <c r="P3483" s="52" t="str">
        <f>IF(AND($L3483=$O$7,$B3483&lt;'111'!$N$11),"x","")</f>
        <v/>
      </c>
      <c r="Q3483" s="52" t="str">
        <f>IF(AND($M3483=$O$7,$B3483&lt;'111'!$N$11),"x","")</f>
        <v/>
      </c>
      <c r="R3483" s="52" t="str">
        <f>IF(ISERROR(FIND('112'!$M$9,G3483,1)),"",IF((AND(FIND('112'!$M$9,G3483,1)&gt;=1,$B3483&gt;='112'!$N$8,$B3483&lt;='112'!$O$8,OR($L3483='112'!$I$6,$M3483='112'!$I$6))),"x",""))</f>
        <v/>
      </c>
      <c r="S3483" s="52" t="str">
        <f>IF(ISERROR(FIND('112'!$M$9,G3483,1)),"",IF((AND(LEFT(G3483,2)=LEFT('112'!$M$9,2),B3483&lt;'112'!$N$8,$L3483='112'!$I$6)),"x",""))</f>
        <v/>
      </c>
      <c r="T3483" s="52" t="str">
        <f>IF(ISERROR(FIND('112'!$M$9,G3483,1)),"",IF((AND(RIGHT(G3483,2)=RIGHT('112'!$M$9,2),B3483&lt;'112'!$N$8,$M3483='112'!$I$6)),"x",""))</f>
        <v/>
      </c>
      <c r="U3483" s="52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>x</v>
      </c>
      <c r="AA3483" s="826"/>
    </row>
    <row r="3484" spans="1:27" ht="15.75" customHeight="1">
      <c r="A3484" s="827" t="str">
        <f>IF(B3484&lt;&gt;"",IF(AND(B3484&gt;=_TM1,B3484&lt;=_TM2,OR(TH!L3484="1111",TH!M3484="1111")),TH!D3484,""),"")</f>
        <v/>
      </c>
      <c r="B3484" s="36">
        <f t="shared" si="456"/>
        <v>9</v>
      </c>
      <c r="C3484" s="190">
        <f t="shared" si="457"/>
        <v>42643</v>
      </c>
      <c r="D3484" s="856" t="s">
        <v>1662</v>
      </c>
      <c r="E3484" s="906">
        <v>42643</v>
      </c>
      <c r="F3484" s="49" t="s">
        <v>699</v>
      </c>
      <c r="G3484" s="831" t="s">
        <v>1775</v>
      </c>
      <c r="H3484" s="859" t="s">
        <v>1310</v>
      </c>
      <c r="I3484" s="251">
        <v>86</v>
      </c>
      <c r="J3484" s="251">
        <v>14029.457520226078</v>
      </c>
      <c r="K3484" s="860">
        <f t="shared" si="458"/>
        <v>1206533</v>
      </c>
      <c r="L3484" s="861" t="s">
        <v>162</v>
      </c>
      <c r="M3484" s="861" t="s">
        <v>857</v>
      </c>
      <c r="N3484" s="52" t="str">
        <f>IF(AND('331-CT'!$E$7=TH!H3484,OR(L3484="331",M3484="331")),"331",IF(AND(OR(L3484="131",M3484="131"),H3484='131-CT'!$E$7),"131",""))</f>
        <v/>
      </c>
      <c r="O3484" s="52" t="str">
        <f>IF(AND($B3484&gt;='111'!$N$11,$B3484&lt;='111'!$O$11,OR($L3484=$O$7,$M3484=$O$7)),"x","")</f>
        <v/>
      </c>
      <c r="P3484" s="52" t="str">
        <f>IF(AND($L3484=$O$7,$B3484&lt;'111'!$N$11),"x","")</f>
        <v/>
      </c>
      <c r="Q3484" s="52" t="str">
        <f>IF(AND($M3484=$O$7,$B3484&lt;'111'!$N$11),"x","")</f>
        <v/>
      </c>
      <c r="R3484" s="52" t="str">
        <f>IF(ISERROR(FIND('112'!$M$9,G3484,1)),"",IF((AND(FIND('112'!$M$9,G3484,1)&gt;=1,$B3484&gt;='112'!$N$8,$B3484&lt;='112'!$O$8,OR($L3484='112'!$I$6,$M3484='112'!$I$6))),"x",""))</f>
        <v/>
      </c>
      <c r="S3484" s="52" t="str">
        <f>IF(ISERROR(FIND('112'!$M$9,G3484,1)),"",IF((AND(LEFT(G3484,2)=LEFT('112'!$M$9,2),B3484&lt;'112'!$N$8,$L3484='112'!$I$6)),"x",""))</f>
        <v/>
      </c>
      <c r="T3484" s="52" t="str">
        <f>IF(ISERROR(FIND('112'!$M$9,G3484,1)),"",IF((AND(RIGHT(G3484,2)=RIGHT('112'!$M$9,2),B3484&lt;'112'!$N$8,$M3484='112'!$I$6)),"x",""))</f>
        <v/>
      </c>
      <c r="U3484" s="52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>x</v>
      </c>
      <c r="AA3484" s="826"/>
    </row>
    <row r="3485" spans="1:27" ht="15.75" customHeight="1">
      <c r="A3485" s="827" t="str">
        <f>IF(B3485&lt;&gt;"",IF(AND(B3485&gt;=_TM1,B3485&lt;=_TM2,OR(TH!L3485="1111",TH!M3485="1111")),TH!D3485,""),"")</f>
        <v/>
      </c>
      <c r="B3485" s="36">
        <f t="shared" si="455"/>
        <v>9</v>
      </c>
      <c r="C3485" s="190">
        <f t="shared" ref="C3485:C3493" si="462">E3485</f>
        <v>42643</v>
      </c>
      <c r="D3485" s="856" t="s">
        <v>1662</v>
      </c>
      <c r="E3485" s="906">
        <v>42643</v>
      </c>
      <c r="F3485" s="49" t="s">
        <v>1788</v>
      </c>
      <c r="G3485" s="831" t="s">
        <v>1775</v>
      </c>
      <c r="H3485" s="859" t="s">
        <v>1310</v>
      </c>
      <c r="I3485" s="251">
        <v>12</v>
      </c>
      <c r="J3485" s="251">
        <v>14224.021473714449</v>
      </c>
      <c r="K3485" s="860">
        <f t="shared" ref="K3485:K3493" si="463">ROUND(I3485*J3485,0)</f>
        <v>170688</v>
      </c>
      <c r="L3485" s="861" t="s">
        <v>162</v>
      </c>
      <c r="M3485" s="861" t="s">
        <v>857</v>
      </c>
      <c r="N3485" s="52" t="str">
        <f>IF(AND('331-CT'!$E$7=TH!H3485,OR(L3485="331",M3485="331")),"331",IF(AND(OR(L3485="131",M3485="131"),H3485='131-CT'!$E$7),"131",""))</f>
        <v/>
      </c>
      <c r="O3485" s="52" t="str">
        <f>IF(AND($B3485&gt;='111'!$N$11,$B3485&lt;='111'!$O$11,OR($L3485=$O$7,$M3485=$O$7)),"x","")</f>
        <v/>
      </c>
      <c r="P3485" s="52" t="str">
        <f>IF(AND($L3485=$O$7,$B3485&lt;'111'!$N$11),"x","")</f>
        <v/>
      </c>
      <c r="Q3485" s="52" t="str">
        <f>IF(AND($M3485=$O$7,$B3485&lt;'111'!$N$11),"x","")</f>
        <v/>
      </c>
      <c r="R3485" s="52" t="str">
        <f>IF(ISERROR(FIND('112'!$M$9,G3485,1)),"",IF((AND(FIND('112'!$M$9,G3485,1)&gt;=1,$B3485&gt;='112'!$N$8,$B3485&lt;='112'!$O$8,OR($L3485='112'!$I$6,$M3485='112'!$I$6))),"x",""))</f>
        <v/>
      </c>
      <c r="S3485" s="52" t="str">
        <f>IF(ISERROR(FIND('112'!$M$9,G3485,1)),"",IF((AND(LEFT(G3485,2)=LEFT('112'!$M$9,2),B3485&lt;'112'!$N$8,$L3485='112'!$I$6)),"x",""))</f>
        <v/>
      </c>
      <c r="T3485" s="52" t="str">
        <f>IF(ISERROR(FIND('112'!$M$9,G3485,1)),"",IF((AND(RIGHT(G3485,2)=RIGHT('112'!$M$9,2),B3485&lt;'112'!$N$8,$M3485='112'!$I$6)),"x",""))</f>
        <v/>
      </c>
      <c r="U3485" s="52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>x</v>
      </c>
      <c r="AA3485" s="826"/>
    </row>
    <row r="3486" spans="1:27" ht="15.75" customHeight="1">
      <c r="A3486" s="827" t="str">
        <f>IF(B3486&lt;&gt;"",IF(AND(B3486&gt;=_TM1,B3486&lt;=_TM2,OR(TH!L3486="1111",TH!M3486="1111")),TH!D3486,""),"")</f>
        <v/>
      </c>
      <c r="B3486" s="36">
        <f t="shared" si="455"/>
        <v>9</v>
      </c>
      <c r="C3486" s="190">
        <f t="shared" si="462"/>
        <v>42643</v>
      </c>
      <c r="D3486" s="856" t="s">
        <v>1662</v>
      </c>
      <c r="E3486" s="906">
        <v>42643</v>
      </c>
      <c r="F3486" s="868" t="s">
        <v>524</v>
      </c>
      <c r="G3486" s="831" t="s">
        <v>1775</v>
      </c>
      <c r="H3486" s="859" t="s">
        <v>1310</v>
      </c>
      <c r="I3486" s="251">
        <v>4</v>
      </c>
      <c r="J3486" s="251">
        <v>17012.771473714449</v>
      </c>
      <c r="K3486" s="860">
        <f t="shared" si="463"/>
        <v>68051</v>
      </c>
      <c r="L3486" s="861" t="s">
        <v>162</v>
      </c>
      <c r="M3486" s="861" t="s">
        <v>857</v>
      </c>
      <c r="N3486" s="52" t="str">
        <f>IF(AND('331-CT'!$E$7=TH!H3486,OR(L3486="331",M3486="331")),"331",IF(AND(OR(L3486="131",M3486="131"),H3486='131-CT'!$E$7),"131",""))</f>
        <v/>
      </c>
      <c r="O3486" s="52" t="str">
        <f>IF(AND($B3486&gt;='111'!$N$11,$B3486&lt;='111'!$O$11,OR($L3486=$O$7,$M3486=$O$7)),"x","")</f>
        <v/>
      </c>
      <c r="P3486" s="52" t="str">
        <f>IF(AND($L3486=$O$7,$B3486&lt;'111'!$N$11),"x","")</f>
        <v/>
      </c>
      <c r="Q3486" s="52" t="str">
        <f>IF(AND($M3486=$O$7,$B3486&lt;'111'!$N$11),"x","")</f>
        <v/>
      </c>
      <c r="R3486" s="52" t="str">
        <f>IF(ISERROR(FIND('112'!$M$9,G3486,1)),"",IF((AND(FIND('112'!$M$9,G3486,1)&gt;=1,$B3486&gt;='112'!$N$8,$B3486&lt;='112'!$O$8,OR($L3486='112'!$I$6,$M3486='112'!$I$6))),"x",""))</f>
        <v/>
      </c>
      <c r="S3486" s="52" t="str">
        <f>IF(ISERROR(FIND('112'!$M$9,G3486,1)),"",IF((AND(LEFT(G3486,2)=LEFT('112'!$M$9,2),B3486&lt;'112'!$N$8,$L3486='112'!$I$6)),"x",""))</f>
        <v/>
      </c>
      <c r="T3486" s="52" t="str">
        <f>IF(ISERROR(FIND('112'!$M$9,G3486,1)),"",IF((AND(RIGHT(G3486,2)=RIGHT('112'!$M$9,2),B3486&lt;'112'!$N$8,$M3486='112'!$I$6)),"x",""))</f>
        <v/>
      </c>
      <c r="U3486" s="52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>x</v>
      </c>
      <c r="AA3486" s="826"/>
    </row>
    <row r="3487" spans="1:27" ht="15.75" customHeight="1">
      <c r="A3487" s="827" t="str">
        <f>IF(B3487&lt;&gt;"",IF(AND(B3487&gt;=_TM1,B3487&lt;=_TM2,OR(TH!L3487="1111",TH!M3487="1111")),TH!D3487,""),"")</f>
        <v/>
      </c>
      <c r="B3487" s="36">
        <f t="shared" ref="B3487:B3493" si="464">IF(C3487&lt;&gt;"",MONTH(C3487),"")</f>
        <v>9</v>
      </c>
      <c r="C3487" s="190">
        <f t="shared" si="462"/>
        <v>42643</v>
      </c>
      <c r="D3487" s="856" t="s">
        <v>1662</v>
      </c>
      <c r="E3487" s="906">
        <v>42643</v>
      </c>
      <c r="F3487" s="49" t="s">
        <v>1789</v>
      </c>
      <c r="G3487" s="831" t="s">
        <v>1775</v>
      </c>
      <c r="H3487" s="859" t="s">
        <v>1310</v>
      </c>
      <c r="I3487" s="251">
        <v>3</v>
      </c>
      <c r="J3487" s="251">
        <v>18871.938140381117</v>
      </c>
      <c r="K3487" s="860">
        <f t="shared" si="463"/>
        <v>56616</v>
      </c>
      <c r="L3487" s="861" t="s">
        <v>162</v>
      </c>
      <c r="M3487" s="861" t="s">
        <v>857</v>
      </c>
      <c r="N3487" s="52" t="str">
        <f>IF(AND('331-CT'!$E$7=TH!H3487,OR(L3487="331",M3487="331")),"331",IF(AND(OR(L3487="131",M3487="131"),H3487='131-CT'!$E$7),"131",""))</f>
        <v/>
      </c>
      <c r="O3487" s="52" t="str">
        <f>IF(AND($B3487&gt;='111'!$N$11,$B3487&lt;='111'!$O$11,OR($L3487=$O$7,$M3487=$O$7)),"x","")</f>
        <v/>
      </c>
      <c r="P3487" s="52" t="str">
        <f>IF(AND($L3487=$O$7,$B3487&lt;'111'!$N$11),"x","")</f>
        <v/>
      </c>
      <c r="Q3487" s="52" t="str">
        <f>IF(AND($M3487=$O$7,$B3487&lt;'111'!$N$11),"x","")</f>
        <v/>
      </c>
      <c r="R3487" s="52" t="str">
        <f>IF(ISERROR(FIND('112'!$M$9,G3487,1)),"",IF((AND(FIND('112'!$M$9,G3487,1)&gt;=1,$B3487&gt;='112'!$N$8,$B3487&lt;='112'!$O$8,OR($L3487='112'!$I$6,$M3487='112'!$I$6))),"x",""))</f>
        <v/>
      </c>
      <c r="S3487" s="52" t="str">
        <f>IF(ISERROR(FIND('112'!$M$9,G3487,1)),"",IF((AND(LEFT(G3487,2)=LEFT('112'!$M$9,2),B3487&lt;'112'!$N$8,$L3487='112'!$I$6)),"x",""))</f>
        <v/>
      </c>
      <c r="T3487" s="52" t="str">
        <f>IF(ISERROR(FIND('112'!$M$9,G3487,1)),"",IF((AND(RIGHT(G3487,2)=RIGHT('112'!$M$9,2),B3487&lt;'112'!$N$8,$M3487='112'!$I$6)),"x",""))</f>
        <v/>
      </c>
      <c r="U3487" s="52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>x</v>
      </c>
      <c r="AA3487" s="826"/>
    </row>
    <row r="3488" spans="1:27" ht="15.75" customHeight="1">
      <c r="A3488" s="827" t="str">
        <f>IF(B3488&lt;&gt;"",IF(AND(B3488&gt;=_TM1,B3488&lt;=_TM2,OR(TH!L3488="1111",TH!M3488="1111")),TH!D3488,""),"")</f>
        <v/>
      </c>
      <c r="B3488" s="36">
        <f t="shared" si="464"/>
        <v>9</v>
      </c>
      <c r="C3488" s="190">
        <f t="shared" si="462"/>
        <v>42643</v>
      </c>
      <c r="D3488" s="856" t="s">
        <v>1662</v>
      </c>
      <c r="E3488" s="906">
        <v>42643</v>
      </c>
      <c r="F3488" s="49" t="s">
        <v>1790</v>
      </c>
      <c r="G3488" s="831" t="s">
        <v>1775</v>
      </c>
      <c r="H3488" s="859" t="s">
        <v>1310</v>
      </c>
      <c r="I3488" s="251">
        <v>9</v>
      </c>
      <c r="J3488" s="251">
        <v>19915.271473714452</v>
      </c>
      <c r="K3488" s="860">
        <f t="shared" si="463"/>
        <v>179237</v>
      </c>
      <c r="L3488" s="861" t="s">
        <v>162</v>
      </c>
      <c r="M3488" s="861" t="s">
        <v>857</v>
      </c>
      <c r="N3488" s="52" t="str">
        <f>IF(AND('331-CT'!$E$7=TH!H3488,OR(L3488="331",M3488="331")),"331",IF(AND(OR(L3488="131",M3488="131"),H3488='131-CT'!$E$7),"131",""))</f>
        <v/>
      </c>
      <c r="O3488" s="52" t="str">
        <f>IF(AND($B3488&gt;='111'!$N$11,$B3488&lt;='111'!$O$11,OR($L3488=$O$7,$M3488=$O$7)),"x","")</f>
        <v/>
      </c>
      <c r="P3488" s="52" t="str">
        <f>IF(AND($L3488=$O$7,$B3488&lt;'111'!$N$11),"x","")</f>
        <v/>
      </c>
      <c r="Q3488" s="52" t="str">
        <f>IF(AND($M3488=$O$7,$B3488&lt;'111'!$N$11),"x","")</f>
        <v/>
      </c>
      <c r="R3488" s="52" t="str">
        <f>IF(ISERROR(FIND('112'!$M$9,G3488,1)),"",IF((AND(FIND('112'!$M$9,G3488,1)&gt;=1,$B3488&gt;='112'!$N$8,$B3488&lt;='112'!$O$8,OR($L3488='112'!$I$6,$M3488='112'!$I$6))),"x",""))</f>
        <v/>
      </c>
      <c r="S3488" s="52" t="str">
        <f>IF(ISERROR(FIND('112'!$M$9,G3488,1)),"",IF((AND(LEFT(G3488,2)=LEFT('112'!$M$9,2),B3488&lt;'112'!$N$8,$L3488='112'!$I$6)),"x",""))</f>
        <v/>
      </c>
      <c r="T3488" s="52" t="str">
        <f>IF(ISERROR(FIND('112'!$M$9,G3488,1)),"",IF((AND(RIGHT(G3488,2)=RIGHT('112'!$M$9,2),B3488&lt;'112'!$N$8,$M3488='112'!$I$6)),"x",""))</f>
        <v/>
      </c>
      <c r="U3488" s="52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>x</v>
      </c>
      <c r="AA3488" s="826"/>
    </row>
    <row r="3489" spans="1:28" ht="15.75" customHeight="1">
      <c r="A3489" s="827" t="str">
        <f>IF(B3489&lt;&gt;"",IF(AND(B3489&gt;=_TM1,B3489&lt;=_TM2,OR(TH!L3489="1111",TH!M3489="1111")),TH!D3489,""),"")</f>
        <v/>
      </c>
      <c r="B3489" s="36">
        <f t="shared" si="464"/>
        <v>9</v>
      </c>
      <c r="C3489" s="190">
        <f t="shared" si="462"/>
        <v>42643</v>
      </c>
      <c r="D3489" s="856" t="s">
        <v>1662</v>
      </c>
      <c r="E3489" s="906">
        <v>42643</v>
      </c>
      <c r="F3489" s="868" t="s">
        <v>1791</v>
      </c>
      <c r="G3489" s="831" t="s">
        <v>1775</v>
      </c>
      <c r="H3489" s="859" t="s">
        <v>1310</v>
      </c>
      <c r="I3489" s="251">
        <v>6</v>
      </c>
      <c r="J3489" s="251">
        <v>19915.271473714449</v>
      </c>
      <c r="K3489" s="860">
        <f t="shared" si="463"/>
        <v>119492</v>
      </c>
      <c r="L3489" s="861" t="s">
        <v>162</v>
      </c>
      <c r="M3489" s="861" t="s">
        <v>857</v>
      </c>
      <c r="N3489" s="52" t="str">
        <f>IF(AND('331-CT'!$E$7=TH!H3489,OR(L3489="331",M3489="331")),"331",IF(AND(OR(L3489="131",M3489="131"),H3489='131-CT'!$E$7),"131",""))</f>
        <v/>
      </c>
      <c r="O3489" s="52" t="str">
        <f>IF(AND($B3489&gt;='111'!$N$11,$B3489&lt;='111'!$O$11,OR($L3489=$O$7,$M3489=$O$7)),"x","")</f>
        <v/>
      </c>
      <c r="P3489" s="52" t="str">
        <f>IF(AND($L3489=$O$7,$B3489&lt;'111'!$N$11),"x","")</f>
        <v/>
      </c>
      <c r="Q3489" s="52" t="str">
        <f>IF(AND($M3489=$O$7,$B3489&lt;'111'!$N$11),"x","")</f>
        <v/>
      </c>
      <c r="R3489" s="52" t="str">
        <f>IF(ISERROR(FIND('112'!$M$9,G3489,1)),"",IF((AND(FIND('112'!$M$9,G3489,1)&gt;=1,$B3489&gt;='112'!$N$8,$B3489&lt;='112'!$O$8,OR($L3489='112'!$I$6,$M3489='112'!$I$6))),"x",""))</f>
        <v/>
      </c>
      <c r="S3489" s="52" t="str">
        <f>IF(ISERROR(FIND('112'!$M$9,G3489,1)),"",IF((AND(LEFT(G3489,2)=LEFT('112'!$M$9,2),B3489&lt;'112'!$N$8,$L3489='112'!$I$6)),"x",""))</f>
        <v/>
      </c>
      <c r="T3489" s="52" t="str">
        <f>IF(ISERROR(FIND('112'!$M$9,G3489,1)),"",IF((AND(RIGHT(G3489,2)=RIGHT('112'!$M$9,2),B3489&lt;'112'!$N$8,$M3489='112'!$I$6)),"x",""))</f>
        <v/>
      </c>
      <c r="U3489" s="52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>x</v>
      </c>
      <c r="AA3489" s="826"/>
    </row>
    <row r="3490" spans="1:28" ht="15.75" customHeight="1">
      <c r="A3490" s="827" t="str">
        <f>IF(B3490&lt;&gt;"",IF(AND(B3490&gt;=_TM1,B3490&lt;=_TM2,OR(TH!L3490="1111",TH!M3490="1111")),TH!D3490,""),"")</f>
        <v/>
      </c>
      <c r="B3490" s="36">
        <f t="shared" si="464"/>
        <v>9</v>
      </c>
      <c r="C3490" s="190">
        <f t="shared" si="462"/>
        <v>42643</v>
      </c>
      <c r="D3490" s="856" t="s">
        <v>1662</v>
      </c>
      <c r="E3490" s="906">
        <v>42643</v>
      </c>
      <c r="F3490" s="49" t="s">
        <v>525</v>
      </c>
      <c r="G3490" s="831" t="s">
        <v>1775</v>
      </c>
      <c r="H3490" s="859" t="s">
        <v>1310</v>
      </c>
      <c r="I3490" s="251">
        <v>239</v>
      </c>
      <c r="J3490" s="251">
        <v>17286.317498819051</v>
      </c>
      <c r="K3490" s="860">
        <f t="shared" si="463"/>
        <v>4131430</v>
      </c>
      <c r="L3490" s="861" t="s">
        <v>162</v>
      </c>
      <c r="M3490" s="861" t="s">
        <v>857</v>
      </c>
      <c r="N3490" s="52" t="str">
        <f>IF(AND('331-CT'!$E$7=TH!H3490,OR(L3490="331",M3490="331")),"331",IF(AND(OR(L3490="131",M3490="131"),H3490='131-CT'!$E$7),"131",""))</f>
        <v/>
      </c>
      <c r="O3490" s="52" t="str">
        <f>IF(AND($B3490&gt;='111'!$N$11,$B3490&lt;='111'!$O$11,OR($L3490=$O$7,$M3490=$O$7)),"x","")</f>
        <v/>
      </c>
      <c r="P3490" s="52" t="str">
        <f>IF(AND($L3490=$O$7,$B3490&lt;'111'!$N$11),"x","")</f>
        <v/>
      </c>
      <c r="Q3490" s="52" t="str">
        <f>IF(AND($M3490=$O$7,$B3490&lt;'111'!$N$11),"x","")</f>
        <v/>
      </c>
      <c r="R3490" s="52" t="str">
        <f>IF(ISERROR(FIND('112'!$M$9,G3490,1)),"",IF((AND(FIND('112'!$M$9,G3490,1)&gt;=1,$B3490&gt;='112'!$N$8,$B3490&lt;='112'!$O$8,OR($L3490='112'!$I$6,$M3490='112'!$I$6))),"x",""))</f>
        <v/>
      </c>
      <c r="S3490" s="52" t="str">
        <f>IF(ISERROR(FIND('112'!$M$9,G3490,1)),"",IF((AND(LEFT(G3490,2)=LEFT('112'!$M$9,2),B3490&lt;'112'!$N$8,$L3490='112'!$I$6)),"x",""))</f>
        <v/>
      </c>
      <c r="T3490" s="52" t="str">
        <f>IF(ISERROR(FIND('112'!$M$9,G3490,1)),"",IF((AND(RIGHT(G3490,2)=RIGHT('112'!$M$9,2),B3490&lt;'112'!$N$8,$M3490='112'!$I$6)),"x",""))</f>
        <v/>
      </c>
      <c r="U3490" s="52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>x</v>
      </c>
      <c r="AA3490" s="826"/>
    </row>
    <row r="3491" spans="1:28" ht="15.75" customHeight="1">
      <c r="A3491" s="827" t="str">
        <f>IF(B3491&lt;&gt;"",IF(AND(B3491&gt;=_TM1,B3491&lt;=_TM2,OR(TH!L3491="1111",TH!M3491="1111")),TH!D3491,""),"")</f>
        <v/>
      </c>
      <c r="B3491" s="36">
        <f t="shared" si="464"/>
        <v>9</v>
      </c>
      <c r="C3491" s="190">
        <f t="shared" si="462"/>
        <v>42643</v>
      </c>
      <c r="D3491" s="856" t="s">
        <v>1662</v>
      </c>
      <c r="E3491" s="906">
        <v>42643</v>
      </c>
      <c r="F3491" s="868" t="s">
        <v>496</v>
      </c>
      <c r="G3491" s="831" t="s">
        <v>1775</v>
      </c>
      <c r="H3491" s="859" t="s">
        <v>1310</v>
      </c>
      <c r="I3491" s="251">
        <v>140</v>
      </c>
      <c r="J3491" s="251">
        <v>17110.271473714449</v>
      </c>
      <c r="K3491" s="860">
        <f t="shared" si="463"/>
        <v>2395438</v>
      </c>
      <c r="L3491" s="861" t="s">
        <v>162</v>
      </c>
      <c r="M3491" s="861" t="s">
        <v>857</v>
      </c>
      <c r="N3491" s="52" t="str">
        <f>IF(AND('331-CT'!$E$7=TH!H3491,OR(L3491="331",M3491="331")),"331",IF(AND(OR(L3491="131",M3491="131"),H3491='131-CT'!$E$7),"131",""))</f>
        <v/>
      </c>
      <c r="O3491" s="52" t="str">
        <f>IF(AND($B3491&gt;='111'!$N$11,$B3491&lt;='111'!$O$11,OR($L3491=$O$7,$M3491=$O$7)),"x","")</f>
        <v/>
      </c>
      <c r="P3491" s="52" t="str">
        <f>IF(AND($L3491=$O$7,$B3491&lt;'111'!$N$11),"x","")</f>
        <v/>
      </c>
      <c r="Q3491" s="52" t="str">
        <f>IF(AND($M3491=$O$7,$B3491&lt;'111'!$N$11),"x","")</f>
        <v/>
      </c>
      <c r="R3491" s="52" t="str">
        <f>IF(ISERROR(FIND('112'!$M$9,G3491,1)),"",IF((AND(FIND('112'!$M$9,G3491,1)&gt;=1,$B3491&gt;='112'!$N$8,$B3491&lt;='112'!$O$8,OR($L3491='112'!$I$6,$M3491='112'!$I$6))),"x",""))</f>
        <v/>
      </c>
      <c r="S3491" s="52" t="str">
        <f>IF(ISERROR(FIND('112'!$M$9,G3491,1)),"",IF((AND(LEFT(G3491,2)=LEFT('112'!$M$9,2),B3491&lt;'112'!$N$8,$L3491='112'!$I$6)),"x",""))</f>
        <v/>
      </c>
      <c r="T3491" s="52" t="str">
        <f>IF(ISERROR(FIND('112'!$M$9,G3491,1)),"",IF((AND(RIGHT(G3491,2)=RIGHT('112'!$M$9,2),B3491&lt;'112'!$N$8,$M3491='112'!$I$6)),"x",""))</f>
        <v/>
      </c>
      <c r="U3491" s="52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>x</v>
      </c>
      <c r="AA3491" s="826"/>
    </row>
    <row r="3492" spans="1:28" ht="15.75" customHeight="1">
      <c r="A3492" s="827" t="str">
        <f>IF(B3492&lt;&gt;"",IF(AND(B3492&gt;=_TM1,B3492&lt;=_TM2,OR(TH!L3492="1111",TH!M3492="1111")),TH!D3492,""),"")</f>
        <v/>
      </c>
      <c r="B3492" s="36">
        <f t="shared" si="464"/>
        <v>9</v>
      </c>
      <c r="C3492" s="190">
        <f t="shared" si="462"/>
        <v>42643</v>
      </c>
      <c r="D3492" s="856" t="s">
        <v>1662</v>
      </c>
      <c r="E3492" s="906">
        <v>42643</v>
      </c>
      <c r="F3492" s="49" t="s">
        <v>1729</v>
      </c>
      <c r="G3492" s="831" t="s">
        <v>1775</v>
      </c>
      <c r="H3492" s="859" t="s">
        <v>1310</v>
      </c>
      <c r="I3492" s="251">
        <v>54</v>
      </c>
      <c r="J3492" s="251">
        <v>22590.271473714449</v>
      </c>
      <c r="K3492" s="860">
        <f t="shared" si="463"/>
        <v>1219875</v>
      </c>
      <c r="L3492" s="861" t="s">
        <v>162</v>
      </c>
      <c r="M3492" s="861" t="s">
        <v>857</v>
      </c>
      <c r="N3492" s="52" t="str">
        <f>IF(AND('331-CT'!$E$7=TH!H3492,OR(L3492="331",M3492="331")),"331",IF(AND(OR(L3492="131",M3492="131"),H3492='131-CT'!$E$7),"131",""))</f>
        <v/>
      </c>
      <c r="O3492" s="52" t="str">
        <f>IF(AND($B3492&gt;='111'!$N$11,$B3492&lt;='111'!$O$11,OR($L3492=$O$7,$M3492=$O$7)),"x","")</f>
        <v/>
      </c>
      <c r="P3492" s="52" t="str">
        <f>IF(AND($L3492=$O$7,$B3492&lt;'111'!$N$11),"x","")</f>
        <v/>
      </c>
      <c r="Q3492" s="52" t="str">
        <f>IF(AND($M3492=$O$7,$B3492&lt;'111'!$N$11),"x","")</f>
        <v/>
      </c>
      <c r="R3492" s="52" t="str">
        <f>IF(ISERROR(FIND('112'!$M$9,G3492,1)),"",IF((AND(FIND('112'!$M$9,G3492,1)&gt;=1,$B3492&gt;='112'!$N$8,$B3492&lt;='112'!$O$8,OR($L3492='112'!$I$6,$M3492='112'!$I$6))),"x",""))</f>
        <v/>
      </c>
      <c r="S3492" s="52" t="str">
        <f>IF(ISERROR(FIND('112'!$M$9,G3492,1)),"",IF((AND(LEFT(G3492,2)=LEFT('112'!$M$9,2),B3492&lt;'112'!$N$8,$L3492='112'!$I$6)),"x",""))</f>
        <v/>
      </c>
      <c r="T3492" s="52" t="str">
        <f>IF(ISERROR(FIND('112'!$M$9,G3492,1)),"",IF((AND(RIGHT(G3492,2)=RIGHT('112'!$M$9,2),B3492&lt;'112'!$N$8,$M3492='112'!$I$6)),"x",""))</f>
        <v/>
      </c>
      <c r="U3492" s="52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>x</v>
      </c>
      <c r="AA3492" s="826"/>
    </row>
    <row r="3493" spans="1:28" ht="15.75" customHeight="1">
      <c r="A3493" s="827" t="str">
        <f>IF(B3493&lt;&gt;"",IF(AND(B3493&gt;=_TM1,B3493&lt;=_TM2,OR(TH!L3493="1111",TH!M3493="1111")),TH!D3493,""),"")</f>
        <v/>
      </c>
      <c r="B3493" s="36">
        <f t="shared" si="464"/>
        <v>9</v>
      </c>
      <c r="C3493" s="190">
        <f t="shared" si="462"/>
        <v>42643</v>
      </c>
      <c r="D3493" s="856" t="s">
        <v>1662</v>
      </c>
      <c r="E3493" s="906">
        <v>42643</v>
      </c>
      <c r="F3493" s="49" t="s">
        <v>863</v>
      </c>
      <c r="G3493" s="831" t="s">
        <v>1775</v>
      </c>
      <c r="H3493" s="859" t="s">
        <v>1310</v>
      </c>
      <c r="I3493" s="251">
        <v>72</v>
      </c>
      <c r="J3493" s="251">
        <v>18777.507584825562</v>
      </c>
      <c r="K3493" s="860">
        <f t="shared" si="463"/>
        <v>1351981</v>
      </c>
      <c r="L3493" s="861" t="s">
        <v>162</v>
      </c>
      <c r="M3493" s="861" t="s">
        <v>857</v>
      </c>
      <c r="N3493" s="52" t="str">
        <f>IF(AND('331-CT'!$E$7=TH!H3493,OR(L3493="331",M3493="331")),"331",IF(AND(OR(L3493="131",M3493="131"),H3493='131-CT'!$E$7),"131",""))</f>
        <v/>
      </c>
      <c r="O3493" s="52" t="str">
        <f>IF(AND($B3493&gt;='111'!$N$11,$B3493&lt;='111'!$O$11,OR($L3493=$O$7,$M3493=$O$7)),"x","")</f>
        <v/>
      </c>
      <c r="P3493" s="52" t="str">
        <f>IF(AND($L3493=$O$7,$B3493&lt;'111'!$N$11),"x","")</f>
        <v/>
      </c>
      <c r="Q3493" s="52" t="str">
        <f>IF(AND($M3493=$O$7,$B3493&lt;'111'!$N$11),"x","")</f>
        <v/>
      </c>
      <c r="R3493" s="52" t="str">
        <f>IF(ISERROR(FIND('112'!$M$9,G3493,1)),"",IF((AND(FIND('112'!$M$9,G3493,1)&gt;=1,$B3493&gt;='112'!$N$8,$B3493&lt;='112'!$O$8,OR($L3493='112'!$I$6,$M3493='112'!$I$6))),"x",""))</f>
        <v/>
      </c>
      <c r="S3493" s="52" t="str">
        <f>IF(ISERROR(FIND('112'!$M$9,G3493,1)),"",IF((AND(LEFT(G3493,2)=LEFT('112'!$M$9,2),B3493&lt;'112'!$N$8,$L3493='112'!$I$6)),"x",""))</f>
        <v/>
      </c>
      <c r="T3493" s="52" t="str">
        <f>IF(ISERROR(FIND('112'!$M$9,G3493,1)),"",IF((AND(RIGHT(G3493,2)=RIGHT('112'!$M$9,2),B3493&lt;'112'!$N$8,$M3493='112'!$I$6)),"x",""))</f>
        <v/>
      </c>
      <c r="U3493" s="52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>x</v>
      </c>
      <c r="AA3493" s="826"/>
    </row>
    <row r="3494" spans="1:28" s="887" customFormat="1" ht="15.75" customHeight="1">
      <c r="A3494" s="827" t="str">
        <f>IF(B3494&lt;&gt;"",IF(AND(B3494&gt;=_TM1,B3494&lt;=_TM2,OR(TH!L3494="1111",TH!M3494="1111")),TH!D3494,""),"")</f>
        <v/>
      </c>
      <c r="B3494" s="876">
        <f t="shared" ref="B3494" si="465">IF(C3494&lt;&gt;"",MONTH(C3494),"")</f>
        <v>1</v>
      </c>
      <c r="C3494" s="877">
        <f t="shared" ref="C3494" si="466">E3494</f>
        <v>42373</v>
      </c>
      <c r="D3494" s="878" t="s">
        <v>1663</v>
      </c>
      <c r="E3494" s="877">
        <v>42373</v>
      </c>
      <c r="F3494" s="879" t="s">
        <v>448</v>
      </c>
      <c r="G3494" s="880" t="s">
        <v>1020</v>
      </c>
      <c r="H3494" s="881" t="s">
        <v>1313</v>
      </c>
      <c r="I3494" s="882">
        <v>1000</v>
      </c>
      <c r="J3494" s="882">
        <v>6995.597138763058</v>
      </c>
      <c r="K3494" s="883">
        <f t="shared" si="396"/>
        <v>6995597</v>
      </c>
      <c r="L3494" s="884" t="s">
        <v>857</v>
      </c>
      <c r="M3494" s="884" t="s">
        <v>160</v>
      </c>
      <c r="N3494" s="52" t="str">
        <f>IF(AND('331-CT'!$E$7=TH!H3494,OR(L3494="331",M3494="331")),"331",IF(AND(OR(L3494="131",M3494="131"),H3494='131-CT'!$E$7),"131",""))</f>
        <v/>
      </c>
      <c r="O3494" s="52" t="str">
        <f>IF(AND($B3494&gt;='111'!$N$11,$B3494&lt;='111'!$O$11,OR($L3494=$O$7,$M3494=$O$7)),"x","")</f>
        <v/>
      </c>
      <c r="P3494" s="52" t="str">
        <f>IF(AND($L3494=$O$7,$B3494&lt;'111'!$N$11),"x","")</f>
        <v/>
      </c>
      <c r="Q3494" s="52" t="str">
        <f>IF(AND($M3494=$O$7,$B3494&lt;'111'!$N$11),"x","")</f>
        <v/>
      </c>
      <c r="R3494" s="52" t="str">
        <f>IF(ISERROR(FIND('112'!$M$9,G3494,1)),"",IF((AND(FIND('112'!$M$9,G3494,1)&gt;=1,$B3494&gt;='112'!$N$8,$B3494&lt;='112'!$O$8,OR($L3494='112'!$I$6,$M3494='112'!$I$6))),"x",""))</f>
        <v/>
      </c>
      <c r="S3494" s="52" t="str">
        <f>IF(ISERROR(FIND('112'!$M$9,G3494,1)),"",IF((AND(LEFT(G3494,2)=LEFT('112'!$M$9,2),B3494&lt;'112'!$N$8,$L3494='112'!$I$6)),"x",""))</f>
        <v/>
      </c>
      <c r="T3494" s="52" t="str">
        <f>IF(ISERROR(FIND('112'!$M$9,G3494,1)),"",IF((AND(RIGHT(G3494,2)=RIGHT('112'!$M$9,2),B3494&lt;'112'!$N$8,$M3494='112'!$I$6)),"x",""))</f>
        <v/>
      </c>
      <c r="U3494" s="52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/>
      </c>
      <c r="AA3494" s="885"/>
      <c r="AB3494" s="886"/>
    </row>
    <row r="3495" spans="1:28" s="887" customFormat="1" ht="15.75" customHeight="1">
      <c r="A3495" s="827" t="str">
        <f>IF(B3495&lt;&gt;"",IF(AND(B3495&gt;=_TM1,B3495&lt;=_TM2,OR(TH!L3495="1111",TH!M3495="1111")),TH!D3495,""),"")</f>
        <v/>
      </c>
      <c r="B3495" s="876">
        <f t="shared" ref="B3495:B3539" si="467">IF(C3495&lt;&gt;"",MONTH(C3495),"")</f>
        <v>1</v>
      </c>
      <c r="C3495" s="877">
        <f t="shared" ref="C3495:C3539" si="468">E3495</f>
        <v>42375</v>
      </c>
      <c r="D3495" s="878" t="s">
        <v>1663</v>
      </c>
      <c r="E3495" s="877">
        <v>42375</v>
      </c>
      <c r="F3495" s="888" t="s">
        <v>1024</v>
      </c>
      <c r="G3495" s="880" t="s">
        <v>1022</v>
      </c>
      <c r="H3495" s="881" t="s">
        <v>1313</v>
      </c>
      <c r="I3495" s="882">
        <v>55</v>
      </c>
      <c r="J3495" s="882">
        <v>14711.892593308512</v>
      </c>
      <c r="K3495" s="883">
        <f t="shared" ref="K3495:K3509" si="469">ROUND(I3495*J3495,0)</f>
        <v>809154</v>
      </c>
      <c r="L3495" s="884" t="s">
        <v>857</v>
      </c>
      <c r="M3495" s="884" t="s">
        <v>160</v>
      </c>
      <c r="N3495" s="52" t="str">
        <f>IF(AND('331-CT'!$E$7=TH!H3495,OR(L3495="331",M3495="331")),"331",IF(AND(OR(L3495="131",M3495="131"),H3495='131-CT'!$E$7),"131",""))</f>
        <v/>
      </c>
      <c r="O3495" s="52" t="str">
        <f>IF(AND($B3495&gt;='111'!$N$11,$B3495&lt;='111'!$O$11,OR($L3495=$O$7,$M3495=$O$7)),"x","")</f>
        <v/>
      </c>
      <c r="P3495" s="52" t="str">
        <f>IF(AND($L3495=$O$7,$B3495&lt;'111'!$N$11),"x","")</f>
        <v/>
      </c>
      <c r="Q3495" s="52" t="str">
        <f>IF(AND($M3495=$O$7,$B3495&lt;'111'!$N$11),"x","")</f>
        <v/>
      </c>
      <c r="R3495" s="52" t="str">
        <f>IF(ISERROR(FIND('112'!$M$9,G3495,1)),"",IF((AND(FIND('112'!$M$9,G3495,1)&gt;=1,$B3495&gt;='112'!$N$8,$B3495&lt;='112'!$O$8,OR($L3495='112'!$I$6,$M3495='112'!$I$6))),"x",""))</f>
        <v/>
      </c>
      <c r="S3495" s="52" t="str">
        <f>IF(ISERROR(FIND('112'!$M$9,G3495,1)),"",IF((AND(LEFT(G3495,2)=LEFT('112'!$M$9,2),B3495&lt;'112'!$N$8,$L3495='112'!$I$6)),"x",""))</f>
        <v/>
      </c>
      <c r="T3495" s="52" t="str">
        <f>IF(ISERROR(FIND('112'!$M$9,G3495,1)),"",IF((AND(RIGHT(G3495,2)=RIGHT('112'!$M$9,2),B3495&lt;'112'!$N$8,$M3495='112'!$I$6)),"x",""))</f>
        <v/>
      </c>
      <c r="U3495" s="52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/>
      </c>
      <c r="AA3495" s="885"/>
      <c r="AB3495" s="886"/>
    </row>
    <row r="3496" spans="1:28" s="887" customFormat="1" ht="15.75" customHeight="1">
      <c r="A3496" s="827" t="str">
        <f>IF(B3496&lt;&gt;"",IF(AND(B3496&gt;=_TM1,B3496&lt;=_TM2,OR(TH!L3496="1111",TH!M3496="1111")),TH!D3496,""),"")</f>
        <v/>
      </c>
      <c r="B3496" s="876">
        <f t="shared" si="467"/>
        <v>1</v>
      </c>
      <c r="C3496" s="877">
        <f t="shared" si="468"/>
        <v>42388</v>
      </c>
      <c r="D3496" s="878" t="s">
        <v>1663</v>
      </c>
      <c r="E3496" s="877">
        <v>42388</v>
      </c>
      <c r="F3496" s="888" t="s">
        <v>1303</v>
      </c>
      <c r="G3496" s="880" t="s">
        <v>1028</v>
      </c>
      <c r="H3496" s="881" t="s">
        <v>1313</v>
      </c>
      <c r="I3496" s="882">
        <v>20</v>
      </c>
      <c r="J3496" s="882">
        <v>23165.34713876306</v>
      </c>
      <c r="K3496" s="883">
        <f t="shared" si="469"/>
        <v>463307</v>
      </c>
      <c r="L3496" s="884" t="s">
        <v>857</v>
      </c>
      <c r="M3496" s="884" t="s">
        <v>160</v>
      </c>
      <c r="N3496" s="52" t="str">
        <f>IF(AND('331-CT'!$E$7=TH!H3496,OR(L3496="331",M3496="331")),"331",IF(AND(OR(L3496="131",M3496="131"),H3496='131-CT'!$E$7),"131",""))</f>
        <v/>
      </c>
      <c r="O3496" s="52" t="str">
        <f>IF(AND($B3496&gt;='111'!$N$11,$B3496&lt;='111'!$O$11,OR($L3496=$O$7,$M3496=$O$7)),"x","")</f>
        <v/>
      </c>
      <c r="P3496" s="52" t="str">
        <f>IF(AND($L3496=$O$7,$B3496&lt;'111'!$N$11),"x","")</f>
        <v/>
      </c>
      <c r="Q3496" s="52" t="str">
        <f>IF(AND($M3496=$O$7,$B3496&lt;'111'!$N$11),"x","")</f>
        <v/>
      </c>
      <c r="R3496" s="52" t="str">
        <f>IF(ISERROR(FIND('112'!$M$9,G3496,1)),"",IF((AND(FIND('112'!$M$9,G3496,1)&gt;=1,$B3496&gt;='112'!$N$8,$B3496&lt;='112'!$O$8,OR($L3496='112'!$I$6,$M3496='112'!$I$6))),"x",""))</f>
        <v/>
      </c>
      <c r="S3496" s="52" t="str">
        <f>IF(ISERROR(FIND('112'!$M$9,G3496,1)),"",IF((AND(LEFT(G3496,2)=LEFT('112'!$M$9,2),B3496&lt;'112'!$N$8,$L3496='112'!$I$6)),"x",""))</f>
        <v/>
      </c>
      <c r="T3496" s="52" t="str">
        <f>IF(ISERROR(FIND('112'!$M$9,G3496,1)),"",IF((AND(RIGHT(G3496,2)=RIGHT('112'!$M$9,2),B3496&lt;'112'!$N$8,$M3496='112'!$I$6)),"x",""))</f>
        <v/>
      </c>
      <c r="U3496" s="52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/>
      </c>
      <c r="AA3496" s="885"/>
      <c r="AB3496" s="886"/>
    </row>
    <row r="3497" spans="1:28" s="887" customFormat="1" ht="15.75" customHeight="1">
      <c r="A3497" s="827" t="str">
        <f>IF(B3497&lt;&gt;"",IF(AND(B3497&gt;=_TM1,B3497&lt;=_TM2,OR(TH!L3497="1111",TH!M3497="1111")),TH!D3497,""),"")</f>
        <v/>
      </c>
      <c r="B3497" s="876">
        <f t="shared" si="467"/>
        <v>1</v>
      </c>
      <c r="C3497" s="877">
        <f t="shared" si="468"/>
        <v>42388</v>
      </c>
      <c r="D3497" s="878" t="s">
        <v>1663</v>
      </c>
      <c r="E3497" s="877">
        <v>42388</v>
      </c>
      <c r="F3497" s="879" t="s">
        <v>1304</v>
      </c>
      <c r="G3497" s="880" t="s">
        <v>1028</v>
      </c>
      <c r="H3497" s="881" t="s">
        <v>1313</v>
      </c>
      <c r="I3497" s="882">
        <v>50</v>
      </c>
      <c r="J3497" s="882">
        <v>5444.1471387630581</v>
      </c>
      <c r="K3497" s="883">
        <f t="shared" si="469"/>
        <v>272207</v>
      </c>
      <c r="L3497" s="884" t="s">
        <v>857</v>
      </c>
      <c r="M3497" s="884" t="s">
        <v>160</v>
      </c>
      <c r="N3497" s="52" t="str">
        <f>IF(AND('331-CT'!$E$7=TH!H3497,OR(L3497="331",M3497="331")),"331",IF(AND(OR(L3497="131",M3497="131"),H3497='131-CT'!$E$7),"131",""))</f>
        <v/>
      </c>
      <c r="O3497" s="52" t="str">
        <f>IF(AND($B3497&gt;='111'!$N$11,$B3497&lt;='111'!$O$11,OR($L3497=$O$7,$M3497=$O$7)),"x","")</f>
        <v/>
      </c>
      <c r="P3497" s="52" t="str">
        <f>IF(AND($L3497=$O$7,$B3497&lt;'111'!$N$11),"x","")</f>
        <v/>
      </c>
      <c r="Q3497" s="52" t="str">
        <f>IF(AND($M3497=$O$7,$B3497&lt;'111'!$N$11),"x","")</f>
        <v/>
      </c>
      <c r="R3497" s="52" t="str">
        <f>IF(ISERROR(FIND('112'!$M$9,G3497,1)),"",IF((AND(FIND('112'!$M$9,G3497,1)&gt;=1,$B3497&gt;='112'!$N$8,$B3497&lt;='112'!$O$8,OR($L3497='112'!$I$6,$M3497='112'!$I$6))),"x",""))</f>
        <v/>
      </c>
      <c r="S3497" s="52" t="str">
        <f>IF(ISERROR(FIND('112'!$M$9,G3497,1)),"",IF((AND(LEFT(G3497,2)=LEFT('112'!$M$9,2),B3497&lt;'112'!$N$8,$L3497='112'!$I$6)),"x",""))</f>
        <v/>
      </c>
      <c r="T3497" s="52" t="str">
        <f>IF(ISERROR(FIND('112'!$M$9,G3497,1)),"",IF((AND(RIGHT(G3497,2)=RIGHT('112'!$M$9,2),B3497&lt;'112'!$N$8,$M3497='112'!$I$6)),"x",""))</f>
        <v/>
      </c>
      <c r="U3497" s="52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/>
      </c>
      <c r="AA3497" s="885"/>
      <c r="AB3497" s="886"/>
    </row>
    <row r="3498" spans="1:28" s="887" customFormat="1" ht="15.75" customHeight="1">
      <c r="A3498" s="827" t="str">
        <f>IF(B3498&lt;&gt;"",IF(AND(B3498&gt;=_TM1,B3498&lt;=_TM2,OR(TH!L3498="1111",TH!M3498="1111")),TH!D3498,""),"")</f>
        <v/>
      </c>
      <c r="B3498" s="876">
        <f t="shared" si="467"/>
        <v>2</v>
      </c>
      <c r="C3498" s="877">
        <f t="shared" si="468"/>
        <v>42401</v>
      </c>
      <c r="D3498" s="878" t="s">
        <v>1663</v>
      </c>
      <c r="E3498" s="877">
        <v>42401</v>
      </c>
      <c r="F3498" s="888" t="s">
        <v>448</v>
      </c>
      <c r="G3498" s="880" t="s">
        <v>1038</v>
      </c>
      <c r="H3498" s="881" t="s">
        <v>1313</v>
      </c>
      <c r="I3498" s="882">
        <v>1000</v>
      </c>
      <c r="J3498" s="882">
        <v>8750.3471387630598</v>
      </c>
      <c r="K3498" s="883">
        <f t="shared" si="469"/>
        <v>8750347</v>
      </c>
      <c r="L3498" s="884" t="s">
        <v>857</v>
      </c>
      <c r="M3498" s="884" t="s">
        <v>160</v>
      </c>
      <c r="N3498" s="52" t="str">
        <f>IF(AND('331-CT'!$E$7=TH!H3498,OR(L3498="331",M3498="331")),"331",IF(AND(OR(L3498="131",M3498="131"),H3498='131-CT'!$E$7),"131",""))</f>
        <v/>
      </c>
      <c r="O3498" s="52" t="str">
        <f>IF(AND($B3498&gt;='111'!$N$11,$B3498&lt;='111'!$O$11,OR($L3498=$O$7,$M3498=$O$7)),"x","")</f>
        <v/>
      </c>
      <c r="P3498" s="52" t="str">
        <f>IF(AND($L3498=$O$7,$B3498&lt;'111'!$N$11),"x","")</f>
        <v/>
      </c>
      <c r="Q3498" s="52" t="str">
        <f>IF(AND($M3498=$O$7,$B3498&lt;'111'!$N$11),"x","")</f>
        <v/>
      </c>
      <c r="R3498" s="52" t="str">
        <f>IF(ISERROR(FIND('112'!$M$9,G3498,1)),"",IF((AND(FIND('112'!$M$9,G3498,1)&gt;=1,$B3498&gt;='112'!$N$8,$B3498&lt;='112'!$O$8,OR($L3498='112'!$I$6,$M3498='112'!$I$6))),"x",""))</f>
        <v/>
      </c>
      <c r="S3498" s="52" t="str">
        <f>IF(ISERROR(FIND('112'!$M$9,G3498,1)),"",IF((AND(LEFT(G3498,2)=LEFT('112'!$M$9,2),B3498&lt;'112'!$N$8,$L3498='112'!$I$6)),"x",""))</f>
        <v/>
      </c>
      <c r="T3498" s="52" t="str">
        <f>IF(ISERROR(FIND('112'!$M$9,G3498,1)),"",IF((AND(RIGHT(G3498,2)=RIGHT('112'!$M$9,2),B3498&lt;'112'!$N$8,$M3498='112'!$I$6)),"x",""))</f>
        <v/>
      </c>
      <c r="U3498" s="52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/>
      </c>
      <c r="AA3498" s="885"/>
      <c r="AB3498" s="886"/>
    </row>
    <row r="3499" spans="1:28" s="887" customFormat="1" ht="15.75" customHeight="1">
      <c r="A3499" s="827" t="str">
        <f>IF(B3499&lt;&gt;"",IF(AND(B3499&gt;=_TM1,B3499&lt;=_TM2,OR(TH!L3499="1111",TH!M3499="1111")),TH!D3499,""),"")</f>
        <v/>
      </c>
      <c r="B3499" s="876">
        <f t="shared" si="467"/>
        <v>2</v>
      </c>
      <c r="C3499" s="877">
        <f t="shared" si="468"/>
        <v>42429</v>
      </c>
      <c r="D3499" s="878" t="s">
        <v>1663</v>
      </c>
      <c r="E3499" s="877">
        <v>42429</v>
      </c>
      <c r="F3499" s="879" t="s">
        <v>1007</v>
      </c>
      <c r="G3499" s="880" t="s">
        <v>1054</v>
      </c>
      <c r="H3499" s="881" t="s">
        <v>1313</v>
      </c>
      <c r="I3499" s="882">
        <v>12</v>
      </c>
      <c r="J3499" s="882">
        <v>30592.847138763056</v>
      </c>
      <c r="K3499" s="883">
        <f t="shared" si="469"/>
        <v>367114</v>
      </c>
      <c r="L3499" s="884" t="s">
        <v>857</v>
      </c>
      <c r="M3499" s="884" t="s">
        <v>160</v>
      </c>
      <c r="N3499" s="52" t="str">
        <f>IF(AND('331-CT'!$E$7=TH!H3499,OR(L3499="331",M3499="331")),"331",IF(AND(OR(L3499="131",M3499="131"),H3499='131-CT'!$E$7),"131",""))</f>
        <v/>
      </c>
      <c r="O3499" s="52" t="str">
        <f>IF(AND($B3499&gt;='111'!$N$11,$B3499&lt;='111'!$O$11,OR($L3499=$O$7,$M3499=$O$7)),"x","")</f>
        <v/>
      </c>
      <c r="P3499" s="52" t="str">
        <f>IF(AND($L3499=$O$7,$B3499&lt;'111'!$N$11),"x","")</f>
        <v/>
      </c>
      <c r="Q3499" s="52" t="str">
        <f>IF(AND($M3499=$O$7,$B3499&lt;'111'!$N$11),"x","")</f>
        <v/>
      </c>
      <c r="R3499" s="52" t="str">
        <f>IF(ISERROR(FIND('112'!$M$9,G3499,1)),"",IF((AND(FIND('112'!$M$9,G3499,1)&gt;=1,$B3499&gt;='112'!$N$8,$B3499&lt;='112'!$O$8,OR($L3499='112'!$I$6,$M3499='112'!$I$6))),"x",""))</f>
        <v/>
      </c>
      <c r="S3499" s="52" t="str">
        <f>IF(ISERROR(FIND('112'!$M$9,G3499,1)),"",IF((AND(LEFT(G3499,2)=LEFT('112'!$M$9,2),B3499&lt;'112'!$N$8,$L3499='112'!$I$6)),"x",""))</f>
        <v/>
      </c>
      <c r="T3499" s="52" t="str">
        <f>IF(ISERROR(FIND('112'!$M$9,G3499,1)),"",IF((AND(RIGHT(G3499,2)=RIGHT('112'!$M$9,2),B3499&lt;'112'!$N$8,$M3499='112'!$I$6)),"x",""))</f>
        <v/>
      </c>
      <c r="U3499" s="52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/>
      </c>
      <c r="AA3499" s="885"/>
      <c r="AB3499" s="886"/>
    </row>
    <row r="3500" spans="1:28" s="887" customFormat="1" ht="15.75" customHeight="1">
      <c r="A3500" s="827" t="str">
        <f>IF(B3500&lt;&gt;"",IF(AND(B3500&gt;=_TM1,B3500&lt;=_TM2,OR(TH!L3500="1111",TH!M3500="1111")),TH!D3500,""),"")</f>
        <v/>
      </c>
      <c r="B3500" s="876">
        <f t="shared" si="467"/>
        <v>3</v>
      </c>
      <c r="C3500" s="877">
        <f t="shared" si="468"/>
        <v>42433</v>
      </c>
      <c r="D3500" s="878" t="s">
        <v>1663</v>
      </c>
      <c r="E3500" s="877">
        <v>42433</v>
      </c>
      <c r="F3500" s="879" t="s">
        <v>1057</v>
      </c>
      <c r="G3500" s="880" t="s">
        <v>1056</v>
      </c>
      <c r="H3500" s="881" t="s">
        <v>1313</v>
      </c>
      <c r="I3500" s="882">
        <v>200</v>
      </c>
      <c r="J3500" s="882">
        <v>6225.142138763058</v>
      </c>
      <c r="K3500" s="883">
        <f t="shared" si="469"/>
        <v>1245028</v>
      </c>
      <c r="L3500" s="884" t="s">
        <v>857</v>
      </c>
      <c r="M3500" s="884" t="s">
        <v>160</v>
      </c>
      <c r="N3500" s="52" t="str">
        <f>IF(AND('331-CT'!$E$7=TH!H3500,OR(L3500="331",M3500="331")),"331",IF(AND(OR(L3500="131",M3500="131"),H3500='131-CT'!$E$7),"131",""))</f>
        <v/>
      </c>
      <c r="O3500" s="52" t="str">
        <f>IF(AND($B3500&gt;='111'!$N$11,$B3500&lt;='111'!$O$11,OR($L3500=$O$7,$M3500=$O$7)),"x","")</f>
        <v/>
      </c>
      <c r="P3500" s="52" t="str">
        <f>IF(AND($L3500=$O$7,$B3500&lt;'111'!$N$11),"x","")</f>
        <v/>
      </c>
      <c r="Q3500" s="52" t="str">
        <f>IF(AND($M3500=$O$7,$B3500&lt;'111'!$N$11),"x","")</f>
        <v/>
      </c>
      <c r="R3500" s="52" t="str">
        <f>IF(ISERROR(FIND('112'!$M$9,G3500,1)),"",IF((AND(FIND('112'!$M$9,G3500,1)&gt;=1,$B3500&gt;='112'!$N$8,$B3500&lt;='112'!$O$8,OR($L3500='112'!$I$6,$M3500='112'!$I$6))),"x",""))</f>
        <v/>
      </c>
      <c r="S3500" s="52" t="str">
        <f>IF(ISERROR(FIND('112'!$M$9,G3500,1)),"",IF((AND(LEFT(G3500,2)=LEFT('112'!$M$9,2),B3500&lt;'112'!$N$8,$L3500='112'!$I$6)),"x",""))</f>
        <v/>
      </c>
      <c r="T3500" s="52" t="str">
        <f>IF(ISERROR(FIND('112'!$M$9,G3500,1)),"",IF((AND(RIGHT(G3500,2)=RIGHT('112'!$M$9,2),B3500&lt;'112'!$N$8,$M3500='112'!$I$6)),"x",""))</f>
        <v/>
      </c>
      <c r="U3500" s="52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/>
      </c>
      <c r="AA3500" s="885"/>
      <c r="AB3500" s="886"/>
    </row>
    <row r="3501" spans="1:28" s="887" customFormat="1" ht="15.75" customHeight="1">
      <c r="A3501" s="827" t="str">
        <f>IF(B3501&lt;&gt;"",IF(AND(B3501&gt;=_TM1,B3501&lt;=_TM2,OR(TH!L3501="1111",TH!M3501="1111")),TH!D3501,""),"")</f>
        <v/>
      </c>
      <c r="B3501" s="876">
        <f t="shared" si="467"/>
        <v>3</v>
      </c>
      <c r="C3501" s="877">
        <f t="shared" si="468"/>
        <v>42449</v>
      </c>
      <c r="D3501" s="878" t="s">
        <v>1663</v>
      </c>
      <c r="E3501" s="877">
        <v>42449</v>
      </c>
      <c r="F3501" s="888" t="s">
        <v>451</v>
      </c>
      <c r="G3501" s="880" t="s">
        <v>1072</v>
      </c>
      <c r="H3501" s="881" t="s">
        <v>1313</v>
      </c>
      <c r="I3501" s="882">
        <v>100</v>
      </c>
      <c r="J3501" s="882">
        <v>13417.347138763058</v>
      </c>
      <c r="K3501" s="883">
        <f t="shared" si="469"/>
        <v>1341735</v>
      </c>
      <c r="L3501" s="884" t="s">
        <v>857</v>
      </c>
      <c r="M3501" s="884" t="s">
        <v>160</v>
      </c>
      <c r="N3501" s="52" t="str">
        <f>IF(AND('331-CT'!$E$7=TH!H3501,OR(L3501="331",M3501="331")),"331",IF(AND(OR(L3501="131",M3501="131"),H3501='131-CT'!$E$7),"131",""))</f>
        <v/>
      </c>
      <c r="O3501" s="52" t="str">
        <f>IF(AND($B3501&gt;='111'!$N$11,$B3501&lt;='111'!$O$11,OR($L3501=$O$7,$M3501=$O$7)),"x","")</f>
        <v/>
      </c>
      <c r="P3501" s="52" t="str">
        <f>IF(AND($L3501=$O$7,$B3501&lt;'111'!$N$11),"x","")</f>
        <v/>
      </c>
      <c r="Q3501" s="52" t="str">
        <f>IF(AND($M3501=$O$7,$B3501&lt;'111'!$N$11),"x","")</f>
        <v/>
      </c>
      <c r="R3501" s="52" t="str">
        <f>IF(ISERROR(FIND('112'!$M$9,G3501,1)),"",IF((AND(FIND('112'!$M$9,G3501,1)&gt;=1,$B3501&gt;='112'!$N$8,$B3501&lt;='112'!$O$8,OR($L3501='112'!$I$6,$M3501='112'!$I$6))),"x",""))</f>
        <v/>
      </c>
      <c r="S3501" s="52" t="str">
        <f>IF(ISERROR(FIND('112'!$M$9,G3501,1)),"",IF((AND(LEFT(G3501,2)=LEFT('112'!$M$9,2),B3501&lt;'112'!$N$8,$L3501='112'!$I$6)),"x",""))</f>
        <v/>
      </c>
      <c r="T3501" s="52" t="str">
        <f>IF(ISERROR(FIND('112'!$M$9,G3501,1)),"",IF((AND(RIGHT(G3501,2)=RIGHT('112'!$M$9,2),B3501&lt;'112'!$N$8,$M3501='112'!$I$6)),"x",""))</f>
        <v/>
      </c>
      <c r="U3501" s="52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>x</v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/>
      </c>
      <c r="AA3501" s="885"/>
      <c r="AB3501" s="886"/>
    </row>
    <row r="3502" spans="1:28" s="887" customFormat="1" ht="15.75" customHeight="1">
      <c r="A3502" s="827" t="str">
        <f>IF(B3502&lt;&gt;"",IF(AND(B3502&gt;=_TM1,B3502&lt;=_TM2,OR(TH!L3502="1111",TH!M3502="1111")),TH!D3502,""),"")</f>
        <v/>
      </c>
      <c r="B3502" s="876">
        <f t="shared" si="467"/>
        <v>1</v>
      </c>
      <c r="C3502" s="877">
        <f t="shared" si="468"/>
        <v>42373</v>
      </c>
      <c r="D3502" s="878" t="s">
        <v>1663</v>
      </c>
      <c r="E3502" s="877">
        <v>42373</v>
      </c>
      <c r="F3502" s="879" t="s">
        <v>1178</v>
      </c>
      <c r="G3502" s="880" t="s">
        <v>1019</v>
      </c>
      <c r="H3502" s="881" t="s">
        <v>1313</v>
      </c>
      <c r="I3502" s="882">
        <v>850</v>
      </c>
      <c r="J3502" s="882">
        <v>32048.427138763058</v>
      </c>
      <c r="K3502" s="883">
        <f t="shared" si="469"/>
        <v>27241163</v>
      </c>
      <c r="L3502" s="884" t="s">
        <v>857</v>
      </c>
      <c r="M3502" s="884" t="s">
        <v>160</v>
      </c>
      <c r="N3502" s="52" t="str">
        <f>IF(AND('331-CT'!$E$7=TH!H3502,OR(L3502="331",M3502="331")),"331",IF(AND(OR(L3502="131",M3502="131"),H3502='131-CT'!$E$7),"131",""))</f>
        <v/>
      </c>
      <c r="O3502" s="52" t="str">
        <f>IF(AND($B3502&gt;='111'!$N$11,$B3502&lt;='111'!$O$11,OR($L3502=$O$7,$M3502=$O$7)),"x","")</f>
        <v/>
      </c>
      <c r="P3502" s="52" t="str">
        <f>IF(AND($L3502=$O$7,$B3502&lt;'111'!$N$11),"x","")</f>
        <v/>
      </c>
      <c r="Q3502" s="52" t="str">
        <f>IF(AND($M3502=$O$7,$B3502&lt;'111'!$N$11),"x","")</f>
        <v/>
      </c>
      <c r="R3502" s="52" t="str">
        <f>IF(ISERROR(FIND('112'!$M$9,G3502,1)),"",IF((AND(FIND('112'!$M$9,G3502,1)&gt;=1,$B3502&gt;='112'!$N$8,$B3502&lt;='112'!$O$8,OR($L3502='112'!$I$6,$M3502='112'!$I$6))),"x",""))</f>
        <v/>
      </c>
      <c r="S3502" s="52" t="str">
        <f>IF(ISERROR(FIND('112'!$M$9,G3502,1)),"",IF((AND(LEFT(G3502,2)=LEFT('112'!$M$9,2),B3502&lt;'112'!$N$8,$L3502='112'!$I$6)),"x",""))</f>
        <v/>
      </c>
      <c r="T3502" s="52" t="str">
        <f>IF(ISERROR(FIND('112'!$M$9,G3502,1)),"",IF((AND(RIGHT(G3502,2)=RIGHT('112'!$M$9,2),B3502&lt;'112'!$N$8,$M3502='112'!$I$6)),"x",""))</f>
        <v/>
      </c>
      <c r="U3502" s="52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/>
      </c>
      <c r="AA3502" s="885"/>
      <c r="AB3502" s="886"/>
    </row>
    <row r="3503" spans="1:28" s="887" customFormat="1" ht="15.75" customHeight="1">
      <c r="A3503" s="827" t="str">
        <f>IF(B3503&lt;&gt;"",IF(AND(B3503&gt;=_TM1,B3503&lt;=_TM2,OR(TH!L3503="1111",TH!M3503="1111")),TH!D3503,""),"")</f>
        <v/>
      </c>
      <c r="B3503" s="876">
        <f t="shared" si="467"/>
        <v>1</v>
      </c>
      <c r="C3503" s="877">
        <f t="shared" si="468"/>
        <v>42377</v>
      </c>
      <c r="D3503" s="878" t="s">
        <v>1663</v>
      </c>
      <c r="E3503" s="877">
        <v>42377</v>
      </c>
      <c r="F3503" s="879" t="s">
        <v>922</v>
      </c>
      <c r="G3503" s="880" t="s">
        <v>1025</v>
      </c>
      <c r="H3503" s="881" t="s">
        <v>1313</v>
      </c>
      <c r="I3503" s="882">
        <v>200</v>
      </c>
      <c r="J3503" s="882">
        <v>14598.847138763058</v>
      </c>
      <c r="K3503" s="883">
        <f t="shared" si="469"/>
        <v>2919769</v>
      </c>
      <c r="L3503" s="884" t="s">
        <v>857</v>
      </c>
      <c r="M3503" s="884" t="s">
        <v>160</v>
      </c>
      <c r="N3503" s="52" t="str">
        <f>IF(AND('331-CT'!$E$7=TH!H3503,OR(L3503="331",M3503="331")),"331",IF(AND(OR(L3503="131",M3503="131"),H3503='131-CT'!$E$7),"131",""))</f>
        <v/>
      </c>
      <c r="O3503" s="52" t="str">
        <f>IF(AND($B3503&gt;='111'!$N$11,$B3503&lt;='111'!$O$11,OR($L3503=$O$7,$M3503=$O$7)),"x","")</f>
        <v/>
      </c>
      <c r="P3503" s="52" t="str">
        <f>IF(AND($L3503=$O$7,$B3503&lt;'111'!$N$11),"x","")</f>
        <v/>
      </c>
      <c r="Q3503" s="52" t="str">
        <f>IF(AND($M3503=$O$7,$B3503&lt;'111'!$N$11),"x","")</f>
        <v/>
      </c>
      <c r="R3503" s="52" t="str">
        <f>IF(ISERROR(FIND('112'!$M$9,G3503,1)),"",IF((AND(FIND('112'!$M$9,G3503,1)&gt;=1,$B3503&gt;='112'!$N$8,$B3503&lt;='112'!$O$8,OR($L3503='112'!$I$6,$M3503='112'!$I$6))),"x",""))</f>
        <v/>
      </c>
      <c r="S3503" s="52" t="str">
        <f>IF(ISERROR(FIND('112'!$M$9,G3503,1)),"",IF((AND(LEFT(G3503,2)=LEFT('112'!$M$9,2),B3503&lt;'112'!$N$8,$L3503='112'!$I$6)),"x",""))</f>
        <v/>
      </c>
      <c r="T3503" s="52" t="str">
        <f>IF(ISERROR(FIND('112'!$M$9,G3503,1)),"",IF((AND(RIGHT(G3503,2)=RIGHT('112'!$M$9,2),B3503&lt;'112'!$N$8,$M3503='112'!$I$6)),"x",""))</f>
        <v/>
      </c>
      <c r="U3503" s="52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/>
      </c>
      <c r="AA3503" s="885"/>
      <c r="AB3503" s="886"/>
    </row>
    <row r="3504" spans="1:28" s="887" customFormat="1" ht="15.75" customHeight="1">
      <c r="A3504" s="827" t="str">
        <f>IF(B3504&lt;&gt;"",IF(AND(B3504&gt;=_TM1,B3504&lt;=_TM2,OR(TH!L3504="1111",TH!M3504="1111")),TH!D3504,""),"")</f>
        <v/>
      </c>
      <c r="B3504" s="876">
        <f t="shared" si="467"/>
        <v>1</v>
      </c>
      <c r="C3504" s="877">
        <f t="shared" si="468"/>
        <v>42381</v>
      </c>
      <c r="D3504" s="878" t="s">
        <v>1663</v>
      </c>
      <c r="E3504" s="877">
        <v>42381</v>
      </c>
      <c r="F3504" s="888" t="s">
        <v>659</v>
      </c>
      <c r="G3504" s="880" t="s">
        <v>1026</v>
      </c>
      <c r="H3504" s="881" t="s">
        <v>1313</v>
      </c>
      <c r="I3504" s="882">
        <v>1000</v>
      </c>
      <c r="J3504" s="882">
        <v>10087.42713876306</v>
      </c>
      <c r="K3504" s="883">
        <f t="shared" si="469"/>
        <v>10087427</v>
      </c>
      <c r="L3504" s="884" t="s">
        <v>857</v>
      </c>
      <c r="M3504" s="884" t="s">
        <v>160</v>
      </c>
      <c r="N3504" s="52" t="str">
        <f>IF(AND('331-CT'!$E$7=TH!H3504,OR(L3504="331",M3504="331")),"331",IF(AND(OR(L3504="131",M3504="131"),H3504='131-CT'!$E$7),"131",""))</f>
        <v/>
      </c>
      <c r="O3504" s="52" t="str">
        <f>IF(AND($B3504&gt;='111'!$N$11,$B3504&lt;='111'!$O$11,OR($L3504=$O$7,$M3504=$O$7)),"x","")</f>
        <v/>
      </c>
      <c r="P3504" s="52" t="str">
        <f>IF(AND($L3504=$O$7,$B3504&lt;'111'!$N$11),"x","")</f>
        <v/>
      </c>
      <c r="Q3504" s="52" t="str">
        <f>IF(AND($M3504=$O$7,$B3504&lt;'111'!$N$11),"x","")</f>
        <v/>
      </c>
      <c r="R3504" s="52" t="str">
        <f>IF(ISERROR(FIND('112'!$M$9,G3504,1)),"",IF((AND(FIND('112'!$M$9,G3504,1)&gt;=1,$B3504&gt;='112'!$N$8,$B3504&lt;='112'!$O$8,OR($L3504='112'!$I$6,$M3504='112'!$I$6))),"x",""))</f>
        <v/>
      </c>
      <c r="S3504" s="52" t="str">
        <f>IF(ISERROR(FIND('112'!$M$9,G3504,1)),"",IF((AND(LEFT(G3504,2)=LEFT('112'!$M$9,2),B3504&lt;'112'!$N$8,$L3504='112'!$I$6)),"x",""))</f>
        <v/>
      </c>
      <c r="T3504" s="52" t="str">
        <f>IF(ISERROR(FIND('112'!$M$9,G3504,1)),"",IF((AND(RIGHT(G3504,2)=RIGHT('112'!$M$9,2),B3504&lt;'112'!$N$8,$M3504='112'!$I$6)),"x",""))</f>
        <v/>
      </c>
      <c r="U3504" s="52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/>
      </c>
      <c r="AA3504" s="885"/>
      <c r="AB3504" s="886"/>
    </row>
    <row r="3505" spans="1:28" s="887" customFormat="1" ht="15.75" customHeight="1">
      <c r="A3505" s="827" t="str">
        <f>IF(B3505&lt;&gt;"",IF(AND(B3505&gt;=_TM1,B3505&lt;=_TM2,OR(TH!L3505="1111",TH!M3505="1111")),TH!D3505,""),"")</f>
        <v/>
      </c>
      <c r="B3505" s="876">
        <f t="shared" si="467"/>
        <v>1</v>
      </c>
      <c r="C3505" s="877">
        <f t="shared" si="468"/>
        <v>42388</v>
      </c>
      <c r="D3505" s="878" t="s">
        <v>1663</v>
      </c>
      <c r="E3505" s="877">
        <v>42388</v>
      </c>
      <c r="F3505" s="879" t="s">
        <v>924</v>
      </c>
      <c r="G3505" s="880" t="s">
        <v>1027</v>
      </c>
      <c r="H3505" s="881" t="s">
        <v>1313</v>
      </c>
      <c r="I3505" s="889">
        <v>450</v>
      </c>
      <c r="J3505" s="889">
        <v>23837.236027651947</v>
      </c>
      <c r="K3505" s="883">
        <f t="shared" si="469"/>
        <v>10726756</v>
      </c>
      <c r="L3505" s="884" t="s">
        <v>857</v>
      </c>
      <c r="M3505" s="884" t="s">
        <v>160</v>
      </c>
      <c r="N3505" s="52" t="str">
        <f>IF(AND('331-CT'!$E$7=TH!H3505,OR(L3505="331",M3505="331")),"331",IF(AND(OR(L3505="131",M3505="131"),H3505='131-CT'!$E$7),"131",""))</f>
        <v/>
      </c>
      <c r="O3505" s="52" t="str">
        <f>IF(AND($B3505&gt;='111'!$N$11,$B3505&lt;='111'!$O$11,OR($L3505=$O$7,$M3505=$O$7)),"x","")</f>
        <v/>
      </c>
      <c r="P3505" s="52" t="str">
        <f>IF(AND($L3505=$O$7,$B3505&lt;'111'!$N$11),"x","")</f>
        <v/>
      </c>
      <c r="Q3505" s="52" t="str">
        <f>IF(AND($M3505=$O$7,$B3505&lt;'111'!$N$11),"x","")</f>
        <v/>
      </c>
      <c r="R3505" s="52" t="str">
        <f>IF(ISERROR(FIND('112'!$M$9,G3505,1)),"",IF((AND(FIND('112'!$M$9,G3505,1)&gt;=1,$B3505&gt;='112'!$N$8,$B3505&lt;='112'!$O$8,OR($L3505='112'!$I$6,$M3505='112'!$I$6))),"x",""))</f>
        <v/>
      </c>
      <c r="S3505" s="52" t="str">
        <f>IF(ISERROR(FIND('112'!$M$9,G3505,1)),"",IF((AND(LEFT(G3505,2)=LEFT('112'!$M$9,2),B3505&lt;'112'!$N$8,$L3505='112'!$I$6)),"x",""))</f>
        <v/>
      </c>
      <c r="T3505" s="52" t="str">
        <f>IF(ISERROR(FIND('112'!$M$9,G3505,1)),"",IF((AND(RIGHT(G3505,2)=RIGHT('112'!$M$9,2),B3505&lt;'112'!$N$8,$M3505='112'!$I$6)),"x",""))</f>
        <v/>
      </c>
      <c r="U3505" s="52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/>
      </c>
      <c r="AA3505" s="885"/>
      <c r="AB3505" s="886"/>
    </row>
    <row r="3506" spans="1:28" s="887" customFormat="1" ht="15.75" customHeight="1">
      <c r="A3506" s="827" t="str">
        <f>IF(B3506&lt;&gt;"",IF(AND(B3506&gt;=_TM1,B3506&lt;=_TM2,OR(TH!L3506="1111",TH!M3506="1111")),TH!D3506,""),"")</f>
        <v/>
      </c>
      <c r="B3506" s="876">
        <f t="shared" si="467"/>
        <v>1</v>
      </c>
      <c r="C3506" s="877">
        <f t="shared" si="468"/>
        <v>42394</v>
      </c>
      <c r="D3506" s="878" t="s">
        <v>1663</v>
      </c>
      <c r="E3506" s="877">
        <v>42394</v>
      </c>
      <c r="F3506" s="888" t="s">
        <v>930</v>
      </c>
      <c r="G3506" s="880" t="s">
        <v>1029</v>
      </c>
      <c r="H3506" s="881" t="s">
        <v>1313</v>
      </c>
      <c r="I3506" s="882">
        <v>270</v>
      </c>
      <c r="J3506" s="882">
        <v>24465.680472096392</v>
      </c>
      <c r="K3506" s="883">
        <f t="shared" si="469"/>
        <v>6605734</v>
      </c>
      <c r="L3506" s="884" t="s">
        <v>857</v>
      </c>
      <c r="M3506" s="884" t="s">
        <v>160</v>
      </c>
      <c r="N3506" s="52" t="str">
        <f>IF(AND('331-CT'!$E$7=TH!H3506,OR(L3506="331",M3506="331")),"331",IF(AND(OR(L3506="131",M3506="131"),H3506='131-CT'!$E$7),"131",""))</f>
        <v/>
      </c>
      <c r="O3506" s="52" t="str">
        <f>IF(AND($B3506&gt;='111'!$N$11,$B3506&lt;='111'!$O$11,OR($L3506=$O$7,$M3506=$O$7)),"x","")</f>
        <v/>
      </c>
      <c r="P3506" s="52" t="str">
        <f>IF(AND($L3506=$O$7,$B3506&lt;'111'!$N$11),"x","")</f>
        <v/>
      </c>
      <c r="Q3506" s="52" t="str">
        <f>IF(AND($M3506=$O$7,$B3506&lt;'111'!$N$11),"x","")</f>
        <v/>
      </c>
      <c r="R3506" s="52" t="str">
        <f>IF(ISERROR(FIND('112'!$M$9,G3506,1)),"",IF((AND(FIND('112'!$M$9,G3506,1)&gt;=1,$B3506&gt;='112'!$N$8,$B3506&lt;='112'!$O$8,OR($L3506='112'!$I$6,$M3506='112'!$I$6))),"x",""))</f>
        <v/>
      </c>
      <c r="S3506" s="52" t="str">
        <f>IF(ISERROR(FIND('112'!$M$9,G3506,1)),"",IF((AND(LEFT(G3506,2)=LEFT('112'!$M$9,2),B3506&lt;'112'!$N$8,$L3506='112'!$I$6)),"x",""))</f>
        <v/>
      </c>
      <c r="T3506" s="52" t="str">
        <f>IF(ISERROR(FIND('112'!$M$9,G3506,1)),"",IF((AND(RIGHT(G3506,2)=RIGHT('112'!$M$9,2),B3506&lt;'112'!$N$8,$M3506='112'!$I$6)),"x",""))</f>
        <v/>
      </c>
      <c r="U3506" s="52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/>
      </c>
      <c r="AA3506" s="885"/>
      <c r="AB3506" s="886"/>
    </row>
    <row r="3507" spans="1:28" s="887" customFormat="1" ht="15.75" customHeight="1">
      <c r="A3507" s="827" t="str">
        <f>IF(B3507&lt;&gt;"",IF(AND(B3507&gt;=_TM1,B3507&lt;=_TM2,OR(TH!L3507="1111",TH!M3507="1111")),TH!D3507,""),"")</f>
        <v/>
      </c>
      <c r="B3507" s="876">
        <f t="shared" si="467"/>
        <v>1</v>
      </c>
      <c r="C3507" s="877">
        <f t="shared" si="468"/>
        <v>42399</v>
      </c>
      <c r="D3507" s="878" t="s">
        <v>1663</v>
      </c>
      <c r="E3507" s="877">
        <v>42399</v>
      </c>
      <c r="F3507" s="888" t="s">
        <v>664</v>
      </c>
      <c r="G3507" s="880" t="s">
        <v>1032</v>
      </c>
      <c r="H3507" s="881" t="s">
        <v>1313</v>
      </c>
      <c r="I3507" s="882">
        <v>210</v>
      </c>
      <c r="J3507" s="882">
        <v>84706.347138763056</v>
      </c>
      <c r="K3507" s="883">
        <f t="shared" si="469"/>
        <v>17788333</v>
      </c>
      <c r="L3507" s="884" t="s">
        <v>857</v>
      </c>
      <c r="M3507" s="884" t="s">
        <v>160</v>
      </c>
      <c r="N3507" s="52" t="str">
        <f>IF(AND('331-CT'!$E$7=TH!H3507,OR(L3507="331",M3507="331")),"331",IF(AND(OR(L3507="131",M3507="131"),H3507='131-CT'!$E$7),"131",""))</f>
        <v/>
      </c>
      <c r="O3507" s="52" t="str">
        <f>IF(AND($B3507&gt;='111'!$N$11,$B3507&lt;='111'!$O$11,OR($L3507=$O$7,$M3507=$O$7)),"x","")</f>
        <v/>
      </c>
      <c r="P3507" s="52" t="str">
        <f>IF(AND($L3507=$O$7,$B3507&lt;'111'!$N$11),"x","")</f>
        <v/>
      </c>
      <c r="Q3507" s="52" t="str">
        <f>IF(AND($M3507=$O$7,$B3507&lt;'111'!$N$11),"x","")</f>
        <v/>
      </c>
      <c r="R3507" s="52" t="str">
        <f>IF(ISERROR(FIND('112'!$M$9,G3507,1)),"",IF((AND(FIND('112'!$M$9,G3507,1)&gt;=1,$B3507&gt;='112'!$N$8,$B3507&lt;='112'!$O$8,OR($L3507='112'!$I$6,$M3507='112'!$I$6))),"x",""))</f>
        <v/>
      </c>
      <c r="S3507" s="52" t="str">
        <f>IF(ISERROR(FIND('112'!$M$9,G3507,1)),"",IF((AND(LEFT(G3507,2)=LEFT('112'!$M$9,2),B3507&lt;'112'!$N$8,$L3507='112'!$I$6)),"x",""))</f>
        <v/>
      </c>
      <c r="T3507" s="52" t="str">
        <f>IF(ISERROR(FIND('112'!$M$9,G3507,1)),"",IF((AND(RIGHT(G3507,2)=RIGHT('112'!$M$9,2),B3507&lt;'112'!$N$8,$M3507='112'!$I$6)),"x",""))</f>
        <v/>
      </c>
      <c r="U3507" s="52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/>
      </c>
      <c r="AA3507" s="885"/>
      <c r="AB3507" s="886"/>
    </row>
    <row r="3508" spans="1:28" s="887" customFormat="1" ht="15.75" customHeight="1">
      <c r="A3508" s="827" t="str">
        <f>IF(B3508&lt;&gt;"",IF(AND(B3508&gt;=_TM1,B3508&lt;=_TM2,OR(TH!L3508="1111",TH!M3508="1111")),TH!D3508,""),"")</f>
        <v/>
      </c>
      <c r="B3508" s="876">
        <f t="shared" si="467"/>
        <v>1</v>
      </c>
      <c r="C3508" s="877">
        <f t="shared" si="468"/>
        <v>42399</v>
      </c>
      <c r="D3508" s="878" t="s">
        <v>1663</v>
      </c>
      <c r="E3508" s="877">
        <v>42399</v>
      </c>
      <c r="F3508" s="879" t="s">
        <v>683</v>
      </c>
      <c r="G3508" s="880" t="s">
        <v>1032</v>
      </c>
      <c r="H3508" s="881" t="s">
        <v>1313</v>
      </c>
      <c r="I3508" s="882">
        <v>210</v>
      </c>
      <c r="J3508" s="882">
        <v>57332.413805429729</v>
      </c>
      <c r="K3508" s="883">
        <f t="shared" si="469"/>
        <v>12039807</v>
      </c>
      <c r="L3508" s="884" t="s">
        <v>857</v>
      </c>
      <c r="M3508" s="884" t="s">
        <v>160</v>
      </c>
      <c r="N3508" s="52" t="str">
        <f>IF(AND('331-CT'!$E$7=TH!H3508,OR(L3508="331",M3508="331")),"331",IF(AND(OR(L3508="131",M3508="131"),H3508='131-CT'!$E$7),"131",""))</f>
        <v/>
      </c>
      <c r="O3508" s="52" t="str">
        <f>IF(AND($B3508&gt;='111'!$N$11,$B3508&lt;='111'!$O$11,OR($L3508=$O$7,$M3508=$O$7)),"x","")</f>
        <v/>
      </c>
      <c r="P3508" s="52" t="str">
        <f>IF(AND($L3508=$O$7,$B3508&lt;'111'!$N$11),"x","")</f>
        <v/>
      </c>
      <c r="Q3508" s="52" t="str">
        <f>IF(AND($M3508=$O$7,$B3508&lt;'111'!$N$11),"x","")</f>
        <v/>
      </c>
      <c r="R3508" s="52" t="str">
        <f>IF(ISERROR(FIND('112'!$M$9,G3508,1)),"",IF((AND(FIND('112'!$M$9,G3508,1)&gt;=1,$B3508&gt;='112'!$N$8,$B3508&lt;='112'!$O$8,OR($L3508='112'!$I$6,$M3508='112'!$I$6))),"x",""))</f>
        <v/>
      </c>
      <c r="S3508" s="52" t="str">
        <f>IF(ISERROR(FIND('112'!$M$9,G3508,1)),"",IF((AND(LEFT(G3508,2)=LEFT('112'!$M$9,2),B3508&lt;'112'!$N$8,$L3508='112'!$I$6)),"x",""))</f>
        <v/>
      </c>
      <c r="T3508" s="52" t="str">
        <f>IF(ISERROR(FIND('112'!$M$9,G3508,1)),"",IF((AND(RIGHT(G3508,2)=RIGHT('112'!$M$9,2),B3508&lt;'112'!$N$8,$M3508='112'!$I$6)),"x",""))</f>
        <v/>
      </c>
      <c r="U3508" s="52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/>
      </c>
      <c r="AA3508" s="885"/>
      <c r="AB3508" s="886"/>
    </row>
    <row r="3509" spans="1:28" s="887" customFormat="1" ht="15.75" customHeight="1">
      <c r="A3509" s="827" t="str">
        <f>IF(B3509&lt;&gt;"",IF(AND(B3509&gt;=_TM1,B3509&lt;=_TM2,OR(TH!L3509="1111",TH!M3509="1111")),TH!D3509,""),"")</f>
        <v/>
      </c>
      <c r="B3509" s="876">
        <f t="shared" si="467"/>
        <v>1</v>
      </c>
      <c r="C3509" s="877">
        <f t="shared" si="468"/>
        <v>42399</v>
      </c>
      <c r="D3509" s="878" t="s">
        <v>1663</v>
      </c>
      <c r="E3509" s="877">
        <v>42399</v>
      </c>
      <c r="F3509" s="879" t="s">
        <v>921</v>
      </c>
      <c r="G3509" s="880" t="s">
        <v>1032</v>
      </c>
      <c r="H3509" s="881" t="s">
        <v>1313</v>
      </c>
      <c r="I3509" s="890">
        <v>916</v>
      </c>
      <c r="J3509" s="889">
        <v>7793.251068894062</v>
      </c>
      <c r="K3509" s="883">
        <f t="shared" si="469"/>
        <v>7138618</v>
      </c>
      <c r="L3509" s="884" t="s">
        <v>857</v>
      </c>
      <c r="M3509" s="884" t="s">
        <v>160</v>
      </c>
      <c r="N3509" s="52" t="str">
        <f>IF(AND('331-CT'!$E$7=TH!H3509,OR(L3509="331",M3509="331")),"331",IF(AND(OR(L3509="131",M3509="131"),H3509='131-CT'!$E$7),"131",""))</f>
        <v/>
      </c>
      <c r="O3509" s="52" t="str">
        <f>IF(AND($B3509&gt;='111'!$N$11,$B3509&lt;='111'!$O$11,OR($L3509=$O$7,$M3509=$O$7)),"x","")</f>
        <v/>
      </c>
      <c r="P3509" s="52" t="str">
        <f>IF(AND($L3509=$O$7,$B3509&lt;'111'!$N$11),"x","")</f>
        <v/>
      </c>
      <c r="Q3509" s="52" t="str">
        <f>IF(AND($M3509=$O$7,$B3509&lt;'111'!$N$11),"x","")</f>
        <v/>
      </c>
      <c r="R3509" s="52" t="str">
        <f>IF(ISERROR(FIND('112'!$M$9,G3509,1)),"",IF((AND(FIND('112'!$M$9,G3509,1)&gt;=1,$B3509&gt;='112'!$N$8,$B3509&lt;='112'!$O$8,OR($L3509='112'!$I$6,$M3509='112'!$I$6))),"x",""))</f>
        <v/>
      </c>
      <c r="S3509" s="52" t="str">
        <f>IF(ISERROR(FIND('112'!$M$9,G3509,1)),"",IF((AND(LEFT(G3509,2)=LEFT('112'!$M$9,2),B3509&lt;'112'!$N$8,$L3509='112'!$I$6)),"x",""))</f>
        <v/>
      </c>
      <c r="T3509" s="52" t="str">
        <f>IF(ISERROR(FIND('112'!$M$9,G3509,1)),"",IF((AND(RIGHT(G3509,2)=RIGHT('112'!$M$9,2),B3509&lt;'112'!$N$8,$M3509='112'!$I$6)),"x",""))</f>
        <v/>
      </c>
      <c r="U3509" s="52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/>
      </c>
      <c r="AA3509" s="885"/>
      <c r="AB3509" s="886"/>
    </row>
    <row r="3510" spans="1:28" s="887" customFormat="1" ht="15.75" customHeight="1">
      <c r="A3510" s="827" t="str">
        <f>IF(B3510&lt;&gt;"",IF(AND(B3510&gt;=_TM1,B3510&lt;=_TM2,OR(TH!L3510="1111",TH!M3510="1111")),TH!D3510,""),"")</f>
        <v/>
      </c>
      <c r="B3510" s="876">
        <f t="shared" si="467"/>
        <v>2</v>
      </c>
      <c r="C3510" s="877">
        <f t="shared" si="468"/>
        <v>42401</v>
      </c>
      <c r="D3510" s="878" t="s">
        <v>1663</v>
      </c>
      <c r="E3510" s="877">
        <v>42401</v>
      </c>
      <c r="F3510" s="888" t="s">
        <v>937</v>
      </c>
      <c r="G3510" s="880" t="s">
        <v>1039</v>
      </c>
      <c r="H3510" s="881" t="s">
        <v>1313</v>
      </c>
      <c r="I3510" s="882">
        <v>396</v>
      </c>
      <c r="J3510" s="882">
        <v>24488.953199369116</v>
      </c>
      <c r="K3510" s="883">
        <f t="shared" ref="K3510:K3539" si="470">ROUND(I3510*J3510,0)</f>
        <v>9697625</v>
      </c>
      <c r="L3510" s="884" t="s">
        <v>857</v>
      </c>
      <c r="M3510" s="884" t="s">
        <v>160</v>
      </c>
      <c r="N3510" s="52" t="str">
        <f>IF(AND('331-CT'!$E$7=TH!H3510,OR(L3510="331",M3510="331")),"331",IF(AND(OR(L3510="131",M3510="131"),H3510='131-CT'!$E$7),"131",""))</f>
        <v/>
      </c>
      <c r="O3510" s="52" t="str">
        <f>IF(AND($B3510&gt;='111'!$N$11,$B3510&lt;='111'!$O$11,OR($L3510=$O$7,$M3510=$O$7)),"x","")</f>
        <v/>
      </c>
      <c r="P3510" s="52" t="str">
        <f>IF(AND($L3510=$O$7,$B3510&lt;'111'!$N$11),"x","")</f>
        <v/>
      </c>
      <c r="Q3510" s="52" t="str">
        <f>IF(AND($M3510=$O$7,$B3510&lt;'111'!$N$11),"x","")</f>
        <v/>
      </c>
      <c r="R3510" s="52" t="str">
        <f>IF(ISERROR(FIND('112'!$M$9,G3510,1)),"",IF((AND(FIND('112'!$M$9,G3510,1)&gt;=1,$B3510&gt;='112'!$N$8,$B3510&lt;='112'!$O$8,OR($L3510='112'!$I$6,$M3510='112'!$I$6))),"x",""))</f>
        <v/>
      </c>
      <c r="S3510" s="52" t="str">
        <f>IF(ISERROR(FIND('112'!$M$9,G3510,1)),"",IF((AND(LEFT(G3510,2)=LEFT('112'!$M$9,2),B3510&lt;'112'!$N$8,$L3510='112'!$I$6)),"x",""))</f>
        <v/>
      </c>
      <c r="T3510" s="52" t="str">
        <f>IF(ISERROR(FIND('112'!$M$9,G3510,1)),"",IF((AND(RIGHT(G3510,2)=RIGHT('112'!$M$9,2),B3510&lt;'112'!$N$8,$M3510='112'!$I$6)),"x",""))</f>
        <v/>
      </c>
      <c r="U3510" s="52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/>
      </c>
      <c r="AA3510" s="885"/>
      <c r="AB3510" s="886"/>
    </row>
    <row r="3511" spans="1:28" s="887" customFormat="1" ht="15.75" customHeight="1">
      <c r="A3511" s="827" t="str">
        <f>IF(B3511&lt;&gt;"",IF(AND(B3511&gt;=_TM1,B3511&lt;=_TM2,OR(TH!L3511="1111",TH!M3511="1111")),TH!D3511,""),"")</f>
        <v/>
      </c>
      <c r="B3511" s="876">
        <f t="shared" si="467"/>
        <v>2</v>
      </c>
      <c r="C3511" s="877">
        <f t="shared" si="468"/>
        <v>42401</v>
      </c>
      <c r="D3511" s="878" t="s">
        <v>1663</v>
      </c>
      <c r="E3511" s="877">
        <v>42401</v>
      </c>
      <c r="F3511" s="888" t="s">
        <v>939</v>
      </c>
      <c r="G3511" s="880" t="s">
        <v>1039</v>
      </c>
      <c r="H3511" s="881" t="s">
        <v>1313</v>
      </c>
      <c r="I3511" s="882">
        <v>150</v>
      </c>
      <c r="J3511" s="882">
        <v>21495.613805429723</v>
      </c>
      <c r="K3511" s="883">
        <f t="shared" si="470"/>
        <v>3224342</v>
      </c>
      <c r="L3511" s="884" t="s">
        <v>857</v>
      </c>
      <c r="M3511" s="884" t="s">
        <v>160</v>
      </c>
      <c r="N3511" s="52" t="str">
        <f>IF(AND('331-CT'!$E$7=TH!H3511,OR(L3511="331",M3511="331")),"331",IF(AND(OR(L3511="131",M3511="131"),H3511='131-CT'!$E$7),"131",""))</f>
        <v/>
      </c>
      <c r="O3511" s="52" t="str">
        <f>IF(AND($B3511&gt;='111'!$N$11,$B3511&lt;='111'!$O$11,OR($L3511=$O$7,$M3511=$O$7)),"x","")</f>
        <v/>
      </c>
      <c r="P3511" s="52" t="str">
        <f>IF(AND($L3511=$O$7,$B3511&lt;'111'!$N$11),"x","")</f>
        <v/>
      </c>
      <c r="Q3511" s="52" t="str">
        <f>IF(AND($M3511=$O$7,$B3511&lt;'111'!$N$11),"x","")</f>
        <v/>
      </c>
      <c r="R3511" s="52" t="str">
        <f>IF(ISERROR(FIND('112'!$M$9,G3511,1)),"",IF((AND(FIND('112'!$M$9,G3511,1)&gt;=1,$B3511&gt;='112'!$N$8,$B3511&lt;='112'!$O$8,OR($L3511='112'!$I$6,$M3511='112'!$I$6))),"x",""))</f>
        <v/>
      </c>
      <c r="S3511" s="52" t="str">
        <f>IF(ISERROR(FIND('112'!$M$9,G3511,1)),"",IF((AND(LEFT(G3511,2)=LEFT('112'!$M$9,2),B3511&lt;'112'!$N$8,$L3511='112'!$I$6)),"x",""))</f>
        <v/>
      </c>
      <c r="T3511" s="52" t="str">
        <f>IF(ISERROR(FIND('112'!$M$9,G3511,1)),"",IF((AND(RIGHT(G3511,2)=RIGHT('112'!$M$9,2),B3511&lt;'112'!$N$8,$M3511='112'!$I$6)),"x",""))</f>
        <v/>
      </c>
      <c r="U3511" s="52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/>
      </c>
      <c r="AA3511" s="885"/>
      <c r="AB3511" s="886"/>
    </row>
    <row r="3512" spans="1:28" s="887" customFormat="1" ht="15.75" customHeight="1">
      <c r="A3512" s="827" t="str">
        <f>IF(B3512&lt;&gt;"",IF(AND(B3512&gt;=_TM1,B3512&lt;=_TM2,OR(TH!L3512="1111",TH!M3512="1111")),TH!D3512,""),"")</f>
        <v/>
      </c>
      <c r="B3512" s="876">
        <f t="shared" si="467"/>
        <v>2</v>
      </c>
      <c r="C3512" s="877">
        <f t="shared" si="468"/>
        <v>42402</v>
      </c>
      <c r="D3512" s="878" t="s">
        <v>1663</v>
      </c>
      <c r="E3512" s="877">
        <v>42402</v>
      </c>
      <c r="F3512" s="888" t="s">
        <v>659</v>
      </c>
      <c r="G3512" s="880" t="s">
        <v>1040</v>
      </c>
      <c r="H3512" s="881" t="s">
        <v>1313</v>
      </c>
      <c r="I3512" s="882">
        <v>1000</v>
      </c>
      <c r="J3512" s="882">
        <v>10061.05213876306</v>
      </c>
      <c r="K3512" s="883">
        <f t="shared" si="470"/>
        <v>10061052</v>
      </c>
      <c r="L3512" s="884" t="s">
        <v>857</v>
      </c>
      <c r="M3512" s="884" t="s">
        <v>160</v>
      </c>
      <c r="N3512" s="52" t="str">
        <f>IF(AND('331-CT'!$E$7=TH!H3512,OR(L3512="331",M3512="331")),"331",IF(AND(OR(L3512="131",M3512="131"),H3512='131-CT'!$E$7),"131",""))</f>
        <v/>
      </c>
      <c r="O3512" s="52" t="str">
        <f>IF(AND($B3512&gt;='111'!$N$11,$B3512&lt;='111'!$O$11,OR($L3512=$O$7,$M3512=$O$7)),"x","")</f>
        <v/>
      </c>
      <c r="P3512" s="52" t="str">
        <f>IF(AND($L3512=$O$7,$B3512&lt;'111'!$N$11),"x","")</f>
        <v/>
      </c>
      <c r="Q3512" s="52" t="str">
        <f>IF(AND($M3512=$O$7,$B3512&lt;'111'!$N$11),"x","")</f>
        <v/>
      </c>
      <c r="R3512" s="52" t="str">
        <f>IF(ISERROR(FIND('112'!$M$9,G3512,1)),"",IF((AND(FIND('112'!$M$9,G3512,1)&gt;=1,$B3512&gt;='112'!$N$8,$B3512&lt;='112'!$O$8,OR($L3512='112'!$I$6,$M3512='112'!$I$6))),"x",""))</f>
        <v/>
      </c>
      <c r="S3512" s="52" t="str">
        <f>IF(ISERROR(FIND('112'!$M$9,G3512,1)),"",IF((AND(LEFT(G3512,2)=LEFT('112'!$M$9,2),B3512&lt;'112'!$N$8,$L3512='112'!$I$6)),"x",""))</f>
        <v/>
      </c>
      <c r="T3512" s="52" t="str">
        <f>IF(ISERROR(FIND('112'!$M$9,G3512,1)),"",IF((AND(RIGHT(G3512,2)=RIGHT('112'!$M$9,2),B3512&lt;'112'!$N$8,$M3512='112'!$I$6)),"x",""))</f>
        <v/>
      </c>
      <c r="U3512" s="52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/>
      </c>
      <c r="AA3512" s="885"/>
      <c r="AB3512" s="886"/>
    </row>
    <row r="3513" spans="1:28" s="887" customFormat="1" ht="15.75" customHeight="1">
      <c r="A3513" s="827" t="str">
        <f>IF(B3513&lt;&gt;"",IF(AND(B3513&gt;=_TM1,B3513&lt;=_TM2,OR(TH!L3513="1111",TH!M3513="1111")),TH!D3513,""),"")</f>
        <v/>
      </c>
      <c r="B3513" s="876">
        <f t="shared" si="467"/>
        <v>2</v>
      </c>
      <c r="C3513" s="877">
        <f t="shared" si="468"/>
        <v>42416</v>
      </c>
      <c r="D3513" s="878" t="s">
        <v>1663</v>
      </c>
      <c r="E3513" s="877">
        <v>42416</v>
      </c>
      <c r="F3513" s="888" t="s">
        <v>659</v>
      </c>
      <c r="G3513" s="880" t="s">
        <v>1043</v>
      </c>
      <c r="H3513" s="881" t="s">
        <v>1313</v>
      </c>
      <c r="I3513" s="882">
        <v>1000</v>
      </c>
      <c r="J3513" s="882">
        <v>9955.8481387630582</v>
      </c>
      <c r="K3513" s="883">
        <f t="shared" si="470"/>
        <v>9955848</v>
      </c>
      <c r="L3513" s="884" t="s">
        <v>857</v>
      </c>
      <c r="M3513" s="884" t="s">
        <v>160</v>
      </c>
      <c r="N3513" s="52" t="str">
        <f>IF(AND('331-CT'!$E$7=TH!H3513,OR(L3513="331",M3513="331")),"331",IF(AND(OR(L3513="131",M3513="131"),H3513='131-CT'!$E$7),"131",""))</f>
        <v/>
      </c>
      <c r="O3513" s="52" t="str">
        <f>IF(AND($B3513&gt;='111'!$N$11,$B3513&lt;='111'!$O$11,OR($L3513=$O$7,$M3513=$O$7)),"x","")</f>
        <v/>
      </c>
      <c r="P3513" s="52" t="str">
        <f>IF(AND($L3513=$O$7,$B3513&lt;'111'!$N$11),"x","")</f>
        <v/>
      </c>
      <c r="Q3513" s="52" t="str">
        <f>IF(AND($M3513=$O$7,$B3513&lt;'111'!$N$11),"x","")</f>
        <v/>
      </c>
      <c r="R3513" s="52" t="str">
        <f>IF(ISERROR(FIND('112'!$M$9,G3513,1)),"",IF((AND(FIND('112'!$M$9,G3513,1)&gt;=1,$B3513&gt;='112'!$N$8,$B3513&lt;='112'!$O$8,OR($L3513='112'!$I$6,$M3513='112'!$I$6))),"x",""))</f>
        <v/>
      </c>
      <c r="S3513" s="52" t="str">
        <f>IF(ISERROR(FIND('112'!$M$9,G3513,1)),"",IF((AND(LEFT(G3513,2)=LEFT('112'!$M$9,2),B3513&lt;'112'!$N$8,$L3513='112'!$I$6)),"x",""))</f>
        <v/>
      </c>
      <c r="T3513" s="52" t="str">
        <f>IF(ISERROR(FIND('112'!$M$9,G3513,1)),"",IF((AND(RIGHT(G3513,2)=RIGHT('112'!$M$9,2),B3513&lt;'112'!$N$8,$M3513='112'!$I$6)),"x",""))</f>
        <v/>
      </c>
      <c r="U3513" s="52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/>
      </c>
      <c r="AA3513" s="885"/>
      <c r="AB3513" s="886"/>
    </row>
    <row r="3514" spans="1:28" s="887" customFormat="1" ht="15.75" customHeight="1">
      <c r="A3514" s="827" t="str">
        <f>IF(B3514&lt;&gt;"",IF(AND(B3514&gt;=_TM1,B3514&lt;=_TM2,OR(TH!L3514="1111",TH!M3514="1111")),TH!D3514,""),"")</f>
        <v/>
      </c>
      <c r="B3514" s="876">
        <f t="shared" si="467"/>
        <v>2</v>
      </c>
      <c r="C3514" s="877">
        <f t="shared" si="468"/>
        <v>42416</v>
      </c>
      <c r="D3514" s="878" t="s">
        <v>1663</v>
      </c>
      <c r="E3514" s="877">
        <v>42416</v>
      </c>
      <c r="F3514" s="888" t="s">
        <v>637</v>
      </c>
      <c r="G3514" s="880" t="s">
        <v>1044</v>
      </c>
      <c r="H3514" s="881" t="s">
        <v>1313</v>
      </c>
      <c r="I3514" s="882">
        <v>438</v>
      </c>
      <c r="J3514" s="882">
        <v>7214.4704264342909</v>
      </c>
      <c r="K3514" s="883">
        <f t="shared" si="470"/>
        <v>3159938</v>
      </c>
      <c r="L3514" s="884" t="s">
        <v>857</v>
      </c>
      <c r="M3514" s="884" t="s">
        <v>160</v>
      </c>
      <c r="N3514" s="52" t="str">
        <f>IF(AND('331-CT'!$E$7=TH!H3514,OR(L3514="331",M3514="331")),"331",IF(AND(OR(L3514="131",M3514="131"),H3514='131-CT'!$E$7),"131",""))</f>
        <v/>
      </c>
      <c r="O3514" s="52" t="str">
        <f>IF(AND($B3514&gt;='111'!$N$11,$B3514&lt;='111'!$O$11,OR($L3514=$O$7,$M3514=$O$7)),"x","")</f>
        <v/>
      </c>
      <c r="P3514" s="52" t="str">
        <f>IF(AND($L3514=$O$7,$B3514&lt;'111'!$N$11),"x","")</f>
        <v/>
      </c>
      <c r="Q3514" s="52" t="str">
        <f>IF(AND($M3514=$O$7,$B3514&lt;'111'!$N$11),"x","")</f>
        <v/>
      </c>
      <c r="R3514" s="52" t="str">
        <f>IF(ISERROR(FIND('112'!$M$9,G3514,1)),"",IF((AND(FIND('112'!$M$9,G3514,1)&gt;=1,$B3514&gt;='112'!$N$8,$B3514&lt;='112'!$O$8,OR($L3514='112'!$I$6,$M3514='112'!$I$6))),"x",""))</f>
        <v/>
      </c>
      <c r="S3514" s="52" t="str">
        <f>IF(ISERROR(FIND('112'!$M$9,G3514,1)),"",IF((AND(LEFT(G3514,2)=LEFT('112'!$M$9,2),B3514&lt;'112'!$N$8,$L3514='112'!$I$6)),"x",""))</f>
        <v/>
      </c>
      <c r="T3514" s="52" t="str">
        <f>IF(ISERROR(FIND('112'!$M$9,G3514,1)),"",IF((AND(RIGHT(G3514,2)=RIGHT('112'!$M$9,2),B3514&lt;'112'!$N$8,$M3514='112'!$I$6)),"x",""))</f>
        <v/>
      </c>
      <c r="U3514" s="52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/>
      </c>
      <c r="AA3514" s="885"/>
      <c r="AB3514" s="886"/>
    </row>
    <row r="3515" spans="1:28" s="887" customFormat="1" ht="15.75" customHeight="1">
      <c r="A3515" s="827" t="str">
        <f>IF(B3515&lt;&gt;"",IF(AND(B3515&gt;=_TM1,B3515&lt;=_TM2,OR(TH!L3515="1111",TH!M3515="1111")),TH!D3515,""),"")</f>
        <v/>
      </c>
      <c r="B3515" s="876">
        <f t="shared" si="467"/>
        <v>2</v>
      </c>
      <c r="C3515" s="877">
        <f t="shared" si="468"/>
        <v>42422</v>
      </c>
      <c r="D3515" s="878" t="s">
        <v>1663</v>
      </c>
      <c r="E3515" s="877">
        <v>42422</v>
      </c>
      <c r="F3515" s="888" t="s">
        <v>1178</v>
      </c>
      <c r="G3515" s="880" t="s">
        <v>1047</v>
      </c>
      <c r="H3515" s="881" t="s">
        <v>1313</v>
      </c>
      <c r="I3515" s="882">
        <v>850</v>
      </c>
      <c r="J3515" s="882">
        <v>32828.554197586585</v>
      </c>
      <c r="K3515" s="883">
        <f t="shared" si="470"/>
        <v>27904271</v>
      </c>
      <c r="L3515" s="884" t="s">
        <v>857</v>
      </c>
      <c r="M3515" s="884" t="s">
        <v>160</v>
      </c>
      <c r="N3515" s="52" t="str">
        <f>IF(AND('331-CT'!$E$7=TH!H3515,OR(L3515="331",M3515="331")),"331",IF(AND(OR(L3515="131",M3515="131"),H3515='131-CT'!$E$7),"131",""))</f>
        <v/>
      </c>
      <c r="O3515" s="52" t="str">
        <f>IF(AND($B3515&gt;='111'!$N$11,$B3515&lt;='111'!$O$11,OR($L3515=$O$7,$M3515=$O$7)),"x","")</f>
        <v/>
      </c>
      <c r="P3515" s="52" t="str">
        <f>IF(AND($L3515=$O$7,$B3515&lt;'111'!$N$11),"x","")</f>
        <v/>
      </c>
      <c r="Q3515" s="52" t="str">
        <f>IF(AND($M3515=$O$7,$B3515&lt;'111'!$N$11),"x","")</f>
        <v/>
      </c>
      <c r="R3515" s="52" t="str">
        <f>IF(ISERROR(FIND('112'!$M$9,G3515,1)),"",IF((AND(FIND('112'!$M$9,G3515,1)&gt;=1,$B3515&gt;='112'!$N$8,$B3515&lt;='112'!$O$8,OR($L3515='112'!$I$6,$M3515='112'!$I$6))),"x",""))</f>
        <v/>
      </c>
      <c r="S3515" s="52" t="str">
        <f>IF(ISERROR(FIND('112'!$M$9,G3515,1)),"",IF((AND(LEFT(G3515,2)=LEFT('112'!$M$9,2),B3515&lt;'112'!$N$8,$L3515='112'!$I$6)),"x",""))</f>
        <v/>
      </c>
      <c r="T3515" s="52" t="str">
        <f>IF(ISERROR(FIND('112'!$M$9,G3515,1)),"",IF((AND(RIGHT(G3515,2)=RIGHT('112'!$M$9,2),B3515&lt;'112'!$N$8,$M3515='112'!$I$6)),"x",""))</f>
        <v/>
      </c>
      <c r="U3515" s="52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/>
      </c>
      <c r="AA3515" s="885"/>
      <c r="AB3515" s="886"/>
    </row>
    <row r="3516" spans="1:28" s="887" customFormat="1" ht="15.75" customHeight="1">
      <c r="A3516" s="827" t="str">
        <f>IF(B3516&lt;&gt;"",IF(AND(B3516&gt;=_TM1,B3516&lt;=_TM2,OR(TH!L3516="1111",TH!M3516="1111")),TH!D3516,""),"")</f>
        <v/>
      </c>
      <c r="B3516" s="876">
        <f t="shared" si="467"/>
        <v>2</v>
      </c>
      <c r="C3516" s="877">
        <f t="shared" si="468"/>
        <v>42422</v>
      </c>
      <c r="D3516" s="878" t="s">
        <v>1663</v>
      </c>
      <c r="E3516" s="877">
        <v>42422</v>
      </c>
      <c r="F3516" s="888" t="s">
        <v>1179</v>
      </c>
      <c r="G3516" s="880" t="s">
        <v>1047</v>
      </c>
      <c r="H3516" s="881" t="s">
        <v>1313</v>
      </c>
      <c r="I3516" s="882">
        <v>850</v>
      </c>
      <c r="J3516" s="882">
        <v>31812.194197586585</v>
      </c>
      <c r="K3516" s="883">
        <f t="shared" si="470"/>
        <v>27040365</v>
      </c>
      <c r="L3516" s="884" t="s">
        <v>857</v>
      </c>
      <c r="M3516" s="884" t="s">
        <v>160</v>
      </c>
      <c r="N3516" s="52" t="str">
        <f>IF(AND('331-CT'!$E$7=TH!H3516,OR(L3516="331",M3516="331")),"331",IF(AND(OR(L3516="131",M3516="131"),H3516='131-CT'!$E$7),"131",""))</f>
        <v/>
      </c>
      <c r="O3516" s="52" t="str">
        <f>IF(AND($B3516&gt;='111'!$N$11,$B3516&lt;='111'!$O$11,OR($L3516=$O$7,$M3516=$O$7)),"x","")</f>
        <v/>
      </c>
      <c r="P3516" s="52" t="str">
        <f>IF(AND($L3516=$O$7,$B3516&lt;'111'!$N$11),"x","")</f>
        <v/>
      </c>
      <c r="Q3516" s="52" t="str">
        <f>IF(AND($M3516=$O$7,$B3516&lt;'111'!$N$11),"x","")</f>
        <v/>
      </c>
      <c r="R3516" s="52" t="str">
        <f>IF(ISERROR(FIND('112'!$M$9,G3516,1)),"",IF((AND(FIND('112'!$M$9,G3516,1)&gt;=1,$B3516&gt;='112'!$N$8,$B3516&lt;='112'!$O$8,OR($L3516='112'!$I$6,$M3516='112'!$I$6))),"x",""))</f>
        <v/>
      </c>
      <c r="S3516" s="52" t="str">
        <f>IF(ISERROR(FIND('112'!$M$9,G3516,1)),"",IF((AND(LEFT(G3516,2)=LEFT('112'!$M$9,2),B3516&lt;'112'!$N$8,$L3516='112'!$I$6)),"x",""))</f>
        <v/>
      </c>
      <c r="T3516" s="52" t="str">
        <f>IF(ISERROR(FIND('112'!$M$9,G3516,1)),"",IF((AND(RIGHT(G3516,2)=RIGHT('112'!$M$9,2),B3516&lt;'112'!$N$8,$M3516='112'!$I$6)),"x",""))</f>
        <v/>
      </c>
      <c r="U3516" s="52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/>
      </c>
      <c r="AA3516" s="885"/>
      <c r="AB3516" s="886"/>
    </row>
    <row r="3517" spans="1:28" s="887" customFormat="1" ht="15.75" customHeight="1">
      <c r="A3517" s="827" t="str">
        <f>IF(B3517&lt;&gt;"",IF(AND(B3517&gt;=_TM1,B3517&lt;=_TM2,OR(TH!L3517="1111",TH!M3517="1111")),TH!D3517,""),"")</f>
        <v/>
      </c>
      <c r="B3517" s="876">
        <f t="shared" si="467"/>
        <v>2</v>
      </c>
      <c r="C3517" s="877">
        <f t="shared" si="468"/>
        <v>42423</v>
      </c>
      <c r="D3517" s="878" t="s">
        <v>1663</v>
      </c>
      <c r="E3517" s="877">
        <v>42423</v>
      </c>
      <c r="F3517" s="888" t="s">
        <v>946</v>
      </c>
      <c r="G3517" s="880" t="s">
        <v>1048</v>
      </c>
      <c r="H3517" s="881" t="s">
        <v>1313</v>
      </c>
      <c r="I3517" s="882">
        <v>200</v>
      </c>
      <c r="J3517" s="882">
        <v>12528.787138763058</v>
      </c>
      <c r="K3517" s="883">
        <f t="shared" si="470"/>
        <v>2505757</v>
      </c>
      <c r="L3517" s="884" t="s">
        <v>857</v>
      </c>
      <c r="M3517" s="884" t="s">
        <v>160</v>
      </c>
      <c r="N3517" s="52" t="str">
        <f>IF(AND('331-CT'!$E$7=TH!H3517,OR(L3517="331",M3517="331")),"331",IF(AND(OR(L3517="131",M3517="131"),H3517='131-CT'!$E$7),"131",""))</f>
        <v/>
      </c>
      <c r="O3517" s="52" t="str">
        <f>IF(AND($B3517&gt;='111'!$N$11,$B3517&lt;='111'!$O$11,OR($L3517=$O$7,$M3517=$O$7)),"x","")</f>
        <v/>
      </c>
      <c r="P3517" s="52" t="str">
        <f>IF(AND($L3517=$O$7,$B3517&lt;'111'!$N$11),"x","")</f>
        <v/>
      </c>
      <c r="Q3517" s="52" t="str">
        <f>IF(AND($M3517=$O$7,$B3517&lt;'111'!$N$11),"x","")</f>
        <v/>
      </c>
      <c r="R3517" s="52" t="str">
        <f>IF(ISERROR(FIND('112'!$M$9,G3517,1)),"",IF((AND(FIND('112'!$M$9,G3517,1)&gt;=1,$B3517&gt;='112'!$N$8,$B3517&lt;='112'!$O$8,OR($L3517='112'!$I$6,$M3517='112'!$I$6))),"x",""))</f>
        <v/>
      </c>
      <c r="S3517" s="52" t="str">
        <f>IF(ISERROR(FIND('112'!$M$9,G3517,1)),"",IF((AND(LEFT(G3517,2)=LEFT('112'!$M$9,2),B3517&lt;'112'!$N$8,$L3517='112'!$I$6)),"x",""))</f>
        <v/>
      </c>
      <c r="T3517" s="52" t="str">
        <f>IF(ISERROR(FIND('112'!$M$9,G3517,1)),"",IF((AND(RIGHT(G3517,2)=RIGHT('112'!$M$9,2),B3517&lt;'112'!$N$8,$M3517='112'!$I$6)),"x",""))</f>
        <v/>
      </c>
      <c r="U3517" s="52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/>
      </c>
      <c r="AA3517" s="885"/>
      <c r="AB3517" s="886"/>
    </row>
    <row r="3518" spans="1:28" s="887" customFormat="1" ht="15.75" customHeight="1">
      <c r="A3518" s="827" t="str">
        <f>IF(B3518&lt;&gt;"",IF(AND(B3518&gt;=_TM1,B3518&lt;=_TM2,OR(TH!L3518="1111",TH!M3518="1111")),TH!D3518,""),"")</f>
        <v/>
      </c>
      <c r="B3518" s="876">
        <f t="shared" si="467"/>
        <v>2</v>
      </c>
      <c r="C3518" s="877">
        <f t="shared" si="468"/>
        <v>42426</v>
      </c>
      <c r="D3518" s="878" t="s">
        <v>1663</v>
      </c>
      <c r="E3518" s="877">
        <v>42426</v>
      </c>
      <c r="F3518" s="888" t="s">
        <v>954</v>
      </c>
      <c r="G3518" s="880" t="s">
        <v>1049</v>
      </c>
      <c r="H3518" s="881" t="s">
        <v>1313</v>
      </c>
      <c r="I3518" s="882">
        <v>500</v>
      </c>
      <c r="J3518" s="882">
        <v>23594.487138763059</v>
      </c>
      <c r="K3518" s="883">
        <f t="shared" si="470"/>
        <v>11797244</v>
      </c>
      <c r="L3518" s="884" t="s">
        <v>857</v>
      </c>
      <c r="M3518" s="884" t="s">
        <v>160</v>
      </c>
      <c r="N3518" s="52" t="str">
        <f>IF(AND('331-CT'!$E$7=TH!H3518,OR(L3518="331",M3518="331")),"331",IF(AND(OR(L3518="131",M3518="131"),H3518='131-CT'!$E$7),"131",""))</f>
        <v/>
      </c>
      <c r="O3518" s="52" t="str">
        <f>IF(AND($B3518&gt;='111'!$N$11,$B3518&lt;='111'!$O$11,OR($L3518=$O$7,$M3518=$O$7)),"x","")</f>
        <v/>
      </c>
      <c r="P3518" s="52" t="str">
        <f>IF(AND($L3518=$O$7,$B3518&lt;'111'!$N$11),"x","")</f>
        <v/>
      </c>
      <c r="Q3518" s="52" t="str">
        <f>IF(AND($M3518=$O$7,$B3518&lt;'111'!$N$11),"x","")</f>
        <v/>
      </c>
      <c r="R3518" s="52" t="str">
        <f>IF(ISERROR(FIND('112'!$M$9,G3518,1)),"",IF((AND(FIND('112'!$M$9,G3518,1)&gt;=1,$B3518&gt;='112'!$N$8,$B3518&lt;='112'!$O$8,OR($L3518='112'!$I$6,$M3518='112'!$I$6))),"x",""))</f>
        <v/>
      </c>
      <c r="S3518" s="52" t="str">
        <f>IF(ISERROR(FIND('112'!$M$9,G3518,1)),"",IF((AND(LEFT(G3518,2)=LEFT('112'!$M$9,2),B3518&lt;'112'!$N$8,$L3518='112'!$I$6)),"x",""))</f>
        <v/>
      </c>
      <c r="T3518" s="52" t="str">
        <f>IF(ISERROR(FIND('112'!$M$9,G3518,1)),"",IF((AND(RIGHT(G3518,2)=RIGHT('112'!$M$9,2),B3518&lt;'112'!$N$8,$M3518='112'!$I$6)),"x",""))</f>
        <v/>
      </c>
      <c r="U3518" s="52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/>
      </c>
      <c r="AA3518" s="885"/>
      <c r="AB3518" s="886"/>
    </row>
    <row r="3519" spans="1:28" s="887" customFormat="1" ht="15.75" customHeight="1">
      <c r="A3519" s="827" t="str">
        <f>IF(B3519&lt;&gt;"",IF(AND(B3519&gt;=_TM1,B3519&lt;=_TM2,OR(TH!L3519="1111",TH!M3519="1111")),TH!D3519,""),"")</f>
        <v/>
      </c>
      <c r="B3519" s="876">
        <f t="shared" si="467"/>
        <v>2</v>
      </c>
      <c r="C3519" s="877">
        <f t="shared" si="468"/>
        <v>42427</v>
      </c>
      <c r="D3519" s="878" t="s">
        <v>1663</v>
      </c>
      <c r="E3519" s="877">
        <v>42427</v>
      </c>
      <c r="F3519" s="888" t="s">
        <v>659</v>
      </c>
      <c r="G3519" s="880" t="s">
        <v>1053</v>
      </c>
      <c r="H3519" s="881" t="s">
        <v>1313</v>
      </c>
      <c r="I3519" s="882">
        <v>1000</v>
      </c>
      <c r="J3519" s="882">
        <v>10132.755138763059</v>
      </c>
      <c r="K3519" s="883">
        <f t="shared" si="470"/>
        <v>10132755</v>
      </c>
      <c r="L3519" s="884" t="s">
        <v>857</v>
      </c>
      <c r="M3519" s="884" t="s">
        <v>160</v>
      </c>
      <c r="N3519" s="52" t="str">
        <f>IF(AND('331-CT'!$E$7=TH!H3519,OR(L3519="331",M3519="331")),"331",IF(AND(OR(L3519="131",M3519="131"),H3519='131-CT'!$E$7),"131",""))</f>
        <v/>
      </c>
      <c r="O3519" s="52" t="str">
        <f>IF(AND($B3519&gt;='111'!$N$11,$B3519&lt;='111'!$O$11,OR($L3519=$O$7,$M3519=$O$7)),"x","")</f>
        <v/>
      </c>
      <c r="P3519" s="52" t="str">
        <f>IF(AND($L3519=$O$7,$B3519&lt;'111'!$N$11),"x","")</f>
        <v/>
      </c>
      <c r="Q3519" s="52" t="str">
        <f>IF(AND($M3519=$O$7,$B3519&lt;'111'!$N$11),"x","")</f>
        <v/>
      </c>
      <c r="R3519" s="52" t="str">
        <f>IF(ISERROR(FIND('112'!$M$9,G3519,1)),"",IF((AND(FIND('112'!$M$9,G3519,1)&gt;=1,$B3519&gt;='112'!$N$8,$B3519&lt;='112'!$O$8,OR($L3519='112'!$I$6,$M3519='112'!$I$6))),"x",""))</f>
        <v/>
      </c>
      <c r="S3519" s="52" t="str">
        <f>IF(ISERROR(FIND('112'!$M$9,G3519,1)),"",IF((AND(LEFT(G3519,2)=LEFT('112'!$M$9,2),B3519&lt;'112'!$N$8,$L3519='112'!$I$6)),"x",""))</f>
        <v/>
      </c>
      <c r="T3519" s="52" t="str">
        <f>IF(ISERROR(FIND('112'!$M$9,G3519,1)),"",IF((AND(RIGHT(G3519,2)=RIGHT('112'!$M$9,2),B3519&lt;'112'!$N$8,$M3519='112'!$I$6)),"x",""))</f>
        <v/>
      </c>
      <c r="U3519" s="52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/>
      </c>
      <c r="AA3519" s="885"/>
      <c r="AB3519" s="886"/>
    </row>
    <row r="3520" spans="1:28" s="887" customFormat="1" ht="15.75" customHeight="1">
      <c r="A3520" s="827" t="str">
        <f>IF(B3520&lt;&gt;"",IF(AND(B3520&gt;=_TM1,B3520&lt;=_TM2,OR(TH!L3520="1111",TH!M3520="1111")),TH!D3520,""),"")</f>
        <v/>
      </c>
      <c r="B3520" s="876">
        <f t="shared" si="467"/>
        <v>2</v>
      </c>
      <c r="C3520" s="877">
        <f t="shared" si="468"/>
        <v>42429</v>
      </c>
      <c r="D3520" s="878" t="s">
        <v>1663</v>
      </c>
      <c r="E3520" s="877">
        <v>42429</v>
      </c>
      <c r="F3520" s="888" t="s">
        <v>542</v>
      </c>
      <c r="G3520" s="880" t="s">
        <v>1054</v>
      </c>
      <c r="H3520" s="881" t="s">
        <v>1313</v>
      </c>
      <c r="I3520" s="882">
        <v>180</v>
      </c>
      <c r="J3520" s="882">
        <v>39037.180472096392</v>
      </c>
      <c r="K3520" s="883">
        <f t="shared" si="470"/>
        <v>7026692</v>
      </c>
      <c r="L3520" s="884" t="s">
        <v>857</v>
      </c>
      <c r="M3520" s="884" t="s">
        <v>160</v>
      </c>
      <c r="N3520" s="52" t="str">
        <f>IF(AND('331-CT'!$E$7=TH!H3520,OR(L3520="331",M3520="331")),"331",IF(AND(OR(L3520="131",M3520="131"),H3520='131-CT'!$E$7),"131",""))</f>
        <v/>
      </c>
      <c r="O3520" s="52" t="str">
        <f>IF(AND($B3520&gt;='111'!$N$11,$B3520&lt;='111'!$O$11,OR($L3520=$O$7,$M3520=$O$7)),"x","")</f>
        <v/>
      </c>
      <c r="P3520" s="52" t="str">
        <f>IF(AND($L3520=$O$7,$B3520&lt;'111'!$N$11),"x","")</f>
        <v/>
      </c>
      <c r="Q3520" s="52" t="str">
        <f>IF(AND($M3520=$O$7,$B3520&lt;'111'!$N$11),"x","")</f>
        <v/>
      </c>
      <c r="R3520" s="52" t="str">
        <f>IF(ISERROR(FIND('112'!$M$9,G3520,1)),"",IF((AND(FIND('112'!$M$9,G3520,1)&gt;=1,$B3520&gt;='112'!$N$8,$B3520&lt;='112'!$O$8,OR($L3520='112'!$I$6,$M3520='112'!$I$6))),"x",""))</f>
        <v/>
      </c>
      <c r="S3520" s="52" t="str">
        <f>IF(ISERROR(FIND('112'!$M$9,G3520,1)),"",IF((AND(LEFT(G3520,2)=LEFT('112'!$M$9,2),B3520&lt;'112'!$N$8,$L3520='112'!$I$6)),"x",""))</f>
        <v/>
      </c>
      <c r="T3520" s="52" t="str">
        <f>IF(ISERROR(FIND('112'!$M$9,G3520,1)),"",IF((AND(RIGHT(G3520,2)=RIGHT('112'!$M$9,2),B3520&lt;'112'!$N$8,$M3520='112'!$I$6)),"x",""))</f>
        <v/>
      </c>
      <c r="U3520" s="52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/>
      </c>
      <c r="AA3520" s="885"/>
      <c r="AB3520" s="886"/>
    </row>
    <row r="3521" spans="1:28" s="887" customFormat="1" ht="15.75" customHeight="1">
      <c r="A3521" s="827" t="str">
        <f>IF(B3521&lt;&gt;"",IF(AND(B3521&gt;=_TM1,B3521&lt;=_TM2,OR(TH!L3521="1111",TH!M3521="1111")),TH!D3521,""),"")</f>
        <v/>
      </c>
      <c r="B3521" s="876">
        <f t="shared" si="467"/>
        <v>2</v>
      </c>
      <c r="C3521" s="877">
        <f t="shared" si="468"/>
        <v>42429</v>
      </c>
      <c r="D3521" s="878" t="s">
        <v>1663</v>
      </c>
      <c r="E3521" s="877">
        <v>42429</v>
      </c>
      <c r="F3521" s="888" t="s">
        <v>1014</v>
      </c>
      <c r="G3521" s="880" t="s">
        <v>1054</v>
      </c>
      <c r="H3521" s="881" t="s">
        <v>1313</v>
      </c>
      <c r="I3521" s="882">
        <v>200</v>
      </c>
      <c r="J3521" s="882">
        <v>64494.18713876306</v>
      </c>
      <c r="K3521" s="883">
        <f t="shared" si="470"/>
        <v>12898837</v>
      </c>
      <c r="L3521" s="884" t="s">
        <v>857</v>
      </c>
      <c r="M3521" s="884" t="s">
        <v>160</v>
      </c>
      <c r="N3521" s="52" t="str">
        <f>IF(AND('331-CT'!$E$7=TH!H3521,OR(L3521="331",M3521="331")),"331",IF(AND(OR(L3521="131",M3521="131"),H3521='131-CT'!$E$7),"131",""))</f>
        <v/>
      </c>
      <c r="O3521" s="52" t="str">
        <f>IF(AND($B3521&gt;='111'!$N$11,$B3521&lt;='111'!$O$11,OR($L3521=$O$7,$M3521=$O$7)),"x","")</f>
        <v/>
      </c>
      <c r="P3521" s="52" t="str">
        <f>IF(AND($L3521=$O$7,$B3521&lt;'111'!$N$11),"x","")</f>
        <v/>
      </c>
      <c r="Q3521" s="52" t="str">
        <f>IF(AND($M3521=$O$7,$B3521&lt;'111'!$N$11),"x","")</f>
        <v/>
      </c>
      <c r="R3521" s="52" t="str">
        <f>IF(ISERROR(FIND('112'!$M$9,G3521,1)),"",IF((AND(FIND('112'!$M$9,G3521,1)&gt;=1,$B3521&gt;='112'!$N$8,$B3521&lt;='112'!$O$8,OR($L3521='112'!$I$6,$M3521='112'!$I$6))),"x",""))</f>
        <v/>
      </c>
      <c r="S3521" s="52" t="str">
        <f>IF(ISERROR(FIND('112'!$M$9,G3521,1)),"",IF((AND(LEFT(G3521,2)=LEFT('112'!$M$9,2),B3521&lt;'112'!$N$8,$L3521='112'!$I$6)),"x",""))</f>
        <v/>
      </c>
      <c r="T3521" s="52" t="str">
        <f>IF(ISERROR(FIND('112'!$M$9,G3521,1)),"",IF((AND(RIGHT(G3521,2)=RIGHT('112'!$M$9,2),B3521&lt;'112'!$N$8,$M3521='112'!$I$6)),"x",""))</f>
        <v/>
      </c>
      <c r="U3521" s="52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/>
      </c>
      <c r="AA3521" s="885"/>
      <c r="AB3521" s="886"/>
    </row>
    <row r="3522" spans="1:28" s="887" customFormat="1" ht="15.75" customHeight="1">
      <c r="A3522" s="827" t="str">
        <f>IF(B3522&lt;&gt;"",IF(AND(B3522&gt;=_TM1,B3522&lt;=_TM2,OR(TH!L3522="1111",TH!M3522="1111")),TH!D3522,""),"")</f>
        <v/>
      </c>
      <c r="B3522" s="876">
        <f t="shared" si="467"/>
        <v>3</v>
      </c>
      <c r="C3522" s="877">
        <f t="shared" si="468"/>
        <v>42436</v>
      </c>
      <c r="D3522" s="878" t="s">
        <v>1663</v>
      </c>
      <c r="E3522" s="877">
        <v>42436</v>
      </c>
      <c r="F3522" s="888" t="s">
        <v>939</v>
      </c>
      <c r="G3522" s="880" t="s">
        <v>1059</v>
      </c>
      <c r="H3522" s="881" t="s">
        <v>1313</v>
      </c>
      <c r="I3522" s="882">
        <v>685</v>
      </c>
      <c r="J3522" s="882">
        <v>20053.551518325101</v>
      </c>
      <c r="K3522" s="883">
        <f t="shared" si="470"/>
        <v>13736683</v>
      </c>
      <c r="L3522" s="884" t="s">
        <v>857</v>
      </c>
      <c r="M3522" s="884" t="s">
        <v>160</v>
      </c>
      <c r="N3522" s="52" t="str">
        <f>IF(AND('331-CT'!$E$7=TH!H3522,OR(L3522="331",M3522="331")),"331",IF(AND(OR(L3522="131",M3522="131"),H3522='131-CT'!$E$7),"131",""))</f>
        <v/>
      </c>
      <c r="O3522" s="52" t="str">
        <f>IF(AND($B3522&gt;='111'!$N$11,$B3522&lt;='111'!$O$11,OR($L3522=$O$7,$M3522=$O$7)),"x","")</f>
        <v/>
      </c>
      <c r="P3522" s="52" t="str">
        <f>IF(AND($L3522=$O$7,$B3522&lt;'111'!$N$11),"x","")</f>
        <v/>
      </c>
      <c r="Q3522" s="52" t="str">
        <f>IF(AND($M3522=$O$7,$B3522&lt;'111'!$N$11),"x","")</f>
        <v/>
      </c>
      <c r="R3522" s="52" t="str">
        <f>IF(ISERROR(FIND('112'!$M$9,G3522,1)),"",IF((AND(FIND('112'!$M$9,G3522,1)&gt;=1,$B3522&gt;='112'!$N$8,$B3522&lt;='112'!$O$8,OR($L3522='112'!$I$6,$M3522='112'!$I$6))),"x",""))</f>
        <v/>
      </c>
      <c r="S3522" s="52" t="str">
        <f>IF(ISERROR(FIND('112'!$M$9,G3522,1)),"",IF((AND(LEFT(G3522,2)=LEFT('112'!$M$9,2),B3522&lt;'112'!$N$8,$L3522='112'!$I$6)),"x",""))</f>
        <v/>
      </c>
      <c r="T3522" s="52" t="str">
        <f>IF(ISERROR(FIND('112'!$M$9,G3522,1)),"",IF((AND(RIGHT(G3522,2)=RIGHT('112'!$M$9,2),B3522&lt;'112'!$N$8,$M3522='112'!$I$6)),"x",""))</f>
        <v/>
      </c>
      <c r="U3522" s="52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/>
      </c>
      <c r="AA3522" s="885"/>
      <c r="AB3522" s="886"/>
    </row>
    <row r="3523" spans="1:28" s="887" customFormat="1" ht="15.75" customHeight="1">
      <c r="A3523" s="827" t="str">
        <f>IF(B3523&lt;&gt;"",IF(AND(B3523&gt;=_TM1,B3523&lt;=_TM2,OR(TH!L3523="1111",TH!M3523="1111")),TH!D3523,""),"")</f>
        <v/>
      </c>
      <c r="B3523" s="876">
        <f t="shared" si="467"/>
        <v>3</v>
      </c>
      <c r="C3523" s="877">
        <f t="shared" si="468"/>
        <v>42440</v>
      </c>
      <c r="D3523" s="878" t="s">
        <v>1663</v>
      </c>
      <c r="E3523" s="877">
        <v>42440</v>
      </c>
      <c r="F3523" s="888" t="s">
        <v>637</v>
      </c>
      <c r="G3523" s="880" t="s">
        <v>1066</v>
      </c>
      <c r="H3523" s="881" t="s">
        <v>1313</v>
      </c>
      <c r="I3523" s="882">
        <v>308</v>
      </c>
      <c r="J3523" s="882">
        <v>7130.528956944876</v>
      </c>
      <c r="K3523" s="883">
        <f t="shared" si="470"/>
        <v>2196203</v>
      </c>
      <c r="L3523" s="884" t="s">
        <v>857</v>
      </c>
      <c r="M3523" s="884" t="s">
        <v>160</v>
      </c>
      <c r="N3523" s="52" t="str">
        <f>IF(AND('331-CT'!$E$7=TH!H3523,OR(L3523="331",M3523="331")),"331",IF(AND(OR(L3523="131",M3523="131"),H3523='131-CT'!$E$7),"131",""))</f>
        <v/>
      </c>
      <c r="O3523" s="52" t="str">
        <f>IF(AND($B3523&gt;='111'!$N$11,$B3523&lt;='111'!$O$11,OR($L3523=$O$7,$M3523=$O$7)),"x","")</f>
        <v/>
      </c>
      <c r="P3523" s="52" t="str">
        <f>IF(AND($L3523=$O$7,$B3523&lt;'111'!$N$11),"x","")</f>
        <v/>
      </c>
      <c r="Q3523" s="52" t="str">
        <f>IF(AND($M3523=$O$7,$B3523&lt;'111'!$N$11),"x","")</f>
        <v/>
      </c>
      <c r="R3523" s="52" t="str">
        <f>IF(ISERROR(FIND('112'!$M$9,G3523,1)),"",IF((AND(FIND('112'!$M$9,G3523,1)&gt;=1,$B3523&gt;='112'!$N$8,$B3523&lt;='112'!$O$8,OR($L3523='112'!$I$6,$M3523='112'!$I$6))),"x",""))</f>
        <v/>
      </c>
      <c r="S3523" s="52" t="str">
        <f>IF(ISERROR(FIND('112'!$M$9,G3523,1)),"",IF((AND(LEFT(G3523,2)=LEFT('112'!$M$9,2),B3523&lt;'112'!$N$8,$L3523='112'!$I$6)),"x",""))</f>
        <v/>
      </c>
      <c r="T3523" s="52" t="str">
        <f>IF(ISERROR(FIND('112'!$M$9,G3523,1)),"",IF((AND(RIGHT(G3523,2)=RIGHT('112'!$M$9,2),B3523&lt;'112'!$N$8,$M3523='112'!$I$6)),"x",""))</f>
        <v/>
      </c>
      <c r="U3523" s="52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/>
      </c>
      <c r="AA3523" s="885"/>
      <c r="AB3523" s="886"/>
    </row>
    <row r="3524" spans="1:28" s="887" customFormat="1" ht="15.75" customHeight="1">
      <c r="A3524" s="827" t="str">
        <f>IF(B3524&lt;&gt;"",IF(AND(B3524&gt;=_TM1,B3524&lt;=_TM2,OR(TH!L3524="1111",TH!M3524="1111")),TH!D3524,""),"")</f>
        <v/>
      </c>
      <c r="B3524" s="876">
        <f t="shared" si="467"/>
        <v>3</v>
      </c>
      <c r="C3524" s="877">
        <f t="shared" si="468"/>
        <v>42442</v>
      </c>
      <c r="D3524" s="878" t="s">
        <v>1663</v>
      </c>
      <c r="E3524" s="877">
        <v>42442</v>
      </c>
      <c r="F3524" s="879" t="s">
        <v>655</v>
      </c>
      <c r="G3524" s="880" t="s">
        <v>1067</v>
      </c>
      <c r="H3524" s="881" t="s">
        <v>1313</v>
      </c>
      <c r="I3524" s="882">
        <v>641</v>
      </c>
      <c r="J3524" s="882">
        <v>7108.7153134900473</v>
      </c>
      <c r="K3524" s="883">
        <f t="shared" si="470"/>
        <v>4556687</v>
      </c>
      <c r="L3524" s="884" t="s">
        <v>857</v>
      </c>
      <c r="M3524" s="884" t="s">
        <v>160</v>
      </c>
      <c r="N3524" s="52" t="str">
        <f>IF(AND('331-CT'!$E$7=TH!H3524,OR(L3524="331",M3524="331")),"331",IF(AND(OR(L3524="131",M3524="131"),H3524='131-CT'!$E$7),"131",""))</f>
        <v/>
      </c>
      <c r="O3524" s="52" t="str">
        <f>IF(AND($B3524&gt;='111'!$N$11,$B3524&lt;='111'!$O$11,OR($L3524=$O$7,$M3524=$O$7)),"x","")</f>
        <v/>
      </c>
      <c r="P3524" s="52" t="str">
        <f>IF(AND($L3524=$O$7,$B3524&lt;'111'!$N$11),"x","")</f>
        <v/>
      </c>
      <c r="Q3524" s="52" t="str">
        <f>IF(AND($M3524=$O$7,$B3524&lt;'111'!$N$11),"x","")</f>
        <v/>
      </c>
      <c r="R3524" s="52" t="str">
        <f>IF(ISERROR(FIND('112'!$M$9,G3524,1)),"",IF((AND(FIND('112'!$M$9,G3524,1)&gt;=1,$B3524&gt;='112'!$N$8,$B3524&lt;='112'!$O$8,OR($L3524='112'!$I$6,$M3524='112'!$I$6))),"x",""))</f>
        <v/>
      </c>
      <c r="S3524" s="52" t="str">
        <f>IF(ISERROR(FIND('112'!$M$9,G3524,1)),"",IF((AND(LEFT(G3524,2)=LEFT('112'!$M$9,2),B3524&lt;'112'!$N$8,$L3524='112'!$I$6)),"x",""))</f>
        <v/>
      </c>
      <c r="T3524" s="52" t="str">
        <f>IF(ISERROR(FIND('112'!$M$9,G3524,1)),"",IF((AND(RIGHT(G3524,2)=RIGHT('112'!$M$9,2),B3524&lt;'112'!$N$8,$M3524='112'!$I$6)),"x",""))</f>
        <v/>
      </c>
      <c r="U3524" s="52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/>
      </c>
      <c r="AA3524" s="885"/>
      <c r="AB3524" s="886"/>
    </row>
    <row r="3525" spans="1:28" s="887" customFormat="1" ht="15.75" customHeight="1">
      <c r="A3525" s="827" t="str">
        <f>IF(B3525&lt;&gt;"",IF(AND(B3525&gt;=_TM1,B3525&lt;=_TM2,OR(TH!L3525="1111",TH!M3525="1111")),TH!D3525,""),"")</f>
        <v/>
      </c>
      <c r="B3525" s="876">
        <f t="shared" si="467"/>
        <v>3</v>
      </c>
      <c r="C3525" s="877">
        <f t="shared" si="468"/>
        <v>42442</v>
      </c>
      <c r="D3525" s="878" t="s">
        <v>1663</v>
      </c>
      <c r="E3525" s="877">
        <v>42442</v>
      </c>
      <c r="F3525" s="879" t="s">
        <v>766</v>
      </c>
      <c r="G3525" s="880" t="s">
        <v>1068</v>
      </c>
      <c r="H3525" s="881" t="s">
        <v>1313</v>
      </c>
      <c r="I3525" s="882">
        <v>400</v>
      </c>
      <c r="J3525" s="882">
        <v>14822.387138763059</v>
      </c>
      <c r="K3525" s="883">
        <f t="shared" si="470"/>
        <v>5928955</v>
      </c>
      <c r="L3525" s="884" t="s">
        <v>857</v>
      </c>
      <c r="M3525" s="884" t="s">
        <v>160</v>
      </c>
      <c r="N3525" s="52" t="str">
        <f>IF(AND('331-CT'!$E$7=TH!H3525,OR(L3525="331",M3525="331")),"331",IF(AND(OR(L3525="131",M3525="131"),H3525='131-CT'!$E$7),"131",""))</f>
        <v/>
      </c>
      <c r="O3525" s="52" t="str">
        <f>IF(AND($B3525&gt;='111'!$N$11,$B3525&lt;='111'!$O$11,OR($L3525=$O$7,$M3525=$O$7)),"x","")</f>
        <v/>
      </c>
      <c r="P3525" s="52" t="str">
        <f>IF(AND($L3525=$O$7,$B3525&lt;'111'!$N$11),"x","")</f>
        <v/>
      </c>
      <c r="Q3525" s="52" t="str">
        <f>IF(AND($M3525=$O$7,$B3525&lt;'111'!$N$11),"x","")</f>
        <v/>
      </c>
      <c r="R3525" s="52" t="str">
        <f>IF(ISERROR(FIND('112'!$M$9,G3525,1)),"",IF((AND(FIND('112'!$M$9,G3525,1)&gt;=1,$B3525&gt;='112'!$N$8,$B3525&lt;='112'!$O$8,OR($L3525='112'!$I$6,$M3525='112'!$I$6))),"x",""))</f>
        <v/>
      </c>
      <c r="S3525" s="52" t="str">
        <f>IF(ISERROR(FIND('112'!$M$9,G3525,1)),"",IF((AND(LEFT(G3525,2)=LEFT('112'!$M$9,2),B3525&lt;'112'!$N$8,$L3525='112'!$I$6)),"x",""))</f>
        <v/>
      </c>
      <c r="T3525" s="52" t="str">
        <f>IF(ISERROR(FIND('112'!$M$9,G3525,1)),"",IF((AND(RIGHT(G3525,2)=RIGHT('112'!$M$9,2),B3525&lt;'112'!$N$8,$M3525='112'!$I$6)),"x",""))</f>
        <v/>
      </c>
      <c r="U3525" s="52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/>
      </c>
      <c r="AA3525" s="885"/>
      <c r="AB3525" s="886"/>
    </row>
    <row r="3526" spans="1:28" s="887" customFormat="1" ht="15.75" customHeight="1">
      <c r="A3526" s="827" t="str">
        <f>IF(B3526&lt;&gt;"",IF(AND(B3526&gt;=_TM1,B3526&lt;=_TM2,OR(TH!L3526="1111",TH!M3526="1111")),TH!D3526,""),"")</f>
        <v/>
      </c>
      <c r="B3526" s="876">
        <f t="shared" si="467"/>
        <v>3</v>
      </c>
      <c r="C3526" s="877">
        <f t="shared" si="468"/>
        <v>42449</v>
      </c>
      <c r="D3526" s="878" t="s">
        <v>1663</v>
      </c>
      <c r="E3526" s="877">
        <v>42449</v>
      </c>
      <c r="F3526" s="879" t="s">
        <v>1178</v>
      </c>
      <c r="G3526" s="880" t="s">
        <v>1072</v>
      </c>
      <c r="H3526" s="881" t="s">
        <v>1313</v>
      </c>
      <c r="I3526" s="882">
        <v>950</v>
      </c>
      <c r="J3526" s="882">
        <v>32686.368191394638</v>
      </c>
      <c r="K3526" s="883">
        <f t="shared" si="470"/>
        <v>31052050</v>
      </c>
      <c r="L3526" s="884" t="s">
        <v>857</v>
      </c>
      <c r="M3526" s="884" t="s">
        <v>160</v>
      </c>
      <c r="N3526" s="52" t="str">
        <f>IF(AND('331-CT'!$E$7=TH!H3526,OR(L3526="331",M3526="331")),"331",IF(AND(OR(L3526="131",M3526="131"),H3526='131-CT'!$E$7),"131",""))</f>
        <v/>
      </c>
      <c r="O3526" s="52" t="str">
        <f>IF(AND($B3526&gt;='111'!$N$11,$B3526&lt;='111'!$O$11,OR($L3526=$O$7,$M3526=$O$7)),"x","")</f>
        <v/>
      </c>
      <c r="P3526" s="52" t="str">
        <f>IF(AND($L3526=$O$7,$B3526&lt;'111'!$N$11),"x","")</f>
        <v/>
      </c>
      <c r="Q3526" s="52" t="str">
        <f>IF(AND($M3526=$O$7,$B3526&lt;'111'!$N$11),"x","")</f>
        <v/>
      </c>
      <c r="R3526" s="52" t="str">
        <f>IF(ISERROR(FIND('112'!$M$9,G3526,1)),"",IF((AND(FIND('112'!$M$9,G3526,1)&gt;=1,$B3526&gt;='112'!$N$8,$B3526&lt;='112'!$O$8,OR($L3526='112'!$I$6,$M3526='112'!$I$6))),"x",""))</f>
        <v/>
      </c>
      <c r="S3526" s="52" t="str">
        <f>IF(ISERROR(FIND('112'!$M$9,G3526,1)),"",IF((AND(LEFT(G3526,2)=LEFT('112'!$M$9,2),B3526&lt;'112'!$N$8,$L3526='112'!$I$6)),"x",""))</f>
        <v/>
      </c>
      <c r="T3526" s="52" t="str">
        <f>IF(ISERROR(FIND('112'!$M$9,G3526,1)),"",IF((AND(RIGHT(G3526,2)=RIGHT('112'!$M$9,2),B3526&lt;'112'!$N$8,$M3526='112'!$I$6)),"x",""))</f>
        <v/>
      </c>
      <c r="U3526" s="52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/>
      </c>
      <c r="AA3526" s="885"/>
      <c r="AB3526" s="886"/>
    </row>
    <row r="3527" spans="1:28" s="887" customFormat="1" ht="15.75" customHeight="1">
      <c r="A3527" s="827" t="str">
        <f>IF(B3527&lt;&gt;"",IF(AND(B3527&gt;=_TM1,B3527&lt;=_TM2,OR(TH!L3527="1111",TH!M3527="1111")),TH!D3527,""),"")</f>
        <v/>
      </c>
      <c r="B3527" s="876">
        <f t="shared" si="467"/>
        <v>3</v>
      </c>
      <c r="C3527" s="877">
        <f t="shared" si="468"/>
        <v>42449</v>
      </c>
      <c r="D3527" s="878" t="s">
        <v>1663</v>
      </c>
      <c r="E3527" s="877">
        <v>42449</v>
      </c>
      <c r="F3527" s="879" t="s">
        <v>1179</v>
      </c>
      <c r="G3527" s="880" t="s">
        <v>1072</v>
      </c>
      <c r="H3527" s="881" t="s">
        <v>1313</v>
      </c>
      <c r="I3527" s="882">
        <v>950</v>
      </c>
      <c r="J3527" s="882">
        <v>32060.479770342004</v>
      </c>
      <c r="K3527" s="883">
        <f t="shared" si="470"/>
        <v>30457456</v>
      </c>
      <c r="L3527" s="884" t="s">
        <v>857</v>
      </c>
      <c r="M3527" s="884" t="s">
        <v>160</v>
      </c>
      <c r="N3527" s="52" t="str">
        <f>IF(AND('331-CT'!$E$7=TH!H3527,OR(L3527="331",M3527="331")),"331",IF(AND(OR(L3527="131",M3527="131"),H3527='131-CT'!$E$7),"131",""))</f>
        <v/>
      </c>
      <c r="O3527" s="52" t="str">
        <f>IF(AND($B3527&gt;='111'!$N$11,$B3527&lt;='111'!$O$11,OR($L3527=$O$7,$M3527=$O$7)),"x","")</f>
        <v/>
      </c>
      <c r="P3527" s="52" t="str">
        <f>IF(AND($L3527=$O$7,$B3527&lt;'111'!$N$11),"x","")</f>
        <v/>
      </c>
      <c r="Q3527" s="52" t="str">
        <f>IF(AND($M3527=$O$7,$B3527&lt;'111'!$N$11),"x","")</f>
        <v/>
      </c>
      <c r="R3527" s="52" t="str">
        <f>IF(ISERROR(FIND('112'!$M$9,G3527,1)),"",IF((AND(FIND('112'!$M$9,G3527,1)&gt;=1,$B3527&gt;='112'!$N$8,$B3527&lt;='112'!$O$8,OR($L3527='112'!$I$6,$M3527='112'!$I$6))),"x",""))</f>
        <v/>
      </c>
      <c r="S3527" s="52" t="str">
        <f>IF(ISERROR(FIND('112'!$M$9,G3527,1)),"",IF((AND(LEFT(G3527,2)=LEFT('112'!$M$9,2),B3527&lt;'112'!$N$8,$L3527='112'!$I$6)),"x",""))</f>
        <v/>
      </c>
      <c r="T3527" s="52" t="str">
        <f>IF(ISERROR(FIND('112'!$M$9,G3527,1)),"",IF((AND(RIGHT(G3527,2)=RIGHT('112'!$M$9,2),B3527&lt;'112'!$N$8,$M3527='112'!$I$6)),"x",""))</f>
        <v/>
      </c>
      <c r="U3527" s="52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/>
      </c>
      <c r="AA3527" s="885"/>
      <c r="AB3527" s="886"/>
    </row>
    <row r="3528" spans="1:28" s="887" customFormat="1" ht="15.75" customHeight="1">
      <c r="A3528" s="827" t="str">
        <f>IF(B3528&lt;&gt;"",IF(AND(B3528&gt;=_TM1,B3528&lt;=_TM2,OR(TH!L3528="1111",TH!M3528="1111")),TH!D3528,""),"")</f>
        <v/>
      </c>
      <c r="B3528" s="876">
        <f t="shared" si="467"/>
        <v>3</v>
      </c>
      <c r="C3528" s="877">
        <f t="shared" si="468"/>
        <v>42457</v>
      </c>
      <c r="D3528" s="878" t="s">
        <v>1663</v>
      </c>
      <c r="E3528" s="877">
        <v>42457</v>
      </c>
      <c r="F3528" s="888" t="s">
        <v>655</v>
      </c>
      <c r="G3528" s="880" t="s">
        <v>1074</v>
      </c>
      <c r="H3528" s="881" t="s">
        <v>1313</v>
      </c>
      <c r="I3528" s="882">
        <v>472</v>
      </c>
      <c r="J3528" s="882">
        <v>7222.2412065596682</v>
      </c>
      <c r="K3528" s="883">
        <f t="shared" si="470"/>
        <v>3408898</v>
      </c>
      <c r="L3528" s="884" t="s">
        <v>857</v>
      </c>
      <c r="M3528" s="884" t="s">
        <v>160</v>
      </c>
      <c r="N3528" s="52" t="str">
        <f>IF(AND('331-CT'!$E$7=TH!H3528,OR(L3528="331",M3528="331")),"331",IF(AND(OR(L3528="131",M3528="131"),H3528='131-CT'!$E$7),"131",""))</f>
        <v/>
      </c>
      <c r="O3528" s="52" t="str">
        <f>IF(AND($B3528&gt;='111'!$N$11,$B3528&lt;='111'!$O$11,OR($L3528=$O$7,$M3528=$O$7)),"x","")</f>
        <v/>
      </c>
      <c r="P3528" s="52" t="str">
        <f>IF(AND($L3528=$O$7,$B3528&lt;'111'!$N$11),"x","")</f>
        <v/>
      </c>
      <c r="Q3528" s="52" t="str">
        <f>IF(AND($M3528=$O$7,$B3528&lt;'111'!$N$11),"x","")</f>
        <v/>
      </c>
      <c r="R3528" s="52" t="str">
        <f>IF(ISERROR(FIND('112'!$M$9,G3528,1)),"",IF((AND(FIND('112'!$M$9,G3528,1)&gt;=1,$B3528&gt;='112'!$N$8,$B3528&lt;='112'!$O$8,OR($L3528='112'!$I$6,$M3528='112'!$I$6))),"x",""))</f>
        <v/>
      </c>
      <c r="S3528" s="52" t="str">
        <f>IF(ISERROR(FIND('112'!$M$9,G3528,1)),"",IF((AND(LEFT(G3528,2)=LEFT('112'!$M$9,2),B3528&lt;'112'!$N$8,$L3528='112'!$I$6)),"x",""))</f>
        <v/>
      </c>
      <c r="T3528" s="52" t="str">
        <f>IF(ISERROR(FIND('112'!$M$9,G3528,1)),"",IF((AND(RIGHT(G3528,2)=RIGHT('112'!$M$9,2),B3528&lt;'112'!$N$8,$M3528='112'!$I$6)),"x",""))</f>
        <v/>
      </c>
      <c r="U3528" s="52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/>
      </c>
      <c r="AA3528" s="885"/>
      <c r="AB3528" s="886"/>
    </row>
    <row r="3529" spans="1:28" s="887" customFormat="1" ht="15.75" customHeight="1">
      <c r="A3529" s="827" t="str">
        <f>IF(B3529&lt;&gt;"",IF(AND(B3529&gt;=_TM1,B3529&lt;=_TM2,OR(TH!L3529="1111",TH!M3529="1111")),TH!D3529,""),"")</f>
        <v/>
      </c>
      <c r="B3529" s="876">
        <f t="shared" si="467"/>
        <v>3</v>
      </c>
      <c r="C3529" s="877">
        <f t="shared" si="468"/>
        <v>42458</v>
      </c>
      <c r="D3529" s="878" t="s">
        <v>1663</v>
      </c>
      <c r="E3529" s="877">
        <v>42458</v>
      </c>
      <c r="F3529" s="888" t="s">
        <v>656</v>
      </c>
      <c r="G3529" s="880" t="s">
        <v>1075</v>
      </c>
      <c r="H3529" s="881" t="s">
        <v>1313</v>
      </c>
      <c r="I3529" s="882">
        <v>719</v>
      </c>
      <c r="J3529" s="882">
        <v>4921.882604687954</v>
      </c>
      <c r="K3529" s="883">
        <f t="shared" si="470"/>
        <v>3538834</v>
      </c>
      <c r="L3529" s="884" t="s">
        <v>857</v>
      </c>
      <c r="M3529" s="884" t="s">
        <v>160</v>
      </c>
      <c r="N3529" s="52" t="str">
        <f>IF(AND('331-CT'!$E$7=TH!H3529,OR(L3529="331",M3529="331")),"331",IF(AND(OR(L3529="131",M3529="131"),H3529='131-CT'!$E$7),"131",""))</f>
        <v/>
      </c>
      <c r="O3529" s="52" t="str">
        <f>IF(AND($B3529&gt;='111'!$N$11,$B3529&lt;='111'!$O$11,OR($L3529=$O$7,$M3529=$O$7)),"x","")</f>
        <v/>
      </c>
      <c r="P3529" s="52" t="str">
        <f>IF(AND($L3529=$O$7,$B3529&lt;'111'!$N$11),"x","")</f>
        <v/>
      </c>
      <c r="Q3529" s="52" t="str">
        <f>IF(AND($M3529=$O$7,$B3529&lt;'111'!$N$11),"x","")</f>
        <v/>
      </c>
      <c r="R3529" s="52" t="str">
        <f>IF(ISERROR(FIND('112'!$M$9,G3529,1)),"",IF((AND(FIND('112'!$M$9,G3529,1)&gt;=1,$B3529&gt;='112'!$N$8,$B3529&lt;='112'!$O$8,OR($L3529='112'!$I$6,$M3529='112'!$I$6))),"x",""))</f>
        <v/>
      </c>
      <c r="S3529" s="52" t="str">
        <f>IF(ISERROR(FIND('112'!$M$9,G3529,1)),"",IF((AND(LEFT(G3529,2)=LEFT('112'!$M$9,2),B3529&lt;'112'!$N$8,$L3529='112'!$I$6)),"x",""))</f>
        <v/>
      </c>
      <c r="T3529" s="52" t="str">
        <f>IF(ISERROR(FIND('112'!$M$9,G3529,1)),"",IF((AND(RIGHT(G3529,2)=RIGHT('112'!$M$9,2),B3529&lt;'112'!$N$8,$M3529='112'!$I$6)),"x",""))</f>
        <v/>
      </c>
      <c r="U3529" s="52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/>
      </c>
      <c r="AA3529" s="885"/>
      <c r="AB3529" s="886"/>
    </row>
    <row r="3530" spans="1:28" s="887" customFormat="1" ht="15.75" customHeight="1">
      <c r="A3530" s="827" t="str">
        <f>IF(B3530&lt;&gt;"",IF(AND(B3530&gt;=_TM1,B3530&lt;=_TM2,OR(TH!L3530="1111",TH!M3530="1111")),TH!D3530,""),"")</f>
        <v/>
      </c>
      <c r="B3530" s="876">
        <f t="shared" si="467"/>
        <v>3</v>
      </c>
      <c r="C3530" s="877">
        <f t="shared" si="468"/>
        <v>42458</v>
      </c>
      <c r="D3530" s="878" t="s">
        <v>1663</v>
      </c>
      <c r="E3530" s="877">
        <v>42458</v>
      </c>
      <c r="F3530" s="888" t="s">
        <v>959</v>
      </c>
      <c r="G3530" s="880" t="s">
        <v>1080</v>
      </c>
      <c r="H3530" s="881" t="s">
        <v>1313</v>
      </c>
      <c r="I3530" s="882">
        <v>60</v>
      </c>
      <c r="J3530" s="882">
        <v>77233.347138763071</v>
      </c>
      <c r="K3530" s="883">
        <f t="shared" si="470"/>
        <v>4634001</v>
      </c>
      <c r="L3530" s="884" t="s">
        <v>857</v>
      </c>
      <c r="M3530" s="884" t="s">
        <v>160</v>
      </c>
      <c r="N3530" s="52" t="str">
        <f>IF(AND('331-CT'!$E$7=TH!H3530,OR(L3530="331",M3530="331")),"331",IF(AND(OR(L3530="131",M3530="131"),H3530='131-CT'!$E$7),"131",""))</f>
        <v/>
      </c>
      <c r="O3530" s="52" t="str">
        <f>IF(AND($B3530&gt;='111'!$N$11,$B3530&lt;='111'!$O$11,OR($L3530=$O$7,$M3530=$O$7)),"x","")</f>
        <v/>
      </c>
      <c r="P3530" s="52" t="str">
        <f>IF(AND($L3530=$O$7,$B3530&lt;'111'!$N$11),"x","")</f>
        <v/>
      </c>
      <c r="Q3530" s="52" t="str">
        <f>IF(AND($M3530=$O$7,$B3530&lt;'111'!$N$11),"x","")</f>
        <v/>
      </c>
      <c r="R3530" s="52" t="str">
        <f>IF(ISERROR(FIND('112'!$M$9,G3530,1)),"",IF((AND(FIND('112'!$M$9,G3530,1)&gt;=1,$B3530&gt;='112'!$N$8,$B3530&lt;='112'!$O$8,OR($L3530='112'!$I$6,$M3530='112'!$I$6))),"x",""))</f>
        <v/>
      </c>
      <c r="S3530" s="52" t="str">
        <f>IF(ISERROR(FIND('112'!$M$9,G3530,1)),"",IF((AND(LEFT(G3530,2)=LEFT('112'!$M$9,2),B3530&lt;'112'!$N$8,$L3530='112'!$I$6)),"x",""))</f>
        <v/>
      </c>
      <c r="T3530" s="52" t="str">
        <f>IF(ISERROR(FIND('112'!$M$9,G3530,1)),"",IF((AND(RIGHT(G3530,2)=RIGHT('112'!$M$9,2),B3530&lt;'112'!$N$8,$M3530='112'!$I$6)),"x",""))</f>
        <v/>
      </c>
      <c r="U3530" s="52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/>
      </c>
      <c r="AA3530" s="885"/>
      <c r="AB3530" s="886"/>
    </row>
    <row r="3531" spans="1:28" s="887" customFormat="1" ht="15.75" customHeight="1">
      <c r="A3531" s="827" t="str">
        <f>IF(B3531&lt;&gt;"",IF(AND(B3531&gt;=_TM1,B3531&lt;=_TM2,OR(TH!L3531="1111",TH!M3531="1111")),TH!D3531,""),"")</f>
        <v/>
      </c>
      <c r="B3531" s="876">
        <f t="shared" si="467"/>
        <v>3</v>
      </c>
      <c r="C3531" s="877">
        <f t="shared" si="468"/>
        <v>42458</v>
      </c>
      <c r="D3531" s="878" t="s">
        <v>1663</v>
      </c>
      <c r="E3531" s="877">
        <v>42458</v>
      </c>
      <c r="F3531" s="888" t="s">
        <v>761</v>
      </c>
      <c r="G3531" s="880" t="s">
        <v>1080</v>
      </c>
      <c r="H3531" s="881" t="s">
        <v>1313</v>
      </c>
      <c r="I3531" s="882">
        <v>32</v>
      </c>
      <c r="J3531" s="882">
        <v>84751.440888763056</v>
      </c>
      <c r="K3531" s="883">
        <f t="shared" si="470"/>
        <v>2712046</v>
      </c>
      <c r="L3531" s="884" t="s">
        <v>857</v>
      </c>
      <c r="M3531" s="884" t="s">
        <v>160</v>
      </c>
      <c r="N3531" s="52" t="str">
        <f>IF(AND('331-CT'!$E$7=TH!H3531,OR(L3531="331",M3531="331")),"331",IF(AND(OR(L3531="131",M3531="131"),H3531='131-CT'!$E$7),"131",""))</f>
        <v/>
      </c>
      <c r="O3531" s="52" t="str">
        <f>IF(AND($B3531&gt;='111'!$N$11,$B3531&lt;='111'!$O$11,OR($L3531=$O$7,$M3531=$O$7)),"x","")</f>
        <v/>
      </c>
      <c r="P3531" s="52" t="str">
        <f>IF(AND($L3531=$O$7,$B3531&lt;'111'!$N$11),"x","")</f>
        <v/>
      </c>
      <c r="Q3531" s="52" t="str">
        <f>IF(AND($M3531=$O$7,$B3531&lt;'111'!$N$11),"x","")</f>
        <v/>
      </c>
      <c r="R3531" s="52" t="str">
        <f>IF(ISERROR(FIND('112'!$M$9,G3531,1)),"",IF((AND(FIND('112'!$M$9,G3531,1)&gt;=1,$B3531&gt;='112'!$N$8,$B3531&lt;='112'!$O$8,OR($L3531='112'!$I$6,$M3531='112'!$I$6))),"x",""))</f>
        <v/>
      </c>
      <c r="S3531" s="52" t="str">
        <f>IF(ISERROR(FIND('112'!$M$9,G3531,1)),"",IF((AND(LEFT(G3531,2)=LEFT('112'!$M$9,2),B3531&lt;'112'!$N$8,$L3531='112'!$I$6)),"x",""))</f>
        <v/>
      </c>
      <c r="T3531" s="52" t="str">
        <f>IF(ISERROR(FIND('112'!$M$9,G3531,1)),"",IF((AND(RIGHT(G3531,2)=RIGHT('112'!$M$9,2),B3531&lt;'112'!$N$8,$M3531='112'!$I$6)),"x",""))</f>
        <v/>
      </c>
      <c r="U3531" s="52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/>
      </c>
      <c r="AA3531" s="885"/>
      <c r="AB3531" s="886"/>
    </row>
    <row r="3532" spans="1:28" s="887" customFormat="1" ht="15.75" customHeight="1">
      <c r="A3532" s="827" t="str">
        <f>IF(B3532&lt;&gt;"",IF(AND(B3532&gt;=_TM1,B3532&lt;=_TM2,OR(TH!L3532="1111",TH!M3532="1111")),TH!D3532,""),"")</f>
        <v/>
      </c>
      <c r="B3532" s="876">
        <f t="shared" si="467"/>
        <v>3</v>
      </c>
      <c r="C3532" s="877">
        <f t="shared" si="468"/>
        <v>42458</v>
      </c>
      <c r="D3532" s="878" t="s">
        <v>1663</v>
      </c>
      <c r="E3532" s="877">
        <v>42458</v>
      </c>
      <c r="F3532" s="888" t="s">
        <v>957</v>
      </c>
      <c r="G3532" s="880" t="s">
        <v>1080</v>
      </c>
      <c r="H3532" s="881" t="s">
        <v>1313</v>
      </c>
      <c r="I3532" s="882">
        <v>36</v>
      </c>
      <c r="J3532" s="882">
        <v>34995.180472096392</v>
      </c>
      <c r="K3532" s="883">
        <f t="shared" si="470"/>
        <v>1259826</v>
      </c>
      <c r="L3532" s="884" t="s">
        <v>857</v>
      </c>
      <c r="M3532" s="884" t="s">
        <v>160</v>
      </c>
      <c r="N3532" s="52" t="str">
        <f>IF(AND('331-CT'!$E$7=TH!H3532,OR(L3532="331",M3532="331")),"331",IF(AND(OR(L3532="131",M3532="131"),H3532='131-CT'!$E$7),"131",""))</f>
        <v/>
      </c>
      <c r="O3532" s="52" t="str">
        <f>IF(AND($B3532&gt;='111'!$N$11,$B3532&lt;='111'!$O$11,OR($L3532=$O$7,$M3532=$O$7)),"x","")</f>
        <v/>
      </c>
      <c r="P3532" s="52" t="str">
        <f>IF(AND($L3532=$O$7,$B3532&lt;'111'!$N$11),"x","")</f>
        <v/>
      </c>
      <c r="Q3532" s="52" t="str">
        <f>IF(AND($M3532=$O$7,$B3532&lt;'111'!$N$11),"x","")</f>
        <v/>
      </c>
      <c r="R3532" s="52" t="str">
        <f>IF(ISERROR(FIND('112'!$M$9,G3532,1)),"",IF((AND(FIND('112'!$M$9,G3532,1)&gt;=1,$B3532&gt;='112'!$N$8,$B3532&lt;='112'!$O$8,OR($L3532='112'!$I$6,$M3532='112'!$I$6))),"x",""))</f>
        <v/>
      </c>
      <c r="S3532" s="52" t="str">
        <f>IF(ISERROR(FIND('112'!$M$9,G3532,1)),"",IF((AND(LEFT(G3532,2)=LEFT('112'!$M$9,2),B3532&lt;'112'!$N$8,$L3532='112'!$I$6)),"x",""))</f>
        <v/>
      </c>
      <c r="T3532" s="52" t="str">
        <f>IF(ISERROR(FIND('112'!$M$9,G3532,1)),"",IF((AND(RIGHT(G3532,2)=RIGHT('112'!$M$9,2),B3532&lt;'112'!$N$8,$M3532='112'!$I$6)),"x",""))</f>
        <v/>
      </c>
      <c r="U3532" s="52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/>
      </c>
      <c r="AA3532" s="885"/>
      <c r="AB3532" s="886"/>
    </row>
    <row r="3533" spans="1:28" s="887" customFormat="1" ht="15.75" customHeight="1">
      <c r="A3533" s="827" t="str">
        <f>IF(B3533&lt;&gt;"",IF(AND(B3533&gt;=_TM1,B3533&lt;=_TM2,OR(TH!L3533="1111",TH!M3533="1111")),TH!D3533,""),"")</f>
        <v/>
      </c>
      <c r="B3533" s="876">
        <f t="shared" si="467"/>
        <v>3</v>
      </c>
      <c r="C3533" s="877">
        <f t="shared" si="468"/>
        <v>42458</v>
      </c>
      <c r="D3533" s="878" t="s">
        <v>1663</v>
      </c>
      <c r="E3533" s="877">
        <v>42458</v>
      </c>
      <c r="F3533" s="888" t="s">
        <v>957</v>
      </c>
      <c r="G3533" s="880" t="s">
        <v>1080</v>
      </c>
      <c r="H3533" s="881" t="s">
        <v>1313</v>
      </c>
      <c r="I3533" s="882">
        <v>20</v>
      </c>
      <c r="J3533" s="882">
        <v>32921.197138763055</v>
      </c>
      <c r="K3533" s="883">
        <f t="shared" si="470"/>
        <v>658424</v>
      </c>
      <c r="L3533" s="884" t="s">
        <v>857</v>
      </c>
      <c r="M3533" s="884" t="s">
        <v>160</v>
      </c>
      <c r="N3533" s="52" t="str">
        <f>IF(AND('331-CT'!$E$7=TH!H3533,OR(L3533="331",M3533="331")),"331",IF(AND(OR(L3533="131",M3533="131"),H3533='131-CT'!$E$7),"131",""))</f>
        <v/>
      </c>
      <c r="O3533" s="52" t="str">
        <f>IF(AND($B3533&gt;='111'!$N$11,$B3533&lt;='111'!$O$11,OR($L3533=$O$7,$M3533=$O$7)),"x","")</f>
        <v/>
      </c>
      <c r="P3533" s="52" t="str">
        <f>IF(AND($L3533=$O$7,$B3533&lt;'111'!$N$11),"x","")</f>
        <v/>
      </c>
      <c r="Q3533" s="52" t="str">
        <f>IF(AND($M3533=$O$7,$B3533&lt;'111'!$N$11),"x","")</f>
        <v/>
      </c>
      <c r="R3533" s="52" t="str">
        <f>IF(ISERROR(FIND('112'!$M$9,G3533,1)),"",IF((AND(FIND('112'!$M$9,G3533,1)&gt;=1,$B3533&gt;='112'!$N$8,$B3533&lt;='112'!$O$8,OR($L3533='112'!$I$6,$M3533='112'!$I$6))),"x",""))</f>
        <v/>
      </c>
      <c r="S3533" s="52" t="str">
        <f>IF(ISERROR(FIND('112'!$M$9,G3533,1)),"",IF((AND(LEFT(G3533,2)=LEFT('112'!$M$9,2),B3533&lt;'112'!$N$8,$L3533='112'!$I$6)),"x",""))</f>
        <v/>
      </c>
      <c r="T3533" s="52" t="str">
        <f>IF(ISERROR(FIND('112'!$M$9,G3533,1)),"",IF((AND(RIGHT(G3533,2)=RIGHT('112'!$M$9,2),B3533&lt;'112'!$N$8,$M3533='112'!$I$6)),"x",""))</f>
        <v/>
      </c>
      <c r="U3533" s="52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/>
      </c>
      <c r="AA3533" s="885"/>
      <c r="AB3533" s="886"/>
    </row>
    <row r="3534" spans="1:28" s="887" customFormat="1" ht="15.75" customHeight="1">
      <c r="A3534" s="827" t="str">
        <f>IF(B3534&lt;&gt;"",IF(AND(B3534&gt;=_TM1,B3534&lt;=_TM2,OR(TH!L3534="1111",TH!M3534="1111")),TH!D3534,""),"")</f>
        <v/>
      </c>
      <c r="B3534" s="876">
        <f t="shared" si="467"/>
        <v>3</v>
      </c>
      <c r="C3534" s="877">
        <f t="shared" si="468"/>
        <v>42458</v>
      </c>
      <c r="D3534" s="878" t="s">
        <v>1663</v>
      </c>
      <c r="E3534" s="877">
        <v>42458</v>
      </c>
      <c r="F3534" s="879" t="s">
        <v>758</v>
      </c>
      <c r="G3534" s="880" t="s">
        <v>1080</v>
      </c>
      <c r="H3534" s="881" t="s">
        <v>1313</v>
      </c>
      <c r="I3534" s="882">
        <v>18</v>
      </c>
      <c r="J3534" s="882">
        <v>47266.791583207501</v>
      </c>
      <c r="K3534" s="883">
        <f t="shared" si="470"/>
        <v>850802</v>
      </c>
      <c r="L3534" s="884" t="s">
        <v>857</v>
      </c>
      <c r="M3534" s="884" t="s">
        <v>160</v>
      </c>
      <c r="N3534" s="52" t="str">
        <f>IF(AND('331-CT'!$E$7=TH!H3534,OR(L3534="331",M3534="331")),"331",IF(AND(OR(L3534="131",M3534="131"),H3534='131-CT'!$E$7),"131",""))</f>
        <v/>
      </c>
      <c r="O3534" s="52" t="str">
        <f>IF(AND($B3534&gt;='111'!$N$11,$B3534&lt;='111'!$O$11,OR($L3534=$O$7,$M3534=$O$7)),"x","")</f>
        <v/>
      </c>
      <c r="P3534" s="52" t="str">
        <f>IF(AND($L3534=$O$7,$B3534&lt;'111'!$N$11),"x","")</f>
        <v/>
      </c>
      <c r="Q3534" s="52" t="str">
        <f>IF(AND($M3534=$O$7,$B3534&lt;'111'!$N$11),"x","")</f>
        <v/>
      </c>
      <c r="R3534" s="52" t="str">
        <f>IF(ISERROR(FIND('112'!$M$9,G3534,1)),"",IF((AND(FIND('112'!$M$9,G3534,1)&gt;=1,$B3534&gt;='112'!$N$8,$B3534&lt;='112'!$O$8,OR($L3534='112'!$I$6,$M3534='112'!$I$6))),"x",""))</f>
        <v/>
      </c>
      <c r="S3534" s="52" t="str">
        <f>IF(ISERROR(FIND('112'!$M$9,G3534,1)),"",IF((AND(LEFT(G3534,2)=LEFT('112'!$M$9,2),B3534&lt;'112'!$N$8,$L3534='112'!$I$6)),"x",""))</f>
        <v/>
      </c>
      <c r="T3534" s="52" t="str">
        <f>IF(ISERROR(FIND('112'!$M$9,G3534,1)),"",IF((AND(RIGHT(G3534,2)=RIGHT('112'!$M$9,2),B3534&lt;'112'!$N$8,$M3534='112'!$I$6)),"x",""))</f>
        <v/>
      </c>
      <c r="U3534" s="52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/>
      </c>
      <c r="AA3534" s="885"/>
      <c r="AB3534" s="886"/>
    </row>
    <row r="3535" spans="1:28" s="887" customFormat="1" ht="15.75" customHeight="1">
      <c r="A3535" s="827" t="str">
        <f>IF(B3535&lt;&gt;"",IF(AND(B3535&gt;=_TM1,B3535&lt;=_TM2,OR(TH!L3535="1111",TH!M3535="1111")),TH!D3535,""),"")</f>
        <v/>
      </c>
      <c r="B3535" s="876">
        <f t="shared" si="467"/>
        <v>3</v>
      </c>
      <c r="C3535" s="877">
        <f t="shared" si="468"/>
        <v>42458</v>
      </c>
      <c r="D3535" s="878" t="s">
        <v>1663</v>
      </c>
      <c r="E3535" s="877">
        <v>42458</v>
      </c>
      <c r="F3535" s="888" t="s">
        <v>757</v>
      </c>
      <c r="G3535" s="880" t="s">
        <v>1080</v>
      </c>
      <c r="H3535" s="881" t="s">
        <v>1313</v>
      </c>
      <c r="I3535" s="882">
        <v>40</v>
      </c>
      <c r="J3535" s="882">
        <v>65254.847138763056</v>
      </c>
      <c r="K3535" s="883">
        <f t="shared" si="470"/>
        <v>2610194</v>
      </c>
      <c r="L3535" s="884" t="s">
        <v>857</v>
      </c>
      <c r="M3535" s="884" t="s">
        <v>160</v>
      </c>
      <c r="N3535" s="52" t="str">
        <f>IF(AND('331-CT'!$E$7=TH!H3535,OR(L3535="331",M3535="331")),"331",IF(AND(OR(L3535="131",M3535="131"),H3535='131-CT'!$E$7),"131",""))</f>
        <v/>
      </c>
      <c r="O3535" s="52" t="str">
        <f>IF(AND($B3535&gt;='111'!$N$11,$B3535&lt;='111'!$O$11,OR($L3535=$O$7,$M3535=$O$7)),"x","")</f>
        <v/>
      </c>
      <c r="P3535" s="52" t="str">
        <f>IF(AND($L3535=$O$7,$B3535&lt;'111'!$N$11),"x","")</f>
        <v/>
      </c>
      <c r="Q3535" s="52" t="str">
        <f>IF(AND($M3535=$O$7,$B3535&lt;'111'!$N$11),"x","")</f>
        <v/>
      </c>
      <c r="R3535" s="52" t="str">
        <f>IF(ISERROR(FIND('112'!$M$9,G3535,1)),"",IF((AND(FIND('112'!$M$9,G3535,1)&gt;=1,$B3535&gt;='112'!$N$8,$B3535&lt;='112'!$O$8,OR($L3535='112'!$I$6,$M3535='112'!$I$6))),"x",""))</f>
        <v/>
      </c>
      <c r="S3535" s="52" t="str">
        <f>IF(ISERROR(FIND('112'!$M$9,G3535,1)),"",IF((AND(LEFT(G3535,2)=LEFT('112'!$M$9,2),B3535&lt;'112'!$N$8,$L3535='112'!$I$6)),"x",""))</f>
        <v/>
      </c>
      <c r="T3535" s="52" t="str">
        <f>IF(ISERROR(FIND('112'!$M$9,G3535,1)),"",IF((AND(RIGHT(G3535,2)=RIGHT('112'!$M$9,2),B3535&lt;'112'!$N$8,$M3535='112'!$I$6)),"x",""))</f>
        <v/>
      </c>
      <c r="U3535" s="52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/>
      </c>
      <c r="AA3535" s="885"/>
      <c r="AB3535" s="886"/>
    </row>
    <row r="3536" spans="1:28" s="887" customFormat="1" ht="15.75" customHeight="1">
      <c r="A3536" s="827" t="str">
        <f>IF(B3536&lt;&gt;"",IF(AND(B3536&gt;=_TM1,B3536&lt;=_TM2,OR(TH!L3536="1111",TH!M3536="1111")),TH!D3536,""),"")</f>
        <v/>
      </c>
      <c r="B3536" s="876">
        <f t="shared" si="467"/>
        <v>3</v>
      </c>
      <c r="C3536" s="877">
        <f t="shared" si="468"/>
        <v>42458</v>
      </c>
      <c r="D3536" s="878" t="s">
        <v>1663</v>
      </c>
      <c r="E3536" s="877">
        <v>42458</v>
      </c>
      <c r="F3536" s="888" t="s">
        <v>958</v>
      </c>
      <c r="G3536" s="880" t="s">
        <v>1080</v>
      </c>
      <c r="H3536" s="881" t="s">
        <v>1313</v>
      </c>
      <c r="I3536" s="882">
        <v>50</v>
      </c>
      <c r="J3536" s="882">
        <v>52090.427138763058</v>
      </c>
      <c r="K3536" s="883">
        <f t="shared" si="470"/>
        <v>2604521</v>
      </c>
      <c r="L3536" s="884" t="s">
        <v>857</v>
      </c>
      <c r="M3536" s="884" t="s">
        <v>160</v>
      </c>
      <c r="N3536" s="52" t="str">
        <f>IF(AND('331-CT'!$E$7=TH!H3536,OR(L3536="331",M3536="331")),"331",IF(AND(OR(L3536="131",M3536="131"),H3536='131-CT'!$E$7),"131",""))</f>
        <v/>
      </c>
      <c r="O3536" s="52" t="str">
        <f>IF(AND($B3536&gt;='111'!$N$11,$B3536&lt;='111'!$O$11,OR($L3536=$O$7,$M3536=$O$7)),"x","")</f>
        <v/>
      </c>
      <c r="P3536" s="52" t="str">
        <f>IF(AND($L3536=$O$7,$B3536&lt;'111'!$N$11),"x","")</f>
        <v/>
      </c>
      <c r="Q3536" s="52" t="str">
        <f>IF(AND($M3536=$O$7,$B3536&lt;'111'!$N$11),"x","")</f>
        <v/>
      </c>
      <c r="R3536" s="52" t="str">
        <f>IF(ISERROR(FIND('112'!$M$9,G3536,1)),"",IF((AND(FIND('112'!$M$9,G3536,1)&gt;=1,$B3536&gt;='112'!$N$8,$B3536&lt;='112'!$O$8,OR($L3536='112'!$I$6,$M3536='112'!$I$6))),"x",""))</f>
        <v/>
      </c>
      <c r="S3536" s="52" t="str">
        <f>IF(ISERROR(FIND('112'!$M$9,G3536,1)),"",IF((AND(LEFT(G3536,2)=LEFT('112'!$M$9,2),B3536&lt;'112'!$N$8,$L3536='112'!$I$6)),"x",""))</f>
        <v/>
      </c>
      <c r="T3536" s="52" t="str">
        <f>IF(ISERROR(FIND('112'!$M$9,G3536,1)),"",IF((AND(RIGHT(G3536,2)=RIGHT('112'!$M$9,2),B3536&lt;'112'!$N$8,$M3536='112'!$I$6)),"x",""))</f>
        <v/>
      </c>
      <c r="U3536" s="52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/>
      </c>
      <c r="AA3536" s="885"/>
      <c r="AB3536" s="886"/>
    </row>
    <row r="3537" spans="1:28" s="887" customFormat="1" ht="15.75" customHeight="1">
      <c r="A3537" s="827" t="str">
        <f>IF(B3537&lt;&gt;"",IF(AND(B3537&gt;=_TM1,B3537&lt;=_TM2,OR(TH!L3537="1111",TH!M3537="1111")),TH!D3537,""),"")</f>
        <v/>
      </c>
      <c r="B3537" s="876">
        <f t="shared" si="467"/>
        <v>3</v>
      </c>
      <c r="C3537" s="877">
        <f t="shared" si="468"/>
        <v>42458</v>
      </c>
      <c r="D3537" s="878" t="s">
        <v>1663</v>
      </c>
      <c r="E3537" s="877">
        <v>42458</v>
      </c>
      <c r="F3537" s="891" t="s">
        <v>760</v>
      </c>
      <c r="G3537" s="880" t="s">
        <v>1080</v>
      </c>
      <c r="H3537" s="881" t="s">
        <v>1313</v>
      </c>
      <c r="I3537" s="882">
        <v>18</v>
      </c>
      <c r="J3537" s="882">
        <v>43877.347138763056</v>
      </c>
      <c r="K3537" s="883">
        <f t="shared" si="470"/>
        <v>789792</v>
      </c>
      <c r="L3537" s="884" t="s">
        <v>857</v>
      </c>
      <c r="M3537" s="884" t="s">
        <v>160</v>
      </c>
      <c r="N3537" s="52" t="str">
        <f>IF(AND('331-CT'!$E$7=TH!H3537,OR(L3537="331",M3537="331")),"331",IF(AND(OR(L3537="131",M3537="131"),H3537='131-CT'!$E$7),"131",""))</f>
        <v/>
      </c>
      <c r="O3537" s="52" t="str">
        <f>IF(AND($B3537&gt;='111'!$N$11,$B3537&lt;='111'!$O$11,OR($L3537=$O$7,$M3537=$O$7)),"x","")</f>
        <v/>
      </c>
      <c r="P3537" s="52" t="str">
        <f>IF(AND($L3537=$O$7,$B3537&lt;'111'!$N$11),"x","")</f>
        <v/>
      </c>
      <c r="Q3537" s="52" t="str">
        <f>IF(AND($M3537=$O$7,$B3537&lt;'111'!$N$11),"x","")</f>
        <v/>
      </c>
      <c r="R3537" s="52" t="str">
        <f>IF(ISERROR(FIND('112'!$M$9,G3537,1)),"",IF((AND(FIND('112'!$M$9,G3537,1)&gt;=1,$B3537&gt;='112'!$N$8,$B3537&lt;='112'!$O$8,OR($L3537='112'!$I$6,$M3537='112'!$I$6))),"x",""))</f>
        <v/>
      </c>
      <c r="S3537" s="52" t="str">
        <f>IF(ISERROR(FIND('112'!$M$9,G3537,1)),"",IF((AND(LEFT(G3537,2)=LEFT('112'!$M$9,2),B3537&lt;'112'!$N$8,$L3537='112'!$I$6)),"x",""))</f>
        <v/>
      </c>
      <c r="T3537" s="52" t="str">
        <f>IF(ISERROR(FIND('112'!$M$9,G3537,1)),"",IF((AND(RIGHT(G3537,2)=RIGHT('112'!$M$9,2),B3537&lt;'112'!$N$8,$M3537='112'!$I$6)),"x",""))</f>
        <v/>
      </c>
      <c r="U3537" s="52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/>
      </c>
      <c r="AA3537" s="885"/>
      <c r="AB3537" s="886"/>
    </row>
    <row r="3538" spans="1:28" s="887" customFormat="1" ht="15.75" customHeight="1">
      <c r="A3538" s="827" t="str">
        <f>IF(B3538&lt;&gt;"",IF(AND(B3538&gt;=_TM1,B3538&lt;=_TM2,OR(TH!L3538="1111",TH!M3538="1111")),TH!D3538,""),"")</f>
        <v/>
      </c>
      <c r="B3538" s="876">
        <f t="shared" si="467"/>
        <v>3</v>
      </c>
      <c r="C3538" s="877">
        <f t="shared" si="468"/>
        <v>42458</v>
      </c>
      <c r="D3538" s="878" t="s">
        <v>1663</v>
      </c>
      <c r="E3538" s="877">
        <v>42458</v>
      </c>
      <c r="F3538" s="888" t="s">
        <v>670</v>
      </c>
      <c r="G3538" s="880" t="s">
        <v>1080</v>
      </c>
      <c r="H3538" s="881" t="s">
        <v>1313</v>
      </c>
      <c r="I3538" s="882">
        <v>27</v>
      </c>
      <c r="J3538" s="882">
        <v>124577.34713876306</v>
      </c>
      <c r="K3538" s="883">
        <f t="shared" si="470"/>
        <v>3363588</v>
      </c>
      <c r="L3538" s="884" t="s">
        <v>857</v>
      </c>
      <c r="M3538" s="884" t="s">
        <v>160</v>
      </c>
      <c r="N3538" s="52" t="str">
        <f>IF(AND('331-CT'!$E$7=TH!H3538,OR(L3538="331",M3538="331")),"331",IF(AND(OR(L3538="131",M3538="131"),H3538='131-CT'!$E$7),"131",""))</f>
        <v/>
      </c>
      <c r="O3538" s="52" t="str">
        <f>IF(AND($B3538&gt;='111'!$N$11,$B3538&lt;='111'!$O$11,OR($L3538=$O$7,$M3538=$O$7)),"x","")</f>
        <v/>
      </c>
      <c r="P3538" s="52" t="str">
        <f>IF(AND($L3538=$O$7,$B3538&lt;'111'!$N$11),"x","")</f>
        <v/>
      </c>
      <c r="Q3538" s="52" t="str">
        <f>IF(AND($M3538=$O$7,$B3538&lt;'111'!$N$11),"x","")</f>
        <v/>
      </c>
      <c r="R3538" s="52" t="str">
        <f>IF(ISERROR(FIND('112'!$M$9,G3538,1)),"",IF((AND(FIND('112'!$M$9,G3538,1)&gt;=1,$B3538&gt;='112'!$N$8,$B3538&lt;='112'!$O$8,OR($L3538='112'!$I$6,$M3538='112'!$I$6))),"x",""))</f>
        <v/>
      </c>
      <c r="S3538" s="52" t="str">
        <f>IF(ISERROR(FIND('112'!$M$9,G3538,1)),"",IF((AND(LEFT(G3538,2)=LEFT('112'!$M$9,2),B3538&lt;'112'!$N$8,$L3538='112'!$I$6)),"x",""))</f>
        <v/>
      </c>
      <c r="T3538" s="52" t="str">
        <f>IF(ISERROR(FIND('112'!$M$9,G3538,1)),"",IF((AND(RIGHT(G3538,2)=RIGHT('112'!$M$9,2),B3538&lt;'112'!$N$8,$M3538='112'!$I$6)),"x",""))</f>
        <v/>
      </c>
      <c r="U3538" s="52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/>
      </c>
      <c r="AA3538" s="885"/>
      <c r="AB3538" s="886"/>
    </row>
    <row r="3539" spans="1:28" s="887" customFormat="1" ht="15.75" customHeight="1">
      <c r="A3539" s="827" t="str">
        <f>IF(B3539&lt;&gt;"",IF(AND(B3539&gt;=_TM1,B3539&lt;=_TM2,OR(TH!L3539="1111",TH!M3539="1111")),TH!D3539,""),"")</f>
        <v/>
      </c>
      <c r="B3539" s="876">
        <f t="shared" si="467"/>
        <v>3</v>
      </c>
      <c r="C3539" s="877">
        <f t="shared" si="468"/>
        <v>42458</v>
      </c>
      <c r="D3539" s="878" t="s">
        <v>1663</v>
      </c>
      <c r="E3539" s="877">
        <v>42458</v>
      </c>
      <c r="F3539" s="879" t="s">
        <v>762</v>
      </c>
      <c r="G3539" s="880" t="s">
        <v>1080</v>
      </c>
      <c r="H3539" s="881" t="s">
        <v>1313</v>
      </c>
      <c r="I3539" s="882">
        <v>31</v>
      </c>
      <c r="J3539" s="882">
        <v>60811.443912956609</v>
      </c>
      <c r="K3539" s="883">
        <f t="shared" si="470"/>
        <v>1885155</v>
      </c>
      <c r="L3539" s="884" t="s">
        <v>857</v>
      </c>
      <c r="M3539" s="884" t="s">
        <v>160</v>
      </c>
      <c r="N3539" s="52" t="str">
        <f>IF(AND('331-CT'!$E$7=TH!H3539,OR(L3539="331",M3539="331")),"331",IF(AND(OR(L3539="131",M3539="131"),H3539='131-CT'!$E$7),"131",""))</f>
        <v/>
      </c>
      <c r="O3539" s="52" t="str">
        <f>IF(AND($B3539&gt;='111'!$N$11,$B3539&lt;='111'!$O$11,OR($L3539=$O$7,$M3539=$O$7)),"x","")</f>
        <v/>
      </c>
      <c r="P3539" s="52" t="str">
        <f>IF(AND($L3539=$O$7,$B3539&lt;'111'!$N$11),"x","")</f>
        <v/>
      </c>
      <c r="Q3539" s="52" t="str">
        <f>IF(AND($M3539=$O$7,$B3539&lt;'111'!$N$11),"x","")</f>
        <v/>
      </c>
      <c r="R3539" s="52" t="str">
        <f>IF(ISERROR(FIND('112'!$M$9,G3539,1)),"",IF((AND(FIND('112'!$M$9,G3539,1)&gt;=1,$B3539&gt;='112'!$N$8,$B3539&lt;='112'!$O$8,OR($L3539='112'!$I$6,$M3539='112'!$I$6))),"x",""))</f>
        <v/>
      </c>
      <c r="S3539" s="52" t="str">
        <f>IF(ISERROR(FIND('112'!$M$9,G3539,1)),"",IF((AND(LEFT(G3539,2)=LEFT('112'!$M$9,2),B3539&lt;'112'!$N$8,$L3539='112'!$I$6)),"x",""))</f>
        <v/>
      </c>
      <c r="T3539" s="52" t="str">
        <f>IF(ISERROR(FIND('112'!$M$9,G3539,1)),"",IF((AND(RIGHT(G3539,2)=RIGHT('112'!$M$9,2),B3539&lt;'112'!$N$8,$M3539='112'!$I$6)),"x",""))</f>
        <v/>
      </c>
      <c r="U3539" s="52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/>
      </c>
      <c r="AA3539" s="885"/>
      <c r="AB3539" s="886"/>
    </row>
    <row r="3540" spans="1:28" ht="15.75" customHeight="1">
      <c r="A3540" s="827" t="str">
        <f>IF(B3540&lt;&gt;"",IF(AND(B3540&gt;=_TM1,B3540&lt;=_TM2,OR(TH!L3540="1111",TH!M3540="1111")),TH!D3540,""),"")</f>
        <v/>
      </c>
      <c r="B3540" s="876">
        <f>IF(C3540&lt;&gt;"",MONTH(C3540),"")</f>
        <v>3</v>
      </c>
      <c r="C3540" s="877">
        <f t="shared" ref="C3540:C3603" si="471">E3540</f>
        <v>42458</v>
      </c>
      <c r="D3540" s="878" t="s">
        <v>1663</v>
      </c>
      <c r="E3540" s="877">
        <v>42458</v>
      </c>
      <c r="F3540" s="904" t="s">
        <v>759</v>
      </c>
      <c r="G3540" s="880" t="s">
        <v>1080</v>
      </c>
      <c r="H3540" s="881" t="s">
        <v>1313</v>
      </c>
      <c r="I3540" s="907">
        <v>12</v>
      </c>
      <c r="J3540" s="907">
        <v>48633.680472096392</v>
      </c>
      <c r="K3540" s="883">
        <f t="shared" ref="K3540:K3546" si="472">ROUND(I3540*J3540,0)</f>
        <v>583604</v>
      </c>
      <c r="L3540" s="884" t="s">
        <v>857</v>
      </c>
      <c r="M3540" s="884" t="s">
        <v>160</v>
      </c>
      <c r="N3540" s="52" t="str">
        <f>IF(AND('331-CT'!$E$7=TH!H3540,OR(L3540="331",M3540="331")),"331",IF(AND(OR(L3540="131",M3540="131"),H3540='131-CT'!$E$7),"131",""))</f>
        <v/>
      </c>
      <c r="O3540" s="52" t="str">
        <f>IF(AND($B3540&gt;='111'!$N$11,$B3540&lt;='111'!$O$11,OR($L3540=$O$7,$M3540=$O$7)),"x","")</f>
        <v/>
      </c>
      <c r="P3540" s="52" t="str">
        <f>IF(AND($L3540=$O$7,$B3540&lt;'111'!$N$11),"x","")</f>
        <v/>
      </c>
      <c r="Q3540" s="52" t="str">
        <f>IF(AND($M3540=$O$7,$B3540&lt;'111'!$N$11),"x","")</f>
        <v/>
      </c>
      <c r="R3540" s="52" t="str">
        <f>IF(ISERROR(FIND('112'!$M$9,G3540,1)),"",IF((AND(FIND('112'!$M$9,G3540,1)&gt;=1,$B3540&gt;='112'!$N$8,$B3540&lt;='112'!$O$8,OR($L3540='112'!$I$6,$M3540='112'!$I$6))),"x",""))</f>
        <v/>
      </c>
      <c r="S3540" s="52" t="str">
        <f>IF(ISERROR(FIND('112'!$M$9,G3540,1)),"",IF((AND(LEFT(G3540,2)=LEFT('112'!$M$9,2),B3540&lt;'112'!$N$8,$L3540='112'!$I$6)),"x",""))</f>
        <v/>
      </c>
      <c r="T3540" s="52" t="str">
        <f>IF(ISERROR(FIND('112'!$M$9,G3540,1)),"",IF((AND(RIGHT(G3540,2)=RIGHT('112'!$M$9,2),B3540&lt;'112'!$N$8,$M3540='112'!$I$6)),"x",""))</f>
        <v/>
      </c>
      <c r="U3540" s="52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/>
      </c>
      <c r="AA3540" s="826"/>
      <c r="AB3540" s="576"/>
    </row>
    <row r="3541" spans="1:28" ht="15.75" customHeight="1">
      <c r="A3541" s="827" t="str">
        <f>IF(B3541&lt;&gt;"",IF(AND(B3541&gt;=_TM1,B3541&lt;=_TM2,OR(TH!L3541="1111",TH!M3541="1111")),TH!D3541,""),"")</f>
        <v/>
      </c>
      <c r="B3541" s="876">
        <f>IF(C3541&lt;&gt;"",MONTH(C3541),"")</f>
        <v>3</v>
      </c>
      <c r="C3541" s="877">
        <f t="shared" si="471"/>
        <v>42458</v>
      </c>
      <c r="D3541" s="878" t="s">
        <v>1663</v>
      </c>
      <c r="E3541" s="877">
        <v>42458</v>
      </c>
      <c r="F3541" s="888" t="s">
        <v>759</v>
      </c>
      <c r="G3541" s="880" t="s">
        <v>1080</v>
      </c>
      <c r="H3541" s="881" t="s">
        <v>1313</v>
      </c>
      <c r="I3541" s="882">
        <v>36</v>
      </c>
      <c r="J3541" s="882">
        <v>49461.236027651947</v>
      </c>
      <c r="K3541" s="883">
        <f t="shared" si="472"/>
        <v>1780604</v>
      </c>
      <c r="L3541" s="884" t="s">
        <v>857</v>
      </c>
      <c r="M3541" s="884" t="s">
        <v>160</v>
      </c>
      <c r="N3541" s="52" t="str">
        <f>IF(AND('331-CT'!$E$7=TH!H3541,OR(L3541="331",M3541="331")),"331",IF(AND(OR(L3541="131",M3541="131"),H3541='131-CT'!$E$7),"131",""))</f>
        <v/>
      </c>
      <c r="O3541" s="52" t="str">
        <f>IF(AND($B3541&gt;='111'!$N$11,$B3541&lt;='111'!$O$11,OR($L3541=$O$7,$M3541=$O$7)),"x","")</f>
        <v/>
      </c>
      <c r="P3541" s="52" t="str">
        <f>IF(AND($L3541=$O$7,$B3541&lt;'111'!$N$11),"x","")</f>
        <v/>
      </c>
      <c r="Q3541" s="52" t="str">
        <f>IF(AND($M3541=$O$7,$B3541&lt;'111'!$N$11),"x","")</f>
        <v/>
      </c>
      <c r="R3541" s="52" t="str">
        <f>IF(ISERROR(FIND('112'!$M$9,G3541,1)),"",IF((AND(FIND('112'!$M$9,G3541,1)&gt;=1,$B3541&gt;='112'!$N$8,$B3541&lt;='112'!$O$8,OR($L3541='112'!$I$6,$M3541='112'!$I$6))),"x",""))</f>
        <v/>
      </c>
      <c r="S3541" s="52" t="str">
        <f>IF(ISERROR(FIND('112'!$M$9,G3541,1)),"",IF((AND(LEFT(G3541,2)=LEFT('112'!$M$9,2),B3541&lt;'112'!$N$8,$L3541='112'!$I$6)),"x",""))</f>
        <v/>
      </c>
      <c r="T3541" s="52" t="str">
        <f>IF(ISERROR(FIND('112'!$M$9,G3541,1)),"",IF((AND(RIGHT(G3541,2)=RIGHT('112'!$M$9,2),B3541&lt;'112'!$N$8,$M3541='112'!$I$6)),"x",""))</f>
        <v/>
      </c>
      <c r="U3541" s="52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/>
      </c>
      <c r="AA3541" s="826"/>
      <c r="AB3541" s="576"/>
    </row>
    <row r="3542" spans="1:28" ht="15.75" customHeight="1">
      <c r="A3542" s="827" t="str">
        <f>IF(B3542&lt;&gt;"",IF(AND(B3542&gt;=_TM1,B3542&lt;=_TM2,OR(TH!L3542="1111",TH!M3542="1111")),TH!D3542,""),"")</f>
        <v/>
      </c>
      <c r="B3542" s="876">
        <f>IF(C3542&lt;&gt;"",MONTH(C3542),"")</f>
        <v>3</v>
      </c>
      <c r="C3542" s="877">
        <f t="shared" si="471"/>
        <v>42458</v>
      </c>
      <c r="D3542" s="878" t="s">
        <v>1663</v>
      </c>
      <c r="E3542" s="877">
        <v>42458</v>
      </c>
      <c r="F3542" s="888" t="s">
        <v>1014</v>
      </c>
      <c r="G3542" s="880" t="s">
        <v>1080</v>
      </c>
      <c r="H3542" s="881" t="s">
        <v>1313</v>
      </c>
      <c r="I3542" s="882">
        <v>40</v>
      </c>
      <c r="J3542" s="882">
        <v>68766.222138763056</v>
      </c>
      <c r="K3542" s="883">
        <f t="shared" si="472"/>
        <v>2750649</v>
      </c>
      <c r="L3542" s="884" t="s">
        <v>857</v>
      </c>
      <c r="M3542" s="884" t="s">
        <v>160</v>
      </c>
      <c r="N3542" s="52" t="str">
        <f>IF(AND('331-CT'!$E$7=TH!H3542,OR(L3542="331",M3542="331")),"331",IF(AND(OR(L3542="131",M3542="131"),H3542='131-CT'!$E$7),"131",""))</f>
        <v/>
      </c>
      <c r="O3542" s="52" t="str">
        <f>IF(AND($B3542&gt;='111'!$N$11,$B3542&lt;='111'!$O$11,OR($L3542=$O$7,$M3542=$O$7)),"x","")</f>
        <v/>
      </c>
      <c r="P3542" s="52" t="str">
        <f>IF(AND($L3542=$O$7,$B3542&lt;'111'!$N$11),"x","")</f>
        <v/>
      </c>
      <c r="Q3542" s="52" t="str">
        <f>IF(AND($M3542=$O$7,$B3542&lt;'111'!$N$11),"x","")</f>
        <v/>
      </c>
      <c r="R3542" s="52" t="str">
        <f>IF(ISERROR(FIND('112'!$M$9,G3542,1)),"",IF((AND(FIND('112'!$M$9,G3542,1)&gt;=1,$B3542&gt;='112'!$N$8,$B3542&lt;='112'!$O$8,OR($L3542='112'!$I$6,$M3542='112'!$I$6))),"x",""))</f>
        <v/>
      </c>
      <c r="S3542" s="52" t="str">
        <f>IF(ISERROR(FIND('112'!$M$9,G3542,1)),"",IF((AND(LEFT(G3542,2)=LEFT('112'!$M$9,2),B3542&lt;'112'!$N$8,$L3542='112'!$I$6)),"x",""))</f>
        <v/>
      </c>
      <c r="T3542" s="52" t="str">
        <f>IF(ISERROR(FIND('112'!$M$9,G3542,1)),"",IF((AND(RIGHT(G3542,2)=RIGHT('112'!$M$9,2),B3542&lt;'112'!$N$8,$M3542='112'!$I$6)),"x",""))</f>
        <v/>
      </c>
      <c r="U3542" s="52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/>
      </c>
      <c r="AA3542" s="826"/>
      <c r="AB3542" s="576"/>
    </row>
    <row r="3543" spans="1:28" ht="15.75" customHeight="1">
      <c r="A3543" s="827" t="str">
        <f>IF(B3543&lt;&gt;"",IF(AND(B3543&gt;=_TM1,B3543&lt;=_TM2,OR(TH!L3543="1111",TH!M3543="1111")),TH!D3543,""),"")</f>
        <v/>
      </c>
      <c r="B3543" s="876">
        <f>IF(C3543&lt;&gt;"",MONTH(C3543),"")</f>
        <v>3</v>
      </c>
      <c r="C3543" s="877">
        <f t="shared" si="471"/>
        <v>42458</v>
      </c>
      <c r="D3543" s="878" t="s">
        <v>1663</v>
      </c>
      <c r="E3543" s="877">
        <v>42458</v>
      </c>
      <c r="F3543" s="888" t="s">
        <v>764</v>
      </c>
      <c r="G3543" s="880" t="s">
        <v>1080</v>
      </c>
      <c r="H3543" s="881" t="s">
        <v>1313</v>
      </c>
      <c r="I3543" s="882">
        <v>12</v>
      </c>
      <c r="J3543" s="882">
        <v>170262.34713876306</v>
      </c>
      <c r="K3543" s="883">
        <f t="shared" si="472"/>
        <v>2043148</v>
      </c>
      <c r="L3543" s="884" t="s">
        <v>857</v>
      </c>
      <c r="M3543" s="884" t="s">
        <v>160</v>
      </c>
      <c r="N3543" s="52" t="str">
        <f>IF(AND('331-CT'!$E$7=TH!H3543,OR(L3543="331",M3543="331")),"331",IF(AND(OR(L3543="131",M3543="131"),H3543='131-CT'!$E$7),"131",""))</f>
        <v/>
      </c>
      <c r="O3543" s="52" t="str">
        <f>IF(AND($B3543&gt;='111'!$N$11,$B3543&lt;='111'!$O$11,OR($L3543=$O$7,$M3543=$O$7)),"x","")</f>
        <v/>
      </c>
      <c r="P3543" s="52" t="str">
        <f>IF(AND($L3543=$O$7,$B3543&lt;'111'!$N$11),"x","")</f>
        <v/>
      </c>
      <c r="Q3543" s="52" t="str">
        <f>IF(AND($M3543=$O$7,$B3543&lt;'111'!$N$11),"x","")</f>
        <v/>
      </c>
      <c r="R3543" s="52" t="str">
        <f>IF(ISERROR(FIND('112'!$M$9,G3543,1)),"",IF((AND(FIND('112'!$M$9,G3543,1)&gt;=1,$B3543&gt;='112'!$N$8,$B3543&lt;='112'!$O$8,OR($L3543='112'!$I$6,$M3543='112'!$I$6))),"x",""))</f>
        <v/>
      </c>
      <c r="S3543" s="52" t="str">
        <f>IF(ISERROR(FIND('112'!$M$9,G3543,1)),"",IF((AND(LEFT(G3543,2)=LEFT('112'!$M$9,2),B3543&lt;'112'!$N$8,$L3543='112'!$I$6)),"x",""))</f>
        <v/>
      </c>
      <c r="T3543" s="52" t="str">
        <f>IF(ISERROR(FIND('112'!$M$9,G3543,1)),"",IF((AND(RIGHT(G3543,2)=RIGHT('112'!$M$9,2),B3543&lt;'112'!$N$8,$M3543='112'!$I$6)),"x",""))</f>
        <v/>
      </c>
      <c r="U3543" s="52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/>
      </c>
      <c r="AA3543" s="826"/>
      <c r="AB3543" s="576"/>
    </row>
    <row r="3544" spans="1:28" ht="15.75" customHeight="1">
      <c r="A3544" s="827" t="str">
        <f>IF(B3544&lt;&gt;"",IF(AND(B3544&gt;=_TM1,B3544&lt;=_TM2,OR(TH!L3544="1111",TH!M3544="1111")),TH!D3544,""),"")</f>
        <v/>
      </c>
      <c r="B3544" s="876">
        <f>IF(C3544&lt;&gt;"",MONTH(C3544),"")</f>
        <v>3</v>
      </c>
      <c r="C3544" s="877">
        <f t="shared" si="471"/>
        <v>42458</v>
      </c>
      <c r="D3544" s="878" t="s">
        <v>1663</v>
      </c>
      <c r="E3544" s="877">
        <v>42458</v>
      </c>
      <c r="F3544" s="888" t="s">
        <v>454</v>
      </c>
      <c r="G3544" s="880" t="s">
        <v>1080</v>
      </c>
      <c r="H3544" s="881" t="s">
        <v>1313</v>
      </c>
      <c r="I3544" s="882">
        <v>10</v>
      </c>
      <c r="J3544" s="882">
        <v>135171.34713876306</v>
      </c>
      <c r="K3544" s="883">
        <f t="shared" si="472"/>
        <v>1351713</v>
      </c>
      <c r="L3544" s="884" t="s">
        <v>857</v>
      </c>
      <c r="M3544" s="884" t="s">
        <v>160</v>
      </c>
      <c r="N3544" s="52" t="str">
        <f>IF(AND('331-CT'!$E$7=TH!H3544,OR(L3544="331",M3544="331")),"331",IF(AND(OR(L3544="131",M3544="131"),H3544='131-CT'!$E$7),"131",""))</f>
        <v/>
      </c>
      <c r="O3544" s="52" t="str">
        <f>IF(AND($B3544&gt;='111'!$N$11,$B3544&lt;='111'!$O$11,OR($L3544=$O$7,$M3544=$O$7)),"x","")</f>
        <v/>
      </c>
      <c r="P3544" s="52" t="str">
        <f>IF(AND($L3544=$O$7,$B3544&lt;'111'!$N$11),"x","")</f>
        <v/>
      </c>
      <c r="Q3544" s="52" t="str">
        <f>IF(AND($M3544=$O$7,$B3544&lt;'111'!$N$11),"x","")</f>
        <v/>
      </c>
      <c r="R3544" s="52" t="str">
        <f>IF(ISERROR(FIND('112'!$M$9,G3544,1)),"",IF((AND(FIND('112'!$M$9,G3544,1)&gt;=1,$B3544&gt;='112'!$N$8,$B3544&lt;='112'!$O$8,OR($L3544='112'!$I$6,$M3544='112'!$I$6))),"x",""))</f>
        <v/>
      </c>
      <c r="S3544" s="52" t="str">
        <f>IF(ISERROR(FIND('112'!$M$9,G3544,1)),"",IF((AND(LEFT(G3544,2)=LEFT('112'!$M$9,2),B3544&lt;'112'!$N$8,$L3544='112'!$I$6)),"x",""))</f>
        <v/>
      </c>
      <c r="T3544" s="52" t="str">
        <f>IF(ISERROR(FIND('112'!$M$9,G3544,1)),"",IF((AND(RIGHT(G3544,2)=RIGHT('112'!$M$9,2),B3544&lt;'112'!$N$8,$M3544='112'!$I$6)),"x",""))</f>
        <v/>
      </c>
      <c r="U3544" s="52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/>
      </c>
      <c r="AA3544" s="826"/>
      <c r="AB3544" s="576"/>
    </row>
    <row r="3545" spans="1:28" ht="15.75" customHeight="1">
      <c r="A3545" s="827" t="str">
        <f>IF(B3545&lt;&gt;"",IF(AND(B3545&gt;=_TM1,B3545&lt;=_TM2,OR(TH!L3545="1111",TH!M3545="1111")),TH!D3545,""),"")</f>
        <v/>
      </c>
      <c r="B3545" s="876">
        <f t="shared" ref="B3545:B3608" si="473">IF(C3545&lt;&gt;"",MONTH(C3545),"")</f>
        <v>3</v>
      </c>
      <c r="C3545" s="877">
        <f t="shared" si="471"/>
        <v>42458</v>
      </c>
      <c r="D3545" s="878" t="s">
        <v>1663</v>
      </c>
      <c r="E3545" s="877">
        <v>42458</v>
      </c>
      <c r="F3545" s="879" t="s">
        <v>765</v>
      </c>
      <c r="G3545" s="880" t="s">
        <v>1080</v>
      </c>
      <c r="H3545" s="881" t="s">
        <v>1313</v>
      </c>
      <c r="I3545" s="882">
        <v>10</v>
      </c>
      <c r="J3545" s="882">
        <v>89977.347138763056</v>
      </c>
      <c r="K3545" s="883">
        <f t="shared" si="472"/>
        <v>899773</v>
      </c>
      <c r="L3545" s="884" t="s">
        <v>857</v>
      </c>
      <c r="M3545" s="884" t="s">
        <v>160</v>
      </c>
      <c r="N3545" s="52" t="str">
        <f>IF(AND('331-CT'!$E$7=TH!H3545,OR(L3545="331",M3545="331")),"331",IF(AND(OR(L3545="131",M3545="131"),H3545='131-CT'!$E$7),"131",""))</f>
        <v/>
      </c>
      <c r="O3545" s="52" t="str">
        <f>IF(AND($B3545&gt;='111'!$N$11,$B3545&lt;='111'!$O$11,OR($L3545=$O$7,$M3545=$O$7)),"x","")</f>
        <v/>
      </c>
      <c r="P3545" s="52" t="str">
        <f>IF(AND($L3545=$O$7,$B3545&lt;'111'!$N$11),"x","")</f>
        <v/>
      </c>
      <c r="Q3545" s="52" t="str">
        <f>IF(AND($M3545=$O$7,$B3545&lt;'111'!$N$11),"x","")</f>
        <v/>
      </c>
      <c r="R3545" s="52" t="str">
        <f>IF(ISERROR(FIND('112'!$M$9,G3545,1)),"",IF((AND(FIND('112'!$M$9,G3545,1)&gt;=1,$B3545&gt;='112'!$N$8,$B3545&lt;='112'!$O$8,OR($L3545='112'!$I$6,$M3545='112'!$I$6))),"x",""))</f>
        <v/>
      </c>
      <c r="S3545" s="52" t="str">
        <f>IF(ISERROR(FIND('112'!$M$9,G3545,1)),"",IF((AND(LEFT(G3545,2)=LEFT('112'!$M$9,2),B3545&lt;'112'!$N$8,$L3545='112'!$I$6)),"x",""))</f>
        <v/>
      </c>
      <c r="T3545" s="52" t="str">
        <f>IF(ISERROR(FIND('112'!$M$9,G3545,1)),"",IF((AND(RIGHT(G3545,2)=RIGHT('112'!$M$9,2),B3545&lt;'112'!$N$8,$M3545='112'!$I$6)),"x",""))</f>
        <v/>
      </c>
      <c r="U3545" s="52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/>
      </c>
      <c r="AA3545" s="826"/>
      <c r="AB3545" s="576"/>
    </row>
    <row r="3546" spans="1:28" ht="15.75" customHeight="1">
      <c r="A3546" s="827" t="str">
        <f>IF(B3546&lt;&gt;"",IF(AND(B3546&gt;=_TM1,B3546&lt;=_TM2,OR(TH!L3546="1111",TH!M3546="1111")),TH!D3546,""),"")</f>
        <v/>
      </c>
      <c r="B3546" s="876">
        <f t="shared" si="473"/>
        <v>3</v>
      </c>
      <c r="C3546" s="877">
        <f t="shared" si="471"/>
        <v>42459</v>
      </c>
      <c r="D3546" s="878" t="s">
        <v>1663</v>
      </c>
      <c r="E3546" s="877">
        <v>42459</v>
      </c>
      <c r="F3546" s="879" t="s">
        <v>627</v>
      </c>
      <c r="G3546" s="880" t="s">
        <v>1081</v>
      </c>
      <c r="H3546" s="881" t="s">
        <v>1313</v>
      </c>
      <c r="I3546" s="882">
        <v>2750</v>
      </c>
      <c r="J3546" s="882">
        <v>6914.5362296721487</v>
      </c>
      <c r="K3546" s="883">
        <f t="shared" si="472"/>
        <v>19014975</v>
      </c>
      <c r="L3546" s="884" t="s">
        <v>857</v>
      </c>
      <c r="M3546" s="884" t="s">
        <v>160</v>
      </c>
      <c r="N3546" s="52" t="str">
        <f>IF(AND('331-CT'!$E$7=TH!H3546,OR(L3546="331",M3546="331")),"331",IF(AND(OR(L3546="131",M3546="131"),H3546='131-CT'!$E$7),"131",""))</f>
        <v/>
      </c>
      <c r="O3546" s="52" t="str">
        <f>IF(AND($B3546&gt;='111'!$N$11,$B3546&lt;='111'!$O$11,OR($L3546=$O$7,$M3546=$O$7)),"x","")</f>
        <v/>
      </c>
      <c r="P3546" s="52" t="str">
        <f>IF(AND($L3546=$O$7,$B3546&lt;'111'!$N$11),"x","")</f>
        <v/>
      </c>
      <c r="Q3546" s="52" t="str">
        <f>IF(AND($M3546=$O$7,$B3546&lt;'111'!$N$11),"x","")</f>
        <v/>
      </c>
      <c r="R3546" s="52" t="str">
        <f>IF(ISERROR(FIND('112'!$M$9,G3546,1)),"",IF((AND(FIND('112'!$M$9,G3546,1)&gt;=1,$B3546&gt;='112'!$N$8,$B3546&lt;='112'!$O$8,OR($L3546='112'!$I$6,$M3546='112'!$I$6))),"x",""))</f>
        <v/>
      </c>
      <c r="S3546" s="52" t="str">
        <f>IF(ISERROR(FIND('112'!$M$9,G3546,1)),"",IF((AND(LEFT(G3546,2)=LEFT('112'!$M$9,2),B3546&lt;'112'!$N$8,$L3546='112'!$I$6)),"x",""))</f>
        <v/>
      </c>
      <c r="T3546" s="52" t="str">
        <f>IF(ISERROR(FIND('112'!$M$9,G3546,1)),"",IF((AND(RIGHT(G3546,2)=RIGHT('112'!$M$9,2),B3546&lt;'112'!$N$8,$M3546='112'!$I$6)),"x",""))</f>
        <v/>
      </c>
      <c r="U3546" s="52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/>
      </c>
      <c r="AA3546" s="826"/>
      <c r="AB3546" s="576"/>
    </row>
    <row r="3547" spans="1:28" s="915" customFormat="1" ht="15.75" customHeight="1">
      <c r="A3547" s="827" t="str">
        <f>IF(B3547&lt;&gt;"",IF(AND(B3547&gt;=_TM1,B3547&lt;=_TM2,OR(TH!L3547="1111",TH!M3547="1111")),TH!D3547,""),"")</f>
        <v/>
      </c>
      <c r="B3547" s="674">
        <f t="shared" si="473"/>
        <v>4</v>
      </c>
      <c r="C3547" s="856">
        <f t="shared" si="471"/>
        <v>42472</v>
      </c>
      <c r="D3547" s="878" t="s">
        <v>1663</v>
      </c>
      <c r="E3547" s="906">
        <v>42472</v>
      </c>
      <c r="F3547" s="49" t="s">
        <v>641</v>
      </c>
      <c r="G3547" s="831" t="s">
        <v>640</v>
      </c>
      <c r="H3547" s="859" t="s">
        <v>1313</v>
      </c>
      <c r="I3547" s="251">
        <v>474</v>
      </c>
      <c r="J3547" s="251">
        <v>9963.1518987341769</v>
      </c>
      <c r="K3547" s="860">
        <f t="shared" ref="K3547:K3610" si="474">ROUND(I3547*J3547,0)</f>
        <v>4722534</v>
      </c>
      <c r="L3547" s="861" t="s">
        <v>857</v>
      </c>
      <c r="M3547" s="861" t="s">
        <v>160</v>
      </c>
      <c r="N3547" s="52" t="str">
        <f>IF(AND('331-CT'!$E$7=TH!H3547,OR(L3547="331",M3547="331")),"331",IF(AND(OR(L3547="131",M3547="131"),H3547='131-CT'!$E$7),"131",""))</f>
        <v/>
      </c>
      <c r="O3547" s="52" t="str">
        <f>IF(AND($B3547&gt;='111'!$N$11,$B3547&lt;='111'!$O$11,OR($L3547=$O$7,$M3547=$O$7)),"x","")</f>
        <v/>
      </c>
      <c r="P3547" s="52" t="str">
        <f>IF(AND($L3547=$O$7,$B3547&lt;'111'!$N$11),"x","")</f>
        <v/>
      </c>
      <c r="Q3547" s="52" t="str">
        <f>IF(AND($M3547=$O$7,$B3547&lt;'111'!$N$11),"x","")</f>
        <v/>
      </c>
      <c r="R3547" s="52" t="str">
        <f>IF(ISERROR(FIND('112'!$M$9,G3547,1)),"",IF((AND(FIND('112'!$M$9,G3547,1)&gt;=1,$B3547&gt;='112'!$N$8,$B3547&lt;='112'!$O$8,OR($L3547='112'!$I$6,$M3547='112'!$I$6))),"x",""))</f>
        <v/>
      </c>
      <c r="S3547" s="52" t="str">
        <f>IF(ISERROR(FIND('112'!$M$9,G3547,1)),"",IF((AND(LEFT(G3547,2)=LEFT('112'!$M$9,2),B3547&lt;'112'!$N$8,$L3547='112'!$I$6)),"x",""))</f>
        <v/>
      </c>
      <c r="T3547" s="52" t="str">
        <f>IF(ISERROR(FIND('112'!$M$9,G3547,1)),"",IF((AND(RIGHT(G3547,2)=RIGHT('112'!$M$9,2),B3547&lt;'112'!$N$8,$M3547='112'!$I$6)),"x",""))</f>
        <v/>
      </c>
      <c r="U3547" s="52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/>
      </c>
      <c r="AA3547" s="791"/>
    </row>
    <row r="3548" spans="1:28" ht="15.75" customHeight="1">
      <c r="A3548" s="827" t="str">
        <f>IF(B3548&lt;&gt;"",IF(AND(B3548&gt;=_TM1,B3548&lt;=_TM2,OR(TH!L3548="1111",TH!M3548="1111")),TH!D3548,""),"")</f>
        <v/>
      </c>
      <c r="B3548" s="876">
        <f t="shared" si="473"/>
        <v>4</v>
      </c>
      <c r="C3548" s="877">
        <f t="shared" si="471"/>
        <v>42486</v>
      </c>
      <c r="D3548" s="878" t="s">
        <v>1663</v>
      </c>
      <c r="E3548" s="912">
        <v>42486</v>
      </c>
      <c r="F3548" s="888" t="s">
        <v>664</v>
      </c>
      <c r="G3548" s="913" t="s">
        <v>663</v>
      </c>
      <c r="H3548" s="881" t="s">
        <v>1313</v>
      </c>
      <c r="I3548" s="882">
        <v>200</v>
      </c>
      <c r="J3548" s="882">
        <v>87313.414999999994</v>
      </c>
      <c r="K3548" s="883">
        <f t="shared" si="474"/>
        <v>17462683</v>
      </c>
      <c r="L3548" s="884" t="s">
        <v>857</v>
      </c>
      <c r="M3548" s="884" t="s">
        <v>160</v>
      </c>
      <c r="N3548" s="52" t="str">
        <f>IF(AND('331-CT'!$E$7=TH!H3548,OR(L3548="331",M3548="331")),"331",IF(AND(OR(L3548="131",M3548="131"),H3548='131-CT'!$E$7),"131",""))</f>
        <v/>
      </c>
      <c r="O3548" s="52" t="str">
        <f>IF(AND($B3548&gt;='111'!$N$11,$B3548&lt;='111'!$O$11,OR($L3548=$O$7,$M3548=$O$7)),"x","")</f>
        <v/>
      </c>
      <c r="P3548" s="52" t="str">
        <f>IF(AND($L3548=$O$7,$B3548&lt;'111'!$N$11),"x","")</f>
        <v/>
      </c>
      <c r="Q3548" s="52" t="str">
        <f>IF(AND($M3548=$O$7,$B3548&lt;'111'!$N$11),"x","")</f>
        <v/>
      </c>
      <c r="R3548" s="52" t="str">
        <f>IF(ISERROR(FIND('112'!$M$9,G3548,1)),"",IF((AND(FIND('112'!$M$9,G3548,1)&gt;=1,$B3548&gt;='112'!$N$8,$B3548&lt;='112'!$O$8,OR($L3548='112'!$I$6,$M3548='112'!$I$6))),"x",""))</f>
        <v/>
      </c>
      <c r="S3548" s="52" t="str">
        <f>IF(ISERROR(FIND('112'!$M$9,G3548,1)),"",IF((AND(LEFT(G3548,2)=LEFT('112'!$M$9,2),B3548&lt;'112'!$N$8,$L3548='112'!$I$6)),"x",""))</f>
        <v/>
      </c>
      <c r="T3548" s="52" t="str">
        <f>IF(ISERROR(FIND('112'!$M$9,G3548,1)),"",IF((AND(RIGHT(G3548,2)=RIGHT('112'!$M$9,2),B3548&lt;'112'!$N$8,$M3548='112'!$I$6)),"x",""))</f>
        <v/>
      </c>
      <c r="U3548" s="52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/>
      </c>
      <c r="AA3548" s="826"/>
    </row>
    <row r="3549" spans="1:28" ht="15.75" customHeight="1">
      <c r="A3549" s="827" t="str">
        <f>IF(B3549&lt;&gt;"",IF(AND(B3549&gt;=_TM1,B3549&lt;=_TM2,OR(TH!L3549="1111",TH!M3549="1111")),TH!D3549,""),"")</f>
        <v/>
      </c>
      <c r="B3549" s="876">
        <f t="shared" si="473"/>
        <v>4</v>
      </c>
      <c r="C3549" s="877">
        <f t="shared" si="471"/>
        <v>42488</v>
      </c>
      <c r="D3549" s="878" t="s">
        <v>1663</v>
      </c>
      <c r="E3549" s="912">
        <v>42488</v>
      </c>
      <c r="F3549" s="891" t="s">
        <v>683</v>
      </c>
      <c r="G3549" s="913" t="s">
        <v>666</v>
      </c>
      <c r="H3549" s="881" t="s">
        <v>1313</v>
      </c>
      <c r="I3549" s="882">
        <v>210</v>
      </c>
      <c r="J3549" s="882">
        <v>63592.5</v>
      </c>
      <c r="K3549" s="883">
        <f t="shared" si="474"/>
        <v>13354425</v>
      </c>
      <c r="L3549" s="884" t="s">
        <v>857</v>
      </c>
      <c r="M3549" s="884" t="s">
        <v>160</v>
      </c>
      <c r="N3549" s="52" t="str">
        <f>IF(AND('331-CT'!$E$7=TH!H3549,OR(L3549="331",M3549="331")),"331",IF(AND(OR(L3549="131",M3549="131"),H3549='131-CT'!$E$7),"131",""))</f>
        <v/>
      </c>
      <c r="O3549" s="52" t="str">
        <f>IF(AND($B3549&gt;='111'!$N$11,$B3549&lt;='111'!$O$11,OR($L3549=$O$7,$M3549=$O$7)),"x","")</f>
        <v/>
      </c>
      <c r="P3549" s="52" t="str">
        <f>IF(AND($L3549=$O$7,$B3549&lt;'111'!$N$11),"x","")</f>
        <v/>
      </c>
      <c r="Q3549" s="52" t="str">
        <f>IF(AND($M3549=$O$7,$B3549&lt;'111'!$N$11),"x","")</f>
        <v/>
      </c>
      <c r="R3549" s="52" t="str">
        <f>IF(ISERROR(FIND('112'!$M$9,G3549,1)),"",IF((AND(FIND('112'!$M$9,G3549,1)&gt;=1,$B3549&gt;='112'!$N$8,$B3549&lt;='112'!$O$8,OR($L3549='112'!$I$6,$M3549='112'!$I$6))),"x",""))</f>
        <v/>
      </c>
      <c r="S3549" s="52" t="str">
        <f>IF(ISERROR(FIND('112'!$M$9,G3549,1)),"",IF((AND(LEFT(G3549,2)=LEFT('112'!$M$9,2),B3549&lt;'112'!$N$8,$L3549='112'!$I$6)),"x",""))</f>
        <v/>
      </c>
      <c r="T3549" s="52" t="str">
        <f>IF(ISERROR(FIND('112'!$M$9,G3549,1)),"",IF((AND(RIGHT(G3549,2)=RIGHT('112'!$M$9,2),B3549&lt;'112'!$N$8,$M3549='112'!$I$6)),"x",""))</f>
        <v/>
      </c>
      <c r="U3549" s="52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/>
      </c>
      <c r="AA3549" s="826"/>
    </row>
    <row r="3550" spans="1:28" ht="15.75" customHeight="1">
      <c r="A3550" s="827" t="str">
        <f>IF(B3550&lt;&gt;"",IF(AND(B3550&gt;=_TM1,B3550&lt;=_TM2,OR(TH!L3550="1111",TH!M3550="1111")),TH!D3550,""),"")</f>
        <v/>
      </c>
      <c r="B3550" s="876">
        <f t="shared" si="473"/>
        <v>4</v>
      </c>
      <c r="C3550" s="877">
        <f t="shared" si="471"/>
        <v>42489</v>
      </c>
      <c r="D3550" s="878" t="s">
        <v>1663</v>
      </c>
      <c r="E3550" s="912">
        <v>42489</v>
      </c>
      <c r="F3550" s="891" t="s">
        <v>675</v>
      </c>
      <c r="G3550" s="913" t="s">
        <v>669</v>
      </c>
      <c r="H3550" s="881" t="s">
        <v>1313</v>
      </c>
      <c r="I3550" s="882">
        <v>90</v>
      </c>
      <c r="J3550" s="882">
        <v>38751.933333333334</v>
      </c>
      <c r="K3550" s="883">
        <f t="shared" si="474"/>
        <v>3487674</v>
      </c>
      <c r="L3550" s="884" t="s">
        <v>857</v>
      </c>
      <c r="M3550" s="884" t="s">
        <v>160</v>
      </c>
      <c r="N3550" s="52" t="str">
        <f>IF(AND('331-CT'!$E$7=TH!H3550,OR(L3550="331",M3550="331")),"331",IF(AND(OR(L3550="131",M3550="131"),H3550='131-CT'!$E$7),"131",""))</f>
        <v/>
      </c>
      <c r="O3550" s="52" t="str">
        <f>IF(AND($B3550&gt;='111'!$N$11,$B3550&lt;='111'!$O$11,OR($L3550=$O$7,$M3550=$O$7)),"x","")</f>
        <v/>
      </c>
      <c r="P3550" s="52" t="str">
        <f>IF(AND($L3550=$O$7,$B3550&lt;'111'!$N$11),"x","")</f>
        <v/>
      </c>
      <c r="Q3550" s="52" t="str">
        <f>IF(AND($M3550=$O$7,$B3550&lt;'111'!$N$11),"x","")</f>
        <v/>
      </c>
      <c r="R3550" s="52" t="str">
        <f>IF(ISERROR(FIND('112'!$M$9,G3550,1)),"",IF((AND(FIND('112'!$M$9,G3550,1)&gt;=1,$B3550&gt;='112'!$N$8,$B3550&lt;='112'!$O$8,OR($L3550='112'!$I$6,$M3550='112'!$I$6))),"x",""))</f>
        <v/>
      </c>
      <c r="S3550" s="52" t="str">
        <f>IF(ISERROR(FIND('112'!$M$9,G3550,1)),"",IF((AND(LEFT(G3550,2)=LEFT('112'!$M$9,2),B3550&lt;'112'!$N$8,$L3550='112'!$I$6)),"x",""))</f>
        <v/>
      </c>
      <c r="T3550" s="52" t="str">
        <f>IF(ISERROR(FIND('112'!$M$9,G3550,1)),"",IF((AND(RIGHT(G3550,2)=RIGHT('112'!$M$9,2),B3550&lt;'112'!$N$8,$M3550='112'!$I$6)),"x",""))</f>
        <v/>
      </c>
      <c r="U3550" s="52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/>
      </c>
      <c r="AA3550" s="826"/>
    </row>
    <row r="3551" spans="1:28" ht="15.75" customHeight="1">
      <c r="A3551" s="827" t="str">
        <f>IF(B3551&lt;&gt;"",IF(AND(B3551&gt;=_TM1,B3551&lt;=_TM2,OR(TH!L3551="1111",TH!M3551="1111")),TH!D3551,""),"")</f>
        <v/>
      </c>
      <c r="B3551" s="876">
        <f t="shared" si="473"/>
        <v>5</v>
      </c>
      <c r="C3551" s="877">
        <f t="shared" si="471"/>
        <v>42521</v>
      </c>
      <c r="D3551" s="878" t="s">
        <v>1663</v>
      </c>
      <c r="E3551" s="912">
        <v>42521</v>
      </c>
      <c r="F3551" s="914" t="s">
        <v>568</v>
      </c>
      <c r="G3551" s="913" t="s">
        <v>697</v>
      </c>
      <c r="H3551" s="881" t="s">
        <v>1313</v>
      </c>
      <c r="I3551" s="882">
        <v>36</v>
      </c>
      <c r="J3551" s="882">
        <v>12468.583333333334</v>
      </c>
      <c r="K3551" s="883">
        <f t="shared" si="474"/>
        <v>448869</v>
      </c>
      <c r="L3551" s="884" t="s">
        <v>857</v>
      </c>
      <c r="M3551" s="884" t="s">
        <v>160</v>
      </c>
      <c r="N3551" s="52" t="str">
        <f>IF(AND('331-CT'!$E$7=TH!H3551,OR(L3551="331",M3551="331")),"331",IF(AND(OR(L3551="131",M3551="131"),H3551='131-CT'!$E$7),"131",""))</f>
        <v/>
      </c>
      <c r="O3551" s="52" t="str">
        <f>IF(AND($B3551&gt;='111'!$N$11,$B3551&lt;='111'!$O$11,OR($L3551=$O$7,$M3551=$O$7)),"x","")</f>
        <v/>
      </c>
      <c r="P3551" s="52" t="str">
        <f>IF(AND($L3551=$O$7,$B3551&lt;'111'!$N$11),"x","")</f>
        <v/>
      </c>
      <c r="Q3551" s="52" t="str">
        <f>IF(AND($M3551=$O$7,$B3551&lt;'111'!$N$11),"x","")</f>
        <v/>
      </c>
      <c r="R3551" s="52" t="str">
        <f>IF(ISERROR(FIND('112'!$M$9,G3551,1)),"",IF((AND(FIND('112'!$M$9,G3551,1)&gt;=1,$B3551&gt;='112'!$N$8,$B3551&lt;='112'!$O$8,OR($L3551='112'!$I$6,$M3551='112'!$I$6))),"x",""))</f>
        <v/>
      </c>
      <c r="S3551" s="52" t="str">
        <f>IF(ISERROR(FIND('112'!$M$9,G3551,1)),"",IF((AND(LEFT(G3551,2)=LEFT('112'!$M$9,2),B3551&lt;'112'!$N$8,$L3551='112'!$I$6)),"x",""))</f>
        <v/>
      </c>
      <c r="T3551" s="52" t="str">
        <f>IF(ISERROR(FIND('112'!$M$9,G3551,1)),"",IF((AND(RIGHT(G3551,2)=RIGHT('112'!$M$9,2),B3551&lt;'112'!$N$8,$M3551='112'!$I$6)),"x",""))</f>
        <v/>
      </c>
      <c r="U3551" s="52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/>
      </c>
      <c r="AA3551" s="826"/>
    </row>
    <row r="3552" spans="1:28" ht="15.75" customHeight="1">
      <c r="A3552" s="827" t="str">
        <f>IF(B3552&lt;&gt;"",IF(AND(B3552&gt;=_TM1,B3552&lt;=_TM2,OR(TH!L3552="1111",TH!M3552="1111")),TH!D3552,""),"")</f>
        <v/>
      </c>
      <c r="B3552" s="876">
        <f t="shared" si="473"/>
        <v>5</v>
      </c>
      <c r="C3552" s="877">
        <f t="shared" si="471"/>
        <v>42521</v>
      </c>
      <c r="D3552" s="878" t="s">
        <v>1663</v>
      </c>
      <c r="E3552" s="912">
        <v>42521</v>
      </c>
      <c r="F3552" s="888" t="s">
        <v>558</v>
      </c>
      <c r="G3552" s="913" t="s">
        <v>697</v>
      </c>
      <c r="H3552" s="881" t="s">
        <v>1313</v>
      </c>
      <c r="I3552" s="882">
        <v>12</v>
      </c>
      <c r="J3552" s="882">
        <v>37503.583333333336</v>
      </c>
      <c r="K3552" s="883">
        <f t="shared" si="474"/>
        <v>450043</v>
      </c>
      <c r="L3552" s="884" t="s">
        <v>857</v>
      </c>
      <c r="M3552" s="884" t="s">
        <v>160</v>
      </c>
      <c r="N3552" s="52" t="str">
        <f>IF(AND('331-CT'!$E$7=TH!H3552,OR(L3552="331",M3552="331")),"331",IF(AND(OR(L3552="131",M3552="131"),H3552='131-CT'!$E$7),"131",""))</f>
        <v/>
      </c>
      <c r="O3552" s="52" t="str">
        <f>IF(AND($B3552&gt;='111'!$N$11,$B3552&lt;='111'!$O$11,OR($L3552=$O$7,$M3552=$O$7)),"x","")</f>
        <v/>
      </c>
      <c r="P3552" s="52" t="str">
        <f>IF(AND($L3552=$O$7,$B3552&lt;'111'!$N$11),"x","")</f>
        <v/>
      </c>
      <c r="Q3552" s="52" t="str">
        <f>IF(AND($M3552=$O$7,$B3552&lt;'111'!$N$11),"x","")</f>
        <v/>
      </c>
      <c r="R3552" s="52" t="str">
        <f>IF(ISERROR(FIND('112'!$M$9,G3552,1)),"",IF((AND(FIND('112'!$M$9,G3552,1)&gt;=1,$B3552&gt;='112'!$N$8,$B3552&lt;='112'!$O$8,OR($L3552='112'!$I$6,$M3552='112'!$I$6))),"x",""))</f>
        <v/>
      </c>
      <c r="S3552" s="52" t="str">
        <f>IF(ISERROR(FIND('112'!$M$9,G3552,1)),"",IF((AND(LEFT(G3552,2)=LEFT('112'!$M$9,2),B3552&lt;'112'!$N$8,$L3552='112'!$I$6)),"x",""))</f>
        <v/>
      </c>
      <c r="T3552" s="52" t="str">
        <f>IF(ISERROR(FIND('112'!$M$9,G3552,1)),"",IF((AND(RIGHT(G3552,2)=RIGHT('112'!$M$9,2),B3552&lt;'112'!$N$8,$M3552='112'!$I$6)),"x",""))</f>
        <v/>
      </c>
      <c r="U3552" s="52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/>
      </c>
      <c r="AA3552" s="826"/>
    </row>
    <row r="3553" spans="1:27" ht="15.75" customHeight="1">
      <c r="A3553" s="827" t="str">
        <f>IF(B3553&lt;&gt;"",IF(AND(B3553&gt;=_TM1,B3553&lt;=_TM2,OR(TH!L3553="1111",TH!M3553="1111")),TH!D3553,""),"")</f>
        <v/>
      </c>
      <c r="B3553" s="876">
        <f t="shared" si="473"/>
        <v>6</v>
      </c>
      <c r="C3553" s="877">
        <f t="shared" si="471"/>
        <v>42527</v>
      </c>
      <c r="D3553" s="878" t="s">
        <v>1663</v>
      </c>
      <c r="E3553" s="912">
        <v>42527</v>
      </c>
      <c r="F3553" s="891" t="s">
        <v>730</v>
      </c>
      <c r="G3553" s="913" t="s">
        <v>733</v>
      </c>
      <c r="H3553" s="881" t="s">
        <v>1313</v>
      </c>
      <c r="I3553" s="882">
        <v>1050</v>
      </c>
      <c r="J3553" s="882">
        <v>4052.9114285714286</v>
      </c>
      <c r="K3553" s="883">
        <f t="shared" si="474"/>
        <v>4255557</v>
      </c>
      <c r="L3553" s="884" t="s">
        <v>857</v>
      </c>
      <c r="M3553" s="884" t="s">
        <v>160</v>
      </c>
      <c r="N3553" s="52" t="str">
        <f>IF(AND('331-CT'!$E$7=TH!H3553,OR(L3553="331",M3553="331")),"331",IF(AND(OR(L3553="131",M3553="131"),H3553='131-CT'!$E$7),"131",""))</f>
        <v/>
      </c>
      <c r="O3553" s="52" t="str">
        <f>IF(AND($B3553&gt;='111'!$N$11,$B3553&lt;='111'!$O$11,OR($L3553=$O$7,$M3553=$O$7)),"x","")</f>
        <v/>
      </c>
      <c r="P3553" s="52" t="str">
        <f>IF(AND($L3553=$O$7,$B3553&lt;'111'!$N$11),"x","")</f>
        <v/>
      </c>
      <c r="Q3553" s="52" t="str">
        <f>IF(AND($M3553=$O$7,$B3553&lt;'111'!$N$11),"x","")</f>
        <v/>
      </c>
      <c r="R3553" s="52" t="str">
        <f>IF(ISERROR(FIND('112'!$M$9,G3553,1)),"",IF((AND(FIND('112'!$M$9,G3553,1)&gt;=1,$B3553&gt;='112'!$N$8,$B3553&lt;='112'!$O$8,OR($L3553='112'!$I$6,$M3553='112'!$I$6))),"x",""))</f>
        <v/>
      </c>
      <c r="S3553" s="52" t="str">
        <f>IF(ISERROR(FIND('112'!$M$9,G3553,1)),"",IF((AND(LEFT(G3553,2)=LEFT('112'!$M$9,2),B3553&lt;'112'!$N$8,$L3553='112'!$I$6)),"x",""))</f>
        <v/>
      </c>
      <c r="T3553" s="52" t="str">
        <f>IF(ISERROR(FIND('112'!$M$9,G3553,1)),"",IF((AND(RIGHT(G3553,2)=RIGHT('112'!$M$9,2),B3553&lt;'112'!$N$8,$M3553='112'!$I$6)),"x",""))</f>
        <v/>
      </c>
      <c r="U3553" s="52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/>
      </c>
      <c r="AA3553" s="826"/>
    </row>
    <row r="3554" spans="1:27" ht="15.75" customHeight="1">
      <c r="A3554" s="827" t="str">
        <f>IF(B3554&lt;&gt;"",IF(AND(B3554&gt;=_TM1,B3554&lt;=_TM2,OR(TH!L3554="1111",TH!M3554="1111")),TH!D3554,""),"")</f>
        <v/>
      </c>
      <c r="B3554" s="876">
        <f t="shared" si="473"/>
        <v>6</v>
      </c>
      <c r="C3554" s="877">
        <f t="shared" si="471"/>
        <v>42528</v>
      </c>
      <c r="D3554" s="878" t="s">
        <v>1663</v>
      </c>
      <c r="E3554" s="912">
        <v>42528</v>
      </c>
      <c r="F3554" s="888" t="s">
        <v>1222</v>
      </c>
      <c r="G3554" s="913" t="s">
        <v>737</v>
      </c>
      <c r="H3554" s="881" t="s">
        <v>1313</v>
      </c>
      <c r="I3554" s="882">
        <v>1373</v>
      </c>
      <c r="J3554" s="882">
        <v>6610.9446467589223</v>
      </c>
      <c r="K3554" s="883">
        <f t="shared" si="474"/>
        <v>9076827</v>
      </c>
      <c r="L3554" s="884" t="s">
        <v>857</v>
      </c>
      <c r="M3554" s="884" t="s">
        <v>160</v>
      </c>
      <c r="N3554" s="52" t="str">
        <f>IF(AND('331-CT'!$E$7=TH!H3554,OR(L3554="331",M3554="331")),"331",IF(AND(OR(L3554="131",M3554="131"),H3554='131-CT'!$E$7),"131",""))</f>
        <v/>
      </c>
      <c r="O3554" s="52" t="str">
        <f>IF(AND($B3554&gt;='111'!$N$11,$B3554&lt;='111'!$O$11,OR($L3554=$O$7,$M3554=$O$7)),"x","")</f>
        <v/>
      </c>
      <c r="P3554" s="52" t="str">
        <f>IF(AND($L3554=$O$7,$B3554&lt;'111'!$N$11),"x","")</f>
        <v/>
      </c>
      <c r="Q3554" s="52" t="str">
        <f>IF(AND($M3554=$O$7,$B3554&lt;'111'!$N$11),"x","")</f>
        <v/>
      </c>
      <c r="R3554" s="52" t="str">
        <f>IF(ISERROR(FIND('112'!$M$9,G3554,1)),"",IF((AND(FIND('112'!$M$9,G3554,1)&gt;=1,$B3554&gt;='112'!$N$8,$B3554&lt;='112'!$O$8,OR($L3554='112'!$I$6,$M3554='112'!$I$6))),"x",""))</f>
        <v/>
      </c>
      <c r="S3554" s="52" t="str">
        <f>IF(ISERROR(FIND('112'!$M$9,G3554,1)),"",IF((AND(LEFT(G3554,2)=LEFT('112'!$M$9,2),B3554&lt;'112'!$N$8,$L3554='112'!$I$6)),"x",""))</f>
        <v/>
      </c>
      <c r="T3554" s="52" t="str">
        <f>IF(ISERROR(FIND('112'!$M$9,G3554,1)),"",IF((AND(RIGHT(G3554,2)=RIGHT('112'!$M$9,2),B3554&lt;'112'!$N$8,$M3554='112'!$I$6)),"x",""))</f>
        <v/>
      </c>
      <c r="U3554" s="52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/>
      </c>
      <c r="AA3554" s="826"/>
    </row>
    <row r="3555" spans="1:27" ht="15.75" customHeight="1">
      <c r="A3555" s="827" t="str">
        <f>IF(B3555&lt;&gt;"",IF(AND(B3555&gt;=_TM1,B3555&lt;=_TM2,OR(TH!L3555="1111",TH!M3555="1111")),TH!D3555,""),"")</f>
        <v/>
      </c>
      <c r="B3555" s="876">
        <f t="shared" si="473"/>
        <v>6</v>
      </c>
      <c r="C3555" s="877">
        <f t="shared" si="471"/>
        <v>42532</v>
      </c>
      <c r="D3555" s="878" t="s">
        <v>1663</v>
      </c>
      <c r="E3555" s="912">
        <v>42532</v>
      </c>
      <c r="F3555" s="891" t="s">
        <v>765</v>
      </c>
      <c r="G3555" s="913" t="s">
        <v>751</v>
      </c>
      <c r="H3555" s="881" t="s">
        <v>1313</v>
      </c>
      <c r="I3555" s="882">
        <v>10</v>
      </c>
      <c r="J3555" s="882">
        <v>72724.3</v>
      </c>
      <c r="K3555" s="883">
        <f t="shared" si="474"/>
        <v>727243</v>
      </c>
      <c r="L3555" s="884" t="s">
        <v>857</v>
      </c>
      <c r="M3555" s="884" t="s">
        <v>160</v>
      </c>
      <c r="N3555" s="52" t="str">
        <f>IF(AND('331-CT'!$E$7=TH!H3555,OR(L3555="331",M3555="331")),"331",IF(AND(OR(L3555="131",M3555="131"),H3555='131-CT'!$E$7),"131",""))</f>
        <v/>
      </c>
      <c r="O3555" s="52" t="str">
        <f>IF(AND($B3555&gt;='111'!$N$11,$B3555&lt;='111'!$O$11,OR($L3555=$O$7,$M3555=$O$7)),"x","")</f>
        <v/>
      </c>
      <c r="P3555" s="52" t="str">
        <f>IF(AND($L3555=$O$7,$B3555&lt;'111'!$N$11),"x","")</f>
        <v/>
      </c>
      <c r="Q3555" s="52" t="str">
        <f>IF(AND($M3555=$O$7,$B3555&lt;'111'!$N$11),"x","")</f>
        <v/>
      </c>
      <c r="R3555" s="52" t="str">
        <f>IF(ISERROR(FIND('112'!$M$9,G3555,1)),"",IF((AND(FIND('112'!$M$9,G3555,1)&gt;=1,$B3555&gt;='112'!$N$8,$B3555&lt;='112'!$O$8,OR($L3555='112'!$I$6,$M3555='112'!$I$6))),"x",""))</f>
        <v/>
      </c>
      <c r="S3555" s="52" t="str">
        <f>IF(ISERROR(FIND('112'!$M$9,G3555,1)),"",IF((AND(LEFT(G3555,2)=LEFT('112'!$M$9,2),B3555&lt;'112'!$N$8,$L3555='112'!$I$6)),"x",""))</f>
        <v/>
      </c>
      <c r="T3555" s="52" t="str">
        <f>IF(ISERROR(FIND('112'!$M$9,G3555,1)),"",IF((AND(RIGHT(G3555,2)=RIGHT('112'!$M$9,2),B3555&lt;'112'!$N$8,$M3555='112'!$I$6)),"x",""))</f>
        <v/>
      </c>
      <c r="U3555" s="52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/>
      </c>
      <c r="AA3555" s="826"/>
    </row>
    <row r="3556" spans="1:27" ht="15.75" customHeight="1">
      <c r="A3556" s="827" t="str">
        <f>IF(B3556&lt;&gt;"",IF(AND(B3556&gt;=_TM1,B3556&lt;=_TM2,OR(TH!L3556="1111",TH!M3556="1111")),TH!D3556,""),"")</f>
        <v/>
      </c>
      <c r="B3556" s="876">
        <f t="shared" si="473"/>
        <v>6</v>
      </c>
      <c r="C3556" s="877">
        <f t="shared" si="471"/>
        <v>42532</v>
      </c>
      <c r="D3556" s="878" t="s">
        <v>1663</v>
      </c>
      <c r="E3556" s="912">
        <v>42532</v>
      </c>
      <c r="F3556" s="888" t="s">
        <v>732</v>
      </c>
      <c r="G3556" s="913" t="s">
        <v>751</v>
      </c>
      <c r="H3556" s="881" t="s">
        <v>1313</v>
      </c>
      <c r="I3556" s="882">
        <v>30</v>
      </c>
      <c r="J3556" s="882">
        <v>6033</v>
      </c>
      <c r="K3556" s="883">
        <f t="shared" si="474"/>
        <v>180990</v>
      </c>
      <c r="L3556" s="884" t="s">
        <v>857</v>
      </c>
      <c r="M3556" s="884" t="s">
        <v>160</v>
      </c>
      <c r="N3556" s="52" t="str">
        <f>IF(AND('331-CT'!$E$7=TH!H3556,OR(L3556="331",M3556="331")),"331",IF(AND(OR(L3556="131",M3556="131"),H3556='131-CT'!$E$7),"131",""))</f>
        <v/>
      </c>
      <c r="O3556" s="52" t="str">
        <f>IF(AND($B3556&gt;='111'!$N$11,$B3556&lt;='111'!$O$11,OR($L3556=$O$7,$M3556=$O$7)),"x","")</f>
        <v/>
      </c>
      <c r="P3556" s="52" t="str">
        <f>IF(AND($L3556=$O$7,$B3556&lt;'111'!$N$11),"x","")</f>
        <v/>
      </c>
      <c r="Q3556" s="52" t="str">
        <f>IF(AND($M3556=$O$7,$B3556&lt;'111'!$N$11),"x","")</f>
        <v/>
      </c>
      <c r="R3556" s="52" t="str">
        <f>IF(ISERROR(FIND('112'!$M$9,G3556,1)),"",IF((AND(FIND('112'!$M$9,G3556,1)&gt;=1,$B3556&gt;='112'!$N$8,$B3556&lt;='112'!$O$8,OR($L3556='112'!$I$6,$M3556='112'!$I$6))),"x",""))</f>
        <v/>
      </c>
      <c r="S3556" s="52" t="str">
        <f>IF(ISERROR(FIND('112'!$M$9,G3556,1)),"",IF((AND(LEFT(G3556,2)=LEFT('112'!$M$9,2),B3556&lt;'112'!$N$8,$L3556='112'!$I$6)),"x",""))</f>
        <v/>
      </c>
      <c r="T3556" s="52" t="str">
        <f>IF(ISERROR(FIND('112'!$M$9,G3556,1)),"",IF((AND(RIGHT(G3556,2)=RIGHT('112'!$M$9,2),B3556&lt;'112'!$N$8,$M3556='112'!$I$6)),"x",""))</f>
        <v/>
      </c>
      <c r="U3556" s="52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/>
      </c>
      <c r="AA3556" s="826"/>
    </row>
    <row r="3557" spans="1:27" ht="15.75" customHeight="1">
      <c r="A3557" s="827" t="str">
        <f>IF(B3557&lt;&gt;"",IF(AND(B3557&gt;=_TM1,B3557&lt;=_TM2,OR(TH!L3557="1111",TH!M3557="1111")),TH!D3557,""),"")</f>
        <v/>
      </c>
      <c r="B3557" s="876">
        <f t="shared" si="473"/>
        <v>6</v>
      </c>
      <c r="C3557" s="877">
        <f t="shared" si="471"/>
        <v>42536</v>
      </c>
      <c r="D3557" s="878" t="s">
        <v>1663</v>
      </c>
      <c r="E3557" s="912">
        <v>42536</v>
      </c>
      <c r="F3557" s="891" t="s">
        <v>780</v>
      </c>
      <c r="G3557" s="913" t="s">
        <v>779</v>
      </c>
      <c r="H3557" s="881" t="s">
        <v>1313</v>
      </c>
      <c r="I3557" s="882">
        <v>75</v>
      </c>
      <c r="J3557" s="882">
        <v>15618.586666666666</v>
      </c>
      <c r="K3557" s="883">
        <f t="shared" si="474"/>
        <v>1171394</v>
      </c>
      <c r="L3557" s="884" t="s">
        <v>857</v>
      </c>
      <c r="M3557" s="884" t="s">
        <v>160</v>
      </c>
      <c r="N3557" s="52" t="str">
        <f>IF(AND('331-CT'!$E$7=TH!H3557,OR(L3557="331",M3557="331")),"331",IF(AND(OR(L3557="131",M3557="131"),H3557='131-CT'!$E$7),"131",""))</f>
        <v/>
      </c>
      <c r="O3557" s="52" t="str">
        <f>IF(AND($B3557&gt;='111'!$N$11,$B3557&lt;='111'!$O$11,OR($L3557=$O$7,$M3557=$O$7)),"x","")</f>
        <v/>
      </c>
      <c r="P3557" s="52" t="str">
        <f>IF(AND($L3557=$O$7,$B3557&lt;'111'!$N$11),"x","")</f>
        <v/>
      </c>
      <c r="Q3557" s="52" t="str">
        <f>IF(AND($M3557=$O$7,$B3557&lt;'111'!$N$11),"x","")</f>
        <v/>
      </c>
      <c r="R3557" s="52" t="str">
        <f>IF(ISERROR(FIND('112'!$M$9,G3557,1)),"",IF((AND(FIND('112'!$M$9,G3557,1)&gt;=1,$B3557&gt;='112'!$N$8,$B3557&lt;='112'!$O$8,OR($L3557='112'!$I$6,$M3557='112'!$I$6))),"x",""))</f>
        <v/>
      </c>
      <c r="S3557" s="52" t="str">
        <f>IF(ISERROR(FIND('112'!$M$9,G3557,1)),"",IF((AND(LEFT(G3557,2)=LEFT('112'!$M$9,2),B3557&lt;'112'!$N$8,$L3557='112'!$I$6)),"x",""))</f>
        <v/>
      </c>
      <c r="T3557" s="52" t="str">
        <f>IF(ISERROR(FIND('112'!$M$9,G3557,1)),"",IF((AND(RIGHT(G3557,2)=RIGHT('112'!$M$9,2),B3557&lt;'112'!$N$8,$M3557='112'!$I$6)),"x",""))</f>
        <v/>
      </c>
      <c r="U3557" s="52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/>
      </c>
      <c r="AA3557" s="826"/>
    </row>
    <row r="3558" spans="1:27" ht="15.75" customHeight="1">
      <c r="A3558" s="827" t="str">
        <f>IF(B3558&lt;&gt;"",IF(AND(B3558&gt;=_TM1,B3558&lt;=_TM2,OR(TH!L3558="1111",TH!M3558="1111")),TH!D3558,""),"")</f>
        <v/>
      </c>
      <c r="B3558" s="876">
        <f t="shared" si="473"/>
        <v>6</v>
      </c>
      <c r="C3558" s="877">
        <f t="shared" si="471"/>
        <v>42536</v>
      </c>
      <c r="D3558" s="878" t="s">
        <v>1663</v>
      </c>
      <c r="E3558" s="912">
        <v>42536</v>
      </c>
      <c r="F3558" s="888" t="s">
        <v>781</v>
      </c>
      <c r="G3558" s="913" t="s">
        <v>779</v>
      </c>
      <c r="H3558" s="881" t="s">
        <v>1313</v>
      </c>
      <c r="I3558" s="882">
        <v>300</v>
      </c>
      <c r="J3558" s="882">
        <v>4930.5933333333332</v>
      </c>
      <c r="K3558" s="883">
        <f t="shared" si="474"/>
        <v>1479178</v>
      </c>
      <c r="L3558" s="884" t="s">
        <v>857</v>
      </c>
      <c r="M3558" s="884" t="s">
        <v>160</v>
      </c>
      <c r="N3558" s="52" t="str">
        <f>IF(AND('331-CT'!$E$7=TH!H3558,OR(L3558="331",M3558="331")),"331",IF(AND(OR(L3558="131",M3558="131"),H3558='131-CT'!$E$7),"131",""))</f>
        <v/>
      </c>
      <c r="O3558" s="52" t="str">
        <f>IF(AND($B3558&gt;='111'!$N$11,$B3558&lt;='111'!$O$11,OR($L3558=$O$7,$M3558=$O$7)),"x","")</f>
        <v/>
      </c>
      <c r="P3558" s="52" t="str">
        <f>IF(AND($L3558=$O$7,$B3558&lt;'111'!$N$11),"x","")</f>
        <v/>
      </c>
      <c r="Q3558" s="52" t="str">
        <f>IF(AND($M3558=$O$7,$B3558&lt;'111'!$N$11),"x","")</f>
        <v/>
      </c>
      <c r="R3558" s="52" t="str">
        <f>IF(ISERROR(FIND('112'!$M$9,G3558,1)),"",IF((AND(FIND('112'!$M$9,G3558,1)&gt;=1,$B3558&gt;='112'!$N$8,$B3558&lt;='112'!$O$8,OR($L3558='112'!$I$6,$M3558='112'!$I$6))),"x",""))</f>
        <v/>
      </c>
      <c r="S3558" s="52" t="str">
        <f>IF(ISERROR(FIND('112'!$M$9,G3558,1)),"",IF((AND(LEFT(G3558,2)=LEFT('112'!$M$9,2),B3558&lt;'112'!$N$8,$L3558='112'!$I$6)),"x",""))</f>
        <v/>
      </c>
      <c r="T3558" s="52" t="str">
        <f>IF(ISERROR(FIND('112'!$M$9,G3558,1)),"",IF((AND(RIGHT(G3558,2)=RIGHT('112'!$M$9,2),B3558&lt;'112'!$N$8,$M3558='112'!$I$6)),"x",""))</f>
        <v/>
      </c>
      <c r="U3558" s="52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/>
      </c>
      <c r="AA3558" s="826"/>
    </row>
    <row r="3559" spans="1:27" ht="15.75" customHeight="1">
      <c r="A3559" s="827" t="str">
        <f>IF(B3559&lt;&gt;"",IF(AND(B3559&gt;=_TM1,B3559&lt;=_TM2,OR(TH!L3559="1111",TH!M3559="1111")),TH!D3559,""),"")</f>
        <v/>
      </c>
      <c r="B3559" s="876">
        <f t="shared" si="473"/>
        <v>6</v>
      </c>
      <c r="C3559" s="877">
        <f t="shared" si="471"/>
        <v>42548</v>
      </c>
      <c r="D3559" s="878" t="s">
        <v>1663</v>
      </c>
      <c r="E3559" s="912">
        <v>42548</v>
      </c>
      <c r="F3559" s="891" t="s">
        <v>790</v>
      </c>
      <c r="G3559" s="913" t="s">
        <v>789</v>
      </c>
      <c r="H3559" s="881" t="s">
        <v>1313</v>
      </c>
      <c r="I3559" s="882">
        <v>7</v>
      </c>
      <c r="J3559" s="882">
        <v>117547</v>
      </c>
      <c r="K3559" s="883">
        <f t="shared" si="474"/>
        <v>822829</v>
      </c>
      <c r="L3559" s="884" t="s">
        <v>857</v>
      </c>
      <c r="M3559" s="884" t="s">
        <v>160</v>
      </c>
      <c r="N3559" s="52" t="str">
        <f>IF(AND('331-CT'!$E$7=TH!H3559,OR(L3559="331",M3559="331")),"331",IF(AND(OR(L3559="131",M3559="131"),H3559='131-CT'!$E$7),"131",""))</f>
        <v/>
      </c>
      <c r="O3559" s="52" t="str">
        <f>IF(AND($B3559&gt;='111'!$N$11,$B3559&lt;='111'!$O$11,OR($L3559=$O$7,$M3559=$O$7)),"x","")</f>
        <v/>
      </c>
      <c r="P3559" s="52" t="str">
        <f>IF(AND($L3559=$O$7,$B3559&lt;'111'!$N$11),"x","")</f>
        <v/>
      </c>
      <c r="Q3559" s="52" t="str">
        <f>IF(AND($M3559=$O$7,$B3559&lt;'111'!$N$11),"x","")</f>
        <v/>
      </c>
      <c r="R3559" s="52" t="str">
        <f>IF(ISERROR(FIND('112'!$M$9,G3559,1)),"",IF((AND(FIND('112'!$M$9,G3559,1)&gt;=1,$B3559&gt;='112'!$N$8,$B3559&lt;='112'!$O$8,OR($L3559='112'!$I$6,$M3559='112'!$I$6))),"x",""))</f>
        <v/>
      </c>
      <c r="S3559" s="52" t="str">
        <f>IF(ISERROR(FIND('112'!$M$9,G3559,1)),"",IF((AND(LEFT(G3559,2)=LEFT('112'!$M$9,2),B3559&lt;'112'!$N$8,$L3559='112'!$I$6)),"x",""))</f>
        <v/>
      </c>
      <c r="T3559" s="52" t="str">
        <f>IF(ISERROR(FIND('112'!$M$9,G3559,1)),"",IF((AND(RIGHT(G3559,2)=RIGHT('112'!$M$9,2),B3559&lt;'112'!$N$8,$M3559='112'!$I$6)),"x",""))</f>
        <v/>
      </c>
      <c r="U3559" s="52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/>
      </c>
      <c r="AA3559" s="826"/>
    </row>
    <row r="3560" spans="1:27" ht="15.75" customHeight="1">
      <c r="A3560" s="827" t="str">
        <f>IF(B3560&lt;&gt;"",IF(AND(B3560&gt;=_TM1,B3560&lt;=_TM2,OR(TH!L3560="1111",TH!M3560="1111")),TH!D3560,""),"")</f>
        <v/>
      </c>
      <c r="B3560" s="876">
        <f t="shared" si="473"/>
        <v>6</v>
      </c>
      <c r="C3560" s="877">
        <f t="shared" si="471"/>
        <v>42548</v>
      </c>
      <c r="D3560" s="878" t="s">
        <v>1663</v>
      </c>
      <c r="E3560" s="912">
        <v>42548</v>
      </c>
      <c r="F3560" s="891" t="s">
        <v>791</v>
      </c>
      <c r="G3560" s="913" t="s">
        <v>789</v>
      </c>
      <c r="H3560" s="881" t="s">
        <v>1313</v>
      </c>
      <c r="I3560" s="882">
        <v>15</v>
      </c>
      <c r="J3560" s="882">
        <v>22674.6</v>
      </c>
      <c r="K3560" s="883">
        <f t="shared" si="474"/>
        <v>340119</v>
      </c>
      <c r="L3560" s="884" t="s">
        <v>857</v>
      </c>
      <c r="M3560" s="884" t="s">
        <v>160</v>
      </c>
      <c r="N3560" s="52" t="str">
        <f>IF(AND('331-CT'!$E$7=TH!H3560,OR(L3560="331",M3560="331")),"331",IF(AND(OR(L3560="131",M3560="131"),H3560='131-CT'!$E$7),"131",""))</f>
        <v/>
      </c>
      <c r="O3560" s="52" t="str">
        <f>IF(AND($B3560&gt;='111'!$N$11,$B3560&lt;='111'!$O$11,OR($L3560=$O$7,$M3560=$O$7)),"x","")</f>
        <v/>
      </c>
      <c r="P3560" s="52" t="str">
        <f>IF(AND($L3560=$O$7,$B3560&lt;'111'!$N$11),"x","")</f>
        <v/>
      </c>
      <c r="Q3560" s="52" t="str">
        <f>IF(AND($M3560=$O$7,$B3560&lt;'111'!$N$11),"x","")</f>
        <v/>
      </c>
      <c r="R3560" s="52" t="str">
        <f>IF(ISERROR(FIND('112'!$M$9,G3560,1)),"",IF((AND(FIND('112'!$M$9,G3560,1)&gt;=1,$B3560&gt;='112'!$N$8,$B3560&lt;='112'!$O$8,OR($L3560='112'!$I$6,$M3560='112'!$I$6))),"x",""))</f>
        <v/>
      </c>
      <c r="S3560" s="52" t="str">
        <f>IF(ISERROR(FIND('112'!$M$9,G3560,1)),"",IF((AND(LEFT(G3560,2)=LEFT('112'!$M$9,2),B3560&lt;'112'!$N$8,$L3560='112'!$I$6)),"x",""))</f>
        <v/>
      </c>
      <c r="T3560" s="52" t="str">
        <f>IF(ISERROR(FIND('112'!$M$9,G3560,1)),"",IF((AND(RIGHT(G3560,2)=RIGHT('112'!$M$9,2),B3560&lt;'112'!$N$8,$M3560='112'!$I$6)),"x",""))</f>
        <v/>
      </c>
      <c r="U3560" s="52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/>
      </c>
      <c r="AA3560" s="826"/>
    </row>
    <row r="3561" spans="1:27" ht="15.75" customHeight="1">
      <c r="A3561" s="827" t="str">
        <f>IF(B3561&lt;&gt;"",IF(AND(B3561&gt;=_TM1,B3561&lt;=_TM2,OR(TH!L3561="1111",TH!M3561="1111")),TH!D3561,""),"")</f>
        <v/>
      </c>
      <c r="B3561" s="876">
        <f t="shared" si="473"/>
        <v>6</v>
      </c>
      <c r="C3561" s="877">
        <f t="shared" si="471"/>
        <v>42548</v>
      </c>
      <c r="D3561" s="878" t="s">
        <v>1663</v>
      </c>
      <c r="E3561" s="912">
        <v>42548</v>
      </c>
      <c r="F3561" s="888" t="s">
        <v>792</v>
      </c>
      <c r="G3561" s="913" t="s">
        <v>789</v>
      </c>
      <c r="H3561" s="881" t="s">
        <v>1313</v>
      </c>
      <c r="I3561" s="882">
        <v>304</v>
      </c>
      <c r="J3561" s="882">
        <v>30955.598684210527</v>
      </c>
      <c r="K3561" s="883">
        <f t="shared" si="474"/>
        <v>9410502</v>
      </c>
      <c r="L3561" s="884" t="s">
        <v>857</v>
      </c>
      <c r="M3561" s="884" t="s">
        <v>160</v>
      </c>
      <c r="N3561" s="52" t="str">
        <f>IF(AND('331-CT'!$E$7=TH!H3561,OR(L3561="331",M3561="331")),"331",IF(AND(OR(L3561="131",M3561="131"),H3561='131-CT'!$E$7),"131",""))</f>
        <v/>
      </c>
      <c r="O3561" s="52" t="str">
        <f>IF(AND($B3561&gt;='111'!$N$11,$B3561&lt;='111'!$O$11,OR($L3561=$O$7,$M3561=$O$7)),"x","")</f>
        <v/>
      </c>
      <c r="P3561" s="52" t="str">
        <f>IF(AND($L3561=$O$7,$B3561&lt;'111'!$N$11),"x","")</f>
        <v/>
      </c>
      <c r="Q3561" s="52" t="str">
        <f>IF(AND($M3561=$O$7,$B3561&lt;'111'!$N$11),"x","")</f>
        <v/>
      </c>
      <c r="R3561" s="52" t="str">
        <f>IF(ISERROR(FIND('112'!$M$9,G3561,1)),"",IF((AND(FIND('112'!$M$9,G3561,1)&gt;=1,$B3561&gt;='112'!$N$8,$B3561&lt;='112'!$O$8,OR($L3561='112'!$I$6,$M3561='112'!$I$6))),"x",""))</f>
        <v/>
      </c>
      <c r="S3561" s="52" t="str">
        <f>IF(ISERROR(FIND('112'!$M$9,G3561,1)),"",IF((AND(LEFT(G3561,2)=LEFT('112'!$M$9,2),B3561&lt;'112'!$N$8,$L3561='112'!$I$6)),"x",""))</f>
        <v/>
      </c>
      <c r="T3561" s="52" t="str">
        <f>IF(ISERROR(FIND('112'!$M$9,G3561,1)),"",IF((AND(RIGHT(G3561,2)=RIGHT('112'!$M$9,2),B3561&lt;'112'!$N$8,$M3561='112'!$I$6)),"x",""))</f>
        <v/>
      </c>
      <c r="U3561" s="52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/>
      </c>
      <c r="AA3561" s="826"/>
    </row>
    <row r="3562" spans="1:27" ht="15.75" customHeight="1">
      <c r="A3562" s="827" t="str">
        <f>IF(B3562&lt;&gt;"",IF(AND(B3562&gt;=_TM1,B3562&lt;=_TM2,OR(TH!L3562="1111",TH!M3562="1111")),TH!D3562,""),"")</f>
        <v/>
      </c>
      <c r="B3562" s="876">
        <f t="shared" si="473"/>
        <v>6</v>
      </c>
      <c r="C3562" s="877">
        <f t="shared" si="471"/>
        <v>42548</v>
      </c>
      <c r="D3562" s="878" t="s">
        <v>1663</v>
      </c>
      <c r="E3562" s="912">
        <v>42548</v>
      </c>
      <c r="F3562" s="891" t="s">
        <v>793</v>
      </c>
      <c r="G3562" s="913" t="s">
        <v>789</v>
      </c>
      <c r="H3562" s="881" t="s">
        <v>1313</v>
      </c>
      <c r="I3562" s="882">
        <v>50</v>
      </c>
      <c r="J3562" s="882">
        <v>41826.6</v>
      </c>
      <c r="K3562" s="883">
        <f t="shared" si="474"/>
        <v>2091330</v>
      </c>
      <c r="L3562" s="884" t="s">
        <v>857</v>
      </c>
      <c r="M3562" s="884" t="s">
        <v>160</v>
      </c>
      <c r="N3562" s="52" t="str">
        <f>IF(AND('331-CT'!$E$7=TH!H3562,OR(L3562="331",M3562="331")),"331",IF(AND(OR(L3562="131",M3562="131"),H3562='131-CT'!$E$7),"131",""))</f>
        <v/>
      </c>
      <c r="O3562" s="52" t="str">
        <f>IF(AND($B3562&gt;='111'!$N$11,$B3562&lt;='111'!$O$11,OR($L3562=$O$7,$M3562=$O$7)),"x","")</f>
        <v/>
      </c>
      <c r="P3562" s="52" t="str">
        <f>IF(AND($L3562=$O$7,$B3562&lt;'111'!$N$11),"x","")</f>
        <v/>
      </c>
      <c r="Q3562" s="52" t="str">
        <f>IF(AND($M3562=$O$7,$B3562&lt;'111'!$N$11),"x","")</f>
        <v/>
      </c>
      <c r="R3562" s="52" t="str">
        <f>IF(ISERROR(FIND('112'!$M$9,G3562,1)),"",IF((AND(FIND('112'!$M$9,G3562,1)&gt;=1,$B3562&gt;='112'!$N$8,$B3562&lt;='112'!$O$8,OR($L3562='112'!$I$6,$M3562='112'!$I$6))),"x",""))</f>
        <v/>
      </c>
      <c r="S3562" s="52" t="str">
        <f>IF(ISERROR(FIND('112'!$M$9,G3562,1)),"",IF((AND(LEFT(G3562,2)=LEFT('112'!$M$9,2),B3562&lt;'112'!$N$8,$L3562='112'!$I$6)),"x",""))</f>
        <v/>
      </c>
      <c r="T3562" s="52" t="str">
        <f>IF(ISERROR(FIND('112'!$M$9,G3562,1)),"",IF((AND(RIGHT(G3562,2)=RIGHT('112'!$M$9,2),B3562&lt;'112'!$N$8,$M3562='112'!$I$6)),"x",""))</f>
        <v/>
      </c>
      <c r="U3562" s="52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/>
      </c>
      <c r="AA3562" s="826"/>
    </row>
    <row r="3563" spans="1:27" ht="15.75" customHeight="1">
      <c r="A3563" s="827" t="str">
        <f>IF(B3563&lt;&gt;"",IF(AND(B3563&gt;=_TM1,B3563&lt;=_TM2,OR(TH!L3563="1111",TH!M3563="1111")),TH!D3563,""),"")</f>
        <v/>
      </c>
      <c r="B3563" s="876">
        <f t="shared" si="473"/>
        <v>6</v>
      </c>
      <c r="C3563" s="877">
        <f t="shared" si="471"/>
        <v>42550</v>
      </c>
      <c r="D3563" s="878" t="s">
        <v>1663</v>
      </c>
      <c r="E3563" s="912">
        <v>42550</v>
      </c>
      <c r="F3563" s="888" t="s">
        <v>451</v>
      </c>
      <c r="G3563" s="913" t="s">
        <v>795</v>
      </c>
      <c r="H3563" s="881" t="s">
        <v>1313</v>
      </c>
      <c r="I3563" s="882">
        <v>5</v>
      </c>
      <c r="J3563" s="882">
        <v>6907.8</v>
      </c>
      <c r="K3563" s="883">
        <f t="shared" si="474"/>
        <v>34539</v>
      </c>
      <c r="L3563" s="884" t="s">
        <v>857</v>
      </c>
      <c r="M3563" s="884" t="s">
        <v>160</v>
      </c>
      <c r="N3563" s="52" t="str">
        <f>IF(AND('331-CT'!$E$7=TH!H3563,OR(L3563="331",M3563="331")),"331",IF(AND(OR(L3563="131",M3563="131"),H3563='131-CT'!$E$7),"131",""))</f>
        <v/>
      </c>
      <c r="O3563" s="52" t="str">
        <f>IF(AND($B3563&gt;='111'!$N$11,$B3563&lt;='111'!$O$11,OR($L3563=$O$7,$M3563=$O$7)),"x","")</f>
        <v/>
      </c>
      <c r="P3563" s="52" t="str">
        <f>IF(AND($L3563=$O$7,$B3563&lt;'111'!$N$11),"x","")</f>
        <v/>
      </c>
      <c r="Q3563" s="52" t="str">
        <f>IF(AND($M3563=$O$7,$B3563&lt;'111'!$N$11),"x","")</f>
        <v/>
      </c>
      <c r="R3563" s="52" t="str">
        <f>IF(ISERROR(FIND('112'!$M$9,G3563,1)),"",IF((AND(FIND('112'!$M$9,G3563,1)&gt;=1,$B3563&gt;='112'!$N$8,$B3563&lt;='112'!$O$8,OR($L3563='112'!$I$6,$M3563='112'!$I$6))),"x",""))</f>
        <v/>
      </c>
      <c r="S3563" s="52" t="str">
        <f>IF(ISERROR(FIND('112'!$M$9,G3563,1)),"",IF((AND(LEFT(G3563,2)=LEFT('112'!$M$9,2),B3563&lt;'112'!$N$8,$L3563='112'!$I$6)),"x",""))</f>
        <v/>
      </c>
      <c r="T3563" s="52" t="str">
        <f>IF(ISERROR(FIND('112'!$M$9,G3563,1)),"",IF((AND(RIGHT(G3563,2)=RIGHT('112'!$M$9,2),B3563&lt;'112'!$N$8,$M3563='112'!$I$6)),"x",""))</f>
        <v/>
      </c>
      <c r="U3563" s="52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>x</v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/>
      </c>
      <c r="AA3563" s="826"/>
    </row>
    <row r="3564" spans="1:27" ht="15.75" customHeight="1">
      <c r="A3564" s="827" t="str">
        <f>IF(B3564&lt;&gt;"",IF(AND(B3564&gt;=_TM1,B3564&lt;=_TM2,OR(TH!L3564="1111",TH!M3564="1111")),TH!D3564,""),"")</f>
        <v/>
      </c>
      <c r="B3564" s="876">
        <f t="shared" si="473"/>
        <v>6</v>
      </c>
      <c r="C3564" s="877">
        <f t="shared" si="471"/>
        <v>42551</v>
      </c>
      <c r="D3564" s="878" t="s">
        <v>1663</v>
      </c>
      <c r="E3564" s="912">
        <v>42551</v>
      </c>
      <c r="F3564" s="891" t="s">
        <v>1305</v>
      </c>
      <c r="G3564" s="913" t="s">
        <v>798</v>
      </c>
      <c r="H3564" s="881" t="s">
        <v>1313</v>
      </c>
      <c r="I3564" s="882">
        <v>3</v>
      </c>
      <c r="J3564" s="882">
        <v>6668</v>
      </c>
      <c r="K3564" s="883">
        <f t="shared" si="474"/>
        <v>20004</v>
      </c>
      <c r="L3564" s="884" t="s">
        <v>857</v>
      </c>
      <c r="M3564" s="884" t="s">
        <v>160</v>
      </c>
      <c r="N3564" s="52" t="str">
        <f>IF(AND('331-CT'!$E$7=TH!H3564,OR(L3564="331",M3564="331")),"331",IF(AND(OR(L3564="131",M3564="131"),H3564='131-CT'!$E$7),"131",""))</f>
        <v/>
      </c>
      <c r="O3564" s="52" t="str">
        <f>IF(AND($B3564&gt;='111'!$N$11,$B3564&lt;='111'!$O$11,OR($L3564=$O$7,$M3564=$O$7)),"x","")</f>
        <v/>
      </c>
      <c r="P3564" s="52" t="str">
        <f>IF(AND($L3564=$O$7,$B3564&lt;'111'!$N$11),"x","")</f>
        <v/>
      </c>
      <c r="Q3564" s="52" t="str">
        <f>IF(AND($M3564=$O$7,$B3564&lt;'111'!$N$11),"x","")</f>
        <v/>
      </c>
      <c r="R3564" s="52" t="str">
        <f>IF(ISERROR(FIND('112'!$M$9,G3564,1)),"",IF((AND(FIND('112'!$M$9,G3564,1)&gt;=1,$B3564&gt;='112'!$N$8,$B3564&lt;='112'!$O$8,OR($L3564='112'!$I$6,$M3564='112'!$I$6))),"x",""))</f>
        <v/>
      </c>
      <c r="S3564" s="52" t="str">
        <f>IF(ISERROR(FIND('112'!$M$9,G3564,1)),"",IF((AND(LEFT(G3564,2)=LEFT('112'!$M$9,2),B3564&lt;'112'!$N$8,$L3564='112'!$I$6)),"x",""))</f>
        <v/>
      </c>
      <c r="T3564" s="52" t="str">
        <f>IF(ISERROR(FIND('112'!$M$9,G3564,1)),"",IF((AND(RIGHT(G3564,2)=RIGHT('112'!$M$9,2),B3564&lt;'112'!$N$8,$M3564='112'!$I$6)),"x",""))</f>
        <v/>
      </c>
      <c r="U3564" s="52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/>
      </c>
      <c r="AA3564" s="826"/>
    </row>
    <row r="3565" spans="1:27" ht="15.75" customHeight="1">
      <c r="A3565" s="827" t="str">
        <f>IF(B3565&lt;&gt;"",IF(AND(B3565&gt;=_TM1,B3565&lt;=_TM2,OR(TH!L3565="1111",TH!M3565="1111")),TH!D3565,""),"")</f>
        <v/>
      </c>
      <c r="B3565" s="876">
        <f t="shared" si="473"/>
        <v>6</v>
      </c>
      <c r="C3565" s="877">
        <f t="shared" si="471"/>
        <v>42551</v>
      </c>
      <c r="D3565" s="878" t="s">
        <v>1663</v>
      </c>
      <c r="E3565" s="912">
        <v>42551</v>
      </c>
      <c r="F3565" s="891" t="s">
        <v>1306</v>
      </c>
      <c r="G3565" s="913" t="s">
        <v>798</v>
      </c>
      <c r="H3565" s="881" t="s">
        <v>1313</v>
      </c>
      <c r="I3565" s="882">
        <v>4</v>
      </c>
      <c r="J3565" s="882">
        <v>16383.5</v>
      </c>
      <c r="K3565" s="883">
        <f t="shared" si="474"/>
        <v>65534</v>
      </c>
      <c r="L3565" s="884" t="s">
        <v>857</v>
      </c>
      <c r="M3565" s="884" t="s">
        <v>160</v>
      </c>
      <c r="N3565" s="52" t="str">
        <f>IF(AND('331-CT'!$E$7=TH!H3565,OR(L3565="331",M3565="331")),"331",IF(AND(OR(L3565="131",M3565="131"),H3565='131-CT'!$E$7),"131",""))</f>
        <v/>
      </c>
      <c r="O3565" s="52" t="str">
        <f>IF(AND($B3565&gt;='111'!$N$11,$B3565&lt;='111'!$O$11,OR($L3565=$O$7,$M3565=$O$7)),"x","")</f>
        <v/>
      </c>
      <c r="P3565" s="52" t="str">
        <f>IF(AND($L3565=$O$7,$B3565&lt;'111'!$N$11),"x","")</f>
        <v/>
      </c>
      <c r="Q3565" s="52" t="str">
        <f>IF(AND($M3565=$O$7,$B3565&lt;'111'!$N$11),"x","")</f>
        <v/>
      </c>
      <c r="R3565" s="52" t="str">
        <f>IF(ISERROR(FIND('112'!$M$9,G3565,1)),"",IF((AND(FIND('112'!$M$9,G3565,1)&gt;=1,$B3565&gt;='112'!$N$8,$B3565&lt;='112'!$O$8,OR($L3565='112'!$I$6,$M3565='112'!$I$6))),"x",""))</f>
        <v/>
      </c>
      <c r="S3565" s="52" t="str">
        <f>IF(ISERROR(FIND('112'!$M$9,G3565,1)),"",IF((AND(LEFT(G3565,2)=LEFT('112'!$M$9,2),B3565&lt;'112'!$N$8,$L3565='112'!$I$6)),"x",""))</f>
        <v/>
      </c>
      <c r="T3565" s="52" t="str">
        <f>IF(ISERROR(FIND('112'!$M$9,G3565,1)),"",IF((AND(RIGHT(G3565,2)=RIGHT('112'!$M$9,2),B3565&lt;'112'!$N$8,$M3565='112'!$I$6)),"x",""))</f>
        <v/>
      </c>
      <c r="U3565" s="52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/>
      </c>
      <c r="AA3565" s="826"/>
    </row>
    <row r="3566" spans="1:27" ht="15.75" customHeight="1">
      <c r="A3566" s="827" t="str">
        <f>IF(B3566&lt;&gt;"",IF(AND(B3566&gt;=_TM1,B3566&lt;=_TM2,OR(TH!L3566="1111",TH!M3566="1111")),TH!D3566,""),"")</f>
        <v/>
      </c>
      <c r="B3566" s="876">
        <f t="shared" si="473"/>
        <v>6</v>
      </c>
      <c r="C3566" s="877">
        <f t="shared" si="471"/>
        <v>42551</v>
      </c>
      <c r="D3566" s="878" t="s">
        <v>1663</v>
      </c>
      <c r="E3566" s="912">
        <v>42551</v>
      </c>
      <c r="F3566" s="891" t="s">
        <v>1307</v>
      </c>
      <c r="G3566" s="913" t="s">
        <v>798</v>
      </c>
      <c r="H3566" s="881" t="s">
        <v>1313</v>
      </c>
      <c r="I3566" s="882">
        <v>5</v>
      </c>
      <c r="J3566" s="882">
        <v>193400.6</v>
      </c>
      <c r="K3566" s="883">
        <f t="shared" si="474"/>
        <v>967003</v>
      </c>
      <c r="L3566" s="884" t="s">
        <v>857</v>
      </c>
      <c r="M3566" s="884" t="s">
        <v>160</v>
      </c>
      <c r="N3566" s="52" t="str">
        <f>IF(AND('331-CT'!$E$7=TH!H3566,OR(L3566="331",M3566="331")),"331",IF(AND(OR(L3566="131",M3566="131"),H3566='131-CT'!$E$7),"131",""))</f>
        <v/>
      </c>
      <c r="O3566" s="52" t="str">
        <f>IF(AND($B3566&gt;='111'!$N$11,$B3566&lt;='111'!$O$11,OR($L3566=$O$7,$M3566=$O$7)),"x","")</f>
        <v/>
      </c>
      <c r="P3566" s="52" t="str">
        <f>IF(AND($L3566=$O$7,$B3566&lt;'111'!$N$11),"x","")</f>
        <v/>
      </c>
      <c r="Q3566" s="52" t="str">
        <f>IF(AND($M3566=$O$7,$B3566&lt;'111'!$N$11),"x","")</f>
        <v/>
      </c>
      <c r="R3566" s="52" t="str">
        <f>IF(ISERROR(FIND('112'!$M$9,G3566,1)),"",IF((AND(FIND('112'!$M$9,G3566,1)&gt;=1,$B3566&gt;='112'!$N$8,$B3566&lt;='112'!$O$8,OR($L3566='112'!$I$6,$M3566='112'!$I$6))),"x",""))</f>
        <v/>
      </c>
      <c r="S3566" s="52" t="str">
        <f>IF(ISERROR(FIND('112'!$M$9,G3566,1)),"",IF((AND(LEFT(G3566,2)=LEFT('112'!$M$9,2),B3566&lt;'112'!$N$8,$L3566='112'!$I$6)),"x",""))</f>
        <v/>
      </c>
      <c r="T3566" s="52" t="str">
        <f>IF(ISERROR(FIND('112'!$M$9,G3566,1)),"",IF((AND(RIGHT(G3566,2)=RIGHT('112'!$M$9,2),B3566&lt;'112'!$N$8,$M3566='112'!$I$6)),"x",""))</f>
        <v/>
      </c>
      <c r="U3566" s="52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/>
      </c>
      <c r="AA3566" s="826"/>
    </row>
    <row r="3567" spans="1:27" ht="15.75" customHeight="1">
      <c r="A3567" s="827" t="str">
        <f>IF(B3567&lt;&gt;"",IF(AND(B3567&gt;=_TM1,B3567&lt;=_TM2,OR(TH!L3567="1111",TH!M3567="1111")),TH!D3567,""),"")</f>
        <v/>
      </c>
      <c r="B3567" s="876">
        <f t="shared" si="473"/>
        <v>6</v>
      </c>
      <c r="C3567" s="877">
        <f t="shared" si="471"/>
        <v>42551</v>
      </c>
      <c r="D3567" s="878" t="s">
        <v>1663</v>
      </c>
      <c r="E3567" s="912">
        <v>42551</v>
      </c>
      <c r="F3567" s="888" t="s">
        <v>1308</v>
      </c>
      <c r="G3567" s="913" t="s">
        <v>798</v>
      </c>
      <c r="H3567" s="881" t="s">
        <v>1313</v>
      </c>
      <c r="I3567" s="882">
        <v>25</v>
      </c>
      <c r="J3567" s="882">
        <v>25066.6</v>
      </c>
      <c r="K3567" s="883">
        <f t="shared" si="474"/>
        <v>626665</v>
      </c>
      <c r="L3567" s="884" t="s">
        <v>857</v>
      </c>
      <c r="M3567" s="884" t="s">
        <v>160</v>
      </c>
      <c r="N3567" s="52" t="str">
        <f>IF(AND('331-CT'!$E$7=TH!H3567,OR(L3567="331",M3567="331")),"331",IF(AND(OR(L3567="131",M3567="131"),H3567='131-CT'!$E$7),"131",""))</f>
        <v/>
      </c>
      <c r="O3567" s="52" t="str">
        <f>IF(AND($B3567&gt;='111'!$N$11,$B3567&lt;='111'!$O$11,OR($L3567=$O$7,$M3567=$O$7)),"x","")</f>
        <v/>
      </c>
      <c r="P3567" s="52" t="str">
        <f>IF(AND($L3567=$O$7,$B3567&lt;'111'!$N$11),"x","")</f>
        <v/>
      </c>
      <c r="Q3567" s="52" t="str">
        <f>IF(AND($M3567=$O$7,$B3567&lt;'111'!$N$11),"x","")</f>
        <v/>
      </c>
      <c r="R3567" s="52" t="str">
        <f>IF(ISERROR(FIND('112'!$M$9,G3567,1)),"",IF((AND(FIND('112'!$M$9,G3567,1)&gt;=1,$B3567&gt;='112'!$N$8,$B3567&lt;='112'!$O$8,OR($L3567='112'!$I$6,$M3567='112'!$I$6))),"x",""))</f>
        <v/>
      </c>
      <c r="S3567" s="52" t="str">
        <f>IF(ISERROR(FIND('112'!$M$9,G3567,1)),"",IF((AND(LEFT(G3567,2)=LEFT('112'!$M$9,2),B3567&lt;'112'!$N$8,$L3567='112'!$I$6)),"x",""))</f>
        <v/>
      </c>
      <c r="T3567" s="52" t="str">
        <f>IF(ISERROR(FIND('112'!$M$9,G3567,1)),"",IF((AND(RIGHT(G3567,2)=RIGHT('112'!$M$9,2),B3567&lt;'112'!$N$8,$M3567='112'!$I$6)),"x",""))</f>
        <v/>
      </c>
      <c r="U3567" s="52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/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/>
      </c>
      <c r="AA3567" s="826"/>
    </row>
    <row r="3568" spans="1:27" ht="15.75" customHeight="1">
      <c r="A3568" s="827" t="str">
        <f>IF(B3568&lt;&gt;"",IF(AND(B3568&gt;=_TM1,B3568&lt;=_TM2,OR(TH!L3568="1111",TH!M3568="1111")),TH!D3568,""),"")</f>
        <v/>
      </c>
      <c r="B3568" s="876">
        <f t="shared" si="473"/>
        <v>6</v>
      </c>
      <c r="C3568" s="877">
        <f t="shared" si="471"/>
        <v>42551</v>
      </c>
      <c r="D3568" s="878" t="s">
        <v>1663</v>
      </c>
      <c r="E3568" s="912">
        <v>42551</v>
      </c>
      <c r="F3568" s="891" t="s">
        <v>1178</v>
      </c>
      <c r="G3568" s="913" t="s">
        <v>798</v>
      </c>
      <c r="H3568" s="881" t="s">
        <v>1313</v>
      </c>
      <c r="I3568" s="882">
        <v>375</v>
      </c>
      <c r="J3568" s="882">
        <v>33135.994666666666</v>
      </c>
      <c r="K3568" s="883">
        <f t="shared" si="474"/>
        <v>12425998</v>
      </c>
      <c r="L3568" s="884" t="s">
        <v>857</v>
      </c>
      <c r="M3568" s="884" t="s">
        <v>160</v>
      </c>
      <c r="N3568" s="52" t="str">
        <f>IF(AND('331-CT'!$E$7=TH!H3568,OR(L3568="331",M3568="331")),"331",IF(AND(OR(L3568="131",M3568="131"),H3568='131-CT'!$E$7),"131",""))</f>
        <v/>
      </c>
      <c r="O3568" s="52" t="str">
        <f>IF(AND($B3568&gt;='111'!$N$11,$B3568&lt;='111'!$O$11,OR($L3568=$O$7,$M3568=$O$7)),"x","")</f>
        <v/>
      </c>
      <c r="P3568" s="52" t="str">
        <f>IF(AND($L3568=$O$7,$B3568&lt;'111'!$N$11),"x","")</f>
        <v/>
      </c>
      <c r="Q3568" s="52" t="str">
        <f>IF(AND($M3568=$O$7,$B3568&lt;'111'!$N$11),"x","")</f>
        <v/>
      </c>
      <c r="R3568" s="52" t="str">
        <f>IF(ISERROR(FIND('112'!$M$9,G3568,1)),"",IF((AND(FIND('112'!$M$9,G3568,1)&gt;=1,$B3568&gt;='112'!$N$8,$B3568&lt;='112'!$O$8,OR($L3568='112'!$I$6,$M3568='112'!$I$6))),"x",""))</f>
        <v/>
      </c>
      <c r="S3568" s="52" t="str">
        <f>IF(ISERROR(FIND('112'!$M$9,G3568,1)),"",IF((AND(LEFT(G3568,2)=LEFT('112'!$M$9,2),B3568&lt;'112'!$N$8,$L3568='112'!$I$6)),"x",""))</f>
        <v/>
      </c>
      <c r="T3568" s="52" t="str">
        <f>IF(ISERROR(FIND('112'!$M$9,G3568,1)),"",IF((AND(RIGHT(G3568,2)=RIGHT('112'!$M$9,2),B3568&lt;'112'!$N$8,$M3568='112'!$I$6)),"x",""))</f>
        <v/>
      </c>
      <c r="U3568" s="52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/>
      </c>
      <c r="AA3568" s="826"/>
    </row>
    <row r="3569" spans="1:27" ht="15.75" customHeight="1">
      <c r="A3569" s="827" t="str">
        <f>IF(B3569&lt;&gt;"",IF(AND(B3569&gt;=_TM1,B3569&lt;=_TM2,OR(TH!L3569="1111",TH!M3569="1111")),TH!D3569,""),"")</f>
        <v/>
      </c>
      <c r="B3569" s="876">
        <f t="shared" si="473"/>
        <v>6</v>
      </c>
      <c r="C3569" s="877">
        <f t="shared" si="471"/>
        <v>42551</v>
      </c>
      <c r="D3569" s="878" t="s">
        <v>1663</v>
      </c>
      <c r="E3569" s="912">
        <v>42551</v>
      </c>
      <c r="F3569" s="891" t="s">
        <v>802</v>
      </c>
      <c r="G3569" s="913" t="s">
        <v>799</v>
      </c>
      <c r="H3569" s="881" t="s">
        <v>1313</v>
      </c>
      <c r="I3569" s="882">
        <v>1000</v>
      </c>
      <c r="J3569" s="882">
        <v>1369.5920000000001</v>
      </c>
      <c r="K3569" s="883">
        <f t="shared" si="474"/>
        <v>1369592</v>
      </c>
      <c r="L3569" s="884" t="s">
        <v>857</v>
      </c>
      <c r="M3569" s="884" t="s">
        <v>160</v>
      </c>
      <c r="N3569" s="52" t="str">
        <f>IF(AND('331-CT'!$E$7=TH!H3569,OR(L3569="331",M3569="331")),"331",IF(AND(OR(L3569="131",M3569="131"),H3569='131-CT'!$E$7),"131",""))</f>
        <v/>
      </c>
      <c r="O3569" s="52" t="str">
        <f>IF(AND($B3569&gt;='111'!$N$11,$B3569&lt;='111'!$O$11,OR($L3569=$O$7,$M3569=$O$7)),"x","")</f>
        <v/>
      </c>
      <c r="P3569" s="52" t="str">
        <f>IF(AND($L3569=$O$7,$B3569&lt;'111'!$N$11),"x","")</f>
        <v/>
      </c>
      <c r="Q3569" s="52" t="str">
        <f>IF(AND($M3569=$O$7,$B3569&lt;'111'!$N$11),"x","")</f>
        <v/>
      </c>
      <c r="R3569" s="52" t="str">
        <f>IF(ISERROR(FIND('112'!$M$9,G3569,1)),"",IF((AND(FIND('112'!$M$9,G3569,1)&gt;=1,$B3569&gt;='112'!$N$8,$B3569&lt;='112'!$O$8,OR($L3569='112'!$I$6,$M3569='112'!$I$6))),"x",""))</f>
        <v/>
      </c>
      <c r="S3569" s="52" t="str">
        <f>IF(ISERROR(FIND('112'!$M$9,G3569,1)),"",IF((AND(LEFT(G3569,2)=LEFT('112'!$M$9,2),B3569&lt;'112'!$N$8,$L3569='112'!$I$6)),"x",""))</f>
        <v/>
      </c>
      <c r="T3569" s="52" t="str">
        <f>IF(ISERROR(FIND('112'!$M$9,G3569,1)),"",IF((AND(RIGHT(G3569,2)=RIGHT('112'!$M$9,2),B3569&lt;'112'!$N$8,$M3569='112'!$I$6)),"x",""))</f>
        <v/>
      </c>
      <c r="U3569" s="52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/>
      </c>
      <c r="AA3569" s="826"/>
    </row>
    <row r="3570" spans="1:27" ht="15.75" customHeight="1">
      <c r="A3570" s="827" t="str">
        <f>IF(B3570&lt;&gt;"",IF(AND(B3570&gt;=_TM1,B3570&lt;=_TM2,OR(TH!L3570="1111",TH!M3570="1111")),TH!D3570,""),"")</f>
        <v/>
      </c>
      <c r="B3570" s="876">
        <f t="shared" si="473"/>
        <v>6</v>
      </c>
      <c r="C3570" s="877">
        <f t="shared" si="471"/>
        <v>42551</v>
      </c>
      <c r="D3570" s="878" t="s">
        <v>1663</v>
      </c>
      <c r="E3570" s="912">
        <v>42551</v>
      </c>
      <c r="F3570" s="914" t="s">
        <v>809</v>
      </c>
      <c r="G3570" s="913" t="s">
        <v>804</v>
      </c>
      <c r="H3570" s="881" t="s">
        <v>1313</v>
      </c>
      <c r="I3570" s="882">
        <v>112</v>
      </c>
      <c r="J3570" s="882">
        <v>48589.080357142855</v>
      </c>
      <c r="K3570" s="883">
        <f t="shared" si="474"/>
        <v>5441977</v>
      </c>
      <c r="L3570" s="884" t="s">
        <v>857</v>
      </c>
      <c r="M3570" s="884" t="s">
        <v>160</v>
      </c>
      <c r="N3570" s="52" t="str">
        <f>IF(AND('331-CT'!$E$7=TH!H3570,OR(L3570="331",M3570="331")),"331",IF(AND(OR(L3570="131",M3570="131"),H3570='131-CT'!$E$7),"131",""))</f>
        <v/>
      </c>
      <c r="O3570" s="52" t="str">
        <f>IF(AND($B3570&gt;='111'!$N$11,$B3570&lt;='111'!$O$11,OR($L3570=$O$7,$M3570=$O$7)),"x","")</f>
        <v/>
      </c>
      <c r="P3570" s="52" t="str">
        <f>IF(AND($L3570=$O$7,$B3570&lt;'111'!$N$11),"x","")</f>
        <v/>
      </c>
      <c r="Q3570" s="52" t="str">
        <f>IF(AND($M3570=$O$7,$B3570&lt;'111'!$N$11),"x","")</f>
        <v/>
      </c>
      <c r="R3570" s="52" t="str">
        <f>IF(ISERROR(FIND('112'!$M$9,G3570,1)),"",IF((AND(FIND('112'!$M$9,G3570,1)&gt;=1,$B3570&gt;='112'!$N$8,$B3570&lt;='112'!$O$8,OR($L3570='112'!$I$6,$M3570='112'!$I$6))),"x",""))</f>
        <v/>
      </c>
      <c r="S3570" s="52" t="str">
        <f>IF(ISERROR(FIND('112'!$M$9,G3570,1)),"",IF((AND(LEFT(G3570,2)=LEFT('112'!$M$9,2),B3570&lt;'112'!$N$8,$L3570='112'!$I$6)),"x",""))</f>
        <v/>
      </c>
      <c r="T3570" s="52" t="str">
        <f>IF(ISERROR(FIND('112'!$M$9,G3570,1)),"",IF((AND(RIGHT(G3570,2)=RIGHT('112'!$M$9,2),B3570&lt;'112'!$N$8,$M3570='112'!$I$6)),"x",""))</f>
        <v/>
      </c>
      <c r="U3570" s="52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/>
      </c>
      <c r="AA3570" s="826"/>
    </row>
    <row r="3571" spans="1:27" ht="15.75" customHeight="1">
      <c r="A3571" s="827" t="str">
        <f>IF(B3571&lt;&gt;"",IF(AND(B3571&gt;=_TM1,B3571&lt;=_TM2,OR(TH!L3571="1111",TH!M3571="1111")),TH!D3571,""),"")</f>
        <v/>
      </c>
      <c r="B3571" s="876">
        <f t="shared" si="473"/>
        <v>4</v>
      </c>
      <c r="C3571" s="877">
        <f t="shared" si="471"/>
        <v>42464</v>
      </c>
      <c r="D3571" s="878" t="s">
        <v>1663</v>
      </c>
      <c r="E3571" s="912">
        <v>42464</v>
      </c>
      <c r="F3571" s="888" t="s">
        <v>627</v>
      </c>
      <c r="G3571" s="913" t="s">
        <v>629</v>
      </c>
      <c r="H3571" s="881" t="s">
        <v>1313</v>
      </c>
      <c r="I3571" s="882">
        <v>995</v>
      </c>
      <c r="J3571" s="882">
        <v>6790.0994974874375</v>
      </c>
      <c r="K3571" s="883">
        <f t="shared" si="474"/>
        <v>6756149</v>
      </c>
      <c r="L3571" s="884" t="s">
        <v>857</v>
      </c>
      <c r="M3571" s="884" t="s">
        <v>160</v>
      </c>
      <c r="N3571" s="52" t="str">
        <f>IF(AND('331-CT'!$E$7=TH!H3571,OR(L3571="331",M3571="331")),"331",IF(AND(OR(L3571="131",M3571="131"),H3571='131-CT'!$E$7),"131",""))</f>
        <v/>
      </c>
      <c r="O3571" s="52" t="str">
        <f>IF(AND($B3571&gt;='111'!$N$11,$B3571&lt;='111'!$O$11,OR($L3571=$O$7,$M3571=$O$7)),"x","")</f>
        <v/>
      </c>
      <c r="P3571" s="52" t="str">
        <f>IF(AND($L3571=$O$7,$B3571&lt;'111'!$N$11),"x","")</f>
        <v/>
      </c>
      <c r="Q3571" s="52" t="str">
        <f>IF(AND($M3571=$O$7,$B3571&lt;'111'!$N$11),"x","")</f>
        <v/>
      </c>
      <c r="R3571" s="52" t="str">
        <f>IF(ISERROR(FIND('112'!$M$9,G3571,1)),"",IF((AND(FIND('112'!$M$9,G3571,1)&gt;=1,$B3571&gt;='112'!$N$8,$B3571&lt;='112'!$O$8,OR($L3571='112'!$I$6,$M3571='112'!$I$6))),"x",""))</f>
        <v/>
      </c>
      <c r="S3571" s="52" t="str">
        <f>IF(ISERROR(FIND('112'!$M$9,G3571,1)),"",IF((AND(LEFT(G3571,2)=LEFT('112'!$M$9,2),B3571&lt;'112'!$N$8,$L3571='112'!$I$6)),"x",""))</f>
        <v/>
      </c>
      <c r="T3571" s="52" t="str">
        <f>IF(ISERROR(FIND('112'!$M$9,G3571,1)),"",IF((AND(RIGHT(G3571,2)=RIGHT('112'!$M$9,2),B3571&lt;'112'!$N$8,$M3571='112'!$I$6)),"x",""))</f>
        <v/>
      </c>
      <c r="U3571" s="52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/>
      </c>
      <c r="AA3571" s="826"/>
    </row>
    <row r="3572" spans="1:27" ht="15.75" customHeight="1">
      <c r="A3572" s="827" t="str">
        <f>IF(B3572&lt;&gt;"",IF(AND(B3572&gt;=_TM1,B3572&lt;=_TM2,OR(TH!L3572="1111",TH!M3572="1111")),TH!D3572,""),"")</f>
        <v/>
      </c>
      <c r="B3572" s="876">
        <f t="shared" si="473"/>
        <v>4</v>
      </c>
      <c r="C3572" s="877">
        <f t="shared" si="471"/>
        <v>42466</v>
      </c>
      <c r="D3572" s="878" t="s">
        <v>1663</v>
      </c>
      <c r="E3572" s="912">
        <v>42466</v>
      </c>
      <c r="F3572" s="891" t="s">
        <v>637</v>
      </c>
      <c r="G3572" s="913" t="s">
        <v>635</v>
      </c>
      <c r="H3572" s="881" t="s">
        <v>1313</v>
      </c>
      <c r="I3572" s="882">
        <v>254</v>
      </c>
      <c r="J3572" s="882">
        <v>6772.6377952755902</v>
      </c>
      <c r="K3572" s="883">
        <f t="shared" si="474"/>
        <v>1720250</v>
      </c>
      <c r="L3572" s="884" t="s">
        <v>857</v>
      </c>
      <c r="M3572" s="884" t="s">
        <v>160</v>
      </c>
      <c r="N3572" s="52" t="str">
        <f>IF(AND('331-CT'!$E$7=TH!H3572,OR(L3572="331",M3572="331")),"331",IF(AND(OR(L3572="131",M3572="131"),H3572='131-CT'!$E$7),"131",""))</f>
        <v/>
      </c>
      <c r="O3572" s="52" t="str">
        <f>IF(AND($B3572&gt;='111'!$N$11,$B3572&lt;='111'!$O$11,OR($L3572=$O$7,$M3572=$O$7)),"x","")</f>
        <v/>
      </c>
      <c r="P3572" s="52" t="str">
        <f>IF(AND($L3572=$O$7,$B3572&lt;'111'!$N$11),"x","")</f>
        <v/>
      </c>
      <c r="Q3572" s="52" t="str">
        <f>IF(AND($M3572=$O$7,$B3572&lt;'111'!$N$11),"x","")</f>
        <v/>
      </c>
      <c r="R3572" s="52" t="str">
        <f>IF(ISERROR(FIND('112'!$M$9,G3572,1)),"",IF((AND(FIND('112'!$M$9,G3572,1)&gt;=1,$B3572&gt;='112'!$N$8,$B3572&lt;='112'!$O$8,OR($L3572='112'!$I$6,$M3572='112'!$I$6))),"x",""))</f>
        <v/>
      </c>
      <c r="S3572" s="52" t="str">
        <f>IF(ISERROR(FIND('112'!$M$9,G3572,1)),"",IF((AND(LEFT(G3572,2)=LEFT('112'!$M$9,2),B3572&lt;'112'!$N$8,$L3572='112'!$I$6)),"x",""))</f>
        <v/>
      </c>
      <c r="T3572" s="52" t="str">
        <f>IF(ISERROR(FIND('112'!$M$9,G3572,1)),"",IF((AND(RIGHT(G3572,2)=RIGHT('112'!$M$9,2),B3572&lt;'112'!$N$8,$M3572='112'!$I$6)),"x",""))</f>
        <v/>
      </c>
      <c r="U3572" s="52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/>
      </c>
      <c r="AA3572" s="826"/>
    </row>
    <row r="3573" spans="1:27" ht="15.75" customHeight="1">
      <c r="A3573" s="827" t="str">
        <f>IF(B3573&lt;&gt;"",IF(AND(B3573&gt;=_TM1,B3573&lt;=_TM2,OR(TH!L3573="1111",TH!M3573="1111")),TH!D3573,""),"")</f>
        <v/>
      </c>
      <c r="B3573" s="876">
        <f t="shared" si="473"/>
        <v>4</v>
      </c>
      <c r="C3573" s="877">
        <f t="shared" si="471"/>
        <v>42467</v>
      </c>
      <c r="D3573" s="878" t="s">
        <v>1663</v>
      </c>
      <c r="E3573" s="912">
        <v>42467</v>
      </c>
      <c r="F3573" s="888" t="s">
        <v>479</v>
      </c>
      <c r="G3573" s="913" t="s">
        <v>638</v>
      </c>
      <c r="H3573" s="881" t="s">
        <v>1313</v>
      </c>
      <c r="I3573" s="882">
        <v>300</v>
      </c>
      <c r="J3573" s="882">
        <v>8211.7066666666669</v>
      </c>
      <c r="K3573" s="883">
        <f t="shared" si="474"/>
        <v>2463512</v>
      </c>
      <c r="L3573" s="884" t="s">
        <v>857</v>
      </c>
      <c r="M3573" s="884" t="s">
        <v>160</v>
      </c>
      <c r="N3573" s="52" t="str">
        <f>IF(AND('331-CT'!$E$7=TH!H3573,OR(L3573="331",M3573="331")),"331",IF(AND(OR(L3573="131",M3573="131"),H3573='131-CT'!$E$7),"131",""))</f>
        <v/>
      </c>
      <c r="O3573" s="52" t="str">
        <f>IF(AND($B3573&gt;='111'!$N$11,$B3573&lt;='111'!$O$11,OR($L3573=$O$7,$M3573=$O$7)),"x","")</f>
        <v/>
      </c>
      <c r="P3573" s="52" t="str">
        <f>IF(AND($L3573=$O$7,$B3573&lt;'111'!$N$11),"x","")</f>
        <v/>
      </c>
      <c r="Q3573" s="52" t="str">
        <f>IF(AND($M3573=$O$7,$B3573&lt;'111'!$N$11),"x","")</f>
        <v/>
      </c>
      <c r="R3573" s="52" t="str">
        <f>IF(ISERROR(FIND('112'!$M$9,G3573,1)),"",IF((AND(FIND('112'!$M$9,G3573,1)&gt;=1,$B3573&gt;='112'!$N$8,$B3573&lt;='112'!$O$8,OR($L3573='112'!$I$6,$M3573='112'!$I$6))),"x",""))</f>
        <v/>
      </c>
      <c r="S3573" s="52" t="str">
        <f>IF(ISERROR(FIND('112'!$M$9,G3573,1)),"",IF((AND(LEFT(G3573,2)=LEFT('112'!$M$9,2),B3573&lt;'112'!$N$8,$L3573='112'!$I$6)),"x",""))</f>
        <v/>
      </c>
      <c r="T3573" s="52" t="str">
        <f>IF(ISERROR(FIND('112'!$M$9,G3573,1)),"",IF((AND(RIGHT(G3573,2)=RIGHT('112'!$M$9,2),B3573&lt;'112'!$N$8,$M3573='112'!$I$6)),"x",""))</f>
        <v/>
      </c>
      <c r="U3573" s="52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/>
      </c>
      <c r="AA3573" s="826"/>
    </row>
    <row r="3574" spans="1:27" ht="15.75" customHeight="1">
      <c r="A3574" s="827" t="str">
        <f>IF(B3574&lt;&gt;"",IF(AND(B3574&gt;=_TM1,B3574&lt;=_TM2,OR(TH!L3574="1111",TH!M3574="1111")),TH!D3574,""),"")</f>
        <v/>
      </c>
      <c r="B3574" s="876">
        <f t="shared" si="473"/>
        <v>4</v>
      </c>
      <c r="C3574" s="877">
        <f t="shared" si="471"/>
        <v>42480</v>
      </c>
      <c r="D3574" s="878" t="s">
        <v>1663</v>
      </c>
      <c r="E3574" s="912">
        <v>42480</v>
      </c>
      <c r="F3574" s="891" t="s">
        <v>572</v>
      </c>
      <c r="G3574" s="913" t="s">
        <v>650</v>
      </c>
      <c r="H3574" s="881" t="s">
        <v>1313</v>
      </c>
      <c r="I3574" s="882">
        <v>500</v>
      </c>
      <c r="J3574" s="882">
        <v>12379.814</v>
      </c>
      <c r="K3574" s="883">
        <f t="shared" si="474"/>
        <v>6189907</v>
      </c>
      <c r="L3574" s="884" t="s">
        <v>857</v>
      </c>
      <c r="M3574" s="884" t="s">
        <v>160</v>
      </c>
      <c r="N3574" s="52" t="str">
        <f>IF(AND('331-CT'!$E$7=TH!H3574,OR(L3574="331",M3574="331")),"331",IF(AND(OR(L3574="131",M3574="131"),H3574='131-CT'!$E$7),"131",""))</f>
        <v/>
      </c>
      <c r="O3574" s="52" t="str">
        <f>IF(AND($B3574&gt;='111'!$N$11,$B3574&lt;='111'!$O$11,OR($L3574=$O$7,$M3574=$O$7)),"x","")</f>
        <v/>
      </c>
      <c r="P3574" s="52" t="str">
        <f>IF(AND($L3574=$O$7,$B3574&lt;'111'!$N$11),"x","")</f>
        <v/>
      </c>
      <c r="Q3574" s="52" t="str">
        <f>IF(AND($M3574=$O$7,$B3574&lt;'111'!$N$11),"x","")</f>
        <v/>
      </c>
      <c r="R3574" s="52" t="str">
        <f>IF(ISERROR(FIND('112'!$M$9,G3574,1)),"",IF((AND(FIND('112'!$M$9,G3574,1)&gt;=1,$B3574&gt;='112'!$N$8,$B3574&lt;='112'!$O$8,OR($L3574='112'!$I$6,$M3574='112'!$I$6))),"x",""))</f>
        <v/>
      </c>
      <c r="S3574" s="52" t="str">
        <f>IF(ISERROR(FIND('112'!$M$9,G3574,1)),"",IF((AND(LEFT(G3574,2)=LEFT('112'!$M$9,2),B3574&lt;'112'!$N$8,$L3574='112'!$I$6)),"x",""))</f>
        <v/>
      </c>
      <c r="T3574" s="52" t="str">
        <f>IF(ISERROR(FIND('112'!$M$9,G3574,1)),"",IF((AND(RIGHT(G3574,2)=RIGHT('112'!$M$9,2),B3574&lt;'112'!$N$8,$M3574='112'!$I$6)),"x",""))</f>
        <v/>
      </c>
      <c r="U3574" s="52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/>
      </c>
      <c r="AA3574" s="826"/>
    </row>
    <row r="3575" spans="1:27" ht="15.75" customHeight="1">
      <c r="A3575" s="827" t="str">
        <f>IF(B3575&lt;&gt;"",IF(AND(B3575&gt;=_TM1,B3575&lt;=_TM2,OR(TH!L3575="1111",TH!M3575="1111")),TH!D3575,""),"")</f>
        <v/>
      </c>
      <c r="B3575" s="876">
        <f t="shared" si="473"/>
        <v>4</v>
      </c>
      <c r="C3575" s="877">
        <f t="shared" si="471"/>
        <v>42481</v>
      </c>
      <c r="D3575" s="878" t="s">
        <v>1663</v>
      </c>
      <c r="E3575" s="912">
        <v>42481</v>
      </c>
      <c r="F3575" s="888" t="s">
        <v>659</v>
      </c>
      <c r="G3575" s="913" t="s">
        <v>657</v>
      </c>
      <c r="H3575" s="881" t="s">
        <v>1313</v>
      </c>
      <c r="I3575" s="882">
        <v>1000</v>
      </c>
      <c r="J3575" s="882">
        <v>9724.7080000000005</v>
      </c>
      <c r="K3575" s="883">
        <f t="shared" si="474"/>
        <v>9724708</v>
      </c>
      <c r="L3575" s="884" t="s">
        <v>857</v>
      </c>
      <c r="M3575" s="884" t="s">
        <v>160</v>
      </c>
      <c r="N3575" s="52" t="str">
        <f>IF(AND('331-CT'!$E$7=TH!H3575,OR(L3575="331",M3575="331")),"331",IF(AND(OR(L3575="131",M3575="131"),H3575='131-CT'!$E$7),"131",""))</f>
        <v/>
      </c>
      <c r="O3575" s="52" t="str">
        <f>IF(AND($B3575&gt;='111'!$N$11,$B3575&lt;='111'!$O$11,OR($L3575=$O$7,$M3575=$O$7)),"x","")</f>
        <v/>
      </c>
      <c r="P3575" s="52" t="str">
        <f>IF(AND($L3575=$O$7,$B3575&lt;'111'!$N$11),"x","")</f>
        <v/>
      </c>
      <c r="Q3575" s="52" t="str">
        <f>IF(AND($M3575=$O$7,$B3575&lt;'111'!$N$11),"x","")</f>
        <v/>
      </c>
      <c r="R3575" s="52" t="str">
        <f>IF(ISERROR(FIND('112'!$M$9,G3575,1)),"",IF((AND(FIND('112'!$M$9,G3575,1)&gt;=1,$B3575&gt;='112'!$N$8,$B3575&lt;='112'!$O$8,OR($L3575='112'!$I$6,$M3575='112'!$I$6))),"x",""))</f>
        <v/>
      </c>
      <c r="S3575" s="52" t="str">
        <f>IF(ISERROR(FIND('112'!$M$9,G3575,1)),"",IF((AND(LEFT(G3575,2)=LEFT('112'!$M$9,2),B3575&lt;'112'!$N$8,$L3575='112'!$I$6)),"x",""))</f>
        <v/>
      </c>
      <c r="T3575" s="52" t="str">
        <f>IF(ISERROR(FIND('112'!$M$9,G3575,1)),"",IF((AND(RIGHT(G3575,2)=RIGHT('112'!$M$9,2),B3575&lt;'112'!$N$8,$M3575='112'!$I$6)),"x",""))</f>
        <v/>
      </c>
      <c r="U3575" s="52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/>
      </c>
      <c r="AA3575" s="826"/>
    </row>
    <row r="3576" spans="1:27" ht="15.75" customHeight="1">
      <c r="A3576" s="827" t="str">
        <f>IF(B3576&lt;&gt;"",IF(AND(B3576&gt;=_TM1,B3576&lt;=_TM2,OR(TH!L3576="1111",TH!M3576="1111")),TH!D3576,""),"")</f>
        <v/>
      </c>
      <c r="B3576" s="876">
        <f t="shared" si="473"/>
        <v>4</v>
      </c>
      <c r="C3576" s="877">
        <f t="shared" si="471"/>
        <v>42485</v>
      </c>
      <c r="D3576" s="878" t="s">
        <v>1663</v>
      </c>
      <c r="E3576" s="912">
        <v>42485</v>
      </c>
      <c r="F3576" s="891" t="s">
        <v>1178</v>
      </c>
      <c r="G3576" s="913" t="s">
        <v>661</v>
      </c>
      <c r="H3576" s="881" t="s">
        <v>1313</v>
      </c>
      <c r="I3576" s="882">
        <v>1000</v>
      </c>
      <c r="J3576" s="882">
        <v>32249.196</v>
      </c>
      <c r="K3576" s="883">
        <f t="shared" si="474"/>
        <v>32249196</v>
      </c>
      <c r="L3576" s="884" t="s">
        <v>857</v>
      </c>
      <c r="M3576" s="884" t="s">
        <v>160</v>
      </c>
      <c r="N3576" s="52" t="str">
        <f>IF(AND('331-CT'!$E$7=TH!H3576,OR(L3576="331",M3576="331")),"331",IF(AND(OR(L3576="131",M3576="131"),H3576='131-CT'!$E$7),"131",""))</f>
        <v/>
      </c>
      <c r="O3576" s="52" t="str">
        <f>IF(AND($B3576&gt;='111'!$N$11,$B3576&lt;='111'!$O$11,OR($L3576=$O$7,$M3576=$O$7)),"x","")</f>
        <v/>
      </c>
      <c r="P3576" s="52" t="str">
        <f>IF(AND($L3576=$O$7,$B3576&lt;'111'!$N$11),"x","")</f>
        <v/>
      </c>
      <c r="Q3576" s="52" t="str">
        <f>IF(AND($M3576=$O$7,$B3576&lt;'111'!$N$11),"x","")</f>
        <v/>
      </c>
      <c r="R3576" s="52" t="str">
        <f>IF(ISERROR(FIND('112'!$M$9,G3576,1)),"",IF((AND(FIND('112'!$M$9,G3576,1)&gt;=1,$B3576&gt;='112'!$N$8,$B3576&lt;='112'!$O$8,OR($L3576='112'!$I$6,$M3576='112'!$I$6))),"x",""))</f>
        <v/>
      </c>
      <c r="S3576" s="52" t="str">
        <f>IF(ISERROR(FIND('112'!$M$9,G3576,1)),"",IF((AND(LEFT(G3576,2)=LEFT('112'!$M$9,2),B3576&lt;'112'!$N$8,$L3576='112'!$I$6)),"x",""))</f>
        <v/>
      </c>
      <c r="T3576" s="52" t="str">
        <f>IF(ISERROR(FIND('112'!$M$9,G3576,1)),"",IF((AND(RIGHT(G3576,2)=RIGHT('112'!$M$9,2),B3576&lt;'112'!$N$8,$M3576='112'!$I$6)),"x",""))</f>
        <v/>
      </c>
      <c r="U3576" s="52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/>
      </c>
      <c r="AA3576" s="826"/>
    </row>
    <row r="3577" spans="1:27" ht="15.75" customHeight="1">
      <c r="A3577" s="827" t="str">
        <f>IF(B3577&lt;&gt;"",IF(AND(B3577&gt;=_TM1,B3577&lt;=_TM2,OR(TH!L3577="1111",TH!M3577="1111")),TH!D3577,""),"")</f>
        <v/>
      </c>
      <c r="B3577" s="876">
        <f t="shared" si="473"/>
        <v>4</v>
      </c>
      <c r="C3577" s="877">
        <f t="shared" si="471"/>
        <v>42485</v>
      </c>
      <c r="D3577" s="878" t="s">
        <v>1663</v>
      </c>
      <c r="E3577" s="912">
        <v>42485</v>
      </c>
      <c r="F3577" s="888" t="s">
        <v>1179</v>
      </c>
      <c r="G3577" s="913" t="s">
        <v>661</v>
      </c>
      <c r="H3577" s="881" t="s">
        <v>1313</v>
      </c>
      <c r="I3577" s="882">
        <v>1100</v>
      </c>
      <c r="J3577" s="882">
        <v>31845.439090909091</v>
      </c>
      <c r="K3577" s="883">
        <f t="shared" si="474"/>
        <v>35029983</v>
      </c>
      <c r="L3577" s="884" t="s">
        <v>857</v>
      </c>
      <c r="M3577" s="884" t="s">
        <v>160</v>
      </c>
      <c r="N3577" s="52" t="str">
        <f>IF(AND('331-CT'!$E$7=TH!H3577,OR(L3577="331",M3577="331")),"331",IF(AND(OR(L3577="131",M3577="131"),H3577='131-CT'!$E$7),"131",""))</f>
        <v/>
      </c>
      <c r="O3577" s="52" t="str">
        <f>IF(AND($B3577&gt;='111'!$N$11,$B3577&lt;='111'!$O$11,OR($L3577=$O$7,$M3577=$O$7)),"x","")</f>
        <v/>
      </c>
      <c r="P3577" s="52" t="str">
        <f>IF(AND($L3577=$O$7,$B3577&lt;'111'!$N$11),"x","")</f>
        <v/>
      </c>
      <c r="Q3577" s="52" t="str">
        <f>IF(AND($M3577=$O$7,$B3577&lt;'111'!$N$11),"x","")</f>
        <v/>
      </c>
      <c r="R3577" s="52" t="str">
        <f>IF(ISERROR(FIND('112'!$M$9,G3577,1)),"",IF((AND(FIND('112'!$M$9,G3577,1)&gt;=1,$B3577&gt;='112'!$N$8,$B3577&lt;='112'!$O$8,OR($L3577='112'!$I$6,$M3577='112'!$I$6))),"x",""))</f>
        <v/>
      </c>
      <c r="S3577" s="52" t="str">
        <f>IF(ISERROR(FIND('112'!$M$9,G3577,1)),"",IF((AND(LEFT(G3577,2)=LEFT('112'!$M$9,2),B3577&lt;'112'!$N$8,$L3577='112'!$I$6)),"x",""))</f>
        <v/>
      </c>
      <c r="T3577" s="52" t="str">
        <f>IF(ISERROR(FIND('112'!$M$9,G3577,1)),"",IF((AND(RIGHT(G3577,2)=RIGHT('112'!$M$9,2),B3577&lt;'112'!$N$8,$M3577='112'!$I$6)),"x",""))</f>
        <v/>
      </c>
      <c r="U3577" s="52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/>
      </c>
      <c r="AA3577" s="826"/>
    </row>
    <row r="3578" spans="1:27" ht="15.75" customHeight="1">
      <c r="A3578" s="827" t="str">
        <f>IF(B3578&lt;&gt;"",IF(AND(B3578&gt;=_TM1,B3578&lt;=_TM2,OR(TH!L3578="1111",TH!M3578="1111")),TH!D3578,""),"")</f>
        <v/>
      </c>
      <c r="B3578" s="876">
        <f t="shared" si="473"/>
        <v>4</v>
      </c>
      <c r="C3578" s="877">
        <f t="shared" si="471"/>
        <v>42489</v>
      </c>
      <c r="D3578" s="878" t="s">
        <v>1663</v>
      </c>
      <c r="E3578" s="912">
        <v>42489</v>
      </c>
      <c r="F3578" s="891" t="s">
        <v>536</v>
      </c>
      <c r="G3578" s="913" t="s">
        <v>669</v>
      </c>
      <c r="H3578" s="881" t="s">
        <v>1313</v>
      </c>
      <c r="I3578" s="882">
        <v>50</v>
      </c>
      <c r="J3578" s="882">
        <v>59790.8</v>
      </c>
      <c r="K3578" s="883">
        <f t="shared" si="474"/>
        <v>2989540</v>
      </c>
      <c r="L3578" s="884" t="s">
        <v>857</v>
      </c>
      <c r="M3578" s="884" t="s">
        <v>160</v>
      </c>
      <c r="N3578" s="52" t="str">
        <f>IF(AND('331-CT'!$E$7=TH!H3578,OR(L3578="331",M3578="331")),"331",IF(AND(OR(L3578="131",M3578="131"),H3578='131-CT'!$E$7),"131",""))</f>
        <v/>
      </c>
      <c r="O3578" s="52" t="str">
        <f>IF(AND($B3578&gt;='111'!$N$11,$B3578&lt;='111'!$O$11,OR($L3578=$O$7,$M3578=$O$7)),"x","")</f>
        <v/>
      </c>
      <c r="P3578" s="52" t="str">
        <f>IF(AND($L3578=$O$7,$B3578&lt;'111'!$N$11),"x","")</f>
        <v/>
      </c>
      <c r="Q3578" s="52" t="str">
        <f>IF(AND($M3578=$O$7,$B3578&lt;'111'!$N$11),"x","")</f>
        <v/>
      </c>
      <c r="R3578" s="52" t="str">
        <f>IF(ISERROR(FIND('112'!$M$9,G3578,1)),"",IF((AND(FIND('112'!$M$9,G3578,1)&gt;=1,$B3578&gt;='112'!$N$8,$B3578&lt;='112'!$O$8,OR($L3578='112'!$I$6,$M3578='112'!$I$6))),"x",""))</f>
        <v/>
      </c>
      <c r="S3578" s="52" t="str">
        <f>IF(ISERROR(FIND('112'!$M$9,G3578,1)),"",IF((AND(LEFT(G3578,2)=LEFT('112'!$M$9,2),B3578&lt;'112'!$N$8,$L3578='112'!$I$6)),"x",""))</f>
        <v/>
      </c>
      <c r="T3578" s="52" t="str">
        <f>IF(ISERROR(FIND('112'!$M$9,G3578,1)),"",IF((AND(RIGHT(G3578,2)=RIGHT('112'!$M$9,2),B3578&lt;'112'!$N$8,$M3578='112'!$I$6)),"x",""))</f>
        <v/>
      </c>
      <c r="U3578" s="52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/>
      </c>
      <c r="AA3578" s="826"/>
    </row>
    <row r="3579" spans="1:27" ht="15.75" customHeight="1">
      <c r="A3579" s="827" t="str">
        <f>IF(B3579&lt;&gt;"",IF(AND(B3579&gt;=_TM1,B3579&lt;=_TM2,OR(TH!L3579="1111",TH!M3579="1111")),TH!D3579,""),"")</f>
        <v/>
      </c>
      <c r="B3579" s="876">
        <f t="shared" si="473"/>
        <v>4</v>
      </c>
      <c r="C3579" s="877">
        <f t="shared" si="471"/>
        <v>42489</v>
      </c>
      <c r="D3579" s="878" t="s">
        <v>1663</v>
      </c>
      <c r="E3579" s="912">
        <v>42489</v>
      </c>
      <c r="F3579" s="891" t="s">
        <v>670</v>
      </c>
      <c r="G3579" s="913" t="s">
        <v>669</v>
      </c>
      <c r="H3579" s="881" t="s">
        <v>1313</v>
      </c>
      <c r="I3579" s="882">
        <v>23</v>
      </c>
      <c r="J3579" s="882">
        <v>128487.21739130435</v>
      </c>
      <c r="K3579" s="883">
        <f t="shared" si="474"/>
        <v>2955206</v>
      </c>
      <c r="L3579" s="884" t="s">
        <v>857</v>
      </c>
      <c r="M3579" s="884" t="s">
        <v>160</v>
      </c>
      <c r="N3579" s="52" t="str">
        <f>IF(AND('331-CT'!$E$7=TH!H3579,OR(L3579="331",M3579="331")),"331",IF(AND(OR(L3579="131",M3579="131"),H3579='131-CT'!$E$7),"131",""))</f>
        <v/>
      </c>
      <c r="O3579" s="52" t="str">
        <f>IF(AND($B3579&gt;='111'!$N$11,$B3579&lt;='111'!$O$11,OR($L3579=$O$7,$M3579=$O$7)),"x","")</f>
        <v/>
      </c>
      <c r="P3579" s="52" t="str">
        <f>IF(AND($L3579=$O$7,$B3579&lt;'111'!$N$11),"x","")</f>
        <v/>
      </c>
      <c r="Q3579" s="52" t="str">
        <f>IF(AND($M3579=$O$7,$B3579&lt;'111'!$N$11),"x","")</f>
        <v/>
      </c>
      <c r="R3579" s="52" t="str">
        <f>IF(ISERROR(FIND('112'!$M$9,G3579,1)),"",IF((AND(FIND('112'!$M$9,G3579,1)&gt;=1,$B3579&gt;='112'!$N$8,$B3579&lt;='112'!$O$8,OR($L3579='112'!$I$6,$M3579='112'!$I$6))),"x",""))</f>
        <v/>
      </c>
      <c r="S3579" s="52" t="str">
        <f>IF(ISERROR(FIND('112'!$M$9,G3579,1)),"",IF((AND(LEFT(G3579,2)=LEFT('112'!$M$9,2),B3579&lt;'112'!$N$8,$L3579='112'!$I$6)),"x",""))</f>
        <v/>
      </c>
      <c r="T3579" s="52" t="str">
        <f>IF(ISERROR(FIND('112'!$M$9,G3579,1)),"",IF((AND(RIGHT(G3579,2)=RIGHT('112'!$M$9,2),B3579&lt;'112'!$N$8,$M3579='112'!$I$6)),"x",""))</f>
        <v/>
      </c>
      <c r="U3579" s="52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/>
      </c>
      <c r="AA3579" s="826"/>
    </row>
    <row r="3580" spans="1:27" ht="15.75" customHeight="1">
      <c r="A3580" s="827" t="str">
        <f>IF(B3580&lt;&gt;"",IF(AND(B3580&gt;=_TM1,B3580&lt;=_TM2,OR(TH!L3580="1111",TH!M3580="1111")),TH!D3580,""),"")</f>
        <v/>
      </c>
      <c r="B3580" s="876">
        <f t="shared" si="473"/>
        <v>4</v>
      </c>
      <c r="C3580" s="877">
        <f t="shared" si="471"/>
        <v>42489</v>
      </c>
      <c r="D3580" s="878" t="s">
        <v>1663</v>
      </c>
      <c r="E3580" s="912">
        <v>42489</v>
      </c>
      <c r="F3580" s="888" t="s">
        <v>670</v>
      </c>
      <c r="G3580" s="913" t="s">
        <v>669</v>
      </c>
      <c r="H3580" s="881" t="s">
        <v>1313</v>
      </c>
      <c r="I3580" s="882">
        <v>8</v>
      </c>
      <c r="J3580" s="882">
        <v>123268.625</v>
      </c>
      <c r="K3580" s="883">
        <f t="shared" si="474"/>
        <v>986149</v>
      </c>
      <c r="L3580" s="884" t="s">
        <v>857</v>
      </c>
      <c r="M3580" s="884" t="s">
        <v>160</v>
      </c>
      <c r="N3580" s="52" t="str">
        <f>IF(AND('331-CT'!$E$7=TH!H3580,OR(L3580="331",M3580="331")),"331",IF(AND(OR(L3580="131",M3580="131"),H3580='131-CT'!$E$7),"131",""))</f>
        <v/>
      </c>
      <c r="O3580" s="52" t="str">
        <f>IF(AND($B3580&gt;='111'!$N$11,$B3580&lt;='111'!$O$11,OR($L3580=$O$7,$M3580=$O$7)),"x","")</f>
        <v/>
      </c>
      <c r="P3580" s="52" t="str">
        <f>IF(AND($L3580=$O$7,$B3580&lt;'111'!$N$11),"x","")</f>
        <v/>
      </c>
      <c r="Q3580" s="52" t="str">
        <f>IF(AND($M3580=$O$7,$B3580&lt;'111'!$N$11),"x","")</f>
        <v/>
      </c>
      <c r="R3580" s="52" t="str">
        <f>IF(ISERROR(FIND('112'!$M$9,G3580,1)),"",IF((AND(FIND('112'!$M$9,G3580,1)&gt;=1,$B3580&gt;='112'!$N$8,$B3580&lt;='112'!$O$8,OR($L3580='112'!$I$6,$M3580='112'!$I$6))),"x",""))</f>
        <v/>
      </c>
      <c r="S3580" s="52" t="str">
        <f>IF(ISERROR(FIND('112'!$M$9,G3580,1)),"",IF((AND(LEFT(G3580,2)=LEFT('112'!$M$9,2),B3580&lt;'112'!$N$8,$L3580='112'!$I$6)),"x",""))</f>
        <v/>
      </c>
      <c r="T3580" s="52" t="str">
        <f>IF(ISERROR(FIND('112'!$M$9,G3580,1)),"",IF((AND(RIGHT(G3580,2)=RIGHT('112'!$M$9,2),B3580&lt;'112'!$N$8,$M3580='112'!$I$6)),"x",""))</f>
        <v/>
      </c>
      <c r="U3580" s="52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/>
      </c>
      <c r="AA3580" s="826"/>
    </row>
    <row r="3581" spans="1:27" ht="15.75" customHeight="1">
      <c r="A3581" s="827" t="str">
        <f>IF(B3581&lt;&gt;"",IF(AND(B3581&gt;=_TM1,B3581&lt;=_TM2,OR(TH!L3581="1111",TH!M3581="1111")),TH!D3581,""),"")</f>
        <v/>
      </c>
      <c r="B3581" s="876">
        <f t="shared" si="473"/>
        <v>4</v>
      </c>
      <c r="C3581" s="877">
        <f t="shared" si="471"/>
        <v>42489</v>
      </c>
      <c r="D3581" s="878" t="s">
        <v>1663</v>
      </c>
      <c r="E3581" s="912">
        <v>42489</v>
      </c>
      <c r="F3581" s="891" t="s">
        <v>542</v>
      </c>
      <c r="G3581" s="913" t="s">
        <v>669</v>
      </c>
      <c r="H3581" s="881" t="s">
        <v>1313</v>
      </c>
      <c r="I3581" s="882">
        <v>134</v>
      </c>
      <c r="J3581" s="882">
        <v>41795.738805970148</v>
      </c>
      <c r="K3581" s="883">
        <f t="shared" si="474"/>
        <v>5600629</v>
      </c>
      <c r="L3581" s="884" t="s">
        <v>857</v>
      </c>
      <c r="M3581" s="884" t="s">
        <v>160</v>
      </c>
      <c r="N3581" s="52" t="str">
        <f>IF(AND('331-CT'!$E$7=TH!H3581,OR(L3581="331",M3581="331")),"331",IF(AND(OR(L3581="131",M3581="131"),H3581='131-CT'!$E$7),"131",""))</f>
        <v/>
      </c>
      <c r="O3581" s="52" t="str">
        <f>IF(AND($B3581&gt;='111'!$N$11,$B3581&lt;='111'!$O$11,OR($L3581=$O$7,$M3581=$O$7)),"x","")</f>
        <v/>
      </c>
      <c r="P3581" s="52" t="str">
        <f>IF(AND($L3581=$O$7,$B3581&lt;'111'!$N$11),"x","")</f>
        <v/>
      </c>
      <c r="Q3581" s="52" t="str">
        <f>IF(AND($M3581=$O$7,$B3581&lt;'111'!$N$11),"x","")</f>
        <v/>
      </c>
      <c r="R3581" s="52" t="str">
        <f>IF(ISERROR(FIND('112'!$M$9,G3581,1)),"",IF((AND(FIND('112'!$M$9,G3581,1)&gt;=1,$B3581&gt;='112'!$N$8,$B3581&lt;='112'!$O$8,OR($L3581='112'!$I$6,$M3581='112'!$I$6))),"x",""))</f>
        <v/>
      </c>
      <c r="S3581" s="52" t="str">
        <f>IF(ISERROR(FIND('112'!$M$9,G3581,1)),"",IF((AND(LEFT(G3581,2)=LEFT('112'!$M$9,2),B3581&lt;'112'!$N$8,$L3581='112'!$I$6)),"x",""))</f>
        <v/>
      </c>
      <c r="T3581" s="52" t="str">
        <f>IF(ISERROR(FIND('112'!$M$9,G3581,1)),"",IF((AND(RIGHT(G3581,2)=RIGHT('112'!$M$9,2),B3581&lt;'112'!$N$8,$M3581='112'!$I$6)),"x",""))</f>
        <v/>
      </c>
      <c r="U3581" s="52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/>
      </c>
      <c r="AA3581" s="826"/>
    </row>
    <row r="3582" spans="1:27" ht="15.75" customHeight="1">
      <c r="A3582" s="827" t="str">
        <f>IF(B3582&lt;&gt;"",IF(AND(B3582&gt;=_TM1,B3582&lt;=_TM2,OR(TH!L3582="1111",TH!M3582="1111")),TH!D3582,""),"")</f>
        <v/>
      </c>
      <c r="B3582" s="876">
        <f t="shared" si="473"/>
        <v>4</v>
      </c>
      <c r="C3582" s="877">
        <f t="shared" si="471"/>
        <v>42489</v>
      </c>
      <c r="D3582" s="878" t="s">
        <v>1663</v>
      </c>
      <c r="E3582" s="912">
        <v>42489</v>
      </c>
      <c r="F3582" s="888" t="s">
        <v>463</v>
      </c>
      <c r="G3582" s="913" t="s">
        <v>669</v>
      </c>
      <c r="H3582" s="881" t="s">
        <v>1313</v>
      </c>
      <c r="I3582" s="882">
        <v>90</v>
      </c>
      <c r="J3582" s="882">
        <v>42518.033333333333</v>
      </c>
      <c r="K3582" s="883">
        <f t="shared" si="474"/>
        <v>3826623</v>
      </c>
      <c r="L3582" s="884" t="s">
        <v>857</v>
      </c>
      <c r="M3582" s="884" t="s">
        <v>160</v>
      </c>
      <c r="N3582" s="52" t="str">
        <f>IF(AND('331-CT'!$E$7=TH!H3582,OR(L3582="331",M3582="331")),"331",IF(AND(OR(L3582="131",M3582="131"),H3582='131-CT'!$E$7),"131",""))</f>
        <v/>
      </c>
      <c r="O3582" s="52" t="str">
        <f>IF(AND($B3582&gt;='111'!$N$11,$B3582&lt;='111'!$O$11,OR($L3582=$O$7,$M3582=$O$7)),"x","")</f>
        <v/>
      </c>
      <c r="P3582" s="52" t="str">
        <f>IF(AND($L3582=$O$7,$B3582&lt;'111'!$N$11),"x","")</f>
        <v/>
      </c>
      <c r="Q3582" s="52" t="str">
        <f>IF(AND($M3582=$O$7,$B3582&lt;'111'!$N$11),"x","")</f>
        <v/>
      </c>
      <c r="R3582" s="52" t="str">
        <f>IF(ISERROR(FIND('112'!$M$9,G3582,1)),"",IF((AND(FIND('112'!$M$9,G3582,1)&gt;=1,$B3582&gt;='112'!$N$8,$B3582&lt;='112'!$O$8,OR($L3582='112'!$I$6,$M3582='112'!$I$6))),"x",""))</f>
        <v/>
      </c>
      <c r="S3582" s="52" t="str">
        <f>IF(ISERROR(FIND('112'!$M$9,G3582,1)),"",IF((AND(LEFT(G3582,2)=LEFT('112'!$M$9,2),B3582&lt;'112'!$N$8,$L3582='112'!$I$6)),"x",""))</f>
        <v/>
      </c>
      <c r="T3582" s="52" t="str">
        <f>IF(ISERROR(FIND('112'!$M$9,G3582,1)),"",IF((AND(RIGHT(G3582,2)=RIGHT('112'!$M$9,2),B3582&lt;'112'!$N$8,$M3582='112'!$I$6)),"x",""))</f>
        <v/>
      </c>
      <c r="U3582" s="52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/>
      </c>
      <c r="AA3582" s="826"/>
    </row>
    <row r="3583" spans="1:27" ht="15.75" customHeight="1">
      <c r="A3583" s="827" t="str">
        <f>IF(B3583&lt;&gt;"",IF(AND(B3583&gt;=_TM1,B3583&lt;=_TM2,OR(TH!L3583="1111",TH!M3583="1111")),TH!D3583,""),"")</f>
        <v/>
      </c>
      <c r="B3583" s="876">
        <f t="shared" si="473"/>
        <v>4</v>
      </c>
      <c r="C3583" s="877">
        <f t="shared" si="471"/>
        <v>42489</v>
      </c>
      <c r="D3583" s="878" t="s">
        <v>1663</v>
      </c>
      <c r="E3583" s="912">
        <v>42489</v>
      </c>
      <c r="F3583" s="891" t="s">
        <v>673</v>
      </c>
      <c r="G3583" s="913" t="s">
        <v>669</v>
      </c>
      <c r="H3583" s="881" t="s">
        <v>1313</v>
      </c>
      <c r="I3583" s="882">
        <v>64</v>
      </c>
      <c r="J3583" s="882">
        <v>43805.84375</v>
      </c>
      <c r="K3583" s="883">
        <f t="shared" si="474"/>
        <v>2803574</v>
      </c>
      <c r="L3583" s="884" t="s">
        <v>857</v>
      </c>
      <c r="M3583" s="884" t="s">
        <v>160</v>
      </c>
      <c r="N3583" s="52" t="str">
        <f>IF(AND('331-CT'!$E$7=TH!H3583,OR(L3583="331",M3583="331")),"331",IF(AND(OR(L3583="131",M3583="131"),H3583='131-CT'!$E$7),"131",""))</f>
        <v/>
      </c>
      <c r="O3583" s="52" t="str">
        <f>IF(AND($B3583&gt;='111'!$N$11,$B3583&lt;='111'!$O$11,OR($L3583=$O$7,$M3583=$O$7)),"x","")</f>
        <v/>
      </c>
      <c r="P3583" s="52" t="str">
        <f>IF(AND($L3583=$O$7,$B3583&lt;'111'!$N$11),"x","")</f>
        <v/>
      </c>
      <c r="Q3583" s="52" t="str">
        <f>IF(AND($M3583=$O$7,$B3583&lt;'111'!$N$11),"x","")</f>
        <v/>
      </c>
      <c r="R3583" s="52" t="str">
        <f>IF(ISERROR(FIND('112'!$M$9,G3583,1)),"",IF((AND(FIND('112'!$M$9,G3583,1)&gt;=1,$B3583&gt;='112'!$N$8,$B3583&lt;='112'!$O$8,OR($L3583='112'!$I$6,$M3583='112'!$I$6))),"x",""))</f>
        <v/>
      </c>
      <c r="S3583" s="52" t="str">
        <f>IF(ISERROR(FIND('112'!$M$9,G3583,1)),"",IF((AND(LEFT(G3583,2)=LEFT('112'!$M$9,2),B3583&lt;'112'!$N$8,$L3583='112'!$I$6)),"x",""))</f>
        <v/>
      </c>
      <c r="T3583" s="52" t="str">
        <f>IF(ISERROR(FIND('112'!$M$9,G3583,1)),"",IF((AND(RIGHT(G3583,2)=RIGHT('112'!$M$9,2),B3583&lt;'112'!$N$8,$M3583='112'!$I$6)),"x",""))</f>
        <v/>
      </c>
      <c r="U3583" s="52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/>
      </c>
      <c r="AA3583" s="826"/>
    </row>
    <row r="3584" spans="1:27" ht="15.75" customHeight="1">
      <c r="A3584" s="827" t="str">
        <f>IF(B3584&lt;&gt;"",IF(AND(B3584&gt;=_TM1,B3584&lt;=_TM2,OR(TH!L3584="1111",TH!M3584="1111")),TH!D3584,""),"")</f>
        <v/>
      </c>
      <c r="B3584" s="876">
        <f t="shared" si="473"/>
        <v>4</v>
      </c>
      <c r="C3584" s="877">
        <f t="shared" si="471"/>
        <v>42489</v>
      </c>
      <c r="D3584" s="878" t="s">
        <v>1663</v>
      </c>
      <c r="E3584" s="912">
        <v>42489</v>
      </c>
      <c r="F3584" s="891" t="s">
        <v>462</v>
      </c>
      <c r="G3584" s="913" t="s">
        <v>669</v>
      </c>
      <c r="H3584" s="881" t="s">
        <v>1313</v>
      </c>
      <c r="I3584" s="882">
        <v>144</v>
      </c>
      <c r="J3584" s="882">
        <v>47203.090277777781</v>
      </c>
      <c r="K3584" s="883">
        <f t="shared" si="474"/>
        <v>6797245</v>
      </c>
      <c r="L3584" s="884" t="s">
        <v>857</v>
      </c>
      <c r="M3584" s="884" t="s">
        <v>160</v>
      </c>
      <c r="N3584" s="52" t="str">
        <f>IF(AND('331-CT'!$E$7=TH!H3584,OR(L3584="331",M3584="331")),"331",IF(AND(OR(L3584="131",M3584="131"),H3584='131-CT'!$E$7),"131",""))</f>
        <v/>
      </c>
      <c r="O3584" s="52" t="str">
        <f>IF(AND($B3584&gt;='111'!$N$11,$B3584&lt;='111'!$O$11,OR($L3584=$O$7,$M3584=$O$7)),"x","")</f>
        <v/>
      </c>
      <c r="P3584" s="52" t="str">
        <f>IF(AND($L3584=$O$7,$B3584&lt;'111'!$N$11),"x","")</f>
        <v/>
      </c>
      <c r="Q3584" s="52" t="str">
        <f>IF(AND($M3584=$O$7,$B3584&lt;'111'!$N$11),"x","")</f>
        <v/>
      </c>
      <c r="R3584" s="52" t="str">
        <f>IF(ISERROR(FIND('112'!$M$9,G3584,1)),"",IF((AND(FIND('112'!$M$9,G3584,1)&gt;=1,$B3584&gt;='112'!$N$8,$B3584&lt;='112'!$O$8,OR($L3584='112'!$I$6,$M3584='112'!$I$6))),"x",""))</f>
        <v/>
      </c>
      <c r="S3584" s="52" t="str">
        <f>IF(ISERROR(FIND('112'!$M$9,G3584,1)),"",IF((AND(LEFT(G3584,2)=LEFT('112'!$M$9,2),B3584&lt;'112'!$N$8,$L3584='112'!$I$6)),"x",""))</f>
        <v/>
      </c>
      <c r="T3584" s="52" t="str">
        <f>IF(ISERROR(FIND('112'!$M$9,G3584,1)),"",IF((AND(RIGHT(G3584,2)=RIGHT('112'!$M$9,2),B3584&lt;'112'!$N$8,$M3584='112'!$I$6)),"x",""))</f>
        <v/>
      </c>
      <c r="U3584" s="52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/>
      </c>
      <c r="AA3584" s="826"/>
    </row>
    <row r="3585" spans="1:27" ht="15.75" customHeight="1">
      <c r="A3585" s="827" t="str">
        <f>IF(B3585&lt;&gt;"",IF(AND(B3585&gt;=_TM1,B3585&lt;=_TM2,OR(TH!L3585="1111",TH!M3585="1111")),TH!D3585,""),"")</f>
        <v/>
      </c>
      <c r="B3585" s="876">
        <f t="shared" si="473"/>
        <v>4</v>
      </c>
      <c r="C3585" s="877">
        <f t="shared" si="471"/>
        <v>42489</v>
      </c>
      <c r="D3585" s="878" t="s">
        <v>1663</v>
      </c>
      <c r="E3585" s="912">
        <v>42489</v>
      </c>
      <c r="F3585" s="891" t="s">
        <v>477</v>
      </c>
      <c r="G3585" s="913" t="s">
        <v>669</v>
      </c>
      <c r="H3585" s="881" t="s">
        <v>1313</v>
      </c>
      <c r="I3585" s="882">
        <v>350</v>
      </c>
      <c r="J3585" s="882">
        <v>63845.185714285712</v>
      </c>
      <c r="K3585" s="883">
        <f t="shared" si="474"/>
        <v>22345815</v>
      </c>
      <c r="L3585" s="884" t="s">
        <v>857</v>
      </c>
      <c r="M3585" s="884" t="s">
        <v>160</v>
      </c>
      <c r="N3585" s="52" t="str">
        <f>IF(AND('331-CT'!$E$7=TH!H3585,OR(L3585="331",M3585="331")),"331",IF(AND(OR(L3585="131",M3585="131"),H3585='131-CT'!$E$7),"131",""))</f>
        <v/>
      </c>
      <c r="O3585" s="52" t="str">
        <f>IF(AND($B3585&gt;='111'!$N$11,$B3585&lt;='111'!$O$11,OR($L3585=$O$7,$M3585=$O$7)),"x","")</f>
        <v/>
      </c>
      <c r="P3585" s="52" t="str">
        <f>IF(AND($L3585=$O$7,$B3585&lt;'111'!$N$11),"x","")</f>
        <v/>
      </c>
      <c r="Q3585" s="52" t="str">
        <f>IF(AND($M3585=$O$7,$B3585&lt;'111'!$N$11),"x","")</f>
        <v/>
      </c>
      <c r="R3585" s="52" t="str">
        <f>IF(ISERROR(FIND('112'!$M$9,G3585,1)),"",IF((AND(FIND('112'!$M$9,G3585,1)&gt;=1,$B3585&gt;='112'!$N$8,$B3585&lt;='112'!$O$8,OR($L3585='112'!$I$6,$M3585='112'!$I$6))),"x",""))</f>
        <v/>
      </c>
      <c r="S3585" s="52" t="str">
        <f>IF(ISERROR(FIND('112'!$M$9,G3585,1)),"",IF((AND(LEFT(G3585,2)=LEFT('112'!$M$9,2),B3585&lt;'112'!$N$8,$L3585='112'!$I$6)),"x",""))</f>
        <v/>
      </c>
      <c r="T3585" s="52" t="str">
        <f>IF(ISERROR(FIND('112'!$M$9,G3585,1)),"",IF((AND(RIGHT(G3585,2)=RIGHT('112'!$M$9,2),B3585&lt;'112'!$N$8,$M3585='112'!$I$6)),"x",""))</f>
        <v/>
      </c>
      <c r="U3585" s="52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/>
      </c>
      <c r="AA3585" s="826"/>
    </row>
    <row r="3586" spans="1:27" ht="15.75" customHeight="1">
      <c r="A3586" s="827" t="str">
        <f>IF(B3586&lt;&gt;"",IF(AND(B3586&gt;=_TM1,B3586&lt;=_TM2,OR(TH!L3586="1111",TH!M3586="1111")),TH!D3586,""),"")</f>
        <v/>
      </c>
      <c r="B3586" s="876">
        <f t="shared" si="473"/>
        <v>4</v>
      </c>
      <c r="C3586" s="877">
        <f t="shared" si="471"/>
        <v>42489</v>
      </c>
      <c r="D3586" s="878" t="s">
        <v>1663</v>
      </c>
      <c r="E3586" s="912">
        <v>42489</v>
      </c>
      <c r="F3586" s="888" t="s">
        <v>538</v>
      </c>
      <c r="G3586" s="913" t="s">
        <v>669</v>
      </c>
      <c r="H3586" s="881" t="s">
        <v>1313</v>
      </c>
      <c r="I3586" s="882">
        <v>76</v>
      </c>
      <c r="J3586" s="882">
        <v>69438.671052631573</v>
      </c>
      <c r="K3586" s="883">
        <f t="shared" si="474"/>
        <v>5277339</v>
      </c>
      <c r="L3586" s="884" t="s">
        <v>857</v>
      </c>
      <c r="M3586" s="884" t="s">
        <v>160</v>
      </c>
      <c r="N3586" s="52" t="str">
        <f>IF(AND('331-CT'!$E$7=TH!H3586,OR(L3586="331",M3586="331")),"331",IF(AND(OR(L3586="131",M3586="131"),H3586='131-CT'!$E$7),"131",""))</f>
        <v/>
      </c>
      <c r="O3586" s="52" t="str">
        <f>IF(AND($B3586&gt;='111'!$N$11,$B3586&lt;='111'!$O$11,OR($L3586=$O$7,$M3586=$O$7)),"x","")</f>
        <v/>
      </c>
      <c r="P3586" s="52" t="str">
        <f>IF(AND($L3586=$O$7,$B3586&lt;'111'!$N$11),"x","")</f>
        <v/>
      </c>
      <c r="Q3586" s="52" t="str">
        <f>IF(AND($M3586=$O$7,$B3586&lt;'111'!$N$11),"x","")</f>
        <v/>
      </c>
      <c r="R3586" s="52" t="str">
        <f>IF(ISERROR(FIND('112'!$M$9,G3586,1)),"",IF((AND(FIND('112'!$M$9,G3586,1)&gt;=1,$B3586&gt;='112'!$N$8,$B3586&lt;='112'!$O$8,OR($L3586='112'!$I$6,$M3586='112'!$I$6))),"x",""))</f>
        <v/>
      </c>
      <c r="S3586" s="52" t="str">
        <f>IF(ISERROR(FIND('112'!$M$9,G3586,1)),"",IF((AND(LEFT(G3586,2)=LEFT('112'!$M$9,2),B3586&lt;'112'!$N$8,$L3586='112'!$I$6)),"x",""))</f>
        <v/>
      </c>
      <c r="T3586" s="52" t="str">
        <f>IF(ISERROR(FIND('112'!$M$9,G3586,1)),"",IF((AND(RIGHT(G3586,2)=RIGHT('112'!$M$9,2),B3586&lt;'112'!$N$8,$M3586='112'!$I$6)),"x",""))</f>
        <v/>
      </c>
      <c r="U3586" s="52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826"/>
    </row>
    <row r="3587" spans="1:27" ht="15.75" customHeight="1">
      <c r="A3587" s="827" t="str">
        <f>IF(B3587&lt;&gt;"",IF(AND(B3587&gt;=_TM1,B3587&lt;=_TM2,OR(TH!L3587="1111",TH!M3587="1111")),TH!D3587,""),"")</f>
        <v/>
      </c>
      <c r="B3587" s="876">
        <f t="shared" si="473"/>
        <v>4</v>
      </c>
      <c r="C3587" s="877">
        <f t="shared" si="471"/>
        <v>42489</v>
      </c>
      <c r="D3587" s="878" t="s">
        <v>1663</v>
      </c>
      <c r="E3587" s="912">
        <v>42489</v>
      </c>
      <c r="F3587" s="891" t="s">
        <v>671</v>
      </c>
      <c r="G3587" s="913" t="s">
        <v>669</v>
      </c>
      <c r="H3587" s="881" t="s">
        <v>1313</v>
      </c>
      <c r="I3587" s="882">
        <v>20</v>
      </c>
      <c r="J3587" s="882">
        <v>120515.6</v>
      </c>
      <c r="K3587" s="883">
        <f t="shared" si="474"/>
        <v>2410312</v>
      </c>
      <c r="L3587" s="884" t="s">
        <v>857</v>
      </c>
      <c r="M3587" s="884" t="s">
        <v>160</v>
      </c>
      <c r="N3587" s="52" t="str">
        <f>IF(AND('331-CT'!$E$7=TH!H3587,OR(L3587="331",M3587="331")),"331",IF(AND(OR(L3587="131",M3587="131"),H3587='131-CT'!$E$7),"131",""))</f>
        <v/>
      </c>
      <c r="O3587" s="52" t="str">
        <f>IF(AND($B3587&gt;='111'!$N$11,$B3587&lt;='111'!$O$11,OR($L3587=$O$7,$M3587=$O$7)),"x","")</f>
        <v/>
      </c>
      <c r="P3587" s="52" t="str">
        <f>IF(AND($L3587=$O$7,$B3587&lt;'111'!$N$11),"x","")</f>
        <v/>
      </c>
      <c r="Q3587" s="52" t="str">
        <f>IF(AND($M3587=$O$7,$B3587&lt;'111'!$N$11),"x","")</f>
        <v/>
      </c>
      <c r="R3587" s="52" t="str">
        <f>IF(ISERROR(FIND('112'!$M$9,G3587,1)),"",IF((AND(FIND('112'!$M$9,G3587,1)&gt;=1,$B3587&gt;='112'!$N$8,$B3587&lt;='112'!$O$8,OR($L3587='112'!$I$6,$M3587='112'!$I$6))),"x",""))</f>
        <v/>
      </c>
      <c r="S3587" s="52" t="str">
        <f>IF(ISERROR(FIND('112'!$M$9,G3587,1)),"",IF((AND(LEFT(G3587,2)=LEFT('112'!$M$9,2),B3587&lt;'112'!$N$8,$L3587='112'!$I$6)),"x",""))</f>
        <v/>
      </c>
      <c r="T3587" s="52" t="str">
        <f>IF(ISERROR(FIND('112'!$M$9,G3587,1)),"",IF((AND(RIGHT(G3587,2)=RIGHT('112'!$M$9,2),B3587&lt;'112'!$N$8,$M3587='112'!$I$6)),"x",""))</f>
        <v/>
      </c>
      <c r="U3587" s="52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826"/>
    </row>
    <row r="3588" spans="1:27" ht="15.75" customHeight="1">
      <c r="A3588" s="827" t="str">
        <f>IF(B3588&lt;&gt;"",IF(AND(B3588&gt;=_TM1,B3588&lt;=_TM2,OR(TH!L3588="1111",TH!M3588="1111")),TH!D3588,""),"")</f>
        <v/>
      </c>
      <c r="B3588" s="876">
        <f t="shared" si="473"/>
        <v>5</v>
      </c>
      <c r="C3588" s="877">
        <f t="shared" si="471"/>
        <v>42502</v>
      </c>
      <c r="D3588" s="878" t="s">
        <v>1663</v>
      </c>
      <c r="E3588" s="912">
        <v>42502</v>
      </c>
      <c r="F3588" s="891" t="s">
        <v>627</v>
      </c>
      <c r="G3588" s="913" t="s">
        <v>686</v>
      </c>
      <c r="H3588" s="881" t="s">
        <v>1313</v>
      </c>
      <c r="I3588" s="882">
        <v>1097</v>
      </c>
      <c r="J3588" s="882">
        <v>6762.231540565178</v>
      </c>
      <c r="K3588" s="883">
        <f t="shared" si="474"/>
        <v>7418168</v>
      </c>
      <c r="L3588" s="884" t="s">
        <v>857</v>
      </c>
      <c r="M3588" s="884" t="s">
        <v>160</v>
      </c>
      <c r="N3588" s="52" t="str">
        <f>IF(AND('331-CT'!$E$7=TH!H3588,OR(L3588="331",M3588="331")),"331",IF(AND(OR(L3588="131",M3588="131"),H3588='131-CT'!$E$7),"131",""))</f>
        <v/>
      </c>
      <c r="O3588" s="52" t="str">
        <f>IF(AND($B3588&gt;='111'!$N$11,$B3588&lt;='111'!$O$11,OR($L3588=$O$7,$M3588=$O$7)),"x","")</f>
        <v/>
      </c>
      <c r="P3588" s="52" t="str">
        <f>IF(AND($L3588=$O$7,$B3588&lt;'111'!$N$11),"x","")</f>
        <v/>
      </c>
      <c r="Q3588" s="52" t="str">
        <f>IF(AND($M3588=$O$7,$B3588&lt;'111'!$N$11),"x","")</f>
        <v/>
      </c>
      <c r="R3588" s="52" t="str">
        <f>IF(ISERROR(FIND('112'!$M$9,G3588,1)),"",IF((AND(FIND('112'!$M$9,G3588,1)&gt;=1,$B3588&gt;='112'!$N$8,$B3588&lt;='112'!$O$8,OR($L3588='112'!$I$6,$M3588='112'!$I$6))),"x",""))</f>
        <v/>
      </c>
      <c r="S3588" s="52" t="str">
        <f>IF(ISERROR(FIND('112'!$M$9,G3588,1)),"",IF((AND(LEFT(G3588,2)=LEFT('112'!$M$9,2),B3588&lt;'112'!$N$8,$L3588='112'!$I$6)),"x",""))</f>
        <v/>
      </c>
      <c r="T3588" s="52" t="str">
        <f>IF(ISERROR(FIND('112'!$M$9,G3588,1)),"",IF((AND(RIGHT(G3588,2)=RIGHT('112'!$M$9,2),B3588&lt;'112'!$N$8,$M3588='112'!$I$6)),"x",""))</f>
        <v/>
      </c>
      <c r="U3588" s="52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826"/>
    </row>
    <row r="3589" spans="1:27" ht="15.75" customHeight="1">
      <c r="A3589" s="827" t="str">
        <f>IF(B3589&lt;&gt;"",IF(AND(B3589&gt;=_TM1,B3589&lt;=_TM2,OR(TH!L3589="1111",TH!M3589="1111")),TH!D3589,""),"")</f>
        <v/>
      </c>
      <c r="B3589" s="876">
        <f t="shared" si="473"/>
        <v>5</v>
      </c>
      <c r="C3589" s="877">
        <f t="shared" si="471"/>
        <v>42516</v>
      </c>
      <c r="D3589" s="878" t="s">
        <v>1663</v>
      </c>
      <c r="E3589" s="912">
        <v>42516</v>
      </c>
      <c r="F3589" s="914" t="s">
        <v>627</v>
      </c>
      <c r="G3589" s="913" t="s">
        <v>691</v>
      </c>
      <c r="H3589" s="881" t="s">
        <v>1313</v>
      </c>
      <c r="I3589" s="882">
        <v>1392</v>
      </c>
      <c r="J3589" s="882">
        <v>6757.9260057471265</v>
      </c>
      <c r="K3589" s="883">
        <f t="shared" si="474"/>
        <v>9407033</v>
      </c>
      <c r="L3589" s="884" t="s">
        <v>857</v>
      </c>
      <c r="M3589" s="884" t="s">
        <v>160</v>
      </c>
      <c r="N3589" s="52" t="str">
        <f>IF(AND('331-CT'!$E$7=TH!H3589,OR(L3589="331",M3589="331")),"331",IF(AND(OR(L3589="131",M3589="131"),H3589='131-CT'!$E$7),"131",""))</f>
        <v/>
      </c>
      <c r="O3589" s="52" t="str">
        <f>IF(AND($B3589&gt;='111'!$N$11,$B3589&lt;='111'!$O$11,OR($L3589=$O$7,$M3589=$O$7)),"x","")</f>
        <v/>
      </c>
      <c r="P3589" s="52" t="str">
        <f>IF(AND($L3589=$O$7,$B3589&lt;'111'!$N$11),"x","")</f>
        <v/>
      </c>
      <c r="Q3589" s="52" t="str">
        <f>IF(AND($M3589=$O$7,$B3589&lt;'111'!$N$11),"x","")</f>
        <v/>
      </c>
      <c r="R3589" s="52" t="str">
        <f>IF(ISERROR(FIND('112'!$M$9,G3589,1)),"",IF((AND(FIND('112'!$M$9,G3589,1)&gt;=1,$B3589&gt;='112'!$N$8,$B3589&lt;='112'!$O$8,OR($L3589='112'!$I$6,$M3589='112'!$I$6))),"x",""))</f>
        <v/>
      </c>
      <c r="S3589" s="52" t="str">
        <f>IF(ISERROR(FIND('112'!$M$9,G3589,1)),"",IF((AND(LEFT(G3589,2)=LEFT('112'!$M$9,2),B3589&lt;'112'!$N$8,$L3589='112'!$I$6)),"x",""))</f>
        <v/>
      </c>
      <c r="T3589" s="52" t="str">
        <f>IF(ISERROR(FIND('112'!$M$9,G3589,1)),"",IF((AND(RIGHT(G3589,2)=RIGHT('112'!$M$9,2),B3589&lt;'112'!$N$8,$M3589='112'!$I$6)),"x",""))</f>
        <v/>
      </c>
      <c r="U3589" s="52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826"/>
    </row>
    <row r="3590" spans="1:27" ht="15.75" customHeight="1">
      <c r="A3590" s="827" t="str">
        <f>IF(B3590&lt;&gt;"",IF(AND(B3590&gt;=_TM1,B3590&lt;=_TM2,OR(TH!L3590="1111",TH!M3590="1111")),TH!D3590,""),"")</f>
        <v/>
      </c>
      <c r="B3590" s="876">
        <f t="shared" si="473"/>
        <v>5</v>
      </c>
      <c r="C3590" s="877">
        <f t="shared" si="471"/>
        <v>42516</v>
      </c>
      <c r="D3590" s="878" t="s">
        <v>1663</v>
      </c>
      <c r="E3590" s="912">
        <v>42516</v>
      </c>
      <c r="F3590" s="888" t="s">
        <v>696</v>
      </c>
      <c r="G3590" s="913" t="s">
        <v>692</v>
      </c>
      <c r="H3590" s="881" t="s">
        <v>1313</v>
      </c>
      <c r="I3590" s="882">
        <v>1000</v>
      </c>
      <c r="J3590" s="882">
        <v>11807.191999999999</v>
      </c>
      <c r="K3590" s="883">
        <f t="shared" si="474"/>
        <v>11807192</v>
      </c>
      <c r="L3590" s="884" t="s">
        <v>857</v>
      </c>
      <c r="M3590" s="884" t="s">
        <v>160</v>
      </c>
      <c r="N3590" s="52" t="str">
        <f>IF(AND('331-CT'!$E$7=TH!H3590,OR(L3590="331",M3590="331")),"331",IF(AND(OR(L3590="131",M3590="131"),H3590='131-CT'!$E$7),"131",""))</f>
        <v/>
      </c>
      <c r="O3590" s="52" t="str">
        <f>IF(AND($B3590&gt;='111'!$N$11,$B3590&lt;='111'!$O$11,OR($L3590=$O$7,$M3590=$O$7)),"x","")</f>
        <v/>
      </c>
      <c r="P3590" s="52" t="str">
        <f>IF(AND($L3590=$O$7,$B3590&lt;'111'!$N$11),"x","")</f>
        <v/>
      </c>
      <c r="Q3590" s="52" t="str">
        <f>IF(AND($M3590=$O$7,$B3590&lt;'111'!$N$11),"x","")</f>
        <v/>
      </c>
      <c r="R3590" s="52" t="str">
        <f>IF(ISERROR(FIND('112'!$M$9,G3590,1)),"",IF((AND(FIND('112'!$M$9,G3590,1)&gt;=1,$B3590&gt;='112'!$N$8,$B3590&lt;='112'!$O$8,OR($L3590='112'!$I$6,$M3590='112'!$I$6))),"x",""))</f>
        <v/>
      </c>
      <c r="S3590" s="52" t="str">
        <f>IF(ISERROR(FIND('112'!$M$9,G3590,1)),"",IF((AND(LEFT(G3590,2)=LEFT('112'!$M$9,2),B3590&lt;'112'!$N$8,$L3590='112'!$I$6)),"x",""))</f>
        <v/>
      </c>
      <c r="T3590" s="52" t="str">
        <f>IF(ISERROR(FIND('112'!$M$9,G3590,1)),"",IF((AND(RIGHT(G3590,2)=RIGHT('112'!$M$9,2),B3590&lt;'112'!$N$8,$M3590='112'!$I$6)),"x",""))</f>
        <v/>
      </c>
      <c r="U3590" s="52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826"/>
    </row>
    <row r="3591" spans="1:27" ht="15.75" customHeight="1">
      <c r="A3591" s="827" t="str">
        <f>IF(B3591&lt;&gt;"",IF(AND(B3591&gt;=_TM1,B3591&lt;=_TM2,OR(TH!L3591="1111",TH!M3591="1111")),TH!D3591,""),"")</f>
        <v/>
      </c>
      <c r="B3591" s="876">
        <f t="shared" si="473"/>
        <v>5</v>
      </c>
      <c r="C3591" s="877">
        <f t="shared" si="471"/>
        <v>42516</v>
      </c>
      <c r="D3591" s="878" t="s">
        <v>1663</v>
      </c>
      <c r="E3591" s="912">
        <v>42516</v>
      </c>
      <c r="F3591" s="891" t="s">
        <v>1178</v>
      </c>
      <c r="G3591" s="913" t="s">
        <v>693</v>
      </c>
      <c r="H3591" s="881" t="s">
        <v>1313</v>
      </c>
      <c r="I3591" s="882">
        <v>1250</v>
      </c>
      <c r="J3591" s="882">
        <v>32110.871999999999</v>
      </c>
      <c r="K3591" s="883">
        <f t="shared" si="474"/>
        <v>40138590</v>
      </c>
      <c r="L3591" s="884" t="s">
        <v>857</v>
      </c>
      <c r="M3591" s="884" t="s">
        <v>160</v>
      </c>
      <c r="N3591" s="52" t="str">
        <f>IF(AND('331-CT'!$E$7=TH!H3591,OR(L3591="331",M3591="331")),"331",IF(AND(OR(L3591="131",M3591="131"),H3591='131-CT'!$E$7),"131",""))</f>
        <v/>
      </c>
      <c r="O3591" s="52" t="str">
        <f>IF(AND($B3591&gt;='111'!$N$11,$B3591&lt;='111'!$O$11,OR($L3591=$O$7,$M3591=$O$7)),"x","")</f>
        <v/>
      </c>
      <c r="P3591" s="52" t="str">
        <f>IF(AND($L3591=$O$7,$B3591&lt;'111'!$N$11),"x","")</f>
        <v/>
      </c>
      <c r="Q3591" s="52" t="str">
        <f>IF(AND($M3591=$O$7,$B3591&lt;'111'!$N$11),"x","")</f>
        <v/>
      </c>
      <c r="R3591" s="52" t="str">
        <f>IF(ISERROR(FIND('112'!$M$9,G3591,1)),"",IF((AND(FIND('112'!$M$9,G3591,1)&gt;=1,$B3591&gt;='112'!$N$8,$B3591&lt;='112'!$O$8,OR($L3591='112'!$I$6,$M3591='112'!$I$6))),"x",""))</f>
        <v/>
      </c>
      <c r="S3591" s="52" t="str">
        <f>IF(ISERROR(FIND('112'!$M$9,G3591,1)),"",IF((AND(LEFT(G3591,2)=LEFT('112'!$M$9,2),B3591&lt;'112'!$N$8,$L3591='112'!$I$6)),"x",""))</f>
        <v/>
      </c>
      <c r="T3591" s="52" t="str">
        <f>IF(ISERROR(FIND('112'!$M$9,G3591,1)),"",IF((AND(RIGHT(G3591,2)=RIGHT('112'!$M$9,2),B3591&lt;'112'!$N$8,$M3591='112'!$I$6)),"x",""))</f>
        <v/>
      </c>
      <c r="U3591" s="52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826"/>
    </row>
    <row r="3592" spans="1:27" ht="15.75" customHeight="1">
      <c r="A3592" s="827" t="str">
        <f>IF(B3592&lt;&gt;"",IF(AND(B3592&gt;=_TM1,B3592&lt;=_TM2,OR(TH!L3592="1111",TH!M3592="1111")),TH!D3592,""),"")</f>
        <v/>
      </c>
      <c r="B3592" s="876">
        <f t="shared" si="473"/>
        <v>5</v>
      </c>
      <c r="C3592" s="877">
        <f t="shared" si="471"/>
        <v>42516</v>
      </c>
      <c r="D3592" s="878" t="s">
        <v>1663</v>
      </c>
      <c r="E3592" s="912">
        <v>42516</v>
      </c>
      <c r="F3592" s="888" t="s">
        <v>1179</v>
      </c>
      <c r="G3592" s="913" t="s">
        <v>693</v>
      </c>
      <c r="H3592" s="881" t="s">
        <v>1313</v>
      </c>
      <c r="I3592" s="882">
        <v>1300</v>
      </c>
      <c r="J3592" s="882">
        <v>31545.641538461539</v>
      </c>
      <c r="K3592" s="883">
        <f t="shared" si="474"/>
        <v>41009334</v>
      </c>
      <c r="L3592" s="884" t="s">
        <v>857</v>
      </c>
      <c r="M3592" s="884" t="s">
        <v>160</v>
      </c>
      <c r="N3592" s="52" t="str">
        <f>IF(AND('331-CT'!$E$7=TH!H3592,OR(L3592="331",M3592="331")),"331",IF(AND(OR(L3592="131",M3592="131"),H3592='131-CT'!$E$7),"131",""))</f>
        <v/>
      </c>
      <c r="O3592" s="52" t="str">
        <f>IF(AND($B3592&gt;='111'!$N$11,$B3592&lt;='111'!$O$11,OR($L3592=$O$7,$M3592=$O$7)),"x","")</f>
        <v/>
      </c>
      <c r="P3592" s="52" t="str">
        <f>IF(AND($L3592=$O$7,$B3592&lt;'111'!$N$11),"x","")</f>
        <v/>
      </c>
      <c r="Q3592" s="52" t="str">
        <f>IF(AND($M3592=$O$7,$B3592&lt;'111'!$N$11),"x","")</f>
        <v/>
      </c>
      <c r="R3592" s="52" t="str">
        <f>IF(ISERROR(FIND('112'!$M$9,G3592,1)),"",IF((AND(FIND('112'!$M$9,G3592,1)&gt;=1,$B3592&gt;='112'!$N$8,$B3592&lt;='112'!$O$8,OR($L3592='112'!$I$6,$M3592='112'!$I$6))),"x",""))</f>
        <v/>
      </c>
      <c r="S3592" s="52" t="str">
        <f>IF(ISERROR(FIND('112'!$M$9,G3592,1)),"",IF((AND(LEFT(G3592,2)=LEFT('112'!$M$9,2),B3592&lt;'112'!$N$8,$L3592='112'!$I$6)),"x",""))</f>
        <v/>
      </c>
      <c r="T3592" s="52" t="str">
        <f>IF(ISERROR(FIND('112'!$M$9,G3592,1)),"",IF((AND(RIGHT(G3592,2)=RIGHT('112'!$M$9,2),B3592&lt;'112'!$N$8,$M3592='112'!$I$6)),"x",""))</f>
        <v/>
      </c>
      <c r="U3592" s="52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826"/>
    </row>
    <row r="3593" spans="1:27" ht="15.75" customHeight="1">
      <c r="A3593" s="827" t="str">
        <f>IF(B3593&lt;&gt;"",IF(AND(B3593&gt;=_TM1,B3593&lt;=_TM2,OR(TH!L3593="1111",TH!M3593="1111")),TH!D3593,""),"")</f>
        <v/>
      </c>
      <c r="B3593" s="876">
        <f t="shared" si="473"/>
        <v>5</v>
      </c>
      <c r="C3593" s="877">
        <f t="shared" si="471"/>
        <v>42517</v>
      </c>
      <c r="D3593" s="878" t="s">
        <v>1663</v>
      </c>
      <c r="E3593" s="912">
        <v>42517</v>
      </c>
      <c r="F3593" s="891" t="s">
        <v>627</v>
      </c>
      <c r="G3593" s="913" t="s">
        <v>694</v>
      </c>
      <c r="H3593" s="881" t="s">
        <v>1313</v>
      </c>
      <c r="I3593" s="882">
        <v>1516</v>
      </c>
      <c r="J3593" s="882">
        <v>6776.7473614775727</v>
      </c>
      <c r="K3593" s="883">
        <f t="shared" si="474"/>
        <v>10273549</v>
      </c>
      <c r="L3593" s="884" t="s">
        <v>857</v>
      </c>
      <c r="M3593" s="884" t="s">
        <v>160</v>
      </c>
      <c r="N3593" s="52" t="str">
        <f>IF(AND('331-CT'!$E$7=TH!H3593,OR(L3593="331",M3593="331")),"331",IF(AND(OR(L3593="131",M3593="131"),H3593='131-CT'!$E$7),"131",""))</f>
        <v/>
      </c>
      <c r="O3593" s="52" t="str">
        <f>IF(AND($B3593&gt;='111'!$N$11,$B3593&lt;='111'!$O$11,OR($L3593=$O$7,$M3593=$O$7)),"x","")</f>
        <v/>
      </c>
      <c r="P3593" s="52" t="str">
        <f>IF(AND($L3593=$O$7,$B3593&lt;'111'!$N$11),"x","")</f>
        <v/>
      </c>
      <c r="Q3593" s="52" t="str">
        <f>IF(AND($M3593=$O$7,$B3593&lt;'111'!$N$11),"x","")</f>
        <v/>
      </c>
      <c r="R3593" s="52" t="str">
        <f>IF(ISERROR(FIND('112'!$M$9,G3593,1)),"",IF((AND(FIND('112'!$M$9,G3593,1)&gt;=1,$B3593&gt;='112'!$N$8,$B3593&lt;='112'!$O$8,OR($L3593='112'!$I$6,$M3593='112'!$I$6))),"x",""))</f>
        <v/>
      </c>
      <c r="S3593" s="52" t="str">
        <f>IF(ISERROR(FIND('112'!$M$9,G3593,1)),"",IF((AND(LEFT(G3593,2)=LEFT('112'!$M$9,2),B3593&lt;'112'!$N$8,$L3593='112'!$I$6)),"x",""))</f>
        <v/>
      </c>
      <c r="T3593" s="52" t="str">
        <f>IF(ISERROR(FIND('112'!$M$9,G3593,1)),"",IF((AND(RIGHT(G3593,2)=RIGHT('112'!$M$9,2),B3593&lt;'112'!$N$8,$M3593='112'!$I$6)),"x",""))</f>
        <v/>
      </c>
      <c r="U3593" s="52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826"/>
    </row>
    <row r="3594" spans="1:27" ht="15.75" customHeight="1">
      <c r="A3594" s="827" t="str">
        <f>IF(B3594&lt;&gt;"",IF(AND(B3594&gt;=_TM1,B3594&lt;=_TM2,OR(TH!L3594="1111",TH!M3594="1111")),TH!D3594,""),"")</f>
        <v/>
      </c>
      <c r="B3594" s="876">
        <f t="shared" si="473"/>
        <v>5</v>
      </c>
      <c r="C3594" s="877">
        <f t="shared" si="471"/>
        <v>42521</v>
      </c>
      <c r="D3594" s="878" t="s">
        <v>1663</v>
      </c>
      <c r="E3594" s="912">
        <v>42521</v>
      </c>
      <c r="F3594" s="888" t="s">
        <v>525</v>
      </c>
      <c r="G3594" s="913" t="s">
        <v>697</v>
      </c>
      <c r="H3594" s="881" t="s">
        <v>1313</v>
      </c>
      <c r="I3594" s="882">
        <v>534</v>
      </c>
      <c r="J3594" s="882">
        <v>17545.322097378277</v>
      </c>
      <c r="K3594" s="883">
        <f t="shared" si="474"/>
        <v>9369202</v>
      </c>
      <c r="L3594" s="884" t="s">
        <v>857</v>
      </c>
      <c r="M3594" s="884" t="s">
        <v>160</v>
      </c>
      <c r="N3594" s="52" t="str">
        <f>IF(AND('331-CT'!$E$7=TH!H3594,OR(L3594="331",M3594="331")),"331",IF(AND(OR(L3594="131",M3594="131"),H3594='131-CT'!$E$7),"131",""))</f>
        <v/>
      </c>
      <c r="O3594" s="52" t="str">
        <f>IF(AND($B3594&gt;='111'!$N$11,$B3594&lt;='111'!$O$11,OR($L3594=$O$7,$M3594=$O$7)),"x","")</f>
        <v/>
      </c>
      <c r="P3594" s="52" t="str">
        <f>IF(AND($L3594=$O$7,$B3594&lt;'111'!$N$11),"x","")</f>
        <v/>
      </c>
      <c r="Q3594" s="52" t="str">
        <f>IF(AND($M3594=$O$7,$B3594&lt;'111'!$N$11),"x","")</f>
        <v/>
      </c>
      <c r="R3594" s="52" t="str">
        <f>IF(ISERROR(FIND('112'!$M$9,G3594,1)),"",IF((AND(FIND('112'!$M$9,G3594,1)&gt;=1,$B3594&gt;='112'!$N$8,$B3594&lt;='112'!$O$8,OR($L3594='112'!$I$6,$M3594='112'!$I$6))),"x",""))</f>
        <v/>
      </c>
      <c r="S3594" s="52" t="str">
        <f>IF(ISERROR(FIND('112'!$M$9,G3594,1)),"",IF((AND(LEFT(G3594,2)=LEFT('112'!$M$9,2),B3594&lt;'112'!$N$8,$L3594='112'!$I$6)),"x",""))</f>
        <v/>
      </c>
      <c r="T3594" s="52" t="str">
        <f>IF(ISERROR(FIND('112'!$M$9,G3594,1)),"",IF((AND(RIGHT(G3594,2)=RIGHT('112'!$M$9,2),B3594&lt;'112'!$N$8,$M3594='112'!$I$6)),"x",""))</f>
        <v/>
      </c>
      <c r="U3594" s="52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826"/>
    </row>
    <row r="3595" spans="1:27" ht="15.75" customHeight="1">
      <c r="A3595" s="827" t="str">
        <f>IF(B3595&lt;&gt;"",IF(AND(B3595&gt;=_TM1,B3595&lt;=_TM2,OR(TH!L3595="1111",TH!M3595="1111")),TH!D3595,""),"")</f>
        <v/>
      </c>
      <c r="B3595" s="876">
        <f t="shared" si="473"/>
        <v>5</v>
      </c>
      <c r="C3595" s="877">
        <f t="shared" si="471"/>
        <v>42521</v>
      </c>
      <c r="D3595" s="878" t="s">
        <v>1663</v>
      </c>
      <c r="E3595" s="912">
        <v>42521</v>
      </c>
      <c r="F3595" s="891" t="s">
        <v>477</v>
      </c>
      <c r="G3595" s="913" t="s">
        <v>697</v>
      </c>
      <c r="H3595" s="881" t="s">
        <v>1313</v>
      </c>
      <c r="I3595" s="882">
        <v>170</v>
      </c>
      <c r="J3595" s="882">
        <v>65698.647058823524</v>
      </c>
      <c r="K3595" s="883">
        <f t="shared" si="474"/>
        <v>11168770</v>
      </c>
      <c r="L3595" s="884" t="s">
        <v>857</v>
      </c>
      <c r="M3595" s="884" t="s">
        <v>160</v>
      </c>
      <c r="N3595" s="52" t="str">
        <f>IF(AND('331-CT'!$E$7=TH!H3595,OR(L3595="331",M3595="331")),"331",IF(AND(OR(L3595="131",M3595="131"),H3595='131-CT'!$E$7),"131",""))</f>
        <v/>
      </c>
      <c r="O3595" s="52" t="str">
        <f>IF(AND($B3595&gt;='111'!$N$11,$B3595&lt;='111'!$O$11,OR($L3595=$O$7,$M3595=$O$7)),"x","")</f>
        <v/>
      </c>
      <c r="P3595" s="52" t="str">
        <f>IF(AND($L3595=$O$7,$B3595&lt;'111'!$N$11),"x","")</f>
        <v/>
      </c>
      <c r="Q3595" s="52" t="str">
        <f>IF(AND($M3595=$O$7,$B3595&lt;'111'!$N$11),"x","")</f>
        <v/>
      </c>
      <c r="R3595" s="52" t="str">
        <f>IF(ISERROR(FIND('112'!$M$9,G3595,1)),"",IF((AND(FIND('112'!$M$9,G3595,1)&gt;=1,$B3595&gt;='112'!$N$8,$B3595&lt;='112'!$O$8,OR($L3595='112'!$I$6,$M3595='112'!$I$6))),"x",""))</f>
        <v/>
      </c>
      <c r="S3595" s="52" t="str">
        <f>IF(ISERROR(FIND('112'!$M$9,G3595,1)),"",IF((AND(LEFT(G3595,2)=LEFT('112'!$M$9,2),B3595&lt;'112'!$N$8,$L3595='112'!$I$6)),"x",""))</f>
        <v/>
      </c>
      <c r="T3595" s="52" t="str">
        <f>IF(ISERROR(FIND('112'!$M$9,G3595,1)),"",IF((AND(RIGHT(G3595,2)=RIGHT('112'!$M$9,2),B3595&lt;'112'!$N$8,$M3595='112'!$I$6)),"x",""))</f>
        <v/>
      </c>
      <c r="U3595" s="52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826"/>
    </row>
    <row r="3596" spans="1:27" ht="15.75" customHeight="1">
      <c r="A3596" s="827" t="str">
        <f>IF(B3596&lt;&gt;"",IF(AND(B3596&gt;=_TM1,B3596&lt;=_TM2,OR(TH!L3596="1111",TH!M3596="1111")),TH!D3596,""),"")</f>
        <v/>
      </c>
      <c r="B3596" s="876">
        <f t="shared" si="473"/>
        <v>6</v>
      </c>
      <c r="C3596" s="877">
        <f t="shared" si="471"/>
        <v>42523</v>
      </c>
      <c r="D3596" s="878" t="s">
        <v>1663</v>
      </c>
      <c r="E3596" s="912">
        <v>42523</v>
      </c>
      <c r="F3596" s="888" t="s">
        <v>696</v>
      </c>
      <c r="G3596" s="913" t="s">
        <v>726</v>
      </c>
      <c r="H3596" s="881" t="s">
        <v>1313</v>
      </c>
      <c r="I3596" s="882">
        <v>1000</v>
      </c>
      <c r="J3596" s="882">
        <v>13696.317999999999</v>
      </c>
      <c r="K3596" s="883">
        <f t="shared" si="474"/>
        <v>13696318</v>
      </c>
      <c r="L3596" s="884" t="s">
        <v>857</v>
      </c>
      <c r="M3596" s="884" t="s">
        <v>160</v>
      </c>
      <c r="N3596" s="52" t="str">
        <f>IF(AND('331-CT'!$E$7=TH!H3596,OR(L3596="331",M3596="331")),"331",IF(AND(OR(L3596="131",M3596="131"),H3596='131-CT'!$E$7),"131",""))</f>
        <v/>
      </c>
      <c r="O3596" s="52" t="str">
        <f>IF(AND($B3596&gt;='111'!$N$11,$B3596&lt;='111'!$O$11,OR($L3596=$O$7,$M3596=$O$7)),"x","")</f>
        <v/>
      </c>
      <c r="P3596" s="52" t="str">
        <f>IF(AND($L3596=$O$7,$B3596&lt;'111'!$N$11),"x","")</f>
        <v/>
      </c>
      <c r="Q3596" s="52" t="str">
        <f>IF(AND($M3596=$O$7,$B3596&lt;'111'!$N$11),"x","")</f>
        <v/>
      </c>
      <c r="R3596" s="52" t="str">
        <f>IF(ISERROR(FIND('112'!$M$9,G3596,1)),"",IF((AND(FIND('112'!$M$9,G3596,1)&gt;=1,$B3596&gt;='112'!$N$8,$B3596&lt;='112'!$O$8,OR($L3596='112'!$I$6,$M3596='112'!$I$6))),"x",""))</f>
        <v/>
      </c>
      <c r="S3596" s="52" t="str">
        <f>IF(ISERROR(FIND('112'!$M$9,G3596,1)),"",IF((AND(LEFT(G3596,2)=LEFT('112'!$M$9,2),B3596&lt;'112'!$N$8,$L3596='112'!$I$6)),"x",""))</f>
        <v/>
      </c>
      <c r="T3596" s="52" t="str">
        <f>IF(ISERROR(FIND('112'!$M$9,G3596,1)),"",IF((AND(RIGHT(G3596,2)=RIGHT('112'!$M$9,2),B3596&lt;'112'!$N$8,$M3596='112'!$I$6)),"x",""))</f>
        <v/>
      </c>
      <c r="U3596" s="52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826"/>
    </row>
    <row r="3597" spans="1:27" ht="15.75" customHeight="1">
      <c r="A3597" s="827" t="str">
        <f>IF(B3597&lt;&gt;"",IF(AND(B3597&gt;=_TM1,B3597&lt;=_TM2,OR(TH!L3597="1111",TH!M3597="1111")),TH!D3597,""),"")</f>
        <v/>
      </c>
      <c r="B3597" s="876">
        <f t="shared" si="473"/>
        <v>6</v>
      </c>
      <c r="C3597" s="877">
        <f t="shared" si="471"/>
        <v>42527</v>
      </c>
      <c r="D3597" s="878" t="s">
        <v>1663</v>
      </c>
      <c r="E3597" s="912">
        <v>42527</v>
      </c>
      <c r="F3597" s="891" t="s">
        <v>921</v>
      </c>
      <c r="G3597" s="913" t="s">
        <v>733</v>
      </c>
      <c r="H3597" s="881" t="s">
        <v>1313</v>
      </c>
      <c r="I3597" s="882">
        <v>2000</v>
      </c>
      <c r="J3597" s="882">
        <v>6901.8615</v>
      </c>
      <c r="K3597" s="883">
        <f t="shared" si="474"/>
        <v>13803723</v>
      </c>
      <c r="L3597" s="884" t="s">
        <v>857</v>
      </c>
      <c r="M3597" s="884" t="s">
        <v>160</v>
      </c>
      <c r="N3597" s="52" t="str">
        <f>IF(AND('331-CT'!$E$7=TH!H3597,OR(L3597="331",M3597="331")),"331",IF(AND(OR(L3597="131",M3597="131"),H3597='131-CT'!$E$7),"131",""))</f>
        <v/>
      </c>
      <c r="O3597" s="52" t="str">
        <f>IF(AND($B3597&gt;='111'!$N$11,$B3597&lt;='111'!$O$11,OR($L3597=$O$7,$M3597=$O$7)),"x","")</f>
        <v/>
      </c>
      <c r="P3597" s="52" t="str">
        <f>IF(AND($L3597=$O$7,$B3597&lt;'111'!$N$11),"x","")</f>
        <v/>
      </c>
      <c r="Q3597" s="52" t="str">
        <f>IF(AND($M3597=$O$7,$B3597&lt;'111'!$N$11),"x","")</f>
        <v/>
      </c>
      <c r="R3597" s="52" t="str">
        <f>IF(ISERROR(FIND('112'!$M$9,G3597,1)),"",IF((AND(FIND('112'!$M$9,G3597,1)&gt;=1,$B3597&gt;='112'!$N$8,$B3597&lt;='112'!$O$8,OR($L3597='112'!$I$6,$M3597='112'!$I$6))),"x",""))</f>
        <v/>
      </c>
      <c r="S3597" s="52" t="str">
        <f>IF(ISERROR(FIND('112'!$M$9,G3597,1)),"",IF((AND(LEFT(G3597,2)=LEFT('112'!$M$9,2),B3597&lt;'112'!$N$8,$L3597='112'!$I$6)),"x",""))</f>
        <v/>
      </c>
      <c r="T3597" s="52" t="str">
        <f>IF(ISERROR(FIND('112'!$M$9,G3597,1)),"",IF((AND(RIGHT(G3597,2)=RIGHT('112'!$M$9,2),B3597&lt;'112'!$N$8,$M3597='112'!$I$6)),"x",""))</f>
        <v/>
      </c>
      <c r="U3597" s="52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826"/>
    </row>
    <row r="3598" spans="1:27" ht="15.75" customHeight="1">
      <c r="A3598" s="827" t="str">
        <f>IF(B3598&lt;&gt;"",IF(AND(B3598&gt;=_TM1,B3598&lt;=_TM2,OR(TH!L3598="1111",TH!M3598="1111")),TH!D3598,""),"")</f>
        <v/>
      </c>
      <c r="B3598" s="876">
        <f t="shared" si="473"/>
        <v>6</v>
      </c>
      <c r="C3598" s="877">
        <f t="shared" si="471"/>
        <v>42527</v>
      </c>
      <c r="D3598" s="878" t="s">
        <v>1663</v>
      </c>
      <c r="E3598" s="912">
        <v>42527</v>
      </c>
      <c r="F3598" s="891" t="s">
        <v>637</v>
      </c>
      <c r="G3598" s="913" t="s">
        <v>733</v>
      </c>
      <c r="H3598" s="881" t="s">
        <v>1313</v>
      </c>
      <c r="I3598" s="882">
        <v>2050</v>
      </c>
      <c r="J3598" s="882">
        <v>6129.2404878048783</v>
      </c>
      <c r="K3598" s="883">
        <f t="shared" si="474"/>
        <v>12564943</v>
      </c>
      <c r="L3598" s="884" t="s">
        <v>857</v>
      </c>
      <c r="M3598" s="884" t="s">
        <v>160</v>
      </c>
      <c r="N3598" s="52" t="str">
        <f>IF(AND('331-CT'!$E$7=TH!H3598,OR(L3598="331",M3598="331")),"331",IF(AND(OR(L3598="131",M3598="131"),H3598='131-CT'!$E$7),"131",""))</f>
        <v/>
      </c>
      <c r="O3598" s="52" t="str">
        <f>IF(AND($B3598&gt;='111'!$N$11,$B3598&lt;='111'!$O$11,OR($L3598=$O$7,$M3598=$O$7)),"x","")</f>
        <v/>
      </c>
      <c r="P3598" s="52" t="str">
        <f>IF(AND($L3598=$O$7,$B3598&lt;'111'!$N$11),"x","")</f>
        <v/>
      </c>
      <c r="Q3598" s="52" t="str">
        <f>IF(AND($M3598=$O$7,$B3598&lt;'111'!$N$11),"x","")</f>
        <v/>
      </c>
      <c r="R3598" s="52" t="str">
        <f>IF(ISERROR(FIND('112'!$M$9,G3598,1)),"",IF((AND(FIND('112'!$M$9,G3598,1)&gt;=1,$B3598&gt;='112'!$N$8,$B3598&lt;='112'!$O$8,OR($L3598='112'!$I$6,$M3598='112'!$I$6))),"x",""))</f>
        <v/>
      </c>
      <c r="S3598" s="52" t="str">
        <f>IF(ISERROR(FIND('112'!$M$9,G3598,1)),"",IF((AND(LEFT(G3598,2)=LEFT('112'!$M$9,2),B3598&lt;'112'!$N$8,$L3598='112'!$I$6)),"x",""))</f>
        <v/>
      </c>
      <c r="T3598" s="52" t="str">
        <f>IF(ISERROR(FIND('112'!$M$9,G3598,1)),"",IF((AND(RIGHT(G3598,2)=RIGHT('112'!$M$9,2),B3598&lt;'112'!$N$8,$M3598='112'!$I$6)),"x",""))</f>
        <v/>
      </c>
      <c r="U3598" s="52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826"/>
    </row>
    <row r="3599" spans="1:27" ht="15.75" customHeight="1">
      <c r="A3599" s="827" t="str">
        <f>IF(B3599&lt;&gt;"",IF(AND(B3599&gt;=_TM1,B3599&lt;=_TM2,OR(TH!L3599="1111",TH!M3599="1111")),TH!D3599,""),"")</f>
        <v/>
      </c>
      <c r="B3599" s="876">
        <f t="shared" si="473"/>
        <v>6</v>
      </c>
      <c r="C3599" s="877">
        <f t="shared" si="471"/>
        <v>42532</v>
      </c>
      <c r="D3599" s="878" t="s">
        <v>1663</v>
      </c>
      <c r="E3599" s="912">
        <v>42532</v>
      </c>
      <c r="F3599" s="888" t="s">
        <v>656</v>
      </c>
      <c r="G3599" s="913" t="s">
        <v>751</v>
      </c>
      <c r="H3599" s="881" t="s">
        <v>1313</v>
      </c>
      <c r="I3599" s="882">
        <v>5000</v>
      </c>
      <c r="J3599" s="882">
        <v>4656.5320000000002</v>
      </c>
      <c r="K3599" s="883">
        <f t="shared" si="474"/>
        <v>23282660</v>
      </c>
      <c r="L3599" s="884" t="s">
        <v>857</v>
      </c>
      <c r="M3599" s="884" t="s">
        <v>160</v>
      </c>
      <c r="N3599" s="52" t="str">
        <f>IF(AND('331-CT'!$E$7=TH!H3599,OR(L3599="331",M3599="331")),"331",IF(AND(OR(L3599="131",M3599="131"),H3599='131-CT'!$E$7),"131",""))</f>
        <v/>
      </c>
      <c r="O3599" s="52" t="str">
        <f>IF(AND($B3599&gt;='111'!$N$11,$B3599&lt;='111'!$O$11,OR($L3599=$O$7,$M3599=$O$7)),"x","")</f>
        <v/>
      </c>
      <c r="P3599" s="52" t="str">
        <f>IF(AND($L3599=$O$7,$B3599&lt;'111'!$N$11),"x","")</f>
        <v/>
      </c>
      <c r="Q3599" s="52" t="str">
        <f>IF(AND($M3599=$O$7,$B3599&lt;'111'!$N$11),"x","")</f>
        <v/>
      </c>
      <c r="R3599" s="52" t="str">
        <f>IF(ISERROR(FIND('112'!$M$9,G3599,1)),"",IF((AND(FIND('112'!$M$9,G3599,1)&gt;=1,$B3599&gt;='112'!$N$8,$B3599&lt;='112'!$O$8,OR($L3599='112'!$I$6,$M3599='112'!$I$6))),"x",""))</f>
        <v/>
      </c>
      <c r="S3599" s="52" t="str">
        <f>IF(ISERROR(FIND('112'!$M$9,G3599,1)),"",IF((AND(LEFT(G3599,2)=LEFT('112'!$M$9,2),B3599&lt;'112'!$N$8,$L3599='112'!$I$6)),"x",""))</f>
        <v/>
      </c>
      <c r="T3599" s="52" t="str">
        <f>IF(ISERROR(FIND('112'!$M$9,G3599,1)),"",IF((AND(RIGHT(G3599,2)=RIGHT('112'!$M$9,2),B3599&lt;'112'!$N$8,$M3599='112'!$I$6)),"x",""))</f>
        <v/>
      </c>
      <c r="U3599" s="52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826"/>
    </row>
    <row r="3600" spans="1:27" ht="15.75" customHeight="1">
      <c r="A3600" s="827" t="str">
        <f>IF(B3600&lt;&gt;"",IF(AND(B3600&gt;=_TM1,B3600&lt;=_TM2,OR(TH!L3600="1111",TH!M3600="1111")),TH!D3600,""),"")</f>
        <v/>
      </c>
      <c r="B3600" s="876">
        <f t="shared" si="473"/>
        <v>6</v>
      </c>
      <c r="C3600" s="877">
        <f t="shared" si="471"/>
        <v>42532</v>
      </c>
      <c r="D3600" s="878" t="s">
        <v>1663</v>
      </c>
      <c r="E3600" s="912">
        <v>42532</v>
      </c>
      <c r="F3600" s="891" t="s">
        <v>664</v>
      </c>
      <c r="G3600" s="913" t="s">
        <v>751</v>
      </c>
      <c r="H3600" s="881" t="s">
        <v>1313</v>
      </c>
      <c r="I3600" s="882">
        <v>210</v>
      </c>
      <c r="J3600" s="882">
        <v>86211.923809523811</v>
      </c>
      <c r="K3600" s="883">
        <f t="shared" si="474"/>
        <v>18104504</v>
      </c>
      <c r="L3600" s="884" t="s">
        <v>857</v>
      </c>
      <c r="M3600" s="884" t="s">
        <v>160</v>
      </c>
      <c r="N3600" s="52" t="str">
        <f>IF(AND('331-CT'!$E$7=TH!H3600,OR(L3600="331",M3600="331")),"331",IF(AND(OR(L3600="131",M3600="131"),H3600='131-CT'!$E$7),"131",""))</f>
        <v/>
      </c>
      <c r="O3600" s="52" t="str">
        <f>IF(AND($B3600&gt;='111'!$N$11,$B3600&lt;='111'!$O$11,OR($L3600=$O$7,$M3600=$O$7)),"x","")</f>
        <v/>
      </c>
      <c r="P3600" s="52" t="str">
        <f>IF(AND($L3600=$O$7,$B3600&lt;'111'!$N$11),"x","")</f>
        <v/>
      </c>
      <c r="Q3600" s="52" t="str">
        <f>IF(AND($M3600=$O$7,$B3600&lt;'111'!$N$11),"x","")</f>
        <v/>
      </c>
      <c r="R3600" s="52" t="str">
        <f>IF(ISERROR(FIND('112'!$M$9,G3600,1)),"",IF((AND(FIND('112'!$M$9,G3600,1)&gt;=1,$B3600&gt;='112'!$N$8,$B3600&lt;='112'!$O$8,OR($L3600='112'!$I$6,$M3600='112'!$I$6))),"x",""))</f>
        <v/>
      </c>
      <c r="S3600" s="52" t="str">
        <f>IF(ISERROR(FIND('112'!$M$9,G3600,1)),"",IF((AND(LEFT(G3600,2)=LEFT('112'!$M$9,2),B3600&lt;'112'!$N$8,$L3600='112'!$I$6)),"x",""))</f>
        <v/>
      </c>
      <c r="T3600" s="52" t="str">
        <f>IF(ISERROR(FIND('112'!$M$9,G3600,1)),"",IF((AND(RIGHT(G3600,2)=RIGHT('112'!$M$9,2),B3600&lt;'112'!$N$8,$M3600='112'!$I$6)),"x",""))</f>
        <v/>
      </c>
      <c r="U3600" s="52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826"/>
    </row>
    <row r="3601" spans="1:27" ht="15.75" customHeight="1">
      <c r="A3601" s="827" t="str">
        <f>IF(B3601&lt;&gt;"",IF(AND(B3601&gt;=_TM1,B3601&lt;=_TM2,OR(TH!L3601="1111",TH!M3601="1111")),TH!D3601,""),"")</f>
        <v/>
      </c>
      <c r="B3601" s="876">
        <f t="shared" si="473"/>
        <v>6</v>
      </c>
      <c r="C3601" s="877">
        <f t="shared" si="471"/>
        <v>42532</v>
      </c>
      <c r="D3601" s="878" t="s">
        <v>1663</v>
      </c>
      <c r="E3601" s="912">
        <v>42532</v>
      </c>
      <c r="F3601" s="888" t="s">
        <v>766</v>
      </c>
      <c r="G3601" s="913" t="s">
        <v>751</v>
      </c>
      <c r="H3601" s="881" t="s">
        <v>1313</v>
      </c>
      <c r="I3601" s="882">
        <v>600</v>
      </c>
      <c r="J3601" s="882">
        <v>13625.065000000001</v>
      </c>
      <c r="K3601" s="883">
        <f t="shared" si="474"/>
        <v>8175039</v>
      </c>
      <c r="L3601" s="884" t="s">
        <v>857</v>
      </c>
      <c r="M3601" s="884" t="s">
        <v>160</v>
      </c>
      <c r="N3601" s="52" t="str">
        <f>IF(AND('331-CT'!$E$7=TH!H3601,OR(L3601="331",M3601="331")),"331",IF(AND(OR(L3601="131",M3601="131"),H3601='131-CT'!$E$7),"131",""))</f>
        <v/>
      </c>
      <c r="O3601" s="52" t="str">
        <f>IF(AND($B3601&gt;='111'!$N$11,$B3601&lt;='111'!$O$11,OR($L3601=$O$7,$M3601=$O$7)),"x","")</f>
        <v/>
      </c>
      <c r="P3601" s="52" t="str">
        <f>IF(AND($L3601=$O$7,$B3601&lt;'111'!$N$11),"x","")</f>
        <v/>
      </c>
      <c r="Q3601" s="52" t="str">
        <f>IF(AND($M3601=$O$7,$B3601&lt;'111'!$N$11),"x","")</f>
        <v/>
      </c>
      <c r="R3601" s="52" t="str">
        <f>IF(ISERROR(FIND('112'!$M$9,G3601,1)),"",IF((AND(FIND('112'!$M$9,G3601,1)&gt;=1,$B3601&gt;='112'!$N$8,$B3601&lt;='112'!$O$8,OR($L3601='112'!$I$6,$M3601='112'!$I$6))),"x",""))</f>
        <v/>
      </c>
      <c r="S3601" s="52" t="str">
        <f>IF(ISERROR(FIND('112'!$M$9,G3601,1)),"",IF((AND(LEFT(G3601,2)=LEFT('112'!$M$9,2),B3601&lt;'112'!$N$8,$L3601='112'!$I$6)),"x",""))</f>
        <v/>
      </c>
      <c r="T3601" s="52" t="str">
        <f>IF(ISERROR(FIND('112'!$M$9,G3601,1)),"",IF((AND(RIGHT(G3601,2)=RIGHT('112'!$M$9,2),B3601&lt;'112'!$N$8,$M3601='112'!$I$6)),"x",""))</f>
        <v/>
      </c>
      <c r="U3601" s="52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826"/>
    </row>
    <row r="3602" spans="1:27" ht="15.75" customHeight="1">
      <c r="A3602" s="827" t="str">
        <f>IF(B3602&lt;&gt;"",IF(AND(B3602&gt;=_TM1,B3602&lt;=_TM2,OR(TH!L3602="1111",TH!M3602="1111")),TH!D3602,""),"")</f>
        <v/>
      </c>
      <c r="B3602" s="876">
        <f t="shared" si="473"/>
        <v>6</v>
      </c>
      <c r="C3602" s="877">
        <f t="shared" si="471"/>
        <v>42532</v>
      </c>
      <c r="D3602" s="878" t="s">
        <v>1663</v>
      </c>
      <c r="E3602" s="912">
        <v>42532</v>
      </c>
      <c r="F3602" s="891" t="s">
        <v>772</v>
      </c>
      <c r="G3602" s="913" t="s">
        <v>751</v>
      </c>
      <c r="H3602" s="881" t="s">
        <v>1313</v>
      </c>
      <c r="I3602" s="882">
        <v>150</v>
      </c>
      <c r="J3602" s="882">
        <v>11425.993333333334</v>
      </c>
      <c r="K3602" s="883">
        <f t="shared" si="474"/>
        <v>1713899</v>
      </c>
      <c r="L3602" s="884" t="s">
        <v>857</v>
      </c>
      <c r="M3602" s="884" t="s">
        <v>160</v>
      </c>
      <c r="N3602" s="52" t="str">
        <f>IF(AND('331-CT'!$E$7=TH!H3602,OR(L3602="331",M3602="331")),"331",IF(AND(OR(L3602="131",M3602="131"),H3602='131-CT'!$E$7),"131",""))</f>
        <v/>
      </c>
      <c r="O3602" s="52" t="str">
        <f>IF(AND($B3602&gt;='111'!$N$11,$B3602&lt;='111'!$O$11,OR($L3602=$O$7,$M3602=$O$7)),"x","")</f>
        <v/>
      </c>
      <c r="P3602" s="52" t="str">
        <f>IF(AND($L3602=$O$7,$B3602&lt;'111'!$N$11),"x","")</f>
        <v/>
      </c>
      <c r="Q3602" s="52" t="str">
        <f>IF(AND($M3602=$O$7,$B3602&lt;'111'!$N$11),"x","")</f>
        <v/>
      </c>
      <c r="R3602" s="52" t="str">
        <f>IF(ISERROR(FIND('112'!$M$9,G3602,1)),"",IF((AND(FIND('112'!$M$9,G3602,1)&gt;=1,$B3602&gt;='112'!$N$8,$B3602&lt;='112'!$O$8,OR($L3602='112'!$I$6,$M3602='112'!$I$6))),"x",""))</f>
        <v/>
      </c>
      <c r="S3602" s="52" t="str">
        <f>IF(ISERROR(FIND('112'!$M$9,G3602,1)),"",IF((AND(LEFT(G3602,2)=LEFT('112'!$M$9,2),B3602&lt;'112'!$N$8,$L3602='112'!$I$6)),"x",""))</f>
        <v/>
      </c>
      <c r="T3602" s="52" t="str">
        <f>IF(ISERROR(FIND('112'!$M$9,G3602,1)),"",IF((AND(RIGHT(G3602,2)=RIGHT('112'!$M$9,2),B3602&lt;'112'!$N$8,$M3602='112'!$I$6)),"x",""))</f>
        <v/>
      </c>
      <c r="U3602" s="52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826"/>
    </row>
    <row r="3603" spans="1:27" ht="15.75" customHeight="1">
      <c r="A3603" s="827" t="str">
        <f>IF(B3603&lt;&gt;"",IF(AND(B3603&gt;=_TM1,B3603&lt;=_TM2,OR(TH!L3603="1111",TH!M3603="1111")),TH!D3603,""),"")</f>
        <v/>
      </c>
      <c r="B3603" s="876">
        <f t="shared" si="473"/>
        <v>6</v>
      </c>
      <c r="C3603" s="877">
        <f t="shared" si="471"/>
        <v>42535</v>
      </c>
      <c r="D3603" s="878" t="s">
        <v>1663</v>
      </c>
      <c r="E3603" s="912">
        <v>42535</v>
      </c>
      <c r="F3603" s="891" t="s">
        <v>1178</v>
      </c>
      <c r="G3603" s="913" t="s">
        <v>775</v>
      </c>
      <c r="H3603" s="881" t="s">
        <v>1313</v>
      </c>
      <c r="I3603" s="882">
        <v>1250</v>
      </c>
      <c r="J3603" s="882">
        <v>34798.815999999999</v>
      </c>
      <c r="K3603" s="883">
        <f t="shared" si="474"/>
        <v>43498520</v>
      </c>
      <c r="L3603" s="884" t="s">
        <v>857</v>
      </c>
      <c r="M3603" s="884" t="s">
        <v>160</v>
      </c>
      <c r="N3603" s="52" t="str">
        <f>IF(AND('331-CT'!$E$7=TH!H3603,OR(L3603="331",M3603="331")),"331",IF(AND(OR(L3603="131",M3603="131"),H3603='131-CT'!$E$7),"131",""))</f>
        <v/>
      </c>
      <c r="O3603" s="52" t="str">
        <f>IF(AND($B3603&gt;='111'!$N$11,$B3603&lt;='111'!$O$11,OR($L3603=$O$7,$M3603=$O$7)),"x","")</f>
        <v/>
      </c>
      <c r="P3603" s="52" t="str">
        <f>IF(AND($L3603=$O$7,$B3603&lt;'111'!$N$11),"x","")</f>
        <v/>
      </c>
      <c r="Q3603" s="52" t="str">
        <f>IF(AND($M3603=$O$7,$B3603&lt;'111'!$N$11),"x","")</f>
        <v/>
      </c>
      <c r="R3603" s="52" t="str">
        <f>IF(ISERROR(FIND('112'!$M$9,G3603,1)),"",IF((AND(FIND('112'!$M$9,G3603,1)&gt;=1,$B3603&gt;='112'!$N$8,$B3603&lt;='112'!$O$8,OR($L3603='112'!$I$6,$M3603='112'!$I$6))),"x",""))</f>
        <v/>
      </c>
      <c r="S3603" s="52" t="str">
        <f>IF(ISERROR(FIND('112'!$M$9,G3603,1)),"",IF((AND(LEFT(G3603,2)=LEFT('112'!$M$9,2),B3603&lt;'112'!$N$8,$L3603='112'!$I$6)),"x",""))</f>
        <v/>
      </c>
      <c r="T3603" s="52" t="str">
        <f>IF(ISERROR(FIND('112'!$M$9,G3603,1)),"",IF((AND(RIGHT(G3603,2)=RIGHT('112'!$M$9,2),B3603&lt;'112'!$N$8,$M3603='112'!$I$6)),"x",""))</f>
        <v/>
      </c>
      <c r="U3603" s="52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826"/>
    </row>
    <row r="3604" spans="1:27" ht="15.75" customHeight="1">
      <c r="A3604" s="827" t="str">
        <f>IF(B3604&lt;&gt;"",IF(AND(B3604&gt;=_TM1,B3604&lt;=_TM2,OR(TH!L3604="1111",TH!M3604="1111")),TH!D3604,""),"")</f>
        <v/>
      </c>
      <c r="B3604" s="876">
        <f t="shared" si="473"/>
        <v>6</v>
      </c>
      <c r="C3604" s="877">
        <f t="shared" ref="C3604:C3631" si="475">E3604</f>
        <v>42535</v>
      </c>
      <c r="D3604" s="878" t="s">
        <v>1663</v>
      </c>
      <c r="E3604" s="912">
        <v>42535</v>
      </c>
      <c r="F3604" s="891" t="s">
        <v>1179</v>
      </c>
      <c r="G3604" s="913" t="s">
        <v>775</v>
      </c>
      <c r="H3604" s="881" t="s">
        <v>1313</v>
      </c>
      <c r="I3604" s="882">
        <v>1300</v>
      </c>
      <c r="J3604" s="882">
        <v>32390.096923076922</v>
      </c>
      <c r="K3604" s="883">
        <f t="shared" si="474"/>
        <v>42107126</v>
      </c>
      <c r="L3604" s="884" t="s">
        <v>857</v>
      </c>
      <c r="M3604" s="884" t="s">
        <v>160</v>
      </c>
      <c r="N3604" s="52" t="str">
        <f>IF(AND('331-CT'!$E$7=TH!H3604,OR(L3604="331",M3604="331")),"331",IF(AND(OR(L3604="131",M3604="131"),H3604='131-CT'!$E$7),"131",""))</f>
        <v/>
      </c>
      <c r="O3604" s="52" t="str">
        <f>IF(AND($B3604&gt;='111'!$N$11,$B3604&lt;='111'!$O$11,OR($L3604=$O$7,$M3604=$O$7)),"x","")</f>
        <v/>
      </c>
      <c r="P3604" s="52" t="str">
        <f>IF(AND($L3604=$O$7,$B3604&lt;'111'!$N$11),"x","")</f>
        <v/>
      </c>
      <c r="Q3604" s="52" t="str">
        <f>IF(AND($M3604=$O$7,$B3604&lt;'111'!$N$11),"x","")</f>
        <v/>
      </c>
      <c r="R3604" s="52" t="str">
        <f>IF(ISERROR(FIND('112'!$M$9,G3604,1)),"",IF((AND(FIND('112'!$M$9,G3604,1)&gt;=1,$B3604&gt;='112'!$N$8,$B3604&lt;='112'!$O$8,OR($L3604='112'!$I$6,$M3604='112'!$I$6))),"x",""))</f>
        <v/>
      </c>
      <c r="S3604" s="52" t="str">
        <f>IF(ISERROR(FIND('112'!$M$9,G3604,1)),"",IF((AND(LEFT(G3604,2)=LEFT('112'!$M$9,2),B3604&lt;'112'!$N$8,$L3604='112'!$I$6)),"x",""))</f>
        <v/>
      </c>
      <c r="T3604" s="52" t="str">
        <f>IF(ISERROR(FIND('112'!$M$9,G3604,1)),"",IF((AND(RIGHT(G3604,2)=RIGHT('112'!$M$9,2),B3604&lt;'112'!$N$8,$M3604='112'!$I$6)),"x",""))</f>
        <v/>
      </c>
      <c r="U3604" s="52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826"/>
    </row>
    <row r="3605" spans="1:27" ht="15.75" customHeight="1">
      <c r="A3605" s="827" t="str">
        <f>IF(B3605&lt;&gt;"",IF(AND(B3605&gt;=_TM1,B3605&lt;=_TM2,OR(TH!L3605="1111",TH!M3605="1111")),TH!D3605,""),"")</f>
        <v/>
      </c>
      <c r="B3605" s="876">
        <f t="shared" si="473"/>
        <v>6</v>
      </c>
      <c r="C3605" s="877">
        <f t="shared" si="475"/>
        <v>42536</v>
      </c>
      <c r="D3605" s="878" t="s">
        <v>1663</v>
      </c>
      <c r="E3605" s="912">
        <v>42536</v>
      </c>
      <c r="F3605" s="888" t="s">
        <v>659</v>
      </c>
      <c r="G3605" s="913" t="s">
        <v>778</v>
      </c>
      <c r="H3605" s="881" t="s">
        <v>1313</v>
      </c>
      <c r="I3605" s="882">
        <v>1000</v>
      </c>
      <c r="J3605" s="882">
        <v>9700.3320000000003</v>
      </c>
      <c r="K3605" s="883">
        <f t="shared" si="474"/>
        <v>9700332</v>
      </c>
      <c r="L3605" s="884" t="s">
        <v>857</v>
      </c>
      <c r="M3605" s="884" t="s">
        <v>160</v>
      </c>
      <c r="N3605" s="52" t="str">
        <f>IF(AND('331-CT'!$E$7=TH!H3605,OR(L3605="331",M3605="331")),"331",IF(AND(OR(L3605="131",M3605="131"),H3605='131-CT'!$E$7),"131",""))</f>
        <v/>
      </c>
      <c r="O3605" s="52" t="str">
        <f>IF(AND($B3605&gt;='111'!$N$11,$B3605&lt;='111'!$O$11,OR($L3605=$O$7,$M3605=$O$7)),"x","")</f>
        <v/>
      </c>
      <c r="P3605" s="52" t="str">
        <f>IF(AND($L3605=$O$7,$B3605&lt;'111'!$N$11),"x","")</f>
        <v/>
      </c>
      <c r="Q3605" s="52" t="str">
        <f>IF(AND($M3605=$O$7,$B3605&lt;'111'!$N$11),"x","")</f>
        <v/>
      </c>
      <c r="R3605" s="52" t="str">
        <f>IF(ISERROR(FIND('112'!$M$9,G3605,1)),"",IF((AND(FIND('112'!$M$9,G3605,1)&gt;=1,$B3605&gt;='112'!$N$8,$B3605&lt;='112'!$O$8,OR($L3605='112'!$I$6,$M3605='112'!$I$6))),"x",""))</f>
        <v/>
      </c>
      <c r="S3605" s="52" t="str">
        <f>IF(ISERROR(FIND('112'!$M$9,G3605,1)),"",IF((AND(LEFT(G3605,2)=LEFT('112'!$M$9,2),B3605&lt;'112'!$N$8,$L3605='112'!$I$6)),"x",""))</f>
        <v/>
      </c>
      <c r="T3605" s="52" t="str">
        <f>IF(ISERROR(FIND('112'!$M$9,G3605,1)),"",IF((AND(RIGHT(G3605,2)=RIGHT('112'!$M$9,2),B3605&lt;'112'!$N$8,$M3605='112'!$I$6)),"x",""))</f>
        <v/>
      </c>
      <c r="U3605" s="52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826"/>
    </row>
    <row r="3606" spans="1:27" ht="15.75" customHeight="1">
      <c r="A3606" s="827" t="str">
        <f>IF(B3606&lt;&gt;"",IF(AND(B3606&gt;=_TM1,B3606&lt;=_TM2,OR(TH!L3606="1111",TH!M3606="1111")),TH!D3606,""),"")</f>
        <v/>
      </c>
      <c r="B3606" s="876">
        <f t="shared" si="473"/>
        <v>6</v>
      </c>
      <c r="C3606" s="877">
        <f t="shared" si="475"/>
        <v>42544</v>
      </c>
      <c r="D3606" s="878" t="s">
        <v>1663</v>
      </c>
      <c r="E3606" s="912">
        <v>42544</v>
      </c>
      <c r="F3606" s="891" t="s">
        <v>921</v>
      </c>
      <c r="G3606" s="913" t="s">
        <v>784</v>
      </c>
      <c r="H3606" s="881" t="s">
        <v>1313</v>
      </c>
      <c r="I3606" s="882">
        <v>2000</v>
      </c>
      <c r="J3606" s="882">
        <v>6951.3819999999996</v>
      </c>
      <c r="K3606" s="883">
        <f t="shared" si="474"/>
        <v>13902764</v>
      </c>
      <c r="L3606" s="884" t="s">
        <v>857</v>
      </c>
      <c r="M3606" s="884" t="s">
        <v>160</v>
      </c>
      <c r="N3606" s="52" t="str">
        <f>IF(AND('331-CT'!$E$7=TH!H3606,OR(L3606="331",M3606="331")),"331",IF(AND(OR(L3606="131",M3606="131"),H3606='131-CT'!$E$7),"131",""))</f>
        <v/>
      </c>
      <c r="O3606" s="52" t="str">
        <f>IF(AND($B3606&gt;='111'!$N$11,$B3606&lt;='111'!$O$11,OR($L3606=$O$7,$M3606=$O$7)),"x","")</f>
        <v/>
      </c>
      <c r="P3606" s="52" t="str">
        <f>IF(AND($L3606=$O$7,$B3606&lt;'111'!$N$11),"x","")</f>
        <v/>
      </c>
      <c r="Q3606" s="52" t="str">
        <f>IF(AND($M3606=$O$7,$B3606&lt;'111'!$N$11),"x","")</f>
        <v/>
      </c>
      <c r="R3606" s="52" t="str">
        <f>IF(ISERROR(FIND('112'!$M$9,G3606,1)),"",IF((AND(FIND('112'!$M$9,G3606,1)&gt;=1,$B3606&gt;='112'!$N$8,$B3606&lt;='112'!$O$8,OR($L3606='112'!$I$6,$M3606='112'!$I$6))),"x",""))</f>
        <v/>
      </c>
      <c r="S3606" s="52" t="str">
        <f>IF(ISERROR(FIND('112'!$M$9,G3606,1)),"",IF((AND(LEFT(G3606,2)=LEFT('112'!$M$9,2),B3606&lt;'112'!$N$8,$L3606='112'!$I$6)),"x",""))</f>
        <v/>
      </c>
      <c r="T3606" s="52" t="str">
        <f>IF(ISERROR(FIND('112'!$M$9,G3606,1)),"",IF((AND(RIGHT(G3606,2)=RIGHT('112'!$M$9,2),B3606&lt;'112'!$N$8,$M3606='112'!$I$6)),"x",""))</f>
        <v/>
      </c>
      <c r="U3606" s="52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826"/>
    </row>
    <row r="3607" spans="1:27" ht="15.75" customHeight="1">
      <c r="A3607" s="827" t="str">
        <f>IF(B3607&lt;&gt;"",IF(AND(B3607&gt;=_TM1,B3607&lt;=_TM2,OR(TH!L3607="1111",TH!M3607="1111")),TH!D3607,""),"")</f>
        <v/>
      </c>
      <c r="B3607" s="876">
        <f t="shared" si="473"/>
        <v>6</v>
      </c>
      <c r="C3607" s="877">
        <f t="shared" si="475"/>
        <v>42544</v>
      </c>
      <c r="D3607" s="878" t="s">
        <v>1663</v>
      </c>
      <c r="E3607" s="912">
        <v>42544</v>
      </c>
      <c r="F3607" s="891" t="s">
        <v>637</v>
      </c>
      <c r="G3607" s="913" t="s">
        <v>784</v>
      </c>
      <c r="H3607" s="881" t="s">
        <v>1313</v>
      </c>
      <c r="I3607" s="882">
        <v>2000</v>
      </c>
      <c r="J3607" s="882">
        <v>6137.357</v>
      </c>
      <c r="K3607" s="883">
        <f t="shared" si="474"/>
        <v>12274714</v>
      </c>
      <c r="L3607" s="884" t="s">
        <v>857</v>
      </c>
      <c r="M3607" s="884" t="s">
        <v>160</v>
      </c>
      <c r="N3607" s="52" t="str">
        <f>IF(AND('331-CT'!$E$7=TH!H3607,OR(L3607="331",M3607="331")),"331",IF(AND(OR(L3607="131",M3607="131"),H3607='131-CT'!$E$7),"131",""))</f>
        <v/>
      </c>
      <c r="O3607" s="52" t="str">
        <f>IF(AND($B3607&gt;='111'!$N$11,$B3607&lt;='111'!$O$11,OR($L3607=$O$7,$M3607=$O$7)),"x","")</f>
        <v/>
      </c>
      <c r="P3607" s="52" t="str">
        <f>IF(AND($L3607=$O$7,$B3607&lt;'111'!$N$11),"x","")</f>
        <v/>
      </c>
      <c r="Q3607" s="52" t="str">
        <f>IF(AND($M3607=$O$7,$B3607&lt;'111'!$N$11),"x","")</f>
        <v/>
      </c>
      <c r="R3607" s="52" t="str">
        <f>IF(ISERROR(FIND('112'!$M$9,G3607,1)),"",IF((AND(FIND('112'!$M$9,G3607,1)&gt;=1,$B3607&gt;='112'!$N$8,$B3607&lt;='112'!$O$8,OR($L3607='112'!$I$6,$M3607='112'!$I$6))),"x",""))</f>
        <v/>
      </c>
      <c r="S3607" s="52" t="str">
        <f>IF(ISERROR(FIND('112'!$M$9,G3607,1)),"",IF((AND(LEFT(G3607,2)=LEFT('112'!$M$9,2),B3607&lt;'112'!$N$8,$L3607='112'!$I$6)),"x",""))</f>
        <v/>
      </c>
      <c r="T3607" s="52" t="str">
        <f>IF(ISERROR(FIND('112'!$M$9,G3607,1)),"",IF((AND(RIGHT(G3607,2)=RIGHT('112'!$M$9,2),B3607&lt;'112'!$N$8,$M3607='112'!$I$6)),"x",""))</f>
        <v/>
      </c>
      <c r="U3607" s="52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826"/>
    </row>
    <row r="3608" spans="1:27" ht="15.75" customHeight="1">
      <c r="A3608" s="827" t="str">
        <f>IF(B3608&lt;&gt;"",IF(AND(B3608&gt;=_TM1,B3608&lt;=_TM2,OR(TH!L3608="1111",TH!M3608="1111")),TH!D3608,""),"")</f>
        <v/>
      </c>
      <c r="B3608" s="876">
        <f t="shared" si="473"/>
        <v>6</v>
      </c>
      <c r="C3608" s="877">
        <f t="shared" si="475"/>
        <v>42548</v>
      </c>
      <c r="D3608" s="878" t="s">
        <v>1663</v>
      </c>
      <c r="E3608" s="912">
        <v>42548</v>
      </c>
      <c r="F3608" s="914" t="s">
        <v>1302</v>
      </c>
      <c r="G3608" s="913" t="s">
        <v>786</v>
      </c>
      <c r="H3608" s="881" t="s">
        <v>1313</v>
      </c>
      <c r="I3608" s="882">
        <v>57</v>
      </c>
      <c r="J3608" s="882">
        <v>26453.438596491229</v>
      </c>
      <c r="K3608" s="883">
        <f t="shared" si="474"/>
        <v>1507846</v>
      </c>
      <c r="L3608" s="884" t="s">
        <v>857</v>
      </c>
      <c r="M3608" s="884" t="s">
        <v>160</v>
      </c>
      <c r="N3608" s="52" t="str">
        <f>IF(AND('331-CT'!$E$7=TH!H3608,OR(L3608="331",M3608="331")),"331",IF(AND(OR(L3608="131",M3608="131"),H3608='131-CT'!$E$7),"131",""))</f>
        <v/>
      </c>
      <c r="O3608" s="52" t="str">
        <f>IF(AND($B3608&gt;='111'!$N$11,$B3608&lt;='111'!$O$11,OR($L3608=$O$7,$M3608=$O$7)),"x","")</f>
        <v/>
      </c>
      <c r="P3608" s="52" t="str">
        <f>IF(AND($L3608=$O$7,$B3608&lt;'111'!$N$11),"x","")</f>
        <v/>
      </c>
      <c r="Q3608" s="52" t="str">
        <f>IF(AND($M3608=$O$7,$B3608&lt;'111'!$N$11),"x","")</f>
        <v/>
      </c>
      <c r="R3608" s="52" t="str">
        <f>IF(ISERROR(FIND('112'!$M$9,G3608,1)),"",IF((AND(FIND('112'!$M$9,G3608,1)&gt;=1,$B3608&gt;='112'!$N$8,$B3608&lt;='112'!$O$8,OR($L3608='112'!$I$6,$M3608='112'!$I$6))),"x",""))</f>
        <v/>
      </c>
      <c r="S3608" s="52" t="str">
        <f>IF(ISERROR(FIND('112'!$M$9,G3608,1)),"",IF((AND(LEFT(G3608,2)=LEFT('112'!$M$9,2),B3608&lt;'112'!$N$8,$L3608='112'!$I$6)),"x",""))</f>
        <v/>
      </c>
      <c r="T3608" s="52" t="str">
        <f>IF(ISERROR(FIND('112'!$M$9,G3608,1)),"",IF((AND(RIGHT(G3608,2)=RIGHT('112'!$M$9,2),B3608&lt;'112'!$N$8,$M3608='112'!$I$6)),"x",""))</f>
        <v/>
      </c>
      <c r="U3608" s="52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826"/>
    </row>
    <row r="3609" spans="1:27" ht="15.75" customHeight="1">
      <c r="A3609" s="827" t="str">
        <f>IF(B3609&lt;&gt;"",IF(AND(B3609&gt;=_TM1,B3609&lt;=_TM2,OR(TH!L3609="1111",TH!M3609="1111")),TH!D3609,""),"")</f>
        <v/>
      </c>
      <c r="B3609" s="876">
        <f t="shared" ref="B3609:B3656" si="476">IF(C3609&lt;&gt;"",MONTH(C3609),"")</f>
        <v>6</v>
      </c>
      <c r="C3609" s="877">
        <f t="shared" si="475"/>
        <v>42548</v>
      </c>
      <c r="D3609" s="878" t="s">
        <v>1663</v>
      </c>
      <c r="E3609" s="912">
        <v>42548</v>
      </c>
      <c r="F3609" s="888" t="s">
        <v>659</v>
      </c>
      <c r="G3609" s="913" t="s">
        <v>788</v>
      </c>
      <c r="H3609" s="881" t="s">
        <v>1313</v>
      </c>
      <c r="I3609" s="882">
        <v>984</v>
      </c>
      <c r="J3609" s="882">
        <v>9581.2388211382113</v>
      </c>
      <c r="K3609" s="883">
        <f t="shared" si="474"/>
        <v>9427939</v>
      </c>
      <c r="L3609" s="884" t="s">
        <v>857</v>
      </c>
      <c r="M3609" s="884" t="s">
        <v>160</v>
      </c>
      <c r="N3609" s="52" t="str">
        <f>IF(AND('331-CT'!$E$7=TH!H3609,OR(L3609="331",M3609="331")),"331",IF(AND(OR(L3609="131",M3609="131"),H3609='131-CT'!$E$7),"131",""))</f>
        <v/>
      </c>
      <c r="O3609" s="52" t="str">
        <f>IF(AND($B3609&gt;='111'!$N$11,$B3609&lt;='111'!$O$11,OR($L3609=$O$7,$M3609=$O$7)),"x","")</f>
        <v/>
      </c>
      <c r="P3609" s="52" t="str">
        <f>IF(AND($L3609=$O$7,$B3609&lt;'111'!$N$11),"x","")</f>
        <v/>
      </c>
      <c r="Q3609" s="52" t="str">
        <f>IF(AND($M3609=$O$7,$B3609&lt;'111'!$N$11),"x","")</f>
        <v/>
      </c>
      <c r="R3609" s="52" t="str">
        <f>IF(ISERROR(FIND('112'!$M$9,G3609,1)),"",IF((AND(FIND('112'!$M$9,G3609,1)&gt;=1,$B3609&gt;='112'!$N$8,$B3609&lt;='112'!$O$8,OR($L3609='112'!$I$6,$M3609='112'!$I$6))),"x",""))</f>
        <v/>
      </c>
      <c r="S3609" s="52" t="str">
        <f>IF(ISERROR(FIND('112'!$M$9,G3609,1)),"",IF((AND(LEFT(G3609,2)=LEFT('112'!$M$9,2),B3609&lt;'112'!$N$8,$L3609='112'!$I$6)),"x",""))</f>
        <v/>
      </c>
      <c r="T3609" s="52" t="str">
        <f>IF(ISERROR(FIND('112'!$M$9,G3609,1)),"",IF((AND(RIGHT(G3609,2)=RIGHT('112'!$M$9,2),B3609&lt;'112'!$N$8,$M3609='112'!$I$6)),"x",""))</f>
        <v/>
      </c>
      <c r="U3609" s="52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826"/>
    </row>
    <row r="3610" spans="1:27" ht="15.75" customHeight="1">
      <c r="A3610" s="827" t="str">
        <f>IF(B3610&lt;&gt;"",IF(AND(B3610&gt;=_TM1,B3610&lt;=_TM2,OR(TH!L3610="1111",TH!M3610="1111")),TH!D3610,""),"")</f>
        <v/>
      </c>
      <c r="B3610" s="876">
        <f t="shared" si="476"/>
        <v>6</v>
      </c>
      <c r="C3610" s="877">
        <f t="shared" si="475"/>
        <v>42551</v>
      </c>
      <c r="D3610" s="878" t="s">
        <v>1663</v>
      </c>
      <c r="E3610" s="912">
        <v>42551</v>
      </c>
      <c r="F3610" s="891" t="s">
        <v>1178</v>
      </c>
      <c r="G3610" s="913" t="s">
        <v>803</v>
      </c>
      <c r="H3610" s="881" t="s">
        <v>1313</v>
      </c>
      <c r="I3610" s="882">
        <v>1275</v>
      </c>
      <c r="J3610" s="882">
        <v>30909.839215686276</v>
      </c>
      <c r="K3610" s="883">
        <f t="shared" si="474"/>
        <v>39410045</v>
      </c>
      <c r="L3610" s="884" t="s">
        <v>857</v>
      </c>
      <c r="M3610" s="884" t="s">
        <v>160</v>
      </c>
      <c r="N3610" s="52" t="str">
        <f>IF(AND('331-CT'!$E$7=TH!H3610,OR(L3610="331",M3610="331")),"331",IF(AND(OR(L3610="131",M3610="131"),H3610='131-CT'!$E$7),"131",""))</f>
        <v/>
      </c>
      <c r="O3610" s="52" t="str">
        <f>IF(AND($B3610&gt;='111'!$N$11,$B3610&lt;='111'!$O$11,OR($L3610=$O$7,$M3610=$O$7)),"x","")</f>
        <v/>
      </c>
      <c r="P3610" s="52" t="str">
        <f>IF(AND($L3610=$O$7,$B3610&lt;'111'!$N$11),"x","")</f>
        <v/>
      </c>
      <c r="Q3610" s="52" t="str">
        <f>IF(AND($M3610=$O$7,$B3610&lt;'111'!$N$11),"x","")</f>
        <v/>
      </c>
      <c r="R3610" s="52" t="str">
        <f>IF(ISERROR(FIND('112'!$M$9,G3610,1)),"",IF((AND(FIND('112'!$M$9,G3610,1)&gt;=1,$B3610&gt;='112'!$N$8,$B3610&lt;='112'!$O$8,OR($L3610='112'!$I$6,$M3610='112'!$I$6))),"x",""))</f>
        <v/>
      </c>
      <c r="S3610" s="52" t="str">
        <f>IF(ISERROR(FIND('112'!$M$9,G3610,1)),"",IF((AND(LEFT(G3610,2)=LEFT('112'!$M$9,2),B3610&lt;'112'!$N$8,$L3610='112'!$I$6)),"x",""))</f>
        <v/>
      </c>
      <c r="T3610" s="52" t="str">
        <f>IF(ISERROR(FIND('112'!$M$9,G3610,1)),"",IF((AND(RIGHT(G3610,2)=RIGHT('112'!$M$9,2),B3610&lt;'112'!$N$8,$M3610='112'!$I$6)),"x",""))</f>
        <v/>
      </c>
      <c r="U3610" s="52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826"/>
    </row>
    <row r="3611" spans="1:27" ht="15.75" customHeight="1">
      <c r="A3611" s="827" t="str">
        <f>IF(B3611&lt;&gt;"",IF(AND(B3611&gt;=_TM1,B3611&lt;=_TM2,OR(TH!L3611="1111",TH!M3611="1111")),TH!D3611,""),"")</f>
        <v/>
      </c>
      <c r="B3611" s="876">
        <f t="shared" si="476"/>
        <v>6</v>
      </c>
      <c r="C3611" s="877">
        <f t="shared" si="475"/>
        <v>42551</v>
      </c>
      <c r="D3611" s="878" t="s">
        <v>1663</v>
      </c>
      <c r="E3611" s="912">
        <v>42551</v>
      </c>
      <c r="F3611" s="888" t="s">
        <v>1302</v>
      </c>
      <c r="G3611" s="913" t="s">
        <v>803</v>
      </c>
      <c r="H3611" s="881" t="s">
        <v>1313</v>
      </c>
      <c r="I3611" s="882">
        <v>997</v>
      </c>
      <c r="J3611" s="882">
        <v>32496.396188565697</v>
      </c>
      <c r="K3611" s="883">
        <f t="shared" ref="K3611:K3658" si="477">ROUND(I3611*J3611,0)</f>
        <v>32398907</v>
      </c>
      <c r="L3611" s="884" t="s">
        <v>857</v>
      </c>
      <c r="M3611" s="884" t="s">
        <v>160</v>
      </c>
      <c r="N3611" s="52" t="str">
        <f>IF(AND('331-CT'!$E$7=TH!H3611,OR(L3611="331",M3611="331")),"331",IF(AND(OR(L3611="131",M3611="131"),H3611='131-CT'!$E$7),"131",""))</f>
        <v/>
      </c>
      <c r="O3611" s="52" t="str">
        <f>IF(AND($B3611&gt;='111'!$N$11,$B3611&lt;='111'!$O$11,OR($L3611=$O$7,$M3611=$O$7)),"x","")</f>
        <v/>
      </c>
      <c r="P3611" s="52" t="str">
        <f>IF(AND($L3611=$O$7,$B3611&lt;'111'!$N$11),"x","")</f>
        <v/>
      </c>
      <c r="Q3611" s="52" t="str">
        <f>IF(AND($M3611=$O$7,$B3611&lt;'111'!$N$11),"x","")</f>
        <v/>
      </c>
      <c r="R3611" s="52" t="str">
        <f>IF(ISERROR(FIND('112'!$M$9,G3611,1)),"",IF((AND(FIND('112'!$M$9,G3611,1)&gt;=1,$B3611&gt;='112'!$N$8,$B3611&lt;='112'!$O$8,OR($L3611='112'!$I$6,$M3611='112'!$I$6))),"x",""))</f>
        <v/>
      </c>
      <c r="S3611" s="52" t="str">
        <f>IF(ISERROR(FIND('112'!$M$9,G3611,1)),"",IF((AND(LEFT(G3611,2)=LEFT('112'!$M$9,2),B3611&lt;'112'!$N$8,$L3611='112'!$I$6)),"x",""))</f>
        <v/>
      </c>
      <c r="T3611" s="52" t="str">
        <f>IF(ISERROR(FIND('112'!$M$9,G3611,1)),"",IF((AND(RIGHT(G3611,2)=RIGHT('112'!$M$9,2),B3611&lt;'112'!$N$8,$M3611='112'!$I$6)),"x",""))</f>
        <v/>
      </c>
      <c r="U3611" s="52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826"/>
    </row>
    <row r="3612" spans="1:27" ht="15.75" customHeight="1">
      <c r="A3612" s="827" t="str">
        <f>IF(B3612&lt;&gt;"",IF(AND(B3612&gt;=_TM1,B3612&lt;=_TM2,OR(TH!L3612="1111",TH!M3612="1111")),TH!D3612,""),"")</f>
        <v/>
      </c>
      <c r="B3612" s="876">
        <f t="shared" si="476"/>
        <v>6</v>
      </c>
      <c r="C3612" s="877">
        <f t="shared" si="475"/>
        <v>42551</v>
      </c>
      <c r="D3612" s="878" t="s">
        <v>1663</v>
      </c>
      <c r="E3612" s="912">
        <v>42551</v>
      </c>
      <c r="F3612" s="891" t="s">
        <v>477</v>
      </c>
      <c r="G3612" s="913" t="s">
        <v>804</v>
      </c>
      <c r="H3612" s="881" t="s">
        <v>1313</v>
      </c>
      <c r="I3612" s="882">
        <v>180</v>
      </c>
      <c r="J3612" s="882">
        <v>66042.622222222228</v>
      </c>
      <c r="K3612" s="883">
        <f t="shared" si="477"/>
        <v>11887672</v>
      </c>
      <c r="L3612" s="884" t="s">
        <v>857</v>
      </c>
      <c r="M3612" s="884" t="s">
        <v>160</v>
      </c>
      <c r="N3612" s="52" t="str">
        <f>IF(AND('331-CT'!$E$7=TH!H3612,OR(L3612="331",M3612="331")),"331",IF(AND(OR(L3612="131",M3612="131"),H3612='131-CT'!$E$7),"131",""))</f>
        <v/>
      </c>
      <c r="O3612" s="52" t="str">
        <f>IF(AND($B3612&gt;='111'!$N$11,$B3612&lt;='111'!$O$11,OR($L3612=$O$7,$M3612=$O$7)),"x","")</f>
        <v/>
      </c>
      <c r="P3612" s="52" t="str">
        <f>IF(AND($L3612=$O$7,$B3612&lt;'111'!$N$11),"x","")</f>
        <v/>
      </c>
      <c r="Q3612" s="52" t="str">
        <f>IF(AND($M3612=$O$7,$B3612&lt;'111'!$N$11),"x","")</f>
        <v/>
      </c>
      <c r="R3612" s="52" t="str">
        <f>IF(ISERROR(FIND('112'!$M$9,G3612,1)),"",IF((AND(FIND('112'!$M$9,G3612,1)&gt;=1,$B3612&gt;='112'!$N$8,$B3612&lt;='112'!$O$8,OR($L3612='112'!$I$6,$M3612='112'!$I$6))),"x",""))</f>
        <v/>
      </c>
      <c r="S3612" s="52" t="str">
        <f>IF(ISERROR(FIND('112'!$M$9,G3612,1)),"",IF((AND(LEFT(G3612,2)=LEFT('112'!$M$9,2),B3612&lt;'112'!$N$8,$L3612='112'!$I$6)),"x",""))</f>
        <v/>
      </c>
      <c r="T3612" s="52" t="str">
        <f>IF(ISERROR(FIND('112'!$M$9,G3612,1)),"",IF((AND(RIGHT(G3612,2)=RIGHT('112'!$M$9,2),B3612&lt;'112'!$N$8,$M3612='112'!$I$6)),"x",""))</f>
        <v/>
      </c>
      <c r="U3612" s="52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826"/>
    </row>
    <row r="3613" spans="1:27" s="915" customFormat="1" ht="15.75" customHeight="1">
      <c r="A3613" s="827" t="str">
        <f>IF(B3613&lt;&gt;"",IF(AND(B3613&gt;=_TM1,B3613&lt;=_TM2,OR(TH!L3613="1111",TH!M3613="1111")),TH!D3613,""),"")</f>
        <v/>
      </c>
      <c r="B3613" s="674">
        <f t="shared" ref="B3613:B3626" si="478">IF(C3613&lt;&gt;"",MONTH(C3613),"")</f>
        <v>7</v>
      </c>
      <c r="C3613" s="856">
        <f t="shared" ref="C3613:C3626" si="479">E3613</f>
        <v>42566</v>
      </c>
      <c r="D3613" s="863" t="s">
        <v>1663</v>
      </c>
      <c r="E3613" s="906">
        <v>42566</v>
      </c>
      <c r="F3613" s="868" t="s">
        <v>1440</v>
      </c>
      <c r="G3613" s="831" t="s">
        <v>1436</v>
      </c>
      <c r="H3613" s="881" t="s">
        <v>1313</v>
      </c>
      <c r="I3613" s="251">
        <v>81</v>
      </c>
      <c r="J3613" s="251">
        <v>114700.27147371446</v>
      </c>
      <c r="K3613" s="860">
        <f t="shared" ref="K3613:K3626" si="480">ROUND(I3613*J3613,0)</f>
        <v>9290722</v>
      </c>
      <c r="L3613" s="861" t="s">
        <v>857</v>
      </c>
      <c r="M3613" s="861" t="s">
        <v>160</v>
      </c>
      <c r="N3613" s="52" t="str">
        <f>IF(AND('331-CT'!$E$7=TH!H3613,OR(L3613="331",M3613="331")),"331",IF(AND(OR(L3613="131",M3613="131"),H3613='131-CT'!$E$7),"131",""))</f>
        <v/>
      </c>
      <c r="O3613" s="52" t="str">
        <f>IF(AND($B3613&gt;='111'!$N$11,$B3613&lt;='111'!$O$11,OR($L3613=$O$7,$M3613=$O$7)),"x","")</f>
        <v/>
      </c>
      <c r="P3613" s="52" t="str">
        <f>IF(AND($L3613=$O$7,$B3613&lt;'111'!$N$11),"x","")</f>
        <v/>
      </c>
      <c r="Q3613" s="52" t="str">
        <f>IF(AND($M3613=$O$7,$B3613&lt;'111'!$N$11),"x","")</f>
        <v/>
      </c>
      <c r="R3613" s="52" t="str">
        <f>IF(ISERROR(FIND('112'!$M$9,G3613,1)),"",IF((AND(FIND('112'!$M$9,G3613,1)&gt;=1,$B3613&gt;='112'!$N$8,$B3613&lt;='112'!$O$8,OR($L3613='112'!$I$6,$M3613='112'!$I$6))),"x",""))</f>
        <v/>
      </c>
      <c r="S3613" s="52" t="str">
        <f>IF(ISERROR(FIND('112'!$M$9,G3613,1)),"",IF((AND(LEFT(G3613,2)=LEFT('112'!$M$9,2),B3613&lt;'112'!$N$8,$L3613='112'!$I$6)),"x",""))</f>
        <v/>
      </c>
      <c r="T3613" s="52" t="str">
        <f>IF(ISERROR(FIND('112'!$M$9,G3613,1)),"",IF((AND(RIGHT(G3613,2)=RIGHT('112'!$M$9,2),B3613&lt;'112'!$N$8,$M3613='112'!$I$6)),"x",""))</f>
        <v/>
      </c>
      <c r="U3613" s="52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>x</v>
      </c>
      <c r="AA3613" s="791"/>
    </row>
    <row r="3614" spans="1:27" ht="15.75" customHeight="1">
      <c r="A3614" s="827" t="str">
        <f>IF(B3614&lt;&gt;"",IF(AND(B3614&gt;=_TM1,B3614&lt;=_TM2,OR(TH!L3614="1111",TH!M3614="1111")),TH!D3614,""),"")</f>
        <v/>
      </c>
      <c r="B3614" s="876">
        <f t="shared" si="478"/>
        <v>7</v>
      </c>
      <c r="C3614" s="877">
        <f t="shared" si="479"/>
        <v>42576</v>
      </c>
      <c r="D3614" s="878" t="s">
        <v>1663</v>
      </c>
      <c r="E3614" s="912">
        <v>42576</v>
      </c>
      <c r="F3614" s="891" t="s">
        <v>921</v>
      </c>
      <c r="G3614" s="913" t="s">
        <v>1445</v>
      </c>
      <c r="H3614" s="881" t="s">
        <v>1313</v>
      </c>
      <c r="I3614" s="882">
        <v>5000</v>
      </c>
      <c r="J3614" s="882">
        <v>9211.7634737144508</v>
      </c>
      <c r="K3614" s="883">
        <f t="shared" si="480"/>
        <v>46058817</v>
      </c>
      <c r="L3614" s="884" t="s">
        <v>857</v>
      </c>
      <c r="M3614" s="884" t="s">
        <v>160</v>
      </c>
      <c r="N3614" s="52" t="str">
        <f>IF(AND('331-CT'!$E$7=TH!H3614,OR(L3614="331",M3614="331")),"331",IF(AND(OR(L3614="131",M3614="131"),H3614='131-CT'!$E$7),"131",""))</f>
        <v/>
      </c>
      <c r="O3614" s="52" t="str">
        <f>IF(AND($B3614&gt;='111'!$N$11,$B3614&lt;='111'!$O$11,OR($L3614=$O$7,$M3614=$O$7)),"x","")</f>
        <v/>
      </c>
      <c r="P3614" s="52" t="str">
        <f>IF(AND($L3614=$O$7,$B3614&lt;'111'!$N$11),"x","")</f>
        <v/>
      </c>
      <c r="Q3614" s="52" t="str">
        <f>IF(AND($M3614=$O$7,$B3614&lt;'111'!$N$11),"x","")</f>
        <v/>
      </c>
      <c r="R3614" s="52" t="str">
        <f>IF(ISERROR(FIND('112'!$M$9,G3614,1)),"",IF((AND(FIND('112'!$M$9,G3614,1)&gt;=1,$B3614&gt;='112'!$N$8,$B3614&lt;='112'!$O$8,OR($L3614='112'!$I$6,$M3614='112'!$I$6))),"x",""))</f>
        <v/>
      </c>
      <c r="S3614" s="52" t="str">
        <f>IF(ISERROR(FIND('112'!$M$9,G3614,1)),"",IF((AND(LEFT(G3614,2)=LEFT('112'!$M$9,2),B3614&lt;'112'!$N$8,$L3614='112'!$I$6)),"x",""))</f>
        <v/>
      </c>
      <c r="T3614" s="52" t="str">
        <f>IF(ISERROR(FIND('112'!$M$9,G3614,1)),"",IF((AND(RIGHT(G3614,2)=RIGHT('112'!$M$9,2),B3614&lt;'112'!$N$8,$M3614='112'!$I$6)),"x",""))</f>
        <v/>
      </c>
      <c r="U3614" s="52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>x</v>
      </c>
      <c r="AA3614" s="826"/>
    </row>
    <row r="3615" spans="1:27" ht="15.75" customHeight="1">
      <c r="A3615" s="827" t="str">
        <f>IF(B3615&lt;&gt;"",IF(AND(B3615&gt;=_TM1,B3615&lt;=_TM2,OR(TH!L3615="1111",TH!M3615="1111")),TH!D3615,""),"")</f>
        <v/>
      </c>
      <c r="B3615" s="876">
        <f t="shared" si="478"/>
        <v>7</v>
      </c>
      <c r="C3615" s="877">
        <f t="shared" si="479"/>
        <v>42576</v>
      </c>
      <c r="D3615" s="878" t="s">
        <v>1663</v>
      </c>
      <c r="E3615" s="912">
        <v>42576</v>
      </c>
      <c r="F3615" s="888" t="s">
        <v>1447</v>
      </c>
      <c r="G3615" s="913" t="s">
        <v>1446</v>
      </c>
      <c r="H3615" s="881" t="s">
        <v>1313</v>
      </c>
      <c r="I3615" s="882">
        <v>500</v>
      </c>
      <c r="J3615" s="882">
        <v>20384.111473714449</v>
      </c>
      <c r="K3615" s="883">
        <f t="shared" si="480"/>
        <v>10192056</v>
      </c>
      <c r="L3615" s="884" t="s">
        <v>857</v>
      </c>
      <c r="M3615" s="884" t="s">
        <v>160</v>
      </c>
      <c r="N3615" s="52" t="str">
        <f>IF(AND('331-CT'!$E$7=TH!H3615,OR(L3615="331",M3615="331")),"331",IF(AND(OR(L3615="131",M3615="131"),H3615='131-CT'!$E$7),"131",""))</f>
        <v/>
      </c>
      <c r="O3615" s="52" t="str">
        <f>IF(AND($B3615&gt;='111'!$N$11,$B3615&lt;='111'!$O$11,OR($L3615=$O$7,$M3615=$O$7)),"x","")</f>
        <v/>
      </c>
      <c r="P3615" s="52" t="str">
        <f>IF(AND($L3615=$O$7,$B3615&lt;'111'!$N$11),"x","")</f>
        <v/>
      </c>
      <c r="Q3615" s="52" t="str">
        <f>IF(AND($M3615=$O$7,$B3615&lt;'111'!$N$11),"x","")</f>
        <v/>
      </c>
      <c r="R3615" s="52" t="str">
        <f>IF(ISERROR(FIND('112'!$M$9,G3615,1)),"",IF((AND(FIND('112'!$M$9,G3615,1)&gt;=1,$B3615&gt;='112'!$N$8,$B3615&lt;='112'!$O$8,OR($L3615='112'!$I$6,$M3615='112'!$I$6))),"x",""))</f>
        <v/>
      </c>
      <c r="S3615" s="52" t="str">
        <f>IF(ISERROR(FIND('112'!$M$9,G3615,1)),"",IF((AND(LEFT(G3615,2)=LEFT('112'!$M$9,2),B3615&lt;'112'!$N$8,$L3615='112'!$I$6)),"x",""))</f>
        <v/>
      </c>
      <c r="T3615" s="52" t="str">
        <f>IF(ISERROR(FIND('112'!$M$9,G3615,1)),"",IF((AND(RIGHT(G3615,2)=RIGHT('112'!$M$9,2),B3615&lt;'112'!$N$8,$M3615='112'!$I$6)),"x",""))</f>
        <v/>
      </c>
      <c r="U3615" s="52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>x</v>
      </c>
      <c r="AA3615" s="826"/>
    </row>
    <row r="3616" spans="1:27" ht="15.75" customHeight="1">
      <c r="A3616" s="827" t="str">
        <f>IF(B3616&lt;&gt;"",IF(AND(B3616&gt;=_TM1,B3616&lt;=_TM2,OR(TH!L3616="1111",TH!M3616="1111")),TH!D3616,""),"")</f>
        <v/>
      </c>
      <c r="B3616" s="876">
        <f t="shared" si="478"/>
        <v>7</v>
      </c>
      <c r="C3616" s="877">
        <f t="shared" si="479"/>
        <v>42580</v>
      </c>
      <c r="D3616" s="878" t="s">
        <v>1663</v>
      </c>
      <c r="E3616" s="912">
        <v>42580</v>
      </c>
      <c r="F3616" s="891" t="s">
        <v>1178</v>
      </c>
      <c r="G3616" s="913" t="s">
        <v>1452</v>
      </c>
      <c r="H3616" s="881" t="s">
        <v>1313</v>
      </c>
      <c r="I3616" s="882">
        <v>1450</v>
      </c>
      <c r="J3616" s="882">
        <v>35139.374921990311</v>
      </c>
      <c r="K3616" s="883">
        <f t="shared" si="480"/>
        <v>50952094</v>
      </c>
      <c r="L3616" s="884" t="s">
        <v>857</v>
      </c>
      <c r="M3616" s="884" t="s">
        <v>160</v>
      </c>
      <c r="N3616" s="52" t="str">
        <f>IF(AND('331-CT'!$E$7=TH!H3616,OR(L3616="331",M3616="331")),"331",IF(AND(OR(L3616="131",M3616="131"),H3616='131-CT'!$E$7),"131",""))</f>
        <v/>
      </c>
      <c r="O3616" s="52" t="str">
        <f>IF(AND($B3616&gt;='111'!$N$11,$B3616&lt;='111'!$O$11,OR($L3616=$O$7,$M3616=$O$7)),"x","")</f>
        <v/>
      </c>
      <c r="P3616" s="52" t="str">
        <f>IF(AND($L3616=$O$7,$B3616&lt;'111'!$N$11),"x","")</f>
        <v/>
      </c>
      <c r="Q3616" s="52" t="str">
        <f>IF(AND($M3616=$O$7,$B3616&lt;'111'!$N$11),"x","")</f>
        <v/>
      </c>
      <c r="R3616" s="52" t="str">
        <f>IF(ISERROR(FIND('112'!$M$9,G3616,1)),"",IF((AND(FIND('112'!$M$9,G3616,1)&gt;=1,$B3616&gt;='112'!$N$8,$B3616&lt;='112'!$O$8,OR($L3616='112'!$I$6,$M3616='112'!$I$6))),"x",""))</f>
        <v/>
      </c>
      <c r="S3616" s="52" t="str">
        <f>IF(ISERROR(FIND('112'!$M$9,G3616,1)),"",IF((AND(LEFT(G3616,2)=LEFT('112'!$M$9,2),B3616&lt;'112'!$N$8,$L3616='112'!$I$6)),"x",""))</f>
        <v/>
      </c>
      <c r="T3616" s="52" t="str">
        <f>IF(ISERROR(FIND('112'!$M$9,G3616,1)),"",IF((AND(RIGHT(G3616,2)=RIGHT('112'!$M$9,2),B3616&lt;'112'!$N$8,$M3616='112'!$I$6)),"x",""))</f>
        <v/>
      </c>
      <c r="U3616" s="52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>x</v>
      </c>
      <c r="AA3616" s="826"/>
    </row>
    <row r="3617" spans="1:27" ht="15.75" customHeight="1">
      <c r="A3617" s="827" t="str">
        <f>IF(B3617&lt;&gt;"",IF(AND(B3617&gt;=_TM1,B3617&lt;=_TM2,OR(TH!L3617="1111",TH!M3617="1111")),TH!D3617,""),"")</f>
        <v/>
      </c>
      <c r="B3617" s="876">
        <f t="shared" si="478"/>
        <v>7</v>
      </c>
      <c r="C3617" s="877">
        <f t="shared" si="479"/>
        <v>42580</v>
      </c>
      <c r="D3617" s="878" t="s">
        <v>1663</v>
      </c>
      <c r="E3617" s="912">
        <v>42580</v>
      </c>
      <c r="F3617" s="891" t="s">
        <v>1179</v>
      </c>
      <c r="G3617" s="913" t="s">
        <v>1452</v>
      </c>
      <c r="H3617" s="881" t="s">
        <v>1313</v>
      </c>
      <c r="I3617" s="882">
        <v>1500</v>
      </c>
      <c r="J3617" s="882">
        <v>32665.978140381118</v>
      </c>
      <c r="K3617" s="883">
        <f t="shared" si="480"/>
        <v>48998967</v>
      </c>
      <c r="L3617" s="884" t="s">
        <v>857</v>
      </c>
      <c r="M3617" s="884" t="s">
        <v>160</v>
      </c>
      <c r="N3617" s="52" t="str">
        <f>IF(AND('331-CT'!$E$7=TH!H3617,OR(L3617="331",M3617="331")),"331",IF(AND(OR(L3617="131",M3617="131"),H3617='131-CT'!$E$7),"131",""))</f>
        <v/>
      </c>
      <c r="O3617" s="52" t="str">
        <f>IF(AND($B3617&gt;='111'!$N$11,$B3617&lt;='111'!$O$11,OR($L3617=$O$7,$M3617=$O$7)),"x","")</f>
        <v/>
      </c>
      <c r="P3617" s="52" t="str">
        <f>IF(AND($L3617=$O$7,$B3617&lt;'111'!$N$11),"x","")</f>
        <v/>
      </c>
      <c r="Q3617" s="52" t="str">
        <f>IF(AND($M3617=$O$7,$B3617&lt;'111'!$N$11),"x","")</f>
        <v/>
      </c>
      <c r="R3617" s="52" t="str">
        <f>IF(ISERROR(FIND('112'!$M$9,G3617,1)),"",IF((AND(FIND('112'!$M$9,G3617,1)&gt;=1,$B3617&gt;='112'!$N$8,$B3617&lt;='112'!$O$8,OR($L3617='112'!$I$6,$M3617='112'!$I$6))),"x",""))</f>
        <v/>
      </c>
      <c r="S3617" s="52" t="str">
        <f>IF(ISERROR(FIND('112'!$M$9,G3617,1)),"",IF((AND(LEFT(G3617,2)=LEFT('112'!$M$9,2),B3617&lt;'112'!$N$8,$L3617='112'!$I$6)),"x",""))</f>
        <v/>
      </c>
      <c r="T3617" s="52" t="str">
        <f>IF(ISERROR(FIND('112'!$M$9,G3617,1)),"",IF((AND(RIGHT(G3617,2)=RIGHT('112'!$M$9,2),B3617&lt;'112'!$N$8,$M3617='112'!$I$6)),"x",""))</f>
        <v/>
      </c>
      <c r="U3617" s="52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>x</v>
      </c>
      <c r="AA3617" s="826"/>
    </row>
    <row r="3618" spans="1:27" ht="15.75" customHeight="1">
      <c r="A3618" s="827" t="str">
        <f>IF(B3618&lt;&gt;"",IF(AND(B3618&gt;=_TM1,B3618&lt;=_TM2,OR(TH!L3618="1111",TH!M3618="1111")),TH!D3618,""),"")</f>
        <v/>
      </c>
      <c r="B3618" s="876">
        <f t="shared" si="478"/>
        <v>7</v>
      </c>
      <c r="C3618" s="877">
        <f t="shared" si="479"/>
        <v>42581</v>
      </c>
      <c r="D3618" s="878" t="s">
        <v>1663</v>
      </c>
      <c r="E3618" s="912">
        <v>42581</v>
      </c>
      <c r="F3618" s="891" t="s">
        <v>820</v>
      </c>
      <c r="G3618" s="913" t="s">
        <v>1470</v>
      </c>
      <c r="H3618" s="881" t="s">
        <v>1313</v>
      </c>
      <c r="I3618" s="882">
        <v>6</v>
      </c>
      <c r="J3618" s="882">
        <v>89757.271473714442</v>
      </c>
      <c r="K3618" s="883">
        <f t="shared" si="480"/>
        <v>538544</v>
      </c>
      <c r="L3618" s="884" t="s">
        <v>857</v>
      </c>
      <c r="M3618" s="884" t="s">
        <v>160</v>
      </c>
      <c r="N3618" s="52" t="str">
        <f>IF(AND('331-CT'!$E$7=TH!H3618,OR(L3618="331",M3618="331")),"331",IF(AND(OR(L3618="131",M3618="131"),H3618='131-CT'!$E$7),"131",""))</f>
        <v/>
      </c>
      <c r="O3618" s="52" t="str">
        <f>IF(AND($B3618&gt;='111'!$N$11,$B3618&lt;='111'!$O$11,OR($L3618=$O$7,$M3618=$O$7)),"x","")</f>
        <v/>
      </c>
      <c r="P3618" s="52" t="str">
        <f>IF(AND($L3618=$O$7,$B3618&lt;'111'!$N$11),"x","")</f>
        <v/>
      </c>
      <c r="Q3618" s="52" t="str">
        <f>IF(AND($M3618=$O$7,$B3618&lt;'111'!$N$11),"x","")</f>
        <v/>
      </c>
      <c r="R3618" s="52" t="str">
        <f>IF(ISERROR(FIND('112'!$M$9,G3618,1)),"",IF((AND(FIND('112'!$M$9,G3618,1)&gt;=1,$B3618&gt;='112'!$N$8,$B3618&lt;='112'!$O$8,OR($L3618='112'!$I$6,$M3618='112'!$I$6))),"x",""))</f>
        <v/>
      </c>
      <c r="S3618" s="52" t="str">
        <f>IF(ISERROR(FIND('112'!$M$9,G3618,1)),"",IF((AND(LEFT(G3618,2)=LEFT('112'!$M$9,2),B3618&lt;'112'!$N$8,$L3618='112'!$I$6)),"x",""))</f>
        <v/>
      </c>
      <c r="T3618" s="52" t="str">
        <f>IF(ISERROR(FIND('112'!$M$9,G3618,1)),"",IF((AND(RIGHT(G3618,2)=RIGHT('112'!$M$9,2),B3618&lt;'112'!$N$8,$M3618='112'!$I$6)),"x",""))</f>
        <v/>
      </c>
      <c r="U3618" s="52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>x</v>
      </c>
      <c r="AA3618" s="826"/>
    </row>
    <row r="3619" spans="1:27" ht="15.75" customHeight="1">
      <c r="A3619" s="827" t="str">
        <f>IF(B3619&lt;&gt;"",IF(AND(B3619&gt;=_TM1,B3619&lt;=_TM2,OR(TH!L3619="1111",TH!M3619="1111")),TH!D3619,""),"")</f>
        <v/>
      </c>
      <c r="B3619" s="876">
        <f t="shared" si="478"/>
        <v>8</v>
      </c>
      <c r="C3619" s="877">
        <f t="shared" si="479"/>
        <v>42587</v>
      </c>
      <c r="D3619" s="878" t="s">
        <v>1663</v>
      </c>
      <c r="E3619" s="912">
        <v>42587</v>
      </c>
      <c r="F3619" s="888" t="s">
        <v>1479</v>
      </c>
      <c r="G3619" s="913" t="s">
        <v>1488</v>
      </c>
      <c r="H3619" s="881" t="s">
        <v>1313</v>
      </c>
      <c r="I3619" s="882">
        <v>200</v>
      </c>
      <c r="J3619" s="882">
        <v>12591.42147371445</v>
      </c>
      <c r="K3619" s="883">
        <f t="shared" si="480"/>
        <v>2518284</v>
      </c>
      <c r="L3619" s="884" t="s">
        <v>857</v>
      </c>
      <c r="M3619" s="884" t="s">
        <v>160</v>
      </c>
      <c r="N3619" s="52" t="str">
        <f>IF(AND('331-CT'!$E$7=TH!H3619,OR(L3619="331",M3619="331")),"331",IF(AND(OR(L3619="131",M3619="131"),H3619='131-CT'!$E$7),"131",""))</f>
        <v/>
      </c>
      <c r="O3619" s="52" t="str">
        <f>IF(AND($B3619&gt;='111'!$N$11,$B3619&lt;='111'!$O$11,OR($L3619=$O$7,$M3619=$O$7)),"x","")</f>
        <v/>
      </c>
      <c r="P3619" s="52" t="str">
        <f>IF(AND($L3619=$O$7,$B3619&lt;'111'!$N$11),"x","")</f>
        <v/>
      </c>
      <c r="Q3619" s="52" t="str">
        <f>IF(AND($M3619=$O$7,$B3619&lt;'111'!$N$11),"x","")</f>
        <v/>
      </c>
      <c r="R3619" s="52" t="str">
        <f>IF(ISERROR(FIND('112'!$M$9,G3619,1)),"",IF((AND(FIND('112'!$M$9,G3619,1)&gt;=1,$B3619&gt;='112'!$N$8,$B3619&lt;='112'!$O$8,OR($L3619='112'!$I$6,$M3619='112'!$I$6))),"x",""))</f>
        <v/>
      </c>
      <c r="S3619" s="52" t="str">
        <f>IF(ISERROR(FIND('112'!$M$9,G3619,1)),"",IF((AND(LEFT(G3619,2)=LEFT('112'!$M$9,2),B3619&lt;'112'!$N$8,$L3619='112'!$I$6)),"x",""))</f>
        <v/>
      </c>
      <c r="T3619" s="52" t="str">
        <f>IF(ISERROR(FIND('112'!$M$9,G3619,1)),"",IF((AND(RIGHT(G3619,2)=RIGHT('112'!$M$9,2),B3619&lt;'112'!$N$8,$M3619='112'!$I$6)),"x",""))</f>
        <v/>
      </c>
      <c r="U3619" s="52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>x</v>
      </c>
      <c r="AA3619" s="826"/>
    </row>
    <row r="3620" spans="1:27" ht="15.75" customHeight="1">
      <c r="A3620" s="827" t="str">
        <f>IF(B3620&lt;&gt;"",IF(AND(B3620&gt;=_TM1,B3620&lt;=_TM2,OR(TH!L3620="1111",TH!M3620="1111")),TH!D3620,""),"")</f>
        <v/>
      </c>
      <c r="B3620" s="876">
        <f t="shared" si="478"/>
        <v>8</v>
      </c>
      <c r="C3620" s="877">
        <f t="shared" si="479"/>
        <v>42598</v>
      </c>
      <c r="D3620" s="878" t="s">
        <v>1663</v>
      </c>
      <c r="E3620" s="912">
        <v>42598</v>
      </c>
      <c r="F3620" s="891" t="s">
        <v>1484</v>
      </c>
      <c r="G3620" s="913" t="s">
        <v>1514</v>
      </c>
      <c r="H3620" s="881" t="s">
        <v>1313</v>
      </c>
      <c r="I3620" s="882">
        <v>150</v>
      </c>
      <c r="J3620" s="882">
        <v>49742.604807047785</v>
      </c>
      <c r="K3620" s="883">
        <f t="shared" si="480"/>
        <v>7461391</v>
      </c>
      <c r="L3620" s="884" t="s">
        <v>857</v>
      </c>
      <c r="M3620" s="884" t="s">
        <v>160</v>
      </c>
      <c r="N3620" s="52" t="str">
        <f>IF(AND('331-CT'!$E$7=TH!H3620,OR(L3620="331",M3620="331")),"331",IF(AND(OR(L3620="131",M3620="131"),H3620='131-CT'!$E$7),"131",""))</f>
        <v/>
      </c>
      <c r="O3620" s="52" t="str">
        <f>IF(AND($B3620&gt;='111'!$N$11,$B3620&lt;='111'!$O$11,OR($L3620=$O$7,$M3620=$O$7)),"x","")</f>
        <v/>
      </c>
      <c r="P3620" s="52" t="str">
        <f>IF(AND($L3620=$O$7,$B3620&lt;'111'!$N$11),"x","")</f>
        <v/>
      </c>
      <c r="Q3620" s="52" t="str">
        <f>IF(AND($M3620=$O$7,$B3620&lt;'111'!$N$11),"x","")</f>
        <v/>
      </c>
      <c r="R3620" s="52" t="str">
        <f>IF(ISERROR(FIND('112'!$M$9,G3620,1)),"",IF((AND(FIND('112'!$M$9,G3620,1)&gt;=1,$B3620&gt;='112'!$N$8,$B3620&lt;='112'!$O$8,OR($L3620='112'!$I$6,$M3620='112'!$I$6))),"x",""))</f>
        <v/>
      </c>
      <c r="S3620" s="52" t="str">
        <f>IF(ISERROR(FIND('112'!$M$9,G3620,1)),"",IF((AND(LEFT(G3620,2)=LEFT('112'!$M$9,2),B3620&lt;'112'!$N$8,$L3620='112'!$I$6)),"x",""))</f>
        <v/>
      </c>
      <c r="T3620" s="52" t="str">
        <f>IF(ISERROR(FIND('112'!$M$9,G3620,1)),"",IF((AND(RIGHT(G3620,2)=RIGHT('112'!$M$9,2),B3620&lt;'112'!$N$8,$M3620='112'!$I$6)),"x",""))</f>
        <v/>
      </c>
      <c r="U3620" s="52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>x</v>
      </c>
      <c r="AA3620" s="826"/>
    </row>
    <row r="3621" spans="1:27" ht="15.75" customHeight="1">
      <c r="A3621" s="827" t="str">
        <f>IF(B3621&lt;&gt;"",IF(AND(B3621&gt;=_TM1,B3621&lt;=_TM2,OR(TH!L3621="1111",TH!M3621="1111")),TH!D3621,""),"")</f>
        <v/>
      </c>
      <c r="B3621" s="876">
        <f t="shared" si="478"/>
        <v>8</v>
      </c>
      <c r="C3621" s="877">
        <f t="shared" si="479"/>
        <v>42598</v>
      </c>
      <c r="D3621" s="878" t="s">
        <v>1663</v>
      </c>
      <c r="E3621" s="912">
        <v>42598</v>
      </c>
      <c r="F3621" s="891" t="s">
        <v>1485</v>
      </c>
      <c r="G3621" s="913" t="s">
        <v>1514</v>
      </c>
      <c r="H3621" s="881" t="s">
        <v>1313</v>
      </c>
      <c r="I3621" s="882">
        <v>210</v>
      </c>
      <c r="J3621" s="882">
        <v>39518.319092762074</v>
      </c>
      <c r="K3621" s="883">
        <f t="shared" si="480"/>
        <v>8298847</v>
      </c>
      <c r="L3621" s="884" t="s">
        <v>857</v>
      </c>
      <c r="M3621" s="884" t="s">
        <v>160</v>
      </c>
      <c r="N3621" s="52" t="str">
        <f>IF(AND('331-CT'!$E$7=TH!H3621,OR(L3621="331",M3621="331")),"331",IF(AND(OR(L3621="131",M3621="131"),H3621='131-CT'!$E$7),"131",""))</f>
        <v/>
      </c>
      <c r="O3621" s="52" t="str">
        <f>IF(AND($B3621&gt;='111'!$N$11,$B3621&lt;='111'!$O$11,OR($L3621=$O$7,$M3621=$O$7)),"x","")</f>
        <v/>
      </c>
      <c r="P3621" s="52" t="str">
        <f>IF(AND($L3621=$O$7,$B3621&lt;'111'!$N$11),"x","")</f>
        <v/>
      </c>
      <c r="Q3621" s="52" t="str">
        <f>IF(AND($M3621=$O$7,$B3621&lt;'111'!$N$11),"x","")</f>
        <v/>
      </c>
      <c r="R3621" s="52" t="str">
        <f>IF(ISERROR(FIND('112'!$M$9,G3621,1)),"",IF((AND(FIND('112'!$M$9,G3621,1)&gt;=1,$B3621&gt;='112'!$N$8,$B3621&lt;='112'!$O$8,OR($L3621='112'!$I$6,$M3621='112'!$I$6))),"x",""))</f>
        <v/>
      </c>
      <c r="S3621" s="52" t="str">
        <f>IF(ISERROR(FIND('112'!$M$9,G3621,1)),"",IF((AND(LEFT(G3621,2)=LEFT('112'!$M$9,2),B3621&lt;'112'!$N$8,$L3621='112'!$I$6)),"x",""))</f>
        <v/>
      </c>
      <c r="T3621" s="52" t="str">
        <f>IF(ISERROR(FIND('112'!$M$9,G3621,1)),"",IF((AND(RIGHT(G3621,2)=RIGHT('112'!$M$9,2),B3621&lt;'112'!$N$8,$M3621='112'!$I$6)),"x",""))</f>
        <v/>
      </c>
      <c r="U3621" s="52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>x</v>
      </c>
      <c r="AA3621" s="826"/>
    </row>
    <row r="3622" spans="1:27" ht="15.75" customHeight="1">
      <c r="A3622" s="827" t="str">
        <f>IF(B3622&lt;&gt;"",IF(AND(B3622&gt;=_TM1,B3622&lt;=_TM2,OR(TH!L3622="1111",TH!M3622="1111")),TH!D3622,""),"")</f>
        <v/>
      </c>
      <c r="B3622" s="876">
        <f t="shared" si="478"/>
        <v>8</v>
      </c>
      <c r="C3622" s="877">
        <f t="shared" si="479"/>
        <v>42598</v>
      </c>
      <c r="D3622" s="878" t="s">
        <v>1663</v>
      </c>
      <c r="E3622" s="912">
        <v>42598</v>
      </c>
      <c r="F3622" s="914" t="s">
        <v>1517</v>
      </c>
      <c r="G3622" s="913" t="s">
        <v>1516</v>
      </c>
      <c r="H3622" s="881" t="s">
        <v>1313</v>
      </c>
      <c r="I3622" s="882">
        <v>700</v>
      </c>
      <c r="J3622" s="882">
        <v>4751.6857594287358</v>
      </c>
      <c r="K3622" s="883">
        <f t="shared" si="480"/>
        <v>3326180</v>
      </c>
      <c r="L3622" s="884" t="s">
        <v>857</v>
      </c>
      <c r="M3622" s="884" t="s">
        <v>160</v>
      </c>
      <c r="N3622" s="52" t="str">
        <f>IF(AND('331-CT'!$E$7=TH!H3622,OR(L3622="331",M3622="331")),"331",IF(AND(OR(L3622="131",M3622="131"),H3622='131-CT'!$E$7),"131",""))</f>
        <v/>
      </c>
      <c r="O3622" s="52" t="str">
        <f>IF(AND($B3622&gt;='111'!$N$11,$B3622&lt;='111'!$O$11,OR($L3622=$O$7,$M3622=$O$7)),"x","")</f>
        <v/>
      </c>
      <c r="P3622" s="52" t="str">
        <f>IF(AND($L3622=$O$7,$B3622&lt;'111'!$N$11),"x","")</f>
        <v/>
      </c>
      <c r="Q3622" s="52" t="str">
        <f>IF(AND($M3622=$O$7,$B3622&lt;'111'!$N$11),"x","")</f>
        <v/>
      </c>
      <c r="R3622" s="52" t="str">
        <f>IF(ISERROR(FIND('112'!$M$9,G3622,1)),"",IF((AND(FIND('112'!$M$9,G3622,1)&gt;=1,$B3622&gt;='112'!$N$8,$B3622&lt;='112'!$O$8,OR($L3622='112'!$I$6,$M3622='112'!$I$6))),"x",""))</f>
        <v/>
      </c>
      <c r="S3622" s="52" t="str">
        <f>IF(ISERROR(FIND('112'!$M$9,G3622,1)),"",IF((AND(LEFT(G3622,2)=LEFT('112'!$M$9,2),B3622&lt;'112'!$N$8,$L3622='112'!$I$6)),"x",""))</f>
        <v/>
      </c>
      <c r="T3622" s="52" t="str">
        <f>IF(ISERROR(FIND('112'!$M$9,G3622,1)),"",IF((AND(RIGHT(G3622,2)=RIGHT('112'!$M$9,2),B3622&lt;'112'!$N$8,$M3622='112'!$I$6)),"x",""))</f>
        <v/>
      </c>
      <c r="U3622" s="52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>x</v>
      </c>
      <c r="AA3622" s="826"/>
    </row>
    <row r="3623" spans="1:27" ht="15.75" customHeight="1">
      <c r="A3623" s="827" t="str">
        <f>IF(B3623&lt;&gt;"",IF(AND(B3623&gt;=_TM1,B3623&lt;=_TM2,OR(TH!L3623="1111",TH!M3623="1111")),TH!D3623,""),"")</f>
        <v/>
      </c>
      <c r="B3623" s="876">
        <f t="shared" si="478"/>
        <v>8</v>
      </c>
      <c r="C3623" s="877">
        <f t="shared" si="479"/>
        <v>42601</v>
      </c>
      <c r="D3623" s="878" t="s">
        <v>1663</v>
      </c>
      <c r="E3623" s="912">
        <v>42601</v>
      </c>
      <c r="F3623" s="888" t="s">
        <v>812</v>
      </c>
      <c r="G3623" s="913" t="s">
        <v>1522</v>
      </c>
      <c r="H3623" s="881" t="s">
        <v>1313</v>
      </c>
      <c r="I3623" s="882">
        <v>1990</v>
      </c>
      <c r="J3623" s="882">
        <v>25286.457403362692</v>
      </c>
      <c r="K3623" s="883">
        <f t="shared" si="480"/>
        <v>50320050</v>
      </c>
      <c r="L3623" s="884" t="s">
        <v>857</v>
      </c>
      <c r="M3623" s="884" t="s">
        <v>160</v>
      </c>
      <c r="N3623" s="52" t="str">
        <f>IF(AND('331-CT'!$E$7=TH!H3623,OR(L3623="331",M3623="331")),"331",IF(AND(OR(L3623="131",M3623="131"),H3623='131-CT'!$E$7),"131",""))</f>
        <v/>
      </c>
      <c r="O3623" s="52" t="str">
        <f>IF(AND($B3623&gt;='111'!$N$11,$B3623&lt;='111'!$O$11,OR($L3623=$O$7,$M3623=$O$7)),"x","")</f>
        <v/>
      </c>
      <c r="P3623" s="52" t="str">
        <f>IF(AND($L3623=$O$7,$B3623&lt;'111'!$N$11),"x","")</f>
        <v/>
      </c>
      <c r="Q3623" s="52" t="str">
        <f>IF(AND($M3623=$O$7,$B3623&lt;'111'!$N$11),"x","")</f>
        <v/>
      </c>
      <c r="R3623" s="52" t="str">
        <f>IF(ISERROR(FIND('112'!$M$9,G3623,1)),"",IF((AND(FIND('112'!$M$9,G3623,1)&gt;=1,$B3623&gt;='112'!$N$8,$B3623&lt;='112'!$O$8,OR($L3623='112'!$I$6,$M3623='112'!$I$6))),"x",""))</f>
        <v/>
      </c>
      <c r="S3623" s="52" t="str">
        <f>IF(ISERROR(FIND('112'!$M$9,G3623,1)),"",IF((AND(LEFT(G3623,2)=LEFT('112'!$M$9,2),B3623&lt;'112'!$N$8,$L3623='112'!$I$6)),"x",""))</f>
        <v/>
      </c>
      <c r="T3623" s="52" t="str">
        <f>IF(ISERROR(FIND('112'!$M$9,G3623,1)),"",IF((AND(RIGHT(G3623,2)=RIGHT('112'!$M$9,2),B3623&lt;'112'!$N$8,$M3623='112'!$I$6)),"x",""))</f>
        <v/>
      </c>
      <c r="U3623" s="52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>x</v>
      </c>
      <c r="AA3623" s="826"/>
    </row>
    <row r="3624" spans="1:27" ht="15.75" customHeight="1">
      <c r="A3624" s="827" t="str">
        <f>IF(B3624&lt;&gt;"",IF(AND(B3624&gt;=_TM1,B3624&lt;=_TM2,OR(TH!L3624="1111",TH!M3624="1111")),TH!D3624,""),"")</f>
        <v/>
      </c>
      <c r="B3624" s="876">
        <f t="shared" si="478"/>
        <v>8</v>
      </c>
      <c r="C3624" s="877">
        <f t="shared" si="479"/>
        <v>42602</v>
      </c>
      <c r="D3624" s="878" t="s">
        <v>1663</v>
      </c>
      <c r="E3624" s="912">
        <v>42602</v>
      </c>
      <c r="F3624" s="891" t="s">
        <v>1481</v>
      </c>
      <c r="G3624" s="913" t="s">
        <v>1525</v>
      </c>
      <c r="H3624" s="881" t="s">
        <v>1313</v>
      </c>
      <c r="I3624" s="882">
        <v>5000</v>
      </c>
      <c r="J3624" s="882">
        <v>9054.5614737144497</v>
      </c>
      <c r="K3624" s="883">
        <f t="shared" si="480"/>
        <v>45272807</v>
      </c>
      <c r="L3624" s="884" t="s">
        <v>857</v>
      </c>
      <c r="M3624" s="884" t="s">
        <v>160</v>
      </c>
      <c r="N3624" s="52" t="str">
        <f>IF(AND('331-CT'!$E$7=TH!H3624,OR(L3624="331",M3624="331")),"331",IF(AND(OR(L3624="131",M3624="131"),H3624='131-CT'!$E$7),"131",""))</f>
        <v/>
      </c>
      <c r="O3624" s="52" t="str">
        <f>IF(AND($B3624&gt;='111'!$N$11,$B3624&lt;='111'!$O$11,OR($L3624=$O$7,$M3624=$O$7)),"x","")</f>
        <v/>
      </c>
      <c r="P3624" s="52" t="str">
        <f>IF(AND($L3624=$O$7,$B3624&lt;'111'!$N$11),"x","")</f>
        <v/>
      </c>
      <c r="Q3624" s="52" t="str">
        <f>IF(AND($M3624=$O$7,$B3624&lt;'111'!$N$11),"x","")</f>
        <v/>
      </c>
      <c r="R3624" s="52" t="str">
        <f>IF(ISERROR(FIND('112'!$M$9,G3624,1)),"",IF((AND(FIND('112'!$M$9,G3624,1)&gt;=1,$B3624&gt;='112'!$N$8,$B3624&lt;='112'!$O$8,OR($L3624='112'!$I$6,$M3624='112'!$I$6))),"x",""))</f>
        <v/>
      </c>
      <c r="S3624" s="52" t="str">
        <f>IF(ISERROR(FIND('112'!$M$9,G3624,1)),"",IF((AND(LEFT(G3624,2)=LEFT('112'!$M$9,2),B3624&lt;'112'!$N$8,$L3624='112'!$I$6)),"x",""))</f>
        <v/>
      </c>
      <c r="T3624" s="52" t="str">
        <f>IF(ISERROR(FIND('112'!$M$9,G3624,1)),"",IF((AND(RIGHT(G3624,2)=RIGHT('112'!$M$9,2),B3624&lt;'112'!$N$8,$M3624='112'!$I$6)),"x",""))</f>
        <v/>
      </c>
      <c r="U3624" s="52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>x</v>
      </c>
      <c r="AA3624" s="826"/>
    </row>
    <row r="3625" spans="1:27" ht="15.75" customHeight="1">
      <c r="A3625" s="827" t="str">
        <f>IF(B3625&lt;&gt;"",IF(AND(B3625&gt;=_TM1,B3625&lt;=_TM2,OR(TH!L3625="1111",TH!M3625="1111")),TH!D3625,""),"")</f>
        <v/>
      </c>
      <c r="B3625" s="876">
        <f t="shared" si="478"/>
        <v>8</v>
      </c>
      <c r="C3625" s="877">
        <f t="shared" si="479"/>
        <v>42604</v>
      </c>
      <c r="D3625" s="878" t="s">
        <v>1663</v>
      </c>
      <c r="E3625" s="912">
        <v>42604</v>
      </c>
      <c r="F3625" s="888" t="s">
        <v>1178</v>
      </c>
      <c r="G3625" s="913" t="s">
        <v>1526</v>
      </c>
      <c r="H3625" s="881" t="s">
        <v>1313</v>
      </c>
      <c r="I3625" s="882">
        <v>1500</v>
      </c>
      <c r="J3625" s="882">
        <v>34634.005473714453</v>
      </c>
      <c r="K3625" s="883">
        <f t="shared" si="480"/>
        <v>51951008</v>
      </c>
      <c r="L3625" s="884" t="s">
        <v>857</v>
      </c>
      <c r="M3625" s="884" t="s">
        <v>160</v>
      </c>
      <c r="N3625" s="52" t="str">
        <f>IF(AND('331-CT'!$E$7=TH!H3625,OR(L3625="331",M3625="331")),"331",IF(AND(OR(L3625="131",M3625="131"),H3625='131-CT'!$E$7),"131",""))</f>
        <v/>
      </c>
      <c r="O3625" s="52" t="str">
        <f>IF(AND($B3625&gt;='111'!$N$11,$B3625&lt;='111'!$O$11,OR($L3625=$O$7,$M3625=$O$7)),"x","")</f>
        <v/>
      </c>
      <c r="P3625" s="52" t="str">
        <f>IF(AND($L3625=$O$7,$B3625&lt;'111'!$N$11),"x","")</f>
        <v/>
      </c>
      <c r="Q3625" s="52" t="str">
        <f>IF(AND($M3625=$O$7,$B3625&lt;'111'!$N$11),"x","")</f>
        <v/>
      </c>
      <c r="R3625" s="52" t="str">
        <f>IF(ISERROR(FIND('112'!$M$9,G3625,1)),"",IF((AND(FIND('112'!$M$9,G3625,1)&gt;=1,$B3625&gt;='112'!$N$8,$B3625&lt;='112'!$O$8,OR($L3625='112'!$I$6,$M3625='112'!$I$6))),"x",""))</f>
        <v/>
      </c>
      <c r="S3625" s="52" t="str">
        <f>IF(ISERROR(FIND('112'!$M$9,G3625,1)),"",IF((AND(LEFT(G3625,2)=LEFT('112'!$M$9,2),B3625&lt;'112'!$N$8,$L3625='112'!$I$6)),"x",""))</f>
        <v/>
      </c>
      <c r="T3625" s="52" t="str">
        <f>IF(ISERROR(FIND('112'!$M$9,G3625,1)),"",IF((AND(RIGHT(G3625,2)=RIGHT('112'!$M$9,2),B3625&lt;'112'!$N$8,$M3625='112'!$I$6)),"x",""))</f>
        <v/>
      </c>
      <c r="U3625" s="52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>x</v>
      </c>
      <c r="AA3625" s="826"/>
    </row>
    <row r="3626" spans="1:27" ht="15.75" customHeight="1">
      <c r="A3626" s="827" t="str">
        <f>IF(B3626&lt;&gt;"",IF(AND(B3626&gt;=_TM1,B3626&lt;=_TM2,OR(TH!L3626="1111",TH!M3626="1111")),TH!D3626,""),"")</f>
        <v/>
      </c>
      <c r="B3626" s="876">
        <f t="shared" si="478"/>
        <v>8</v>
      </c>
      <c r="C3626" s="877">
        <f t="shared" si="479"/>
        <v>42604</v>
      </c>
      <c r="D3626" s="878" t="s">
        <v>1663</v>
      </c>
      <c r="E3626" s="912">
        <v>42604</v>
      </c>
      <c r="F3626" s="891" t="s">
        <v>1179</v>
      </c>
      <c r="G3626" s="913" t="s">
        <v>1526</v>
      </c>
      <c r="H3626" s="881" t="s">
        <v>1313</v>
      </c>
      <c r="I3626" s="882">
        <v>1500</v>
      </c>
      <c r="J3626" s="882">
        <v>32010.711473714451</v>
      </c>
      <c r="K3626" s="883">
        <f t="shared" si="480"/>
        <v>48016067</v>
      </c>
      <c r="L3626" s="884" t="s">
        <v>857</v>
      </c>
      <c r="M3626" s="884" t="s">
        <v>160</v>
      </c>
      <c r="N3626" s="52" t="str">
        <f>IF(AND('331-CT'!$E$7=TH!H3626,OR(L3626="331",M3626="331")),"331",IF(AND(OR(L3626="131",M3626="131"),H3626='131-CT'!$E$7),"131",""))</f>
        <v/>
      </c>
      <c r="O3626" s="52" t="str">
        <f>IF(AND($B3626&gt;='111'!$N$11,$B3626&lt;='111'!$O$11,OR($L3626=$O$7,$M3626=$O$7)),"x","")</f>
        <v/>
      </c>
      <c r="P3626" s="52" t="str">
        <f>IF(AND($L3626=$O$7,$B3626&lt;'111'!$N$11),"x","")</f>
        <v/>
      </c>
      <c r="Q3626" s="52" t="str">
        <f>IF(AND($M3626=$O$7,$B3626&lt;'111'!$N$11),"x","")</f>
        <v/>
      </c>
      <c r="R3626" s="52" t="str">
        <f>IF(ISERROR(FIND('112'!$M$9,G3626,1)),"",IF((AND(FIND('112'!$M$9,G3626,1)&gt;=1,$B3626&gt;='112'!$N$8,$B3626&lt;='112'!$O$8,OR($L3626='112'!$I$6,$M3626='112'!$I$6))),"x",""))</f>
        <v/>
      </c>
      <c r="S3626" s="52" t="str">
        <f>IF(ISERROR(FIND('112'!$M$9,G3626,1)),"",IF((AND(LEFT(G3626,2)=LEFT('112'!$M$9,2),B3626&lt;'112'!$N$8,$L3626='112'!$I$6)),"x",""))</f>
        <v/>
      </c>
      <c r="T3626" s="52" t="str">
        <f>IF(ISERROR(FIND('112'!$M$9,G3626,1)),"",IF((AND(RIGHT(G3626,2)=RIGHT('112'!$M$9,2),B3626&lt;'112'!$N$8,$M3626='112'!$I$6)),"x",""))</f>
        <v/>
      </c>
      <c r="U3626" s="52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>x</v>
      </c>
      <c r="AA3626" s="826"/>
    </row>
    <row r="3627" spans="1:27" ht="15.75" customHeight="1">
      <c r="A3627" s="827" t="str">
        <f>IF(B3627&lt;&gt;"",IF(AND(B3627&gt;=_TM1,B3627&lt;=_TM2,OR(TH!L3627="1111",TH!M3627="1111")),TH!D3627,""),"")</f>
        <v/>
      </c>
      <c r="B3627" s="876">
        <f t="shared" si="476"/>
        <v>8</v>
      </c>
      <c r="C3627" s="877">
        <f t="shared" si="475"/>
        <v>42612</v>
      </c>
      <c r="D3627" s="878" t="s">
        <v>1663</v>
      </c>
      <c r="E3627" s="912">
        <v>42612</v>
      </c>
      <c r="F3627" s="888" t="s">
        <v>552</v>
      </c>
      <c r="G3627" s="913" t="s">
        <v>1537</v>
      </c>
      <c r="H3627" s="881" t="s">
        <v>1313</v>
      </c>
      <c r="I3627" s="882">
        <v>24</v>
      </c>
      <c r="J3627" s="882">
        <v>36371.93814038112</v>
      </c>
      <c r="K3627" s="883">
        <f t="shared" si="477"/>
        <v>872927</v>
      </c>
      <c r="L3627" s="884" t="s">
        <v>857</v>
      </c>
      <c r="M3627" s="884" t="s">
        <v>160</v>
      </c>
      <c r="N3627" s="52" t="str">
        <f>IF(AND('331-CT'!$E$7=TH!H3627,OR(L3627="331",M3627="331")),"331",IF(AND(OR(L3627="131",M3627="131"),H3627='131-CT'!$E$7),"131",""))</f>
        <v/>
      </c>
      <c r="O3627" s="52" t="str">
        <f>IF(AND($B3627&gt;='111'!$N$11,$B3627&lt;='111'!$O$11,OR($L3627=$O$7,$M3627=$O$7)),"x","")</f>
        <v/>
      </c>
      <c r="P3627" s="52" t="str">
        <f>IF(AND($L3627=$O$7,$B3627&lt;'111'!$N$11),"x","")</f>
        <v/>
      </c>
      <c r="Q3627" s="52" t="str">
        <f>IF(AND($M3627=$O$7,$B3627&lt;'111'!$N$11),"x","")</f>
        <v/>
      </c>
      <c r="R3627" s="52" t="str">
        <f>IF(ISERROR(FIND('112'!$M$9,G3627,1)),"",IF((AND(FIND('112'!$M$9,G3627,1)&gt;=1,$B3627&gt;='112'!$N$8,$B3627&lt;='112'!$O$8,OR($L3627='112'!$I$6,$M3627='112'!$I$6))),"x",""))</f>
        <v/>
      </c>
      <c r="S3627" s="52" t="str">
        <f>IF(ISERROR(FIND('112'!$M$9,G3627,1)),"",IF((AND(LEFT(G3627,2)=LEFT('112'!$M$9,2),B3627&lt;'112'!$N$8,$L3627='112'!$I$6)),"x",""))</f>
        <v/>
      </c>
      <c r="T3627" s="52" t="str">
        <f>IF(ISERROR(FIND('112'!$M$9,G3627,1)),"",IF((AND(RIGHT(G3627,2)=RIGHT('112'!$M$9,2),B3627&lt;'112'!$N$8,$M3627='112'!$I$6)),"x",""))</f>
        <v/>
      </c>
      <c r="U3627" s="52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>x</v>
      </c>
      <c r="AA3627" s="826"/>
    </row>
    <row r="3628" spans="1:27" ht="15.75" customHeight="1">
      <c r="A3628" s="827" t="str">
        <f>IF(B3628&lt;&gt;"",IF(AND(B3628&gt;=_TM1,B3628&lt;=_TM2,OR(TH!L3628="1111",TH!M3628="1111")),TH!D3628,""),"")</f>
        <v/>
      </c>
      <c r="B3628" s="876">
        <f t="shared" si="476"/>
        <v>9</v>
      </c>
      <c r="C3628" s="877">
        <f t="shared" si="475"/>
        <v>42623</v>
      </c>
      <c r="D3628" s="878" t="s">
        <v>1663</v>
      </c>
      <c r="E3628" s="912">
        <v>42623</v>
      </c>
      <c r="F3628" s="891" t="s">
        <v>1675</v>
      </c>
      <c r="G3628" s="913" t="s">
        <v>1674</v>
      </c>
      <c r="H3628" s="881" t="s">
        <v>1313</v>
      </c>
      <c r="I3628" s="882">
        <v>980</v>
      </c>
      <c r="J3628" s="882">
        <v>12643.572494122614</v>
      </c>
      <c r="K3628" s="883">
        <f t="shared" si="477"/>
        <v>12390701</v>
      </c>
      <c r="L3628" s="884" t="s">
        <v>857</v>
      </c>
      <c r="M3628" s="884" t="s">
        <v>160</v>
      </c>
      <c r="N3628" s="52" t="str">
        <f>IF(AND('331-CT'!$E$7=TH!H3628,OR(L3628="331",M3628="331")),"331",IF(AND(OR(L3628="131",M3628="131"),H3628='131-CT'!$E$7),"131",""))</f>
        <v/>
      </c>
      <c r="O3628" s="52" t="str">
        <f>IF(AND($B3628&gt;='111'!$N$11,$B3628&lt;='111'!$O$11,OR($L3628=$O$7,$M3628=$O$7)),"x","")</f>
        <v/>
      </c>
      <c r="P3628" s="52" t="str">
        <f>IF(AND($L3628=$O$7,$B3628&lt;'111'!$N$11),"x","")</f>
        <v/>
      </c>
      <c r="Q3628" s="52" t="str">
        <f>IF(AND($M3628=$O$7,$B3628&lt;'111'!$N$11),"x","")</f>
        <v/>
      </c>
      <c r="R3628" s="52" t="str">
        <f>IF(ISERROR(FIND('112'!$M$9,G3628,1)),"",IF((AND(FIND('112'!$M$9,G3628,1)&gt;=1,$B3628&gt;='112'!$N$8,$B3628&lt;='112'!$O$8,OR($L3628='112'!$I$6,$M3628='112'!$I$6))),"x",""))</f>
        <v/>
      </c>
      <c r="S3628" s="52" t="str">
        <f>IF(ISERROR(FIND('112'!$M$9,G3628,1)),"",IF((AND(LEFT(G3628,2)=LEFT('112'!$M$9,2),B3628&lt;'112'!$N$8,$L3628='112'!$I$6)),"x",""))</f>
        <v/>
      </c>
      <c r="T3628" s="52" t="str">
        <f>IF(ISERROR(FIND('112'!$M$9,G3628,1)),"",IF((AND(RIGHT(G3628,2)=RIGHT('112'!$M$9,2),B3628&lt;'112'!$N$8,$M3628='112'!$I$6)),"x",""))</f>
        <v/>
      </c>
      <c r="U3628" s="52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>x</v>
      </c>
      <c r="AA3628" s="826"/>
    </row>
    <row r="3629" spans="1:27" ht="15.75" customHeight="1">
      <c r="A3629" s="827" t="str">
        <f>IF(B3629&lt;&gt;"",IF(AND(B3629&gt;=_TM1,B3629&lt;=_TM2,OR(TH!L3629="1111",TH!M3629="1111")),TH!D3629,""),"")</f>
        <v/>
      </c>
      <c r="B3629" s="876">
        <f t="shared" si="476"/>
        <v>9</v>
      </c>
      <c r="C3629" s="877">
        <f t="shared" si="475"/>
        <v>42630</v>
      </c>
      <c r="D3629" s="878" t="s">
        <v>1663</v>
      </c>
      <c r="E3629" s="912">
        <v>42630</v>
      </c>
      <c r="F3629" s="888" t="s">
        <v>1681</v>
      </c>
      <c r="G3629" s="913" t="s">
        <v>1680</v>
      </c>
      <c r="H3629" s="881" t="s">
        <v>1313</v>
      </c>
      <c r="I3629" s="882">
        <v>570</v>
      </c>
      <c r="J3629" s="882">
        <v>19967.450421082871</v>
      </c>
      <c r="K3629" s="883">
        <f t="shared" si="477"/>
        <v>11381447</v>
      </c>
      <c r="L3629" s="884" t="s">
        <v>857</v>
      </c>
      <c r="M3629" s="884" t="s">
        <v>160</v>
      </c>
      <c r="N3629" s="52" t="str">
        <f>IF(AND('331-CT'!$E$7=TH!H3629,OR(L3629="331",M3629="331")),"331",IF(AND(OR(L3629="131",M3629="131"),H3629='131-CT'!$E$7),"131",""))</f>
        <v/>
      </c>
      <c r="O3629" s="52" t="str">
        <f>IF(AND($B3629&gt;='111'!$N$11,$B3629&lt;='111'!$O$11,OR($L3629=$O$7,$M3629=$O$7)),"x","")</f>
        <v/>
      </c>
      <c r="P3629" s="52" t="str">
        <f>IF(AND($L3629=$O$7,$B3629&lt;'111'!$N$11),"x","")</f>
        <v/>
      </c>
      <c r="Q3629" s="52" t="str">
        <f>IF(AND($M3629=$O$7,$B3629&lt;'111'!$N$11),"x","")</f>
        <v/>
      </c>
      <c r="R3629" s="52" t="str">
        <f>IF(ISERROR(FIND('112'!$M$9,G3629,1)),"",IF((AND(FIND('112'!$M$9,G3629,1)&gt;=1,$B3629&gt;='112'!$N$8,$B3629&lt;='112'!$O$8,OR($L3629='112'!$I$6,$M3629='112'!$I$6))),"x",""))</f>
        <v/>
      </c>
      <c r="S3629" s="52" t="str">
        <f>IF(ISERROR(FIND('112'!$M$9,G3629,1)),"",IF((AND(LEFT(G3629,2)=LEFT('112'!$M$9,2),B3629&lt;'112'!$N$8,$L3629='112'!$I$6)),"x",""))</f>
        <v/>
      </c>
      <c r="T3629" s="52" t="str">
        <f>IF(ISERROR(FIND('112'!$M$9,G3629,1)),"",IF((AND(RIGHT(G3629,2)=RIGHT('112'!$M$9,2),B3629&lt;'112'!$N$8,$M3629='112'!$I$6)),"x",""))</f>
        <v/>
      </c>
      <c r="U3629" s="52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/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>x</v>
      </c>
      <c r="AA3629" s="826"/>
    </row>
    <row r="3630" spans="1:27" ht="15.75" customHeight="1">
      <c r="A3630" s="827" t="str">
        <f>IF(B3630&lt;&gt;"",IF(AND(B3630&gt;=_TM1,B3630&lt;=_TM2,OR(TH!L3630="1111",TH!M3630="1111")),TH!D3630,""),"")</f>
        <v/>
      </c>
      <c r="B3630" s="876">
        <f t="shared" si="476"/>
        <v>9</v>
      </c>
      <c r="C3630" s="877">
        <f t="shared" si="475"/>
        <v>42633</v>
      </c>
      <c r="D3630" s="878" t="s">
        <v>1663</v>
      </c>
      <c r="E3630" s="912">
        <v>42633</v>
      </c>
      <c r="F3630" s="891" t="s">
        <v>1687</v>
      </c>
      <c r="G3630" s="913" t="s">
        <v>1686</v>
      </c>
      <c r="H3630" s="881" t="s">
        <v>1313</v>
      </c>
      <c r="I3630" s="882">
        <v>4950</v>
      </c>
      <c r="J3630" s="882">
        <v>9122.1007666437436</v>
      </c>
      <c r="K3630" s="883">
        <f t="shared" si="477"/>
        <v>45154399</v>
      </c>
      <c r="L3630" s="884" t="s">
        <v>857</v>
      </c>
      <c r="M3630" s="884" t="s">
        <v>160</v>
      </c>
      <c r="N3630" s="52" t="str">
        <f>IF(AND('331-CT'!$E$7=TH!H3630,OR(L3630="331",M3630="331")),"331",IF(AND(OR(L3630="131",M3630="131"),H3630='131-CT'!$E$7),"131",""))</f>
        <v/>
      </c>
      <c r="O3630" s="52" t="str">
        <f>IF(AND($B3630&gt;='111'!$N$11,$B3630&lt;='111'!$O$11,OR($L3630=$O$7,$M3630=$O$7)),"x","")</f>
        <v/>
      </c>
      <c r="P3630" s="52" t="str">
        <f>IF(AND($L3630=$O$7,$B3630&lt;'111'!$N$11),"x","")</f>
        <v/>
      </c>
      <c r="Q3630" s="52" t="str">
        <f>IF(AND($M3630=$O$7,$B3630&lt;'111'!$N$11),"x","")</f>
        <v/>
      </c>
      <c r="R3630" s="52" t="str">
        <f>IF(ISERROR(FIND('112'!$M$9,G3630,1)),"",IF((AND(FIND('112'!$M$9,G3630,1)&gt;=1,$B3630&gt;='112'!$N$8,$B3630&lt;='112'!$O$8,OR($L3630='112'!$I$6,$M3630='112'!$I$6))),"x",""))</f>
        <v/>
      </c>
      <c r="S3630" s="52" t="str">
        <f>IF(ISERROR(FIND('112'!$M$9,G3630,1)),"",IF((AND(LEFT(G3630,2)=LEFT('112'!$M$9,2),B3630&lt;'112'!$N$8,$L3630='112'!$I$6)),"x",""))</f>
        <v/>
      </c>
      <c r="T3630" s="52" t="str">
        <f>IF(ISERROR(FIND('112'!$M$9,G3630,1)),"",IF((AND(RIGHT(G3630,2)=RIGHT('112'!$M$9,2),B3630&lt;'112'!$N$8,$M3630='112'!$I$6)),"x",""))</f>
        <v/>
      </c>
      <c r="U3630" s="52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>x</v>
      </c>
      <c r="AA3630" s="826"/>
    </row>
    <row r="3631" spans="1:27" ht="15.75" customHeight="1">
      <c r="A3631" s="827" t="str">
        <f>IF(B3631&lt;&gt;"",IF(AND(B3631&gt;=_TM1,B3631&lt;=_TM2,OR(TH!L3631="1111",TH!M3631="1111")),TH!D3631,""),"")</f>
        <v/>
      </c>
      <c r="B3631" s="876">
        <f t="shared" si="476"/>
        <v>9</v>
      </c>
      <c r="C3631" s="877">
        <f t="shared" si="475"/>
        <v>42634</v>
      </c>
      <c r="D3631" s="878" t="s">
        <v>1663</v>
      </c>
      <c r="E3631" s="912">
        <v>42634</v>
      </c>
      <c r="F3631" s="891" t="s">
        <v>1178</v>
      </c>
      <c r="G3631" s="913" t="s">
        <v>1688</v>
      </c>
      <c r="H3631" s="881" t="s">
        <v>1313</v>
      </c>
      <c r="I3631" s="882">
        <v>1550</v>
      </c>
      <c r="J3631" s="882">
        <v>34886.835989843479</v>
      </c>
      <c r="K3631" s="883">
        <f t="shared" si="477"/>
        <v>54074596</v>
      </c>
      <c r="L3631" s="884" t="s">
        <v>857</v>
      </c>
      <c r="M3631" s="884" t="s">
        <v>160</v>
      </c>
      <c r="N3631" s="52" t="str">
        <f>IF(AND('331-CT'!$E$7=TH!H3631,OR(L3631="331",M3631="331")),"331",IF(AND(OR(L3631="131",M3631="131"),H3631='131-CT'!$E$7),"131",""))</f>
        <v/>
      </c>
      <c r="O3631" s="52" t="str">
        <f>IF(AND($B3631&gt;='111'!$N$11,$B3631&lt;='111'!$O$11,OR($L3631=$O$7,$M3631=$O$7)),"x","")</f>
        <v/>
      </c>
      <c r="P3631" s="52" t="str">
        <f>IF(AND($L3631=$O$7,$B3631&lt;'111'!$N$11),"x","")</f>
        <v/>
      </c>
      <c r="Q3631" s="52" t="str">
        <f>IF(AND($M3631=$O$7,$B3631&lt;'111'!$N$11),"x","")</f>
        <v/>
      </c>
      <c r="R3631" s="52" t="str">
        <f>IF(ISERROR(FIND('112'!$M$9,G3631,1)),"",IF((AND(FIND('112'!$M$9,G3631,1)&gt;=1,$B3631&gt;='112'!$N$8,$B3631&lt;='112'!$O$8,OR($L3631='112'!$I$6,$M3631='112'!$I$6))),"x",""))</f>
        <v/>
      </c>
      <c r="S3631" s="52" t="str">
        <f>IF(ISERROR(FIND('112'!$M$9,G3631,1)),"",IF((AND(LEFT(G3631,2)=LEFT('112'!$M$9,2),B3631&lt;'112'!$N$8,$L3631='112'!$I$6)),"x",""))</f>
        <v/>
      </c>
      <c r="T3631" s="52" t="str">
        <f>IF(ISERROR(FIND('112'!$M$9,G3631,1)),"",IF((AND(RIGHT(G3631,2)=RIGHT('112'!$M$9,2),B3631&lt;'112'!$N$8,$M3631='112'!$I$6)),"x",""))</f>
        <v/>
      </c>
      <c r="U3631" s="52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>x</v>
      </c>
      <c r="AA3631" s="826"/>
    </row>
    <row r="3632" spans="1:27" ht="15.75" customHeight="1">
      <c r="A3632" s="827" t="str">
        <f>IF(B3632&lt;&gt;"",IF(AND(B3632&gt;=_TM1,B3632&lt;=_TM2,OR(TH!L3632="1111",TH!M3632="1111")),TH!D3632,""),"")</f>
        <v/>
      </c>
      <c r="B3632" s="876">
        <f t="shared" si="476"/>
        <v>9</v>
      </c>
      <c r="C3632" s="877">
        <f t="shared" ref="C3632:C3660" si="481">E3632</f>
        <v>42634</v>
      </c>
      <c r="D3632" s="878" t="s">
        <v>1663</v>
      </c>
      <c r="E3632" s="912">
        <v>42634</v>
      </c>
      <c r="F3632" s="891" t="s">
        <v>1179</v>
      </c>
      <c r="G3632" s="913" t="s">
        <v>1688</v>
      </c>
      <c r="H3632" s="881" t="s">
        <v>1313</v>
      </c>
      <c r="I3632" s="882">
        <v>1500</v>
      </c>
      <c r="J3632" s="882">
        <v>32624.314140381117</v>
      </c>
      <c r="K3632" s="883">
        <f t="shared" si="477"/>
        <v>48936471</v>
      </c>
      <c r="L3632" s="884" t="s">
        <v>857</v>
      </c>
      <c r="M3632" s="884" t="s">
        <v>160</v>
      </c>
      <c r="N3632" s="52" t="str">
        <f>IF(AND('331-CT'!$E$7=TH!H3632,OR(L3632="331",M3632="331")),"331",IF(AND(OR(L3632="131",M3632="131"),H3632='131-CT'!$E$7),"131",""))</f>
        <v/>
      </c>
      <c r="O3632" s="52" t="str">
        <f>IF(AND($B3632&gt;='111'!$N$11,$B3632&lt;='111'!$O$11,OR($L3632=$O$7,$M3632=$O$7)),"x","")</f>
        <v/>
      </c>
      <c r="P3632" s="52" t="str">
        <f>IF(AND($L3632=$O$7,$B3632&lt;'111'!$N$11),"x","")</f>
        <v/>
      </c>
      <c r="Q3632" s="52" t="str">
        <f>IF(AND($M3632=$O$7,$B3632&lt;'111'!$N$11),"x","")</f>
        <v/>
      </c>
      <c r="R3632" s="52" t="str">
        <f>IF(ISERROR(FIND('112'!$M$9,G3632,1)),"",IF((AND(FIND('112'!$M$9,G3632,1)&gt;=1,$B3632&gt;='112'!$N$8,$B3632&lt;='112'!$O$8,OR($L3632='112'!$I$6,$M3632='112'!$I$6))),"x",""))</f>
        <v/>
      </c>
      <c r="S3632" s="52" t="str">
        <f>IF(ISERROR(FIND('112'!$M$9,G3632,1)),"",IF((AND(LEFT(G3632,2)=LEFT('112'!$M$9,2),B3632&lt;'112'!$N$8,$L3632='112'!$I$6)),"x",""))</f>
        <v/>
      </c>
      <c r="T3632" s="52" t="str">
        <f>IF(ISERROR(FIND('112'!$M$9,G3632,1)),"",IF((AND(RIGHT(G3632,2)=RIGHT('112'!$M$9,2),B3632&lt;'112'!$N$8,$M3632='112'!$I$6)),"x",""))</f>
        <v/>
      </c>
      <c r="U3632" s="52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>x</v>
      </c>
      <c r="AA3632" s="826"/>
    </row>
    <row r="3633" spans="1:27" ht="15.75" customHeight="1">
      <c r="A3633" s="827" t="str">
        <f>IF(B3633&lt;&gt;"",IF(AND(B3633&gt;=_TM1,B3633&lt;=_TM2,OR(TH!L3633="1111",TH!M3633="1111")),TH!D3633,""),"")</f>
        <v/>
      </c>
      <c r="B3633" s="876">
        <f t="shared" si="476"/>
        <v>9</v>
      </c>
      <c r="C3633" s="877">
        <f t="shared" si="481"/>
        <v>42642</v>
      </c>
      <c r="D3633" s="878" t="s">
        <v>1663</v>
      </c>
      <c r="E3633" s="912">
        <v>42642</v>
      </c>
      <c r="F3633" s="888" t="s">
        <v>1178</v>
      </c>
      <c r="G3633" s="913" t="s">
        <v>1692</v>
      </c>
      <c r="H3633" s="881" t="s">
        <v>1313</v>
      </c>
      <c r="I3633" s="882">
        <v>420</v>
      </c>
      <c r="J3633" s="882">
        <v>37131.97385466683</v>
      </c>
      <c r="K3633" s="883">
        <f t="shared" si="477"/>
        <v>15595429</v>
      </c>
      <c r="L3633" s="884" t="s">
        <v>857</v>
      </c>
      <c r="M3633" s="884" t="s">
        <v>160</v>
      </c>
      <c r="N3633" s="52" t="str">
        <f>IF(AND('331-CT'!$E$7=TH!H3633,OR(L3633="331",M3633="331")),"331",IF(AND(OR(L3633="131",M3633="131"),H3633='131-CT'!$E$7),"131",""))</f>
        <v/>
      </c>
      <c r="O3633" s="52" t="str">
        <f>IF(AND($B3633&gt;='111'!$N$11,$B3633&lt;='111'!$O$11,OR($L3633=$O$7,$M3633=$O$7)),"x","")</f>
        <v/>
      </c>
      <c r="P3633" s="52" t="str">
        <f>IF(AND($L3633=$O$7,$B3633&lt;'111'!$N$11),"x","")</f>
        <v/>
      </c>
      <c r="Q3633" s="52" t="str">
        <f>IF(AND($M3633=$O$7,$B3633&lt;'111'!$N$11),"x","")</f>
        <v/>
      </c>
      <c r="R3633" s="52" t="str">
        <f>IF(ISERROR(FIND('112'!$M$9,G3633,1)),"",IF((AND(FIND('112'!$M$9,G3633,1)&gt;=1,$B3633&gt;='112'!$N$8,$B3633&lt;='112'!$O$8,OR($L3633='112'!$I$6,$M3633='112'!$I$6))),"x",""))</f>
        <v/>
      </c>
      <c r="S3633" s="52" t="str">
        <f>IF(ISERROR(FIND('112'!$M$9,G3633,1)),"",IF((AND(LEFT(G3633,2)=LEFT('112'!$M$9,2),B3633&lt;'112'!$N$8,$L3633='112'!$I$6)),"x",""))</f>
        <v/>
      </c>
      <c r="T3633" s="52" t="str">
        <f>IF(ISERROR(FIND('112'!$M$9,G3633,1)),"",IF((AND(RIGHT(G3633,2)=RIGHT('112'!$M$9,2),B3633&lt;'112'!$N$8,$M3633='112'!$I$6)),"x",""))</f>
        <v/>
      </c>
      <c r="U3633" s="52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>x</v>
      </c>
      <c r="AA3633" s="826"/>
    </row>
    <row r="3634" spans="1:27" ht="15.75" customHeight="1">
      <c r="A3634" s="827" t="str">
        <f>IF(B3634&lt;&gt;"",IF(AND(B3634&gt;=_TM1,B3634&lt;=_TM2,OR(TH!L3634="1111",TH!M3634="1111")),TH!D3634,""),"")</f>
        <v/>
      </c>
      <c r="B3634" s="876">
        <f t="shared" si="476"/>
        <v>9</v>
      </c>
      <c r="C3634" s="877">
        <f t="shared" si="481"/>
        <v>42642</v>
      </c>
      <c r="D3634" s="878" t="s">
        <v>1663</v>
      </c>
      <c r="E3634" s="912">
        <v>42642</v>
      </c>
      <c r="F3634" s="891" t="s">
        <v>1696</v>
      </c>
      <c r="G3634" s="913" t="s">
        <v>1695</v>
      </c>
      <c r="H3634" s="881" t="s">
        <v>1313</v>
      </c>
      <c r="I3634" s="882">
        <v>5000</v>
      </c>
      <c r="J3634" s="882">
        <v>7837.8074737144498</v>
      </c>
      <c r="K3634" s="883">
        <f t="shared" si="477"/>
        <v>39189037</v>
      </c>
      <c r="L3634" s="884" t="s">
        <v>857</v>
      </c>
      <c r="M3634" s="884" t="s">
        <v>160</v>
      </c>
      <c r="N3634" s="52" t="str">
        <f>IF(AND('331-CT'!$E$7=TH!H3634,OR(L3634="331",M3634="331")),"331",IF(AND(OR(L3634="131",M3634="131"),H3634='131-CT'!$E$7),"131",""))</f>
        <v/>
      </c>
      <c r="O3634" s="52" t="str">
        <f>IF(AND($B3634&gt;='111'!$N$11,$B3634&lt;='111'!$O$11,OR($L3634=$O$7,$M3634=$O$7)),"x","")</f>
        <v/>
      </c>
      <c r="P3634" s="52" t="str">
        <f>IF(AND($L3634=$O$7,$B3634&lt;'111'!$N$11),"x","")</f>
        <v/>
      </c>
      <c r="Q3634" s="52" t="str">
        <f>IF(AND($M3634=$O$7,$B3634&lt;'111'!$N$11),"x","")</f>
        <v/>
      </c>
      <c r="R3634" s="52" t="str">
        <f>IF(ISERROR(FIND('112'!$M$9,G3634,1)),"",IF((AND(FIND('112'!$M$9,G3634,1)&gt;=1,$B3634&gt;='112'!$N$8,$B3634&lt;='112'!$O$8,OR($L3634='112'!$I$6,$M3634='112'!$I$6))),"x",""))</f>
        <v/>
      </c>
      <c r="S3634" s="52" t="str">
        <f>IF(ISERROR(FIND('112'!$M$9,G3634,1)),"",IF((AND(LEFT(G3634,2)=LEFT('112'!$M$9,2),B3634&lt;'112'!$N$8,$L3634='112'!$I$6)),"x",""))</f>
        <v/>
      </c>
      <c r="T3634" s="52" t="str">
        <f>IF(ISERROR(FIND('112'!$M$9,G3634,1)),"",IF((AND(RIGHT(G3634,2)=RIGHT('112'!$M$9,2),B3634&lt;'112'!$N$8,$M3634='112'!$I$6)),"x",""))</f>
        <v/>
      </c>
      <c r="U3634" s="52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>x</v>
      </c>
      <c r="AA3634" s="826"/>
    </row>
    <row r="3635" spans="1:27" ht="15.75" customHeight="1">
      <c r="A3635" s="827" t="str">
        <f>IF(B3635&lt;&gt;"",IF(AND(B3635&gt;=_TM1,B3635&lt;=_TM2,OR(TH!L3635="1111",TH!M3635="1111")),TH!D3635,""),"")</f>
        <v/>
      </c>
      <c r="B3635" s="876">
        <f t="shared" si="476"/>
        <v>9</v>
      </c>
      <c r="C3635" s="877">
        <f t="shared" si="481"/>
        <v>42642</v>
      </c>
      <c r="D3635" s="878" t="s">
        <v>1663</v>
      </c>
      <c r="E3635" s="912">
        <v>42642</v>
      </c>
      <c r="F3635" s="891" t="s">
        <v>1698</v>
      </c>
      <c r="G3635" s="913" t="s">
        <v>1695</v>
      </c>
      <c r="H3635" s="881" t="s">
        <v>1313</v>
      </c>
      <c r="I3635" s="882">
        <v>3000</v>
      </c>
      <c r="J3635" s="882">
        <v>12752.378140381117</v>
      </c>
      <c r="K3635" s="883">
        <f t="shared" si="477"/>
        <v>38257134</v>
      </c>
      <c r="L3635" s="884" t="s">
        <v>857</v>
      </c>
      <c r="M3635" s="884" t="s">
        <v>160</v>
      </c>
      <c r="N3635" s="52" t="str">
        <f>IF(AND('331-CT'!$E$7=TH!H3635,OR(L3635="331",M3635="331")),"331",IF(AND(OR(L3635="131",M3635="131"),H3635='131-CT'!$E$7),"131",""))</f>
        <v/>
      </c>
      <c r="O3635" s="52" t="str">
        <f>IF(AND($B3635&gt;='111'!$N$11,$B3635&lt;='111'!$O$11,OR($L3635=$O$7,$M3635=$O$7)),"x","")</f>
        <v/>
      </c>
      <c r="P3635" s="52" t="str">
        <f>IF(AND($L3635=$O$7,$B3635&lt;'111'!$N$11),"x","")</f>
        <v/>
      </c>
      <c r="Q3635" s="52" t="str">
        <f>IF(AND($M3635=$O$7,$B3635&lt;'111'!$N$11),"x","")</f>
        <v/>
      </c>
      <c r="R3635" s="52" t="str">
        <f>IF(ISERROR(FIND('112'!$M$9,G3635,1)),"",IF((AND(FIND('112'!$M$9,G3635,1)&gt;=1,$B3635&gt;='112'!$N$8,$B3635&lt;='112'!$O$8,OR($L3635='112'!$I$6,$M3635='112'!$I$6))),"x",""))</f>
        <v/>
      </c>
      <c r="S3635" s="52" t="str">
        <f>IF(ISERROR(FIND('112'!$M$9,G3635,1)),"",IF((AND(LEFT(G3635,2)=LEFT('112'!$M$9,2),B3635&lt;'112'!$N$8,$L3635='112'!$I$6)),"x",""))</f>
        <v/>
      </c>
      <c r="T3635" s="52" t="str">
        <f>IF(ISERROR(FIND('112'!$M$9,G3635,1)),"",IF((AND(RIGHT(G3635,2)=RIGHT('112'!$M$9,2),B3635&lt;'112'!$N$8,$M3635='112'!$I$6)),"x",""))</f>
        <v/>
      </c>
      <c r="U3635" s="52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>x</v>
      </c>
      <c r="AA3635" s="826"/>
    </row>
    <row r="3636" spans="1:27" ht="15.75" customHeight="1">
      <c r="A3636" s="827" t="str">
        <f>IF(B3636&lt;&gt;"",IF(AND(B3636&gt;=_TM1,B3636&lt;=_TM2,OR(TH!L3636="1111",TH!M3636="1111")),TH!D3636,""),"")</f>
        <v/>
      </c>
      <c r="B3636" s="876">
        <f t="shared" si="476"/>
        <v>9</v>
      </c>
      <c r="C3636" s="877">
        <f t="shared" si="481"/>
        <v>42643</v>
      </c>
      <c r="D3636" s="878" t="s">
        <v>1663</v>
      </c>
      <c r="E3636" s="912">
        <v>42643</v>
      </c>
      <c r="F3636" s="914" t="s">
        <v>1698</v>
      </c>
      <c r="G3636" s="913" t="s">
        <v>1704</v>
      </c>
      <c r="H3636" s="881" t="s">
        <v>1313</v>
      </c>
      <c r="I3636" s="882">
        <v>3200</v>
      </c>
      <c r="J3636" s="882">
        <v>12747.871473714451</v>
      </c>
      <c r="K3636" s="883">
        <f t="shared" si="477"/>
        <v>40793189</v>
      </c>
      <c r="L3636" s="884" t="s">
        <v>857</v>
      </c>
      <c r="M3636" s="884" t="s">
        <v>160</v>
      </c>
      <c r="N3636" s="52" t="str">
        <f>IF(AND('331-CT'!$E$7=TH!H3636,OR(L3636="331",M3636="331")),"331",IF(AND(OR(L3636="131",M3636="131"),H3636='131-CT'!$E$7),"131",""))</f>
        <v/>
      </c>
      <c r="O3636" s="52" t="str">
        <f>IF(AND($B3636&gt;='111'!$N$11,$B3636&lt;='111'!$O$11,OR($L3636=$O$7,$M3636=$O$7)),"x","")</f>
        <v/>
      </c>
      <c r="P3636" s="52" t="str">
        <f>IF(AND($L3636=$O$7,$B3636&lt;'111'!$N$11),"x","")</f>
        <v/>
      </c>
      <c r="Q3636" s="52" t="str">
        <f>IF(AND($M3636=$O$7,$B3636&lt;'111'!$N$11),"x","")</f>
        <v/>
      </c>
      <c r="R3636" s="52" t="str">
        <f>IF(ISERROR(FIND('112'!$M$9,G3636,1)),"",IF((AND(FIND('112'!$M$9,G3636,1)&gt;=1,$B3636&gt;='112'!$N$8,$B3636&lt;='112'!$O$8,OR($L3636='112'!$I$6,$M3636='112'!$I$6))),"x",""))</f>
        <v/>
      </c>
      <c r="S3636" s="52" t="str">
        <f>IF(ISERROR(FIND('112'!$M$9,G3636,1)),"",IF((AND(LEFT(G3636,2)=LEFT('112'!$M$9,2),B3636&lt;'112'!$N$8,$L3636='112'!$I$6)),"x",""))</f>
        <v/>
      </c>
      <c r="T3636" s="52" t="str">
        <f>IF(ISERROR(FIND('112'!$M$9,G3636,1)),"",IF((AND(RIGHT(G3636,2)=RIGHT('112'!$M$9,2),B3636&lt;'112'!$N$8,$M3636='112'!$I$6)),"x",""))</f>
        <v/>
      </c>
      <c r="U3636" s="52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>x</v>
      </c>
      <c r="AA3636" s="826"/>
    </row>
    <row r="3637" spans="1:27" ht="15.75" customHeight="1">
      <c r="A3637" s="827" t="str">
        <f>IF(B3637&lt;&gt;"",IF(AND(B3637&gt;=_TM1,B3637&lt;=_TM2,OR(TH!L3637="1111",TH!M3637="1111")),TH!D3637,""),"")</f>
        <v/>
      </c>
      <c r="B3637" s="876">
        <f t="shared" si="476"/>
        <v>9</v>
      </c>
      <c r="C3637" s="877">
        <f t="shared" si="481"/>
        <v>42643</v>
      </c>
      <c r="D3637" s="878" t="s">
        <v>1663</v>
      </c>
      <c r="E3637" s="912">
        <v>42643</v>
      </c>
      <c r="F3637" s="914" t="s">
        <v>1779</v>
      </c>
      <c r="G3637" s="913" t="s">
        <v>1775</v>
      </c>
      <c r="H3637" s="881" t="s">
        <v>1313</v>
      </c>
      <c r="I3637" s="882">
        <v>4</v>
      </c>
      <c r="J3637" s="882">
        <v>12550.271473714451</v>
      </c>
      <c r="K3637" s="883">
        <f t="shared" si="477"/>
        <v>50201</v>
      </c>
      <c r="L3637" s="884" t="s">
        <v>857</v>
      </c>
      <c r="M3637" s="884" t="s">
        <v>160</v>
      </c>
      <c r="N3637" s="52" t="str">
        <f>IF(AND('331-CT'!$E$7=TH!H3637,OR(L3637="331",M3637="331")),"331",IF(AND(OR(L3637="131",M3637="131"),H3637='131-CT'!$E$7),"131",""))</f>
        <v/>
      </c>
      <c r="O3637" s="52" t="str">
        <f>IF(AND($B3637&gt;='111'!$N$11,$B3637&lt;='111'!$O$11,OR($L3637=$O$7,$M3637=$O$7)),"x","")</f>
        <v/>
      </c>
      <c r="P3637" s="52" t="str">
        <f>IF(AND($L3637=$O$7,$B3637&lt;'111'!$N$11),"x","")</f>
        <v/>
      </c>
      <c r="Q3637" s="52" t="str">
        <f>IF(AND($M3637=$O$7,$B3637&lt;'111'!$N$11),"x","")</f>
        <v/>
      </c>
      <c r="R3637" s="52" t="str">
        <f>IF(ISERROR(FIND('112'!$M$9,G3637,1)),"",IF((AND(FIND('112'!$M$9,G3637,1)&gt;=1,$B3637&gt;='112'!$N$8,$B3637&lt;='112'!$O$8,OR($L3637='112'!$I$6,$M3637='112'!$I$6))),"x",""))</f>
        <v/>
      </c>
      <c r="S3637" s="52" t="str">
        <f>IF(ISERROR(FIND('112'!$M$9,G3637,1)),"",IF((AND(LEFT(G3637,2)=LEFT('112'!$M$9,2),B3637&lt;'112'!$N$8,$L3637='112'!$I$6)),"x",""))</f>
        <v/>
      </c>
      <c r="T3637" s="52" t="str">
        <f>IF(ISERROR(FIND('112'!$M$9,G3637,1)),"",IF((AND(RIGHT(G3637,2)=RIGHT('112'!$M$9,2),B3637&lt;'112'!$N$8,$M3637='112'!$I$6)),"x",""))</f>
        <v/>
      </c>
      <c r="U3637" s="52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>x</v>
      </c>
      <c r="AA3637" s="826"/>
    </row>
    <row r="3638" spans="1:27" ht="15.75" customHeight="1">
      <c r="A3638" s="827" t="str">
        <f>IF(B3638&lt;&gt;"",IF(AND(B3638&gt;=_TM1,B3638&lt;=_TM2,OR(TH!L3638="1111",TH!M3638="1111")),TH!D3638,""),"")</f>
        <v/>
      </c>
      <c r="B3638" s="876">
        <f t="shared" si="476"/>
        <v>9</v>
      </c>
      <c r="C3638" s="877">
        <f t="shared" si="481"/>
        <v>42643</v>
      </c>
      <c r="D3638" s="878" t="s">
        <v>1663</v>
      </c>
      <c r="E3638" s="912">
        <v>42643</v>
      </c>
      <c r="F3638" s="914" t="s">
        <v>1781</v>
      </c>
      <c r="G3638" s="913" t="s">
        <v>1775</v>
      </c>
      <c r="H3638" s="881" t="s">
        <v>1313</v>
      </c>
      <c r="I3638" s="882">
        <v>22</v>
      </c>
      <c r="J3638" s="882">
        <v>10542.453291896267</v>
      </c>
      <c r="K3638" s="883">
        <f t="shared" si="477"/>
        <v>231934</v>
      </c>
      <c r="L3638" s="884" t="s">
        <v>857</v>
      </c>
      <c r="M3638" s="884" t="s">
        <v>160</v>
      </c>
      <c r="N3638" s="52" t="str">
        <f>IF(AND('331-CT'!$E$7=TH!H3638,OR(L3638="331",M3638="331")),"331",IF(AND(OR(L3638="131",M3638="131"),H3638='131-CT'!$E$7),"131",""))</f>
        <v/>
      </c>
      <c r="O3638" s="52" t="str">
        <f>IF(AND($B3638&gt;='111'!$N$11,$B3638&lt;='111'!$O$11,OR($L3638=$O$7,$M3638=$O$7)),"x","")</f>
        <v/>
      </c>
      <c r="P3638" s="52" t="str">
        <f>IF(AND($L3638=$O$7,$B3638&lt;'111'!$N$11),"x","")</f>
        <v/>
      </c>
      <c r="Q3638" s="52" t="str">
        <f>IF(AND($M3638=$O$7,$B3638&lt;'111'!$N$11),"x","")</f>
        <v/>
      </c>
      <c r="R3638" s="52" t="str">
        <f>IF(ISERROR(FIND('112'!$M$9,G3638,1)),"",IF((AND(FIND('112'!$M$9,G3638,1)&gt;=1,$B3638&gt;='112'!$N$8,$B3638&lt;='112'!$O$8,OR($L3638='112'!$I$6,$M3638='112'!$I$6))),"x",""))</f>
        <v/>
      </c>
      <c r="S3638" s="52" t="str">
        <f>IF(ISERROR(FIND('112'!$M$9,G3638,1)),"",IF((AND(LEFT(G3638,2)=LEFT('112'!$M$9,2),B3638&lt;'112'!$N$8,$L3638='112'!$I$6)),"x",""))</f>
        <v/>
      </c>
      <c r="T3638" s="52" t="str">
        <f>IF(ISERROR(FIND('112'!$M$9,G3638,1)),"",IF((AND(RIGHT(G3638,2)=RIGHT('112'!$M$9,2),B3638&lt;'112'!$N$8,$M3638='112'!$I$6)),"x",""))</f>
        <v/>
      </c>
      <c r="U3638" s="52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>x</v>
      </c>
      <c r="AA3638" s="826"/>
    </row>
    <row r="3639" spans="1:27" ht="15.75" customHeight="1">
      <c r="A3639" s="827" t="str">
        <f>IF(B3639&lt;&gt;"",IF(AND(B3639&gt;=_TM1,B3639&lt;=_TM2,OR(TH!L3639="1111",TH!M3639="1111")),TH!D3639,""),"")</f>
        <v/>
      </c>
      <c r="B3639" s="876">
        <f t="shared" si="476"/>
        <v>9</v>
      </c>
      <c r="C3639" s="877">
        <f t="shared" si="481"/>
        <v>42643</v>
      </c>
      <c r="D3639" s="878" t="s">
        <v>1663</v>
      </c>
      <c r="E3639" s="912">
        <v>42643</v>
      </c>
      <c r="F3639" s="914" t="s">
        <v>1782</v>
      </c>
      <c r="G3639" s="913" t="s">
        <v>1775</v>
      </c>
      <c r="H3639" s="881" t="s">
        <v>1313</v>
      </c>
      <c r="I3639" s="882">
        <v>42</v>
      </c>
      <c r="J3639" s="882">
        <v>12199.700045143021</v>
      </c>
      <c r="K3639" s="883">
        <f t="shared" si="477"/>
        <v>512387</v>
      </c>
      <c r="L3639" s="884" t="s">
        <v>857</v>
      </c>
      <c r="M3639" s="884" t="s">
        <v>160</v>
      </c>
      <c r="N3639" s="52" t="str">
        <f>IF(AND('331-CT'!$E$7=TH!H3639,OR(L3639="331",M3639="331")),"331",IF(AND(OR(L3639="131",M3639="131"),H3639='131-CT'!$E$7),"131",""))</f>
        <v/>
      </c>
      <c r="O3639" s="52" t="str">
        <f>IF(AND($B3639&gt;='111'!$N$11,$B3639&lt;='111'!$O$11,OR($L3639=$O$7,$M3639=$O$7)),"x","")</f>
        <v/>
      </c>
      <c r="P3639" s="52" t="str">
        <f>IF(AND($L3639=$O$7,$B3639&lt;'111'!$N$11),"x","")</f>
        <v/>
      </c>
      <c r="Q3639" s="52" t="str">
        <f>IF(AND($M3639=$O$7,$B3639&lt;'111'!$N$11),"x","")</f>
        <v/>
      </c>
      <c r="R3639" s="52" t="str">
        <f>IF(ISERROR(FIND('112'!$M$9,G3639,1)),"",IF((AND(FIND('112'!$M$9,G3639,1)&gt;=1,$B3639&gt;='112'!$N$8,$B3639&lt;='112'!$O$8,OR($L3639='112'!$I$6,$M3639='112'!$I$6))),"x",""))</f>
        <v/>
      </c>
      <c r="S3639" s="52" t="str">
        <f>IF(ISERROR(FIND('112'!$M$9,G3639,1)),"",IF((AND(LEFT(G3639,2)=LEFT('112'!$M$9,2),B3639&lt;'112'!$N$8,$L3639='112'!$I$6)),"x",""))</f>
        <v/>
      </c>
      <c r="T3639" s="52" t="str">
        <f>IF(ISERROR(FIND('112'!$M$9,G3639,1)),"",IF((AND(RIGHT(G3639,2)=RIGHT('112'!$M$9,2),B3639&lt;'112'!$N$8,$M3639='112'!$I$6)),"x",""))</f>
        <v/>
      </c>
      <c r="U3639" s="52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>x</v>
      </c>
      <c r="AA3639" s="826"/>
    </row>
    <row r="3640" spans="1:27" ht="15.75" customHeight="1">
      <c r="A3640" s="827" t="str">
        <f>IF(B3640&lt;&gt;"",IF(AND(B3640&gt;=_TM1,B3640&lt;=_TM2,OR(TH!L3640="1111",TH!M3640="1111")),TH!D3640,""),"")</f>
        <v/>
      </c>
      <c r="B3640" s="876">
        <f t="shared" si="476"/>
        <v>9</v>
      </c>
      <c r="C3640" s="877">
        <f t="shared" si="481"/>
        <v>42643</v>
      </c>
      <c r="D3640" s="878" t="s">
        <v>1663</v>
      </c>
      <c r="E3640" s="912">
        <v>42643</v>
      </c>
      <c r="F3640" s="914" t="s">
        <v>1783</v>
      </c>
      <c r="G3640" s="913" t="s">
        <v>1775</v>
      </c>
      <c r="H3640" s="881" t="s">
        <v>1313</v>
      </c>
      <c r="I3640" s="882">
        <v>9</v>
      </c>
      <c r="J3640" s="882">
        <v>12277.604807047783</v>
      </c>
      <c r="K3640" s="883">
        <f t="shared" si="477"/>
        <v>110498</v>
      </c>
      <c r="L3640" s="884" t="s">
        <v>857</v>
      </c>
      <c r="M3640" s="884" t="s">
        <v>160</v>
      </c>
      <c r="N3640" s="52" t="str">
        <f>IF(AND('331-CT'!$E$7=TH!H3640,OR(L3640="331",M3640="331")),"331",IF(AND(OR(L3640="131",M3640="131"),H3640='131-CT'!$E$7),"131",""))</f>
        <v/>
      </c>
      <c r="O3640" s="52" t="str">
        <f>IF(AND($B3640&gt;='111'!$N$11,$B3640&lt;='111'!$O$11,OR($L3640=$O$7,$M3640=$O$7)),"x","")</f>
        <v/>
      </c>
      <c r="P3640" s="52" t="str">
        <f>IF(AND($L3640=$O$7,$B3640&lt;'111'!$N$11),"x","")</f>
        <v/>
      </c>
      <c r="Q3640" s="52" t="str">
        <f>IF(AND($M3640=$O$7,$B3640&lt;'111'!$N$11),"x","")</f>
        <v/>
      </c>
      <c r="R3640" s="52" t="str">
        <f>IF(ISERROR(FIND('112'!$M$9,G3640,1)),"",IF((AND(FIND('112'!$M$9,G3640,1)&gt;=1,$B3640&gt;='112'!$N$8,$B3640&lt;='112'!$O$8,OR($L3640='112'!$I$6,$M3640='112'!$I$6))),"x",""))</f>
        <v/>
      </c>
      <c r="S3640" s="52" t="str">
        <f>IF(ISERROR(FIND('112'!$M$9,G3640,1)),"",IF((AND(LEFT(G3640,2)=LEFT('112'!$M$9,2),B3640&lt;'112'!$N$8,$L3640='112'!$I$6)),"x",""))</f>
        <v/>
      </c>
      <c r="T3640" s="52" t="str">
        <f>IF(ISERROR(FIND('112'!$M$9,G3640,1)),"",IF((AND(RIGHT(G3640,2)=RIGHT('112'!$M$9,2),B3640&lt;'112'!$N$8,$M3640='112'!$I$6)),"x",""))</f>
        <v/>
      </c>
      <c r="U3640" s="52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>x</v>
      </c>
      <c r="AA3640" s="826"/>
    </row>
    <row r="3641" spans="1:27" ht="15.75" customHeight="1">
      <c r="A3641" s="827" t="str">
        <f>IF(B3641&lt;&gt;"",IF(AND(B3641&gt;=_TM1,B3641&lt;=_TM2,OR(TH!L3641="1111",TH!M3641="1111")),TH!D3641,""),"")</f>
        <v/>
      </c>
      <c r="B3641" s="876">
        <f t="shared" si="476"/>
        <v>9</v>
      </c>
      <c r="C3641" s="877">
        <f t="shared" si="481"/>
        <v>42643</v>
      </c>
      <c r="D3641" s="878" t="s">
        <v>1663</v>
      </c>
      <c r="E3641" s="912">
        <v>42643</v>
      </c>
      <c r="F3641" s="914" t="s">
        <v>808</v>
      </c>
      <c r="G3641" s="913" t="s">
        <v>1775</v>
      </c>
      <c r="H3641" s="881" t="s">
        <v>1313</v>
      </c>
      <c r="I3641" s="882">
        <v>16</v>
      </c>
      <c r="J3641" s="882">
        <v>13777.271473714451</v>
      </c>
      <c r="K3641" s="883">
        <f t="shared" si="477"/>
        <v>220436</v>
      </c>
      <c r="L3641" s="884" t="s">
        <v>857</v>
      </c>
      <c r="M3641" s="884" t="s">
        <v>160</v>
      </c>
      <c r="N3641" s="52" t="str">
        <f>IF(AND('331-CT'!$E$7=TH!H3641,OR(L3641="331",M3641="331")),"331",IF(AND(OR(L3641="131",M3641="131"),H3641='131-CT'!$E$7),"131",""))</f>
        <v/>
      </c>
      <c r="O3641" s="52" t="str">
        <f>IF(AND($B3641&gt;='111'!$N$11,$B3641&lt;='111'!$O$11,OR($L3641=$O$7,$M3641=$O$7)),"x","")</f>
        <v/>
      </c>
      <c r="P3641" s="52" t="str">
        <f>IF(AND($L3641=$O$7,$B3641&lt;'111'!$N$11),"x","")</f>
        <v/>
      </c>
      <c r="Q3641" s="52" t="str">
        <f>IF(AND($M3641=$O$7,$B3641&lt;'111'!$N$11),"x","")</f>
        <v/>
      </c>
      <c r="R3641" s="52" t="str">
        <f>IF(ISERROR(FIND('112'!$M$9,G3641,1)),"",IF((AND(FIND('112'!$M$9,G3641,1)&gt;=1,$B3641&gt;='112'!$N$8,$B3641&lt;='112'!$O$8,OR($L3641='112'!$I$6,$M3641='112'!$I$6))),"x",""))</f>
        <v/>
      </c>
      <c r="S3641" s="52" t="str">
        <f>IF(ISERROR(FIND('112'!$M$9,G3641,1)),"",IF((AND(LEFT(G3641,2)=LEFT('112'!$M$9,2),B3641&lt;'112'!$N$8,$L3641='112'!$I$6)),"x",""))</f>
        <v/>
      </c>
      <c r="T3641" s="52" t="str">
        <f>IF(ISERROR(FIND('112'!$M$9,G3641,1)),"",IF((AND(RIGHT(G3641,2)=RIGHT('112'!$M$9,2),B3641&lt;'112'!$N$8,$M3641='112'!$I$6)),"x",""))</f>
        <v/>
      </c>
      <c r="U3641" s="52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>x</v>
      </c>
      <c r="AA3641" s="826"/>
    </row>
    <row r="3642" spans="1:27" ht="15.75" customHeight="1">
      <c r="A3642" s="827" t="str">
        <f>IF(B3642&lt;&gt;"",IF(AND(B3642&gt;=_TM1,B3642&lt;=_TM2,OR(TH!L3642="1111",TH!M3642="1111")),TH!D3642,""),"")</f>
        <v/>
      </c>
      <c r="B3642" s="876">
        <f t="shared" si="476"/>
        <v>9</v>
      </c>
      <c r="C3642" s="877">
        <f t="shared" si="481"/>
        <v>42643</v>
      </c>
      <c r="D3642" s="878" t="s">
        <v>1663</v>
      </c>
      <c r="E3642" s="912">
        <v>42643</v>
      </c>
      <c r="F3642" s="914" t="s">
        <v>486</v>
      </c>
      <c r="G3642" s="913" t="s">
        <v>1775</v>
      </c>
      <c r="H3642" s="881" t="s">
        <v>1313</v>
      </c>
      <c r="I3642" s="882">
        <v>45</v>
      </c>
      <c r="J3642" s="882">
        <v>13528.271473714451</v>
      </c>
      <c r="K3642" s="883">
        <f t="shared" si="477"/>
        <v>608772</v>
      </c>
      <c r="L3642" s="884" t="s">
        <v>857</v>
      </c>
      <c r="M3642" s="884" t="s">
        <v>160</v>
      </c>
      <c r="N3642" s="52" t="str">
        <f>IF(AND('331-CT'!$E$7=TH!H3642,OR(L3642="331",M3642="331")),"331",IF(AND(OR(L3642="131",M3642="131"),H3642='131-CT'!$E$7),"131",""))</f>
        <v/>
      </c>
      <c r="O3642" s="52" t="str">
        <f>IF(AND($B3642&gt;='111'!$N$11,$B3642&lt;='111'!$O$11,OR($L3642=$O$7,$M3642=$O$7)),"x","")</f>
        <v/>
      </c>
      <c r="P3642" s="52" t="str">
        <f>IF(AND($L3642=$O$7,$B3642&lt;'111'!$N$11),"x","")</f>
        <v/>
      </c>
      <c r="Q3642" s="52" t="str">
        <f>IF(AND($M3642=$O$7,$B3642&lt;'111'!$N$11),"x","")</f>
        <v/>
      </c>
      <c r="R3642" s="52" t="str">
        <f>IF(ISERROR(FIND('112'!$M$9,G3642,1)),"",IF((AND(FIND('112'!$M$9,G3642,1)&gt;=1,$B3642&gt;='112'!$N$8,$B3642&lt;='112'!$O$8,OR($L3642='112'!$I$6,$M3642='112'!$I$6))),"x",""))</f>
        <v/>
      </c>
      <c r="S3642" s="52" t="str">
        <f>IF(ISERROR(FIND('112'!$M$9,G3642,1)),"",IF((AND(LEFT(G3642,2)=LEFT('112'!$M$9,2),B3642&lt;'112'!$N$8,$L3642='112'!$I$6)),"x",""))</f>
        <v/>
      </c>
      <c r="T3642" s="52" t="str">
        <f>IF(ISERROR(FIND('112'!$M$9,G3642,1)),"",IF((AND(RIGHT(G3642,2)=RIGHT('112'!$M$9,2),B3642&lt;'112'!$N$8,$M3642='112'!$I$6)),"x",""))</f>
        <v/>
      </c>
      <c r="U3642" s="52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>x</v>
      </c>
      <c r="AA3642" s="826"/>
    </row>
    <row r="3643" spans="1:27" ht="15.75" customHeight="1">
      <c r="A3643" s="827" t="str">
        <f>IF(B3643&lt;&gt;"",IF(AND(B3643&gt;=_TM1,B3643&lt;=_TM2,OR(TH!L3643="1111",TH!M3643="1111")),TH!D3643,""),"")</f>
        <v/>
      </c>
      <c r="B3643" s="876">
        <f t="shared" si="476"/>
        <v>9</v>
      </c>
      <c r="C3643" s="877">
        <f t="shared" si="481"/>
        <v>42643</v>
      </c>
      <c r="D3643" s="878" t="s">
        <v>1663</v>
      </c>
      <c r="E3643" s="912">
        <v>42643</v>
      </c>
      <c r="F3643" s="914" t="s">
        <v>1784</v>
      </c>
      <c r="G3643" s="913" t="s">
        <v>1775</v>
      </c>
      <c r="H3643" s="881" t="s">
        <v>1313</v>
      </c>
      <c r="I3643" s="882">
        <v>4</v>
      </c>
      <c r="J3643" s="882">
        <v>20247.271473714449</v>
      </c>
      <c r="K3643" s="883">
        <f t="shared" si="477"/>
        <v>80989</v>
      </c>
      <c r="L3643" s="884" t="s">
        <v>857</v>
      </c>
      <c r="M3643" s="884" t="s">
        <v>160</v>
      </c>
      <c r="N3643" s="52" t="str">
        <f>IF(AND('331-CT'!$E$7=TH!H3643,OR(L3643="331",M3643="331")),"331",IF(AND(OR(L3643="131",M3643="131"),H3643='131-CT'!$E$7),"131",""))</f>
        <v/>
      </c>
      <c r="O3643" s="52" t="str">
        <f>IF(AND($B3643&gt;='111'!$N$11,$B3643&lt;='111'!$O$11,OR($L3643=$O$7,$M3643=$O$7)),"x","")</f>
        <v/>
      </c>
      <c r="P3643" s="52" t="str">
        <f>IF(AND($L3643=$O$7,$B3643&lt;'111'!$N$11),"x","")</f>
        <v/>
      </c>
      <c r="Q3643" s="52" t="str">
        <f>IF(AND($M3643=$O$7,$B3643&lt;'111'!$N$11),"x","")</f>
        <v/>
      </c>
      <c r="R3643" s="52" t="str">
        <f>IF(ISERROR(FIND('112'!$M$9,G3643,1)),"",IF((AND(FIND('112'!$M$9,G3643,1)&gt;=1,$B3643&gt;='112'!$N$8,$B3643&lt;='112'!$O$8,OR($L3643='112'!$I$6,$M3643='112'!$I$6))),"x",""))</f>
        <v/>
      </c>
      <c r="S3643" s="52" t="str">
        <f>IF(ISERROR(FIND('112'!$M$9,G3643,1)),"",IF((AND(LEFT(G3643,2)=LEFT('112'!$M$9,2),B3643&lt;'112'!$N$8,$L3643='112'!$I$6)),"x",""))</f>
        <v/>
      </c>
      <c r="T3643" s="52" t="str">
        <f>IF(ISERROR(FIND('112'!$M$9,G3643,1)),"",IF((AND(RIGHT(G3643,2)=RIGHT('112'!$M$9,2),B3643&lt;'112'!$N$8,$M3643='112'!$I$6)),"x",""))</f>
        <v/>
      </c>
      <c r="U3643" s="52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>x</v>
      </c>
      <c r="AA3643" s="826"/>
    </row>
    <row r="3644" spans="1:27" ht="15.75" customHeight="1">
      <c r="A3644" s="827" t="str">
        <f>IF(B3644&lt;&gt;"",IF(AND(B3644&gt;=_TM1,B3644&lt;=_TM2,OR(TH!L3644="1111",TH!M3644="1111")),TH!D3644,""),"")</f>
        <v/>
      </c>
      <c r="B3644" s="876">
        <f t="shared" si="476"/>
        <v>9</v>
      </c>
      <c r="C3644" s="877">
        <f t="shared" si="481"/>
        <v>42643</v>
      </c>
      <c r="D3644" s="878" t="s">
        <v>1663</v>
      </c>
      <c r="E3644" s="912">
        <v>42643</v>
      </c>
      <c r="F3644" s="914" t="s">
        <v>1785</v>
      </c>
      <c r="G3644" s="913" t="s">
        <v>1775</v>
      </c>
      <c r="H3644" s="881" t="s">
        <v>1313</v>
      </c>
      <c r="I3644" s="882">
        <v>6</v>
      </c>
      <c r="J3644" s="882">
        <v>20247.271473714449</v>
      </c>
      <c r="K3644" s="883">
        <f t="shared" si="477"/>
        <v>121484</v>
      </c>
      <c r="L3644" s="884" t="s">
        <v>857</v>
      </c>
      <c r="M3644" s="884" t="s">
        <v>160</v>
      </c>
      <c r="N3644" s="52" t="str">
        <f>IF(AND('331-CT'!$E$7=TH!H3644,OR(L3644="331",M3644="331")),"331",IF(AND(OR(L3644="131",M3644="131"),H3644='131-CT'!$E$7),"131",""))</f>
        <v/>
      </c>
      <c r="O3644" s="52" t="str">
        <f>IF(AND($B3644&gt;='111'!$N$11,$B3644&lt;='111'!$O$11,OR($L3644=$O$7,$M3644=$O$7)),"x","")</f>
        <v/>
      </c>
      <c r="P3644" s="52" t="str">
        <f>IF(AND($L3644=$O$7,$B3644&lt;'111'!$N$11),"x","")</f>
        <v/>
      </c>
      <c r="Q3644" s="52" t="str">
        <f>IF(AND($M3644=$O$7,$B3644&lt;'111'!$N$11),"x","")</f>
        <v/>
      </c>
      <c r="R3644" s="52" t="str">
        <f>IF(ISERROR(FIND('112'!$M$9,G3644,1)),"",IF((AND(FIND('112'!$M$9,G3644,1)&gt;=1,$B3644&gt;='112'!$N$8,$B3644&lt;='112'!$O$8,OR($L3644='112'!$I$6,$M3644='112'!$I$6))),"x",""))</f>
        <v/>
      </c>
      <c r="S3644" s="52" t="str">
        <f>IF(ISERROR(FIND('112'!$M$9,G3644,1)),"",IF((AND(LEFT(G3644,2)=LEFT('112'!$M$9,2),B3644&lt;'112'!$N$8,$L3644='112'!$I$6)),"x",""))</f>
        <v/>
      </c>
      <c r="T3644" s="52" t="str">
        <f>IF(ISERROR(FIND('112'!$M$9,G3644,1)),"",IF((AND(RIGHT(G3644,2)=RIGHT('112'!$M$9,2),B3644&lt;'112'!$N$8,$M3644='112'!$I$6)),"x",""))</f>
        <v/>
      </c>
      <c r="U3644" s="52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>x</v>
      </c>
      <c r="AA3644" s="826"/>
    </row>
    <row r="3645" spans="1:27" ht="15.75" customHeight="1">
      <c r="A3645" s="827" t="str">
        <f>IF(B3645&lt;&gt;"",IF(AND(B3645&gt;=_TM1,B3645&lt;=_TM2,OR(TH!L3645="1111",TH!M3645="1111")),TH!D3645,""),"")</f>
        <v/>
      </c>
      <c r="B3645" s="876">
        <f t="shared" si="476"/>
        <v>9</v>
      </c>
      <c r="C3645" s="877">
        <f t="shared" si="481"/>
        <v>42643</v>
      </c>
      <c r="D3645" s="878" t="s">
        <v>1663</v>
      </c>
      <c r="E3645" s="912">
        <v>42643</v>
      </c>
      <c r="F3645" s="914" t="s">
        <v>1786</v>
      </c>
      <c r="G3645" s="913" t="s">
        <v>1775</v>
      </c>
      <c r="H3645" s="881" t="s">
        <v>1313</v>
      </c>
      <c r="I3645" s="882">
        <v>14</v>
      </c>
      <c r="J3645" s="882">
        <v>21673.485759428735</v>
      </c>
      <c r="K3645" s="883">
        <f t="shared" si="477"/>
        <v>303429</v>
      </c>
      <c r="L3645" s="884" t="s">
        <v>857</v>
      </c>
      <c r="M3645" s="884" t="s">
        <v>160</v>
      </c>
      <c r="N3645" s="52" t="str">
        <f>IF(AND('331-CT'!$E$7=TH!H3645,OR(L3645="331",M3645="331")),"331",IF(AND(OR(L3645="131",M3645="131"),H3645='131-CT'!$E$7),"131",""))</f>
        <v/>
      </c>
      <c r="O3645" s="52" t="str">
        <f>IF(AND($B3645&gt;='111'!$N$11,$B3645&lt;='111'!$O$11,OR($L3645=$O$7,$M3645=$O$7)),"x","")</f>
        <v/>
      </c>
      <c r="P3645" s="52" t="str">
        <f>IF(AND($L3645=$O$7,$B3645&lt;'111'!$N$11),"x","")</f>
        <v/>
      </c>
      <c r="Q3645" s="52" t="str">
        <f>IF(AND($M3645=$O$7,$B3645&lt;'111'!$N$11),"x","")</f>
        <v/>
      </c>
      <c r="R3645" s="52" t="str">
        <f>IF(ISERROR(FIND('112'!$M$9,G3645,1)),"",IF((AND(FIND('112'!$M$9,G3645,1)&gt;=1,$B3645&gt;='112'!$N$8,$B3645&lt;='112'!$O$8,OR($L3645='112'!$I$6,$M3645='112'!$I$6))),"x",""))</f>
        <v/>
      </c>
      <c r="S3645" s="52" t="str">
        <f>IF(ISERROR(FIND('112'!$M$9,G3645,1)),"",IF((AND(LEFT(G3645,2)=LEFT('112'!$M$9,2),B3645&lt;'112'!$N$8,$L3645='112'!$I$6)),"x",""))</f>
        <v/>
      </c>
      <c r="T3645" s="52" t="str">
        <f>IF(ISERROR(FIND('112'!$M$9,G3645,1)),"",IF((AND(RIGHT(G3645,2)=RIGHT('112'!$M$9,2),B3645&lt;'112'!$N$8,$M3645='112'!$I$6)),"x",""))</f>
        <v/>
      </c>
      <c r="U3645" s="52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>x</v>
      </c>
      <c r="AA3645" s="826"/>
    </row>
    <row r="3646" spans="1:27" ht="15.75" customHeight="1">
      <c r="A3646" s="827" t="str">
        <f>IF(B3646&lt;&gt;"",IF(AND(B3646&gt;=_TM1,B3646&lt;=_TM2,OR(TH!L3646="1111",TH!M3646="1111")),TH!D3646,""),"")</f>
        <v/>
      </c>
      <c r="B3646" s="876">
        <f t="shared" si="476"/>
        <v>9</v>
      </c>
      <c r="C3646" s="877">
        <f t="shared" si="481"/>
        <v>42643</v>
      </c>
      <c r="D3646" s="878" t="s">
        <v>1663</v>
      </c>
      <c r="E3646" s="912">
        <v>42643</v>
      </c>
      <c r="F3646" s="914" t="s">
        <v>1787</v>
      </c>
      <c r="G3646" s="913" t="s">
        <v>1775</v>
      </c>
      <c r="H3646" s="881" t="s">
        <v>1313</v>
      </c>
      <c r="I3646" s="882">
        <v>4</v>
      </c>
      <c r="J3646" s="882">
        <v>25239.021473714449</v>
      </c>
      <c r="K3646" s="883">
        <f t="shared" si="477"/>
        <v>100956</v>
      </c>
      <c r="L3646" s="884" t="s">
        <v>857</v>
      </c>
      <c r="M3646" s="884" t="s">
        <v>160</v>
      </c>
      <c r="N3646" s="52" t="str">
        <f>IF(AND('331-CT'!$E$7=TH!H3646,OR(L3646="331",M3646="331")),"331",IF(AND(OR(L3646="131",M3646="131"),H3646='131-CT'!$E$7),"131",""))</f>
        <v/>
      </c>
      <c r="O3646" s="52" t="str">
        <f>IF(AND($B3646&gt;='111'!$N$11,$B3646&lt;='111'!$O$11,OR($L3646=$O$7,$M3646=$O$7)),"x","")</f>
        <v/>
      </c>
      <c r="P3646" s="52" t="str">
        <f>IF(AND($L3646=$O$7,$B3646&lt;'111'!$N$11),"x","")</f>
        <v/>
      </c>
      <c r="Q3646" s="52" t="str">
        <f>IF(AND($M3646=$O$7,$B3646&lt;'111'!$N$11),"x","")</f>
        <v/>
      </c>
      <c r="R3646" s="52" t="str">
        <f>IF(ISERROR(FIND('112'!$M$9,G3646,1)),"",IF((AND(FIND('112'!$M$9,G3646,1)&gt;=1,$B3646&gt;='112'!$N$8,$B3646&lt;='112'!$O$8,OR($L3646='112'!$I$6,$M3646='112'!$I$6))),"x",""))</f>
        <v/>
      </c>
      <c r="S3646" s="52" t="str">
        <f>IF(ISERROR(FIND('112'!$M$9,G3646,1)),"",IF((AND(LEFT(G3646,2)=LEFT('112'!$M$9,2),B3646&lt;'112'!$N$8,$L3646='112'!$I$6)),"x",""))</f>
        <v/>
      </c>
      <c r="T3646" s="52" t="str">
        <f>IF(ISERROR(FIND('112'!$M$9,G3646,1)),"",IF((AND(RIGHT(G3646,2)=RIGHT('112'!$M$9,2),B3646&lt;'112'!$N$8,$M3646='112'!$I$6)),"x",""))</f>
        <v/>
      </c>
      <c r="U3646" s="52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>x</v>
      </c>
      <c r="AA3646" s="826"/>
    </row>
    <row r="3647" spans="1:27" ht="15.75" customHeight="1">
      <c r="A3647" s="827" t="str">
        <f>IF(B3647&lt;&gt;"",IF(AND(B3647&gt;=_TM1,B3647&lt;=_TM2,OR(TH!L3647="1111",TH!M3647="1111")),TH!D3647,""),"")</f>
        <v/>
      </c>
      <c r="B3647" s="876">
        <f t="shared" si="476"/>
        <v>9</v>
      </c>
      <c r="C3647" s="877">
        <f t="shared" si="481"/>
        <v>42643</v>
      </c>
      <c r="D3647" s="878" t="s">
        <v>1663</v>
      </c>
      <c r="E3647" s="912">
        <v>42643</v>
      </c>
      <c r="F3647" s="914" t="s">
        <v>699</v>
      </c>
      <c r="G3647" s="913" t="s">
        <v>1775</v>
      </c>
      <c r="H3647" s="881" t="s">
        <v>1313</v>
      </c>
      <c r="I3647" s="882">
        <v>86</v>
      </c>
      <c r="J3647" s="882">
        <v>14029.457520226078</v>
      </c>
      <c r="K3647" s="883">
        <f t="shared" si="477"/>
        <v>1206533</v>
      </c>
      <c r="L3647" s="884" t="s">
        <v>857</v>
      </c>
      <c r="M3647" s="884" t="s">
        <v>160</v>
      </c>
      <c r="N3647" s="52" t="str">
        <f>IF(AND('331-CT'!$E$7=TH!H3647,OR(L3647="331",M3647="331")),"331",IF(AND(OR(L3647="131",M3647="131"),H3647='131-CT'!$E$7),"131",""))</f>
        <v/>
      </c>
      <c r="O3647" s="52" t="str">
        <f>IF(AND($B3647&gt;='111'!$N$11,$B3647&lt;='111'!$O$11,OR($L3647=$O$7,$M3647=$O$7)),"x","")</f>
        <v/>
      </c>
      <c r="P3647" s="52" t="str">
        <f>IF(AND($L3647=$O$7,$B3647&lt;'111'!$N$11),"x","")</f>
        <v/>
      </c>
      <c r="Q3647" s="52" t="str">
        <f>IF(AND($M3647=$O$7,$B3647&lt;'111'!$N$11),"x","")</f>
        <v/>
      </c>
      <c r="R3647" s="52" t="str">
        <f>IF(ISERROR(FIND('112'!$M$9,G3647,1)),"",IF((AND(FIND('112'!$M$9,G3647,1)&gt;=1,$B3647&gt;='112'!$N$8,$B3647&lt;='112'!$O$8,OR($L3647='112'!$I$6,$M3647='112'!$I$6))),"x",""))</f>
        <v/>
      </c>
      <c r="S3647" s="52" t="str">
        <f>IF(ISERROR(FIND('112'!$M$9,G3647,1)),"",IF((AND(LEFT(G3647,2)=LEFT('112'!$M$9,2),B3647&lt;'112'!$N$8,$L3647='112'!$I$6)),"x",""))</f>
        <v/>
      </c>
      <c r="T3647" s="52" t="str">
        <f>IF(ISERROR(FIND('112'!$M$9,G3647,1)),"",IF((AND(RIGHT(G3647,2)=RIGHT('112'!$M$9,2),B3647&lt;'112'!$N$8,$M3647='112'!$I$6)),"x",""))</f>
        <v/>
      </c>
      <c r="U3647" s="52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>x</v>
      </c>
      <c r="AA3647" s="826"/>
    </row>
    <row r="3648" spans="1:27" ht="15.75" customHeight="1">
      <c r="A3648" s="827" t="str">
        <f>IF(B3648&lt;&gt;"",IF(AND(B3648&gt;=_TM1,B3648&lt;=_TM2,OR(TH!L3648="1111",TH!M3648="1111")),TH!D3648,""),"")</f>
        <v/>
      </c>
      <c r="B3648" s="876">
        <f t="shared" si="476"/>
        <v>9</v>
      </c>
      <c r="C3648" s="877">
        <f t="shared" si="481"/>
        <v>42643</v>
      </c>
      <c r="D3648" s="878" t="s">
        <v>1663</v>
      </c>
      <c r="E3648" s="912">
        <v>42643</v>
      </c>
      <c r="F3648" s="914" t="s">
        <v>1788</v>
      </c>
      <c r="G3648" s="913" t="s">
        <v>1775</v>
      </c>
      <c r="H3648" s="881" t="s">
        <v>1313</v>
      </c>
      <c r="I3648" s="882">
        <v>12</v>
      </c>
      <c r="J3648" s="882">
        <v>14224.021473714449</v>
      </c>
      <c r="K3648" s="883">
        <f t="shared" si="477"/>
        <v>170688</v>
      </c>
      <c r="L3648" s="884" t="s">
        <v>857</v>
      </c>
      <c r="M3648" s="884" t="s">
        <v>160</v>
      </c>
      <c r="N3648" s="52" t="str">
        <f>IF(AND('331-CT'!$E$7=TH!H3648,OR(L3648="331",M3648="331")),"331",IF(AND(OR(L3648="131",M3648="131"),H3648='131-CT'!$E$7),"131",""))</f>
        <v/>
      </c>
      <c r="O3648" s="52" t="str">
        <f>IF(AND($B3648&gt;='111'!$N$11,$B3648&lt;='111'!$O$11,OR($L3648=$O$7,$M3648=$O$7)),"x","")</f>
        <v/>
      </c>
      <c r="P3648" s="52" t="str">
        <f>IF(AND($L3648=$O$7,$B3648&lt;'111'!$N$11),"x","")</f>
        <v/>
      </c>
      <c r="Q3648" s="52" t="str">
        <f>IF(AND($M3648=$O$7,$B3648&lt;'111'!$N$11),"x","")</f>
        <v/>
      </c>
      <c r="R3648" s="52" t="str">
        <f>IF(ISERROR(FIND('112'!$M$9,G3648,1)),"",IF((AND(FIND('112'!$M$9,G3648,1)&gt;=1,$B3648&gt;='112'!$N$8,$B3648&lt;='112'!$O$8,OR($L3648='112'!$I$6,$M3648='112'!$I$6))),"x",""))</f>
        <v/>
      </c>
      <c r="S3648" s="52" t="str">
        <f>IF(ISERROR(FIND('112'!$M$9,G3648,1)),"",IF((AND(LEFT(G3648,2)=LEFT('112'!$M$9,2),B3648&lt;'112'!$N$8,$L3648='112'!$I$6)),"x",""))</f>
        <v/>
      </c>
      <c r="T3648" s="52" t="str">
        <f>IF(ISERROR(FIND('112'!$M$9,G3648,1)),"",IF((AND(RIGHT(G3648,2)=RIGHT('112'!$M$9,2),B3648&lt;'112'!$N$8,$M3648='112'!$I$6)),"x",""))</f>
        <v/>
      </c>
      <c r="U3648" s="52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>x</v>
      </c>
      <c r="AA3648" s="826"/>
    </row>
    <row r="3649" spans="1:28" ht="15.75" customHeight="1">
      <c r="A3649" s="827" t="str">
        <f>IF(B3649&lt;&gt;"",IF(AND(B3649&gt;=_TM1,B3649&lt;=_TM2,OR(TH!L3649="1111",TH!M3649="1111")),TH!D3649,""),"")</f>
        <v/>
      </c>
      <c r="B3649" s="876">
        <f t="shared" si="476"/>
        <v>9</v>
      </c>
      <c r="C3649" s="877">
        <f t="shared" si="481"/>
        <v>42643</v>
      </c>
      <c r="D3649" s="878" t="s">
        <v>1663</v>
      </c>
      <c r="E3649" s="912">
        <v>42643</v>
      </c>
      <c r="F3649" s="914" t="s">
        <v>524</v>
      </c>
      <c r="G3649" s="913" t="s">
        <v>1775</v>
      </c>
      <c r="H3649" s="881" t="s">
        <v>1313</v>
      </c>
      <c r="I3649" s="882">
        <v>4</v>
      </c>
      <c r="J3649" s="882">
        <v>17012.771473714449</v>
      </c>
      <c r="K3649" s="883">
        <f t="shared" si="477"/>
        <v>68051</v>
      </c>
      <c r="L3649" s="884" t="s">
        <v>857</v>
      </c>
      <c r="M3649" s="884" t="s">
        <v>160</v>
      </c>
      <c r="N3649" s="52" t="str">
        <f>IF(AND('331-CT'!$E$7=TH!H3649,OR(L3649="331",M3649="331")),"331",IF(AND(OR(L3649="131",M3649="131"),H3649='131-CT'!$E$7),"131",""))</f>
        <v/>
      </c>
      <c r="O3649" s="52" t="str">
        <f>IF(AND($B3649&gt;='111'!$N$11,$B3649&lt;='111'!$O$11,OR($L3649=$O$7,$M3649=$O$7)),"x","")</f>
        <v/>
      </c>
      <c r="P3649" s="52" t="str">
        <f>IF(AND($L3649=$O$7,$B3649&lt;'111'!$N$11),"x","")</f>
        <v/>
      </c>
      <c r="Q3649" s="52" t="str">
        <f>IF(AND($M3649=$O$7,$B3649&lt;'111'!$N$11),"x","")</f>
        <v/>
      </c>
      <c r="R3649" s="52" t="str">
        <f>IF(ISERROR(FIND('112'!$M$9,G3649,1)),"",IF((AND(FIND('112'!$M$9,G3649,1)&gt;=1,$B3649&gt;='112'!$N$8,$B3649&lt;='112'!$O$8,OR($L3649='112'!$I$6,$M3649='112'!$I$6))),"x",""))</f>
        <v/>
      </c>
      <c r="S3649" s="52" t="str">
        <f>IF(ISERROR(FIND('112'!$M$9,G3649,1)),"",IF((AND(LEFT(G3649,2)=LEFT('112'!$M$9,2),B3649&lt;'112'!$N$8,$L3649='112'!$I$6)),"x",""))</f>
        <v/>
      </c>
      <c r="T3649" s="52" t="str">
        <f>IF(ISERROR(FIND('112'!$M$9,G3649,1)),"",IF((AND(RIGHT(G3649,2)=RIGHT('112'!$M$9,2),B3649&lt;'112'!$N$8,$M3649='112'!$I$6)),"x",""))</f>
        <v/>
      </c>
      <c r="U3649" s="52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>x</v>
      </c>
      <c r="AA3649" s="826"/>
    </row>
    <row r="3650" spans="1:28" ht="15.75" customHeight="1">
      <c r="A3650" s="827" t="str">
        <f>IF(B3650&lt;&gt;"",IF(AND(B3650&gt;=_TM1,B3650&lt;=_TM2,OR(TH!L3650="1111",TH!M3650="1111")),TH!D3650,""),"")</f>
        <v/>
      </c>
      <c r="B3650" s="876">
        <f t="shared" si="476"/>
        <v>9</v>
      </c>
      <c r="C3650" s="877">
        <f t="shared" si="481"/>
        <v>42643</v>
      </c>
      <c r="D3650" s="878" t="s">
        <v>1663</v>
      </c>
      <c r="E3650" s="912">
        <v>42643</v>
      </c>
      <c r="F3650" s="914" t="s">
        <v>1789</v>
      </c>
      <c r="G3650" s="913" t="s">
        <v>1775</v>
      </c>
      <c r="H3650" s="881" t="s">
        <v>1313</v>
      </c>
      <c r="I3650" s="882">
        <v>3</v>
      </c>
      <c r="J3650" s="882">
        <v>18871.938140381117</v>
      </c>
      <c r="K3650" s="883">
        <f t="shared" si="477"/>
        <v>56616</v>
      </c>
      <c r="L3650" s="884" t="s">
        <v>857</v>
      </c>
      <c r="M3650" s="884" t="s">
        <v>160</v>
      </c>
      <c r="N3650" s="52" t="str">
        <f>IF(AND('331-CT'!$E$7=TH!H3650,OR(L3650="331",M3650="331")),"331",IF(AND(OR(L3650="131",M3650="131"),H3650='131-CT'!$E$7),"131",""))</f>
        <v/>
      </c>
      <c r="O3650" s="52" t="str">
        <f>IF(AND($B3650&gt;='111'!$N$11,$B3650&lt;='111'!$O$11,OR($L3650=$O$7,$M3650=$O$7)),"x","")</f>
        <v/>
      </c>
      <c r="P3650" s="52" t="str">
        <f>IF(AND($L3650=$O$7,$B3650&lt;'111'!$N$11),"x","")</f>
        <v/>
      </c>
      <c r="Q3650" s="52" t="str">
        <f>IF(AND($M3650=$O$7,$B3650&lt;'111'!$N$11),"x","")</f>
        <v/>
      </c>
      <c r="R3650" s="52" t="str">
        <f>IF(ISERROR(FIND('112'!$M$9,G3650,1)),"",IF((AND(FIND('112'!$M$9,G3650,1)&gt;=1,$B3650&gt;='112'!$N$8,$B3650&lt;='112'!$O$8,OR($L3650='112'!$I$6,$M3650='112'!$I$6))),"x",""))</f>
        <v/>
      </c>
      <c r="S3650" s="52" t="str">
        <f>IF(ISERROR(FIND('112'!$M$9,G3650,1)),"",IF((AND(LEFT(G3650,2)=LEFT('112'!$M$9,2),B3650&lt;'112'!$N$8,$L3650='112'!$I$6)),"x",""))</f>
        <v/>
      </c>
      <c r="T3650" s="52" t="str">
        <f>IF(ISERROR(FIND('112'!$M$9,G3650,1)),"",IF((AND(RIGHT(G3650,2)=RIGHT('112'!$M$9,2),B3650&lt;'112'!$N$8,$M3650='112'!$I$6)),"x",""))</f>
        <v/>
      </c>
      <c r="U3650" s="52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>x</v>
      </c>
      <c r="AA3650" s="826"/>
    </row>
    <row r="3651" spans="1:28" ht="15.75" customHeight="1">
      <c r="A3651" s="827" t="str">
        <f>IF(B3651&lt;&gt;"",IF(AND(B3651&gt;=_TM1,B3651&lt;=_TM2,OR(TH!L3651="1111",TH!M3651="1111")),TH!D3651,""),"")</f>
        <v/>
      </c>
      <c r="B3651" s="876">
        <f t="shared" si="476"/>
        <v>9</v>
      </c>
      <c r="C3651" s="877">
        <f t="shared" si="481"/>
        <v>42643</v>
      </c>
      <c r="D3651" s="878" t="s">
        <v>1663</v>
      </c>
      <c r="E3651" s="912">
        <v>42643</v>
      </c>
      <c r="F3651" s="914" t="s">
        <v>1790</v>
      </c>
      <c r="G3651" s="913" t="s">
        <v>1775</v>
      </c>
      <c r="H3651" s="881" t="s">
        <v>1313</v>
      </c>
      <c r="I3651" s="882">
        <v>9</v>
      </c>
      <c r="J3651" s="882">
        <v>19915.271473714452</v>
      </c>
      <c r="K3651" s="883">
        <f t="shared" si="477"/>
        <v>179237</v>
      </c>
      <c r="L3651" s="884" t="s">
        <v>857</v>
      </c>
      <c r="M3651" s="884" t="s">
        <v>160</v>
      </c>
      <c r="N3651" s="52" t="str">
        <f>IF(AND('331-CT'!$E$7=TH!H3651,OR(L3651="331",M3651="331")),"331",IF(AND(OR(L3651="131",M3651="131"),H3651='131-CT'!$E$7),"131",""))</f>
        <v/>
      </c>
      <c r="O3651" s="52" t="str">
        <f>IF(AND($B3651&gt;='111'!$N$11,$B3651&lt;='111'!$O$11,OR($L3651=$O$7,$M3651=$O$7)),"x","")</f>
        <v/>
      </c>
      <c r="P3651" s="52" t="str">
        <f>IF(AND($L3651=$O$7,$B3651&lt;'111'!$N$11),"x","")</f>
        <v/>
      </c>
      <c r="Q3651" s="52" t="str">
        <f>IF(AND($M3651=$O$7,$B3651&lt;'111'!$N$11),"x","")</f>
        <v/>
      </c>
      <c r="R3651" s="52" t="str">
        <f>IF(ISERROR(FIND('112'!$M$9,G3651,1)),"",IF((AND(FIND('112'!$M$9,G3651,1)&gt;=1,$B3651&gt;='112'!$N$8,$B3651&lt;='112'!$O$8,OR($L3651='112'!$I$6,$M3651='112'!$I$6))),"x",""))</f>
        <v/>
      </c>
      <c r="S3651" s="52" t="str">
        <f>IF(ISERROR(FIND('112'!$M$9,G3651,1)),"",IF((AND(LEFT(G3651,2)=LEFT('112'!$M$9,2),B3651&lt;'112'!$N$8,$L3651='112'!$I$6)),"x",""))</f>
        <v/>
      </c>
      <c r="T3651" s="52" t="str">
        <f>IF(ISERROR(FIND('112'!$M$9,G3651,1)),"",IF((AND(RIGHT(G3651,2)=RIGHT('112'!$M$9,2),B3651&lt;'112'!$N$8,$M3651='112'!$I$6)),"x",""))</f>
        <v/>
      </c>
      <c r="U3651" s="52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>x</v>
      </c>
      <c r="AA3651" s="826"/>
    </row>
    <row r="3652" spans="1:28" ht="15.75" customHeight="1">
      <c r="A3652" s="827" t="str">
        <f>IF(B3652&lt;&gt;"",IF(AND(B3652&gt;=_TM1,B3652&lt;=_TM2,OR(TH!L3652="1111",TH!M3652="1111")),TH!D3652,""),"")</f>
        <v/>
      </c>
      <c r="B3652" s="876">
        <f t="shared" si="476"/>
        <v>9</v>
      </c>
      <c r="C3652" s="877">
        <f t="shared" si="481"/>
        <v>42643</v>
      </c>
      <c r="D3652" s="878" t="s">
        <v>1663</v>
      </c>
      <c r="E3652" s="912">
        <v>42643</v>
      </c>
      <c r="F3652" s="914" t="s">
        <v>1791</v>
      </c>
      <c r="G3652" s="913" t="s">
        <v>1775</v>
      </c>
      <c r="H3652" s="881" t="s">
        <v>1313</v>
      </c>
      <c r="I3652" s="882">
        <v>6</v>
      </c>
      <c r="J3652" s="882">
        <v>19915.271473714449</v>
      </c>
      <c r="K3652" s="883">
        <f t="shared" si="477"/>
        <v>119492</v>
      </c>
      <c r="L3652" s="884" t="s">
        <v>857</v>
      </c>
      <c r="M3652" s="884" t="s">
        <v>160</v>
      </c>
      <c r="N3652" s="52" t="str">
        <f>IF(AND('331-CT'!$E$7=TH!H3652,OR(L3652="331",M3652="331")),"331",IF(AND(OR(L3652="131",M3652="131"),H3652='131-CT'!$E$7),"131",""))</f>
        <v/>
      </c>
      <c r="O3652" s="52" t="str">
        <f>IF(AND($B3652&gt;='111'!$N$11,$B3652&lt;='111'!$O$11,OR($L3652=$O$7,$M3652=$O$7)),"x","")</f>
        <v/>
      </c>
      <c r="P3652" s="52" t="str">
        <f>IF(AND($L3652=$O$7,$B3652&lt;'111'!$N$11),"x","")</f>
        <v/>
      </c>
      <c r="Q3652" s="52" t="str">
        <f>IF(AND($M3652=$O$7,$B3652&lt;'111'!$N$11),"x","")</f>
        <v/>
      </c>
      <c r="R3652" s="52" t="str">
        <f>IF(ISERROR(FIND('112'!$M$9,G3652,1)),"",IF((AND(FIND('112'!$M$9,G3652,1)&gt;=1,$B3652&gt;='112'!$N$8,$B3652&lt;='112'!$O$8,OR($L3652='112'!$I$6,$M3652='112'!$I$6))),"x",""))</f>
        <v/>
      </c>
      <c r="S3652" s="52" t="str">
        <f>IF(ISERROR(FIND('112'!$M$9,G3652,1)),"",IF((AND(LEFT(G3652,2)=LEFT('112'!$M$9,2),B3652&lt;'112'!$N$8,$L3652='112'!$I$6)),"x",""))</f>
        <v/>
      </c>
      <c r="T3652" s="52" t="str">
        <f>IF(ISERROR(FIND('112'!$M$9,G3652,1)),"",IF((AND(RIGHT(G3652,2)=RIGHT('112'!$M$9,2),B3652&lt;'112'!$N$8,$M3652='112'!$I$6)),"x",""))</f>
        <v/>
      </c>
      <c r="U3652" s="52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>x</v>
      </c>
      <c r="AA3652" s="826"/>
    </row>
    <row r="3653" spans="1:28" ht="15.75" customHeight="1">
      <c r="A3653" s="827" t="str">
        <f>IF(B3653&lt;&gt;"",IF(AND(B3653&gt;=_TM1,B3653&lt;=_TM2,OR(TH!L3653="1111",TH!M3653="1111")),TH!D3653,""),"")</f>
        <v/>
      </c>
      <c r="B3653" s="876">
        <f t="shared" si="476"/>
        <v>9</v>
      </c>
      <c r="C3653" s="877">
        <f t="shared" si="481"/>
        <v>42643</v>
      </c>
      <c r="D3653" s="878" t="s">
        <v>1663</v>
      </c>
      <c r="E3653" s="912">
        <v>42643</v>
      </c>
      <c r="F3653" s="914" t="s">
        <v>525</v>
      </c>
      <c r="G3653" s="913" t="s">
        <v>1775</v>
      </c>
      <c r="H3653" s="881" t="s">
        <v>1313</v>
      </c>
      <c r="I3653" s="882">
        <v>239</v>
      </c>
      <c r="J3653" s="882">
        <v>17286.317498819051</v>
      </c>
      <c r="K3653" s="883">
        <f t="shared" si="477"/>
        <v>4131430</v>
      </c>
      <c r="L3653" s="884" t="s">
        <v>857</v>
      </c>
      <c r="M3653" s="884" t="s">
        <v>160</v>
      </c>
      <c r="N3653" s="52" t="str">
        <f>IF(AND('331-CT'!$E$7=TH!H3653,OR(L3653="331",M3653="331")),"331",IF(AND(OR(L3653="131",M3653="131"),H3653='131-CT'!$E$7),"131",""))</f>
        <v/>
      </c>
      <c r="O3653" s="52" t="str">
        <f>IF(AND($B3653&gt;='111'!$N$11,$B3653&lt;='111'!$O$11,OR($L3653=$O$7,$M3653=$O$7)),"x","")</f>
        <v/>
      </c>
      <c r="P3653" s="52" t="str">
        <f>IF(AND($L3653=$O$7,$B3653&lt;'111'!$N$11),"x","")</f>
        <v/>
      </c>
      <c r="Q3653" s="52" t="str">
        <f>IF(AND($M3653=$O$7,$B3653&lt;'111'!$N$11),"x","")</f>
        <v/>
      </c>
      <c r="R3653" s="52" t="str">
        <f>IF(ISERROR(FIND('112'!$M$9,G3653,1)),"",IF((AND(FIND('112'!$M$9,G3653,1)&gt;=1,$B3653&gt;='112'!$N$8,$B3653&lt;='112'!$O$8,OR($L3653='112'!$I$6,$M3653='112'!$I$6))),"x",""))</f>
        <v/>
      </c>
      <c r="S3653" s="52" t="str">
        <f>IF(ISERROR(FIND('112'!$M$9,G3653,1)),"",IF((AND(LEFT(G3653,2)=LEFT('112'!$M$9,2),B3653&lt;'112'!$N$8,$L3653='112'!$I$6)),"x",""))</f>
        <v/>
      </c>
      <c r="T3653" s="52" t="str">
        <f>IF(ISERROR(FIND('112'!$M$9,G3653,1)),"",IF((AND(RIGHT(G3653,2)=RIGHT('112'!$M$9,2),B3653&lt;'112'!$N$8,$M3653='112'!$I$6)),"x",""))</f>
        <v/>
      </c>
      <c r="U3653" s="52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>x</v>
      </c>
      <c r="AA3653" s="826"/>
    </row>
    <row r="3654" spans="1:28" ht="15.75" customHeight="1">
      <c r="A3654" s="827" t="str">
        <f>IF(B3654&lt;&gt;"",IF(AND(B3654&gt;=_TM1,B3654&lt;=_TM2,OR(TH!L3654="1111",TH!M3654="1111")),TH!D3654,""),"")</f>
        <v/>
      </c>
      <c r="B3654" s="876">
        <f t="shared" si="476"/>
        <v>9</v>
      </c>
      <c r="C3654" s="877">
        <f t="shared" si="481"/>
        <v>42643</v>
      </c>
      <c r="D3654" s="878" t="s">
        <v>1663</v>
      </c>
      <c r="E3654" s="912">
        <v>42643</v>
      </c>
      <c r="F3654" s="914" t="s">
        <v>496</v>
      </c>
      <c r="G3654" s="913" t="s">
        <v>1775</v>
      </c>
      <c r="H3654" s="881" t="s">
        <v>1313</v>
      </c>
      <c r="I3654" s="882">
        <v>140</v>
      </c>
      <c r="J3654" s="882">
        <v>17110.271473714449</v>
      </c>
      <c r="K3654" s="883">
        <f t="shared" si="477"/>
        <v>2395438</v>
      </c>
      <c r="L3654" s="884" t="s">
        <v>857</v>
      </c>
      <c r="M3654" s="884" t="s">
        <v>160</v>
      </c>
      <c r="N3654" s="52" t="str">
        <f>IF(AND('331-CT'!$E$7=TH!H3654,OR(L3654="331",M3654="331")),"331",IF(AND(OR(L3654="131",M3654="131"),H3654='131-CT'!$E$7),"131",""))</f>
        <v/>
      </c>
      <c r="O3654" s="52" t="str">
        <f>IF(AND($B3654&gt;='111'!$N$11,$B3654&lt;='111'!$O$11,OR($L3654=$O$7,$M3654=$O$7)),"x","")</f>
        <v/>
      </c>
      <c r="P3654" s="52" t="str">
        <f>IF(AND($L3654=$O$7,$B3654&lt;'111'!$N$11),"x","")</f>
        <v/>
      </c>
      <c r="Q3654" s="52" t="str">
        <f>IF(AND($M3654=$O$7,$B3654&lt;'111'!$N$11),"x","")</f>
        <v/>
      </c>
      <c r="R3654" s="52" t="str">
        <f>IF(ISERROR(FIND('112'!$M$9,G3654,1)),"",IF((AND(FIND('112'!$M$9,G3654,1)&gt;=1,$B3654&gt;='112'!$N$8,$B3654&lt;='112'!$O$8,OR($L3654='112'!$I$6,$M3654='112'!$I$6))),"x",""))</f>
        <v/>
      </c>
      <c r="S3654" s="52" t="str">
        <f>IF(ISERROR(FIND('112'!$M$9,G3654,1)),"",IF((AND(LEFT(G3654,2)=LEFT('112'!$M$9,2),B3654&lt;'112'!$N$8,$L3654='112'!$I$6)),"x",""))</f>
        <v/>
      </c>
      <c r="T3654" s="52" t="str">
        <f>IF(ISERROR(FIND('112'!$M$9,G3654,1)),"",IF((AND(RIGHT(G3654,2)=RIGHT('112'!$M$9,2),B3654&lt;'112'!$N$8,$M3654='112'!$I$6)),"x",""))</f>
        <v/>
      </c>
      <c r="U3654" s="52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>x</v>
      </c>
      <c r="AA3654" s="826"/>
    </row>
    <row r="3655" spans="1:28" ht="15.75" customHeight="1">
      <c r="A3655" s="827" t="str">
        <f>IF(B3655&lt;&gt;"",IF(AND(B3655&gt;=_TM1,B3655&lt;=_TM2,OR(TH!L3655="1111",TH!M3655="1111")),TH!D3655,""),"")</f>
        <v/>
      </c>
      <c r="B3655" s="876">
        <f t="shared" si="476"/>
        <v>9</v>
      </c>
      <c r="C3655" s="877">
        <f t="shared" si="481"/>
        <v>42643</v>
      </c>
      <c r="D3655" s="878" t="s">
        <v>1663</v>
      </c>
      <c r="E3655" s="912">
        <v>42643</v>
      </c>
      <c r="F3655" s="914" t="s">
        <v>1729</v>
      </c>
      <c r="G3655" s="913" t="s">
        <v>1775</v>
      </c>
      <c r="H3655" s="881" t="s">
        <v>1313</v>
      </c>
      <c r="I3655" s="882">
        <v>54</v>
      </c>
      <c r="J3655" s="882">
        <v>22590.271473714449</v>
      </c>
      <c r="K3655" s="883">
        <f t="shared" si="477"/>
        <v>1219875</v>
      </c>
      <c r="L3655" s="884" t="s">
        <v>857</v>
      </c>
      <c r="M3655" s="884" t="s">
        <v>160</v>
      </c>
      <c r="N3655" s="52" t="str">
        <f>IF(AND('331-CT'!$E$7=TH!H3655,OR(L3655="331",M3655="331")),"331",IF(AND(OR(L3655="131",M3655="131"),H3655='131-CT'!$E$7),"131",""))</f>
        <v/>
      </c>
      <c r="O3655" s="52" t="str">
        <f>IF(AND($B3655&gt;='111'!$N$11,$B3655&lt;='111'!$O$11,OR($L3655=$O$7,$M3655=$O$7)),"x","")</f>
        <v/>
      </c>
      <c r="P3655" s="52" t="str">
        <f>IF(AND($L3655=$O$7,$B3655&lt;'111'!$N$11),"x","")</f>
        <v/>
      </c>
      <c r="Q3655" s="52" t="str">
        <f>IF(AND($M3655=$O$7,$B3655&lt;'111'!$N$11),"x","")</f>
        <v/>
      </c>
      <c r="R3655" s="52" t="str">
        <f>IF(ISERROR(FIND('112'!$M$9,G3655,1)),"",IF((AND(FIND('112'!$M$9,G3655,1)&gt;=1,$B3655&gt;='112'!$N$8,$B3655&lt;='112'!$O$8,OR($L3655='112'!$I$6,$M3655='112'!$I$6))),"x",""))</f>
        <v/>
      </c>
      <c r="S3655" s="52" t="str">
        <f>IF(ISERROR(FIND('112'!$M$9,G3655,1)),"",IF((AND(LEFT(G3655,2)=LEFT('112'!$M$9,2),B3655&lt;'112'!$N$8,$L3655='112'!$I$6)),"x",""))</f>
        <v/>
      </c>
      <c r="T3655" s="52" t="str">
        <f>IF(ISERROR(FIND('112'!$M$9,G3655,1)),"",IF((AND(RIGHT(G3655,2)=RIGHT('112'!$M$9,2),B3655&lt;'112'!$N$8,$M3655='112'!$I$6)),"x",""))</f>
        <v/>
      </c>
      <c r="U3655" s="52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>x</v>
      </c>
      <c r="AA3655" s="826"/>
    </row>
    <row r="3656" spans="1:28" ht="15.75" customHeight="1">
      <c r="A3656" s="827" t="str">
        <f>IF(B3656&lt;&gt;"",IF(AND(B3656&gt;=_TM1,B3656&lt;=_TM2,OR(TH!L3656="1111",TH!M3656="1111")),TH!D3656,""),"")</f>
        <v/>
      </c>
      <c r="B3656" s="876">
        <f t="shared" si="476"/>
        <v>9</v>
      </c>
      <c r="C3656" s="877">
        <f t="shared" si="481"/>
        <v>42643</v>
      </c>
      <c r="D3656" s="878" t="s">
        <v>1663</v>
      </c>
      <c r="E3656" s="912">
        <v>42643</v>
      </c>
      <c r="F3656" s="914" t="s">
        <v>863</v>
      </c>
      <c r="G3656" s="913" t="s">
        <v>1775</v>
      </c>
      <c r="H3656" s="881" t="s">
        <v>1313</v>
      </c>
      <c r="I3656" s="882">
        <v>72</v>
      </c>
      <c r="J3656" s="882">
        <v>18777.507584825562</v>
      </c>
      <c r="K3656" s="883">
        <f t="shared" si="477"/>
        <v>1351981</v>
      </c>
      <c r="L3656" s="884" t="s">
        <v>857</v>
      </c>
      <c r="M3656" s="884" t="s">
        <v>160</v>
      </c>
      <c r="N3656" s="52" t="str">
        <f>IF(AND('331-CT'!$E$7=TH!H3656,OR(L3656="331",M3656="331")),"331",IF(AND(OR(L3656="131",M3656="131"),H3656='131-CT'!$E$7),"131",""))</f>
        <v/>
      </c>
      <c r="O3656" s="52" t="str">
        <f>IF(AND($B3656&gt;='111'!$N$11,$B3656&lt;='111'!$O$11,OR($L3656=$O$7,$M3656=$O$7)),"x","")</f>
        <v/>
      </c>
      <c r="P3656" s="52" t="str">
        <f>IF(AND($L3656=$O$7,$B3656&lt;'111'!$N$11),"x","")</f>
        <v/>
      </c>
      <c r="Q3656" s="52" t="str">
        <f>IF(AND($M3656=$O$7,$B3656&lt;'111'!$N$11),"x","")</f>
        <v/>
      </c>
      <c r="R3656" s="52" t="str">
        <f>IF(ISERROR(FIND('112'!$M$9,G3656,1)),"",IF((AND(FIND('112'!$M$9,G3656,1)&gt;=1,$B3656&gt;='112'!$N$8,$B3656&lt;='112'!$O$8,OR($L3656='112'!$I$6,$M3656='112'!$I$6))),"x",""))</f>
        <v/>
      </c>
      <c r="S3656" s="52" t="str">
        <f>IF(ISERROR(FIND('112'!$M$9,G3656,1)),"",IF((AND(LEFT(G3656,2)=LEFT('112'!$M$9,2),B3656&lt;'112'!$N$8,$L3656='112'!$I$6)),"x",""))</f>
        <v/>
      </c>
      <c r="T3656" s="52" t="str">
        <f>IF(ISERROR(FIND('112'!$M$9,G3656,1)),"",IF((AND(RIGHT(G3656,2)=RIGHT('112'!$M$9,2),B3656&lt;'112'!$N$8,$M3656='112'!$I$6)),"x",""))</f>
        <v/>
      </c>
      <c r="U3656" s="52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>x</v>
      </c>
      <c r="AA3656" s="826"/>
    </row>
    <row r="3657" spans="1:28" ht="15.75" customHeight="1">
      <c r="A3657" s="827" t="str">
        <f>IF(B3657&lt;&gt;"",IF(AND(B3657&gt;=_TM1,B3657&lt;=_TM2,OR(TH!L3657="1111",TH!M3657="1111")),TH!D3657,""),"")</f>
        <v/>
      </c>
      <c r="B3657" s="876">
        <f t="shared" ref="B3657:B3660" si="482">IF(C3657&lt;&gt;"",MONTH(C3657),"")</f>
        <v>1</v>
      </c>
      <c r="C3657" s="877">
        <f t="shared" si="481"/>
        <v>0</v>
      </c>
      <c r="D3657" s="878" t="s">
        <v>1663</v>
      </c>
      <c r="E3657" s="912"/>
      <c r="F3657" s="888"/>
      <c r="G3657" s="913"/>
      <c r="H3657" s="881" t="s">
        <v>1313</v>
      </c>
      <c r="I3657" s="882"/>
      <c r="J3657" s="882"/>
      <c r="K3657" s="883">
        <f t="shared" si="477"/>
        <v>0</v>
      </c>
      <c r="L3657" s="884" t="s">
        <v>857</v>
      </c>
      <c r="M3657" s="884" t="s">
        <v>160</v>
      </c>
      <c r="N3657" s="52" t="str">
        <f>IF(AND('331-CT'!$E$7=TH!H3657,OR(L3657="331",M3657="331")),"331",IF(AND(OR(L3657="131",M3657="131"),H3657='131-CT'!$E$7),"131",""))</f>
        <v/>
      </c>
      <c r="O3657" s="52" t="str">
        <f>IF(AND($B3657&gt;='111'!$N$11,$B3657&lt;='111'!$O$11,OR($L3657=$O$7,$M3657=$O$7)),"x","")</f>
        <v/>
      </c>
      <c r="P3657" s="52" t="str">
        <f>IF(AND($L3657=$O$7,$B3657&lt;'111'!$N$11),"x","")</f>
        <v/>
      </c>
      <c r="Q3657" s="52" t="str">
        <f>IF(AND($M3657=$O$7,$B3657&lt;'111'!$N$11),"x","")</f>
        <v/>
      </c>
      <c r="R3657" s="52" t="str">
        <f>IF(ISERROR(FIND('112'!$M$9,G3657,1)),"",IF((AND(FIND('112'!$M$9,G3657,1)&gt;=1,$B3657&gt;='112'!$N$8,$B3657&lt;='112'!$O$8,OR($L3657='112'!$I$6,$M3657='112'!$I$6))),"x",""))</f>
        <v/>
      </c>
      <c r="S3657" s="52" t="str">
        <f>IF(ISERROR(FIND('112'!$M$9,G3657,1)),"",IF((AND(LEFT(G3657,2)=LEFT('112'!$M$9,2),B3657&lt;'112'!$N$8,$L3657='112'!$I$6)),"x",""))</f>
        <v/>
      </c>
      <c r="T3657" s="52" t="str">
        <f>IF(ISERROR(FIND('112'!$M$9,G3657,1)),"",IF((AND(RIGHT(G3657,2)=RIGHT('112'!$M$9,2),B3657&lt;'112'!$N$8,$M3657='112'!$I$6)),"x",""))</f>
        <v/>
      </c>
      <c r="U3657" s="52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/>
      </c>
      <c r="AA3657" s="826"/>
    </row>
    <row r="3658" spans="1:28" ht="15.75" customHeight="1">
      <c r="A3658" s="827" t="str">
        <f>IF(B3658&lt;&gt;"",IF(AND(B3658&gt;=_TM1,B3658&lt;=_TM2,OR(TH!L3658="1111",TH!M3658="1111")),TH!D3658,""),"")</f>
        <v/>
      </c>
      <c r="B3658" s="876">
        <f t="shared" si="482"/>
        <v>1</v>
      </c>
      <c r="C3658" s="877">
        <f t="shared" si="481"/>
        <v>0</v>
      </c>
      <c r="D3658" s="878" t="s">
        <v>1663</v>
      </c>
      <c r="E3658" s="912"/>
      <c r="F3658" s="891"/>
      <c r="G3658" s="913"/>
      <c r="H3658" s="881" t="s">
        <v>1313</v>
      </c>
      <c r="I3658" s="882"/>
      <c r="J3658" s="882"/>
      <c r="K3658" s="883">
        <f t="shared" si="477"/>
        <v>0</v>
      </c>
      <c r="L3658" s="884" t="s">
        <v>857</v>
      </c>
      <c r="M3658" s="884" t="s">
        <v>160</v>
      </c>
      <c r="N3658" s="52" t="str">
        <f>IF(AND('331-CT'!$E$7=TH!H3658,OR(L3658="331",M3658="331")),"331",IF(AND(OR(L3658="131",M3658="131"),H3658='131-CT'!$E$7),"131",""))</f>
        <v/>
      </c>
      <c r="O3658" s="52" t="str">
        <f>IF(AND($B3658&gt;='111'!$N$11,$B3658&lt;='111'!$O$11,OR($L3658=$O$7,$M3658=$O$7)),"x","")</f>
        <v/>
      </c>
      <c r="P3658" s="52" t="str">
        <f>IF(AND($L3658=$O$7,$B3658&lt;'111'!$N$11),"x","")</f>
        <v/>
      </c>
      <c r="Q3658" s="52" t="str">
        <f>IF(AND($M3658=$O$7,$B3658&lt;'111'!$N$11),"x","")</f>
        <v/>
      </c>
      <c r="R3658" s="52" t="str">
        <f>IF(ISERROR(FIND('112'!$M$9,G3658,1)),"",IF((AND(FIND('112'!$M$9,G3658,1)&gt;=1,$B3658&gt;='112'!$N$8,$B3658&lt;='112'!$O$8,OR($L3658='112'!$I$6,$M3658='112'!$I$6))),"x",""))</f>
        <v/>
      </c>
      <c r="S3658" s="52" t="str">
        <f>IF(ISERROR(FIND('112'!$M$9,G3658,1)),"",IF((AND(LEFT(G3658,2)=LEFT('112'!$M$9,2),B3658&lt;'112'!$N$8,$L3658='112'!$I$6)),"x",""))</f>
        <v/>
      </c>
      <c r="T3658" s="52" t="str">
        <f>IF(ISERROR(FIND('112'!$M$9,G3658,1)),"",IF((AND(RIGHT(G3658,2)=RIGHT('112'!$M$9,2),B3658&lt;'112'!$N$8,$M3658='112'!$I$6)),"x",""))</f>
        <v/>
      </c>
      <c r="U3658" s="52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/>
      </c>
      <c r="AA3658" s="826"/>
    </row>
    <row r="3659" spans="1:28" ht="15.75" customHeight="1">
      <c r="A3659" s="827" t="str">
        <f>IF(B3659&lt;&gt;"",IF(AND(B3659&gt;=_TM1,B3659&lt;=_TM2,OR(TH!L3659="1111",TH!M3659="1111")),TH!D3659,""),"")</f>
        <v/>
      </c>
      <c r="B3659" s="876">
        <f t="shared" si="482"/>
        <v>1</v>
      </c>
      <c r="C3659" s="877">
        <f t="shared" si="481"/>
        <v>0</v>
      </c>
      <c r="D3659" s="878" t="s">
        <v>1663</v>
      </c>
      <c r="E3659" s="912"/>
      <c r="F3659" s="888"/>
      <c r="G3659" s="913"/>
      <c r="H3659" s="881" t="s">
        <v>1313</v>
      </c>
      <c r="I3659" s="882"/>
      <c r="J3659" s="882"/>
      <c r="K3659" s="883">
        <f t="shared" ref="K3659:K3660" si="483">ROUND(I3659*J3659,0)</f>
        <v>0</v>
      </c>
      <c r="L3659" s="884" t="s">
        <v>857</v>
      </c>
      <c r="M3659" s="884" t="s">
        <v>160</v>
      </c>
      <c r="N3659" s="52" t="str">
        <f>IF(AND('331-CT'!$E$7=TH!H3659,OR(L3659="331",M3659="331")),"331",IF(AND(OR(L3659="131",M3659="131"),H3659='131-CT'!$E$7),"131",""))</f>
        <v/>
      </c>
      <c r="O3659" s="52" t="str">
        <f>IF(AND($B3659&gt;='111'!$N$11,$B3659&lt;='111'!$O$11,OR($L3659=$O$7,$M3659=$O$7)),"x","")</f>
        <v/>
      </c>
      <c r="P3659" s="52" t="str">
        <f>IF(AND($L3659=$O$7,$B3659&lt;'111'!$N$11),"x","")</f>
        <v/>
      </c>
      <c r="Q3659" s="52" t="str">
        <f>IF(AND($M3659=$O$7,$B3659&lt;'111'!$N$11),"x","")</f>
        <v/>
      </c>
      <c r="R3659" s="52" t="str">
        <f>IF(ISERROR(FIND('112'!$M$9,G3659,1)),"",IF((AND(FIND('112'!$M$9,G3659,1)&gt;=1,$B3659&gt;='112'!$N$8,$B3659&lt;='112'!$O$8,OR($L3659='112'!$I$6,$M3659='112'!$I$6))),"x",""))</f>
        <v/>
      </c>
      <c r="S3659" s="52" t="str">
        <f>IF(ISERROR(FIND('112'!$M$9,G3659,1)),"",IF((AND(LEFT(G3659,2)=LEFT('112'!$M$9,2),B3659&lt;'112'!$N$8,$L3659='112'!$I$6)),"x",""))</f>
        <v/>
      </c>
      <c r="T3659" s="52" t="str">
        <f>IF(ISERROR(FIND('112'!$M$9,G3659,1)),"",IF((AND(RIGHT(G3659,2)=RIGHT('112'!$M$9,2),B3659&lt;'112'!$N$8,$M3659='112'!$I$6)),"x",""))</f>
        <v/>
      </c>
      <c r="U3659" s="52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/>
      </c>
      <c r="AA3659" s="826"/>
    </row>
    <row r="3660" spans="1:28" ht="15.75" customHeight="1">
      <c r="A3660" s="827" t="str">
        <f>IF(B3660&lt;&gt;"",IF(AND(B3660&gt;=_TM1,B3660&lt;=_TM2,OR(TH!L3660="1111",TH!M3660="1111")),TH!D3660,""),"")</f>
        <v/>
      </c>
      <c r="B3660" s="876">
        <f t="shared" si="482"/>
        <v>1</v>
      </c>
      <c r="C3660" s="877">
        <f t="shared" si="481"/>
        <v>0</v>
      </c>
      <c r="D3660" s="878" t="s">
        <v>1663</v>
      </c>
      <c r="E3660" s="912"/>
      <c r="F3660" s="891"/>
      <c r="G3660" s="913"/>
      <c r="H3660" s="881" t="s">
        <v>1313</v>
      </c>
      <c r="I3660" s="882"/>
      <c r="J3660" s="882"/>
      <c r="K3660" s="883">
        <f t="shared" si="483"/>
        <v>0</v>
      </c>
      <c r="L3660" s="884" t="s">
        <v>857</v>
      </c>
      <c r="M3660" s="884" t="s">
        <v>160</v>
      </c>
      <c r="N3660" s="52" t="str">
        <f>IF(AND('331-CT'!$E$7=TH!H3660,OR(L3660="331",M3660="331")),"331",IF(AND(OR(L3660="131",M3660="131"),H3660='131-CT'!$E$7),"131",""))</f>
        <v/>
      </c>
      <c r="O3660" s="52" t="str">
        <f>IF(AND($B3660&gt;='111'!$N$11,$B3660&lt;='111'!$O$11,OR($L3660=$O$7,$M3660=$O$7)),"x","")</f>
        <v/>
      </c>
      <c r="P3660" s="52" t="str">
        <f>IF(AND($L3660=$O$7,$B3660&lt;'111'!$N$11),"x","")</f>
        <v/>
      </c>
      <c r="Q3660" s="52" t="str">
        <f>IF(AND($M3660=$O$7,$B3660&lt;'111'!$N$11),"x","")</f>
        <v/>
      </c>
      <c r="R3660" s="52" t="str">
        <f>IF(ISERROR(FIND('112'!$M$9,G3660,1)),"",IF((AND(FIND('112'!$M$9,G3660,1)&gt;=1,$B3660&gt;='112'!$N$8,$B3660&lt;='112'!$O$8,OR($L3660='112'!$I$6,$M3660='112'!$I$6))),"x",""))</f>
        <v/>
      </c>
      <c r="S3660" s="52" t="str">
        <f>IF(ISERROR(FIND('112'!$M$9,G3660,1)),"",IF((AND(LEFT(G3660,2)=LEFT('112'!$M$9,2),B3660&lt;'112'!$N$8,$L3660='112'!$I$6)),"x",""))</f>
        <v/>
      </c>
      <c r="T3660" s="52" t="str">
        <f>IF(ISERROR(FIND('112'!$M$9,G3660,1)),"",IF((AND(RIGHT(G3660,2)=RIGHT('112'!$M$9,2),B3660&lt;'112'!$N$8,$M3660='112'!$I$6)),"x",""))</f>
        <v/>
      </c>
      <c r="U3660" s="52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/>
      </c>
      <c r="AA3660" s="826"/>
    </row>
    <row r="3661" spans="1:28" ht="15.75" customHeight="1">
      <c r="A3661" s="827" t="str">
        <f>IF(B3661&lt;&gt;"",IF(AND(B3661&gt;=_TM1,B3661&lt;=_TM2,OR(TH!L3661="1111",TH!M3661="1111")),TH!D3661,""),"")</f>
        <v/>
      </c>
      <c r="B3661" s="36">
        <f t="shared" si="389"/>
        <v>1</v>
      </c>
      <c r="C3661" s="190">
        <f t="shared" si="390"/>
        <v>42371</v>
      </c>
      <c r="D3661" s="856" t="s">
        <v>1664</v>
      </c>
      <c r="E3661" s="856">
        <v>42371</v>
      </c>
      <c r="F3661" s="857" t="s">
        <v>1178</v>
      </c>
      <c r="G3661" s="858" t="s">
        <v>1019</v>
      </c>
      <c r="H3661" s="859" t="s">
        <v>1312</v>
      </c>
      <c r="I3661" s="251">
        <v>850</v>
      </c>
      <c r="J3661" s="251">
        <v>30875</v>
      </c>
      <c r="K3661" s="860">
        <f t="shared" si="391"/>
        <v>26243750</v>
      </c>
      <c r="L3661" s="861" t="s">
        <v>160</v>
      </c>
      <c r="M3661" s="861" t="s">
        <v>857</v>
      </c>
      <c r="N3661" s="52" t="str">
        <f>IF(AND('331-CT'!$E$7=TH!H3661,OR(L3661="331",M3661="331")),"331",IF(AND(OR(L3661="131",M3661="131"),H3661='131-CT'!$E$7),"131",""))</f>
        <v/>
      </c>
      <c r="O3661" s="52" t="str">
        <f>IF(AND($B3661&gt;='111'!$N$11,$B3661&lt;='111'!$O$11,OR($L3661=$O$7,$M3661=$O$7)),"x","")</f>
        <v/>
      </c>
      <c r="P3661" s="52" t="str">
        <f>IF(AND($L3661=$O$7,$B3661&lt;'111'!$N$11),"x","")</f>
        <v/>
      </c>
      <c r="Q3661" s="52" t="str">
        <f>IF(AND($M3661=$O$7,$B3661&lt;'111'!$N$11),"x","")</f>
        <v/>
      </c>
      <c r="R3661" s="52" t="str">
        <f>IF(ISERROR(FIND('112'!$M$9,G3661,1)),"",IF((AND(FIND('112'!$M$9,G3661,1)&gt;=1,$B3661&gt;='112'!$N$8,$B3661&lt;='112'!$O$8,OR($L3661='112'!$I$6,$M3661='112'!$I$6))),"x",""))</f>
        <v/>
      </c>
      <c r="S3661" s="52" t="str">
        <f>IF(ISERROR(FIND('112'!$M$9,G3661,1)),"",IF((AND(LEFT(G3661,2)=LEFT('112'!$M$9,2),B3661&lt;'112'!$N$8,$L3661='112'!$I$6)),"x",""))</f>
        <v/>
      </c>
      <c r="T3661" s="52" t="str">
        <f>IF(ISERROR(FIND('112'!$M$9,G3661,1)),"",IF((AND(RIGHT(G3661,2)=RIGHT('112'!$M$9,2),B3661&lt;'112'!$N$8,$M3661='112'!$I$6)),"x",""))</f>
        <v/>
      </c>
      <c r="U3661" s="52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/>
      </c>
      <c r="AA3661" s="826"/>
      <c r="AB3661" s="576"/>
    </row>
    <row r="3662" spans="1:28" ht="15.75" customHeight="1">
      <c r="A3662" s="827" t="str">
        <f>IF(B3662&lt;&gt;"",IF(AND(B3662&gt;=_TM1,B3662&lt;=_TM2,OR(TH!L3662="1111",TH!M3662="1111")),TH!D3662,""),"")</f>
        <v/>
      </c>
      <c r="B3662" s="36">
        <f t="shared" si="389"/>
        <v>1</v>
      </c>
      <c r="C3662" s="190">
        <f t="shared" si="390"/>
        <v>42375</v>
      </c>
      <c r="D3662" s="856" t="s">
        <v>1664</v>
      </c>
      <c r="E3662" s="856">
        <v>42375</v>
      </c>
      <c r="F3662" s="865" t="s">
        <v>922</v>
      </c>
      <c r="G3662" s="858" t="s">
        <v>1025</v>
      </c>
      <c r="H3662" s="859" t="s">
        <v>1312</v>
      </c>
      <c r="I3662" s="251">
        <v>200</v>
      </c>
      <c r="J3662" s="251">
        <v>10013</v>
      </c>
      <c r="K3662" s="860">
        <f t="shared" si="391"/>
        <v>2002600</v>
      </c>
      <c r="L3662" s="861" t="s">
        <v>160</v>
      </c>
      <c r="M3662" s="861" t="s">
        <v>857</v>
      </c>
      <c r="N3662" s="52" t="str">
        <f>IF(AND('331-CT'!$E$7=TH!H3662,OR(L3662="331",M3662="331")),"331",IF(AND(OR(L3662="131",M3662="131"),H3662='131-CT'!$E$7),"131",""))</f>
        <v/>
      </c>
      <c r="O3662" s="52" t="str">
        <f>IF(AND($B3662&gt;='111'!$N$11,$B3662&lt;='111'!$O$11,OR($L3662=$O$7,$M3662=$O$7)),"x","")</f>
        <v/>
      </c>
      <c r="P3662" s="52" t="str">
        <f>IF(AND($L3662=$O$7,$B3662&lt;'111'!$N$11),"x","")</f>
        <v/>
      </c>
      <c r="Q3662" s="52" t="str">
        <f>IF(AND($M3662=$O$7,$B3662&lt;'111'!$N$11),"x","")</f>
        <v/>
      </c>
      <c r="R3662" s="52" t="str">
        <f>IF(ISERROR(FIND('112'!$M$9,G3662,1)),"",IF((AND(FIND('112'!$M$9,G3662,1)&gt;=1,$B3662&gt;='112'!$N$8,$B3662&lt;='112'!$O$8,OR($L3662='112'!$I$6,$M3662='112'!$I$6))),"x",""))</f>
        <v/>
      </c>
      <c r="S3662" s="52" t="str">
        <f>IF(ISERROR(FIND('112'!$M$9,G3662,1)),"",IF((AND(LEFT(G3662,2)=LEFT('112'!$M$9,2),B3662&lt;'112'!$N$8,$L3662='112'!$I$6)),"x",""))</f>
        <v/>
      </c>
      <c r="T3662" s="52" t="str">
        <f>IF(ISERROR(FIND('112'!$M$9,G3662,1)),"",IF((AND(RIGHT(G3662,2)=RIGHT('112'!$M$9,2),B3662&lt;'112'!$N$8,$M3662='112'!$I$6)),"x",""))</f>
        <v/>
      </c>
      <c r="U3662" s="52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/>
      </c>
      <c r="AA3662" s="826"/>
      <c r="AB3662" s="576"/>
    </row>
    <row r="3663" spans="1:28" ht="15.75" customHeight="1">
      <c r="A3663" s="827" t="str">
        <f>IF(B3663&lt;&gt;"",IF(AND(B3663&gt;=_TM1,B3663&lt;=_TM2,OR(TH!L3663="1111",TH!M3663="1111")),TH!D3663,""),"")</f>
        <v/>
      </c>
      <c r="B3663" s="36">
        <f t="shared" si="389"/>
        <v>1</v>
      </c>
      <c r="C3663" s="190">
        <f t="shared" si="390"/>
        <v>42379</v>
      </c>
      <c r="D3663" s="856" t="s">
        <v>1664</v>
      </c>
      <c r="E3663" s="856">
        <v>42379</v>
      </c>
      <c r="F3663" s="857" t="s">
        <v>659</v>
      </c>
      <c r="G3663" s="858" t="s">
        <v>1026</v>
      </c>
      <c r="H3663" s="859" t="s">
        <v>1312</v>
      </c>
      <c r="I3663" s="251">
        <v>1000</v>
      </c>
      <c r="J3663" s="251">
        <v>8771</v>
      </c>
      <c r="K3663" s="860">
        <f t="shared" si="391"/>
        <v>8771000</v>
      </c>
      <c r="L3663" s="861" t="s">
        <v>160</v>
      </c>
      <c r="M3663" s="861" t="s">
        <v>857</v>
      </c>
      <c r="N3663" s="52" t="str">
        <f>IF(AND('331-CT'!$E$7=TH!H3663,OR(L3663="331",M3663="331")),"331",IF(AND(OR(L3663="131",M3663="131"),H3663='131-CT'!$E$7),"131",""))</f>
        <v/>
      </c>
      <c r="O3663" s="52" t="str">
        <f>IF(AND($B3663&gt;='111'!$N$11,$B3663&lt;='111'!$O$11,OR($L3663=$O$7,$M3663=$O$7)),"x","")</f>
        <v/>
      </c>
      <c r="P3663" s="52" t="str">
        <f>IF(AND($L3663=$O$7,$B3663&lt;'111'!$N$11),"x","")</f>
        <v/>
      </c>
      <c r="Q3663" s="52" t="str">
        <f>IF(AND($M3663=$O$7,$B3663&lt;'111'!$N$11),"x","")</f>
        <v/>
      </c>
      <c r="R3663" s="52" t="str">
        <f>IF(ISERROR(FIND('112'!$M$9,G3663,1)),"",IF((AND(FIND('112'!$M$9,G3663,1)&gt;=1,$B3663&gt;='112'!$N$8,$B3663&lt;='112'!$O$8,OR($L3663='112'!$I$6,$M3663='112'!$I$6))),"x",""))</f>
        <v/>
      </c>
      <c r="S3663" s="52" t="str">
        <f>IF(ISERROR(FIND('112'!$M$9,G3663,1)),"",IF((AND(LEFT(G3663,2)=LEFT('112'!$M$9,2),B3663&lt;'112'!$N$8,$L3663='112'!$I$6)),"x",""))</f>
        <v/>
      </c>
      <c r="T3663" s="52" t="str">
        <f>IF(ISERROR(FIND('112'!$M$9,G3663,1)),"",IF((AND(RIGHT(G3663,2)=RIGHT('112'!$M$9,2),B3663&lt;'112'!$N$8,$M3663='112'!$I$6)),"x",""))</f>
        <v/>
      </c>
      <c r="U3663" s="52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/>
      </c>
      <c r="AA3663" s="826"/>
      <c r="AB3663" s="576"/>
    </row>
    <row r="3664" spans="1:28" ht="15.75" customHeight="1">
      <c r="A3664" s="827" t="str">
        <f>IF(B3664&lt;&gt;"",IF(AND(B3664&gt;=_TM1,B3664&lt;=_TM2,OR(TH!L3664="1111",TH!M3664="1111")),TH!D3664,""),"")</f>
        <v/>
      </c>
      <c r="B3664" s="36">
        <f t="shared" si="389"/>
        <v>1</v>
      </c>
      <c r="C3664" s="190">
        <f t="shared" si="390"/>
        <v>42386</v>
      </c>
      <c r="D3664" s="856" t="s">
        <v>1664</v>
      </c>
      <c r="E3664" s="856">
        <v>42386</v>
      </c>
      <c r="F3664" s="857" t="s">
        <v>924</v>
      </c>
      <c r="G3664" s="858" t="s">
        <v>1027</v>
      </c>
      <c r="H3664" s="859" t="s">
        <v>1312</v>
      </c>
      <c r="I3664" s="251">
        <v>450</v>
      </c>
      <c r="J3664" s="251">
        <v>18113</v>
      </c>
      <c r="K3664" s="860">
        <f t="shared" si="391"/>
        <v>8150850</v>
      </c>
      <c r="L3664" s="861" t="s">
        <v>160</v>
      </c>
      <c r="M3664" s="861" t="s">
        <v>857</v>
      </c>
      <c r="N3664" s="52" t="str">
        <f>IF(AND('331-CT'!$E$7=TH!H3664,OR(L3664="331",M3664="331")),"331",IF(AND(OR(L3664="131",M3664="131"),H3664='131-CT'!$E$7),"131",""))</f>
        <v/>
      </c>
      <c r="O3664" s="52" t="str">
        <f>IF(AND($B3664&gt;='111'!$N$11,$B3664&lt;='111'!$O$11,OR($L3664=$O$7,$M3664=$O$7)),"x","")</f>
        <v/>
      </c>
      <c r="P3664" s="52" t="str">
        <f>IF(AND($L3664=$O$7,$B3664&lt;'111'!$N$11),"x","")</f>
        <v/>
      </c>
      <c r="Q3664" s="52" t="str">
        <f>IF(AND($M3664=$O$7,$B3664&lt;'111'!$N$11),"x","")</f>
        <v/>
      </c>
      <c r="R3664" s="52" t="str">
        <f>IF(ISERROR(FIND('112'!$M$9,G3664,1)),"",IF((AND(FIND('112'!$M$9,G3664,1)&gt;=1,$B3664&gt;='112'!$N$8,$B3664&lt;='112'!$O$8,OR($L3664='112'!$I$6,$M3664='112'!$I$6))),"x",""))</f>
        <v/>
      </c>
      <c r="S3664" s="52" t="str">
        <f>IF(ISERROR(FIND('112'!$M$9,G3664,1)),"",IF((AND(LEFT(G3664,2)=LEFT('112'!$M$9,2),B3664&lt;'112'!$N$8,$L3664='112'!$I$6)),"x",""))</f>
        <v/>
      </c>
      <c r="T3664" s="52" t="str">
        <f>IF(ISERROR(FIND('112'!$M$9,G3664,1)),"",IF((AND(RIGHT(G3664,2)=RIGHT('112'!$M$9,2),B3664&lt;'112'!$N$8,$M3664='112'!$I$6)),"x",""))</f>
        <v/>
      </c>
      <c r="U3664" s="52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/>
      </c>
      <c r="AA3664" s="826"/>
      <c r="AB3664" s="576"/>
    </row>
    <row r="3665" spans="1:28" ht="15.75" customHeight="1">
      <c r="A3665" s="827" t="str">
        <f>IF(B3665&lt;&gt;"",IF(AND(B3665&gt;=_TM1,B3665&lt;=_TM2,OR(TH!L3665="1111",TH!M3665="1111")),TH!D3665,""),"")</f>
        <v/>
      </c>
      <c r="B3665" s="36">
        <f t="shared" si="389"/>
        <v>1</v>
      </c>
      <c r="C3665" s="190">
        <f t="shared" si="390"/>
        <v>42392</v>
      </c>
      <c r="D3665" s="856" t="s">
        <v>1664</v>
      </c>
      <c r="E3665" s="856">
        <v>42392</v>
      </c>
      <c r="F3665" s="857" t="s">
        <v>930</v>
      </c>
      <c r="G3665" s="858" t="s">
        <v>1029</v>
      </c>
      <c r="H3665" s="859" t="s">
        <v>1312</v>
      </c>
      <c r="I3665" s="251">
        <v>270</v>
      </c>
      <c r="J3665" s="251">
        <v>20147</v>
      </c>
      <c r="K3665" s="860">
        <f t="shared" si="391"/>
        <v>5439690</v>
      </c>
      <c r="L3665" s="861" t="s">
        <v>160</v>
      </c>
      <c r="M3665" s="861" t="s">
        <v>857</v>
      </c>
      <c r="N3665" s="52" t="str">
        <f>IF(AND('331-CT'!$E$7=TH!H3665,OR(L3665="331",M3665="331")),"331",IF(AND(OR(L3665="131",M3665="131"),H3665='131-CT'!$E$7),"131",""))</f>
        <v/>
      </c>
      <c r="O3665" s="52" t="str">
        <f>IF(AND($B3665&gt;='111'!$N$11,$B3665&lt;='111'!$O$11,OR($L3665=$O$7,$M3665=$O$7)),"x","")</f>
        <v/>
      </c>
      <c r="P3665" s="52" t="str">
        <f>IF(AND($L3665=$O$7,$B3665&lt;'111'!$N$11),"x","")</f>
        <v/>
      </c>
      <c r="Q3665" s="52" t="str">
        <f>IF(AND($M3665=$O$7,$B3665&lt;'111'!$N$11),"x","")</f>
        <v/>
      </c>
      <c r="R3665" s="52" t="str">
        <f>IF(ISERROR(FIND('112'!$M$9,G3665,1)),"",IF((AND(FIND('112'!$M$9,G3665,1)&gt;=1,$B3665&gt;='112'!$N$8,$B3665&lt;='112'!$O$8,OR($L3665='112'!$I$6,$M3665='112'!$I$6))),"x",""))</f>
        <v/>
      </c>
      <c r="S3665" s="52" t="str">
        <f>IF(ISERROR(FIND('112'!$M$9,G3665,1)),"",IF((AND(LEFT(G3665,2)=LEFT('112'!$M$9,2),B3665&lt;'112'!$N$8,$L3665='112'!$I$6)),"x",""))</f>
        <v/>
      </c>
      <c r="T3665" s="52" t="str">
        <f>IF(ISERROR(FIND('112'!$M$9,G3665,1)),"",IF((AND(RIGHT(G3665,2)=RIGHT('112'!$M$9,2),B3665&lt;'112'!$N$8,$M3665='112'!$I$6)),"x",""))</f>
        <v/>
      </c>
      <c r="U3665" s="52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/>
      </c>
      <c r="AA3665" s="826"/>
      <c r="AB3665" s="576"/>
    </row>
    <row r="3666" spans="1:28" ht="15.75" customHeight="1">
      <c r="A3666" s="827" t="str">
        <f>IF(B3666&lt;&gt;"",IF(AND(B3666&gt;=_TM1,B3666&lt;=_TM2,OR(TH!L3666="1111",TH!M3666="1111")),TH!D3666,""),"")</f>
        <v/>
      </c>
      <c r="B3666" s="36">
        <f t="shared" si="389"/>
        <v>1</v>
      </c>
      <c r="C3666" s="190">
        <f t="shared" si="390"/>
        <v>42397</v>
      </c>
      <c r="D3666" s="856" t="s">
        <v>1664</v>
      </c>
      <c r="E3666" s="856">
        <v>42397</v>
      </c>
      <c r="F3666" s="866" t="s">
        <v>664</v>
      </c>
      <c r="G3666" s="858" t="s">
        <v>1032</v>
      </c>
      <c r="H3666" s="859" t="s">
        <v>1312</v>
      </c>
      <c r="I3666" s="867">
        <v>210</v>
      </c>
      <c r="J3666" s="251">
        <v>82473</v>
      </c>
      <c r="K3666" s="860">
        <f t="shared" si="391"/>
        <v>17319330</v>
      </c>
      <c r="L3666" s="861" t="s">
        <v>160</v>
      </c>
      <c r="M3666" s="861" t="s">
        <v>857</v>
      </c>
      <c r="N3666" s="52" t="str">
        <f>IF(AND('331-CT'!$E$7=TH!H3666,OR(L3666="331",M3666="331")),"331",IF(AND(OR(L3666="131",M3666="131"),H3666='131-CT'!$E$7),"131",""))</f>
        <v/>
      </c>
      <c r="O3666" s="52" t="str">
        <f>IF(AND($B3666&gt;='111'!$N$11,$B3666&lt;='111'!$O$11,OR($L3666=$O$7,$M3666=$O$7)),"x","")</f>
        <v/>
      </c>
      <c r="P3666" s="52" t="str">
        <f>IF(AND($L3666=$O$7,$B3666&lt;'111'!$N$11),"x","")</f>
        <v/>
      </c>
      <c r="Q3666" s="52" t="str">
        <f>IF(AND($M3666=$O$7,$B3666&lt;'111'!$N$11),"x","")</f>
        <v/>
      </c>
      <c r="R3666" s="52" t="str">
        <f>IF(ISERROR(FIND('112'!$M$9,G3666,1)),"",IF((AND(FIND('112'!$M$9,G3666,1)&gt;=1,$B3666&gt;='112'!$N$8,$B3666&lt;='112'!$O$8,OR($L3666='112'!$I$6,$M3666='112'!$I$6))),"x",""))</f>
        <v/>
      </c>
      <c r="S3666" s="52" t="str">
        <f>IF(ISERROR(FIND('112'!$M$9,G3666,1)),"",IF((AND(LEFT(G3666,2)=LEFT('112'!$M$9,2),B3666&lt;'112'!$N$8,$L3666='112'!$I$6)),"x",""))</f>
        <v/>
      </c>
      <c r="T3666" s="52" t="str">
        <f>IF(ISERROR(FIND('112'!$M$9,G3666,1)),"",IF((AND(RIGHT(G3666,2)=RIGHT('112'!$M$9,2),B3666&lt;'112'!$N$8,$M3666='112'!$I$6)),"x",""))</f>
        <v/>
      </c>
      <c r="U3666" s="52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/>
      </c>
      <c r="AA3666" s="826"/>
      <c r="AB3666" s="576"/>
    </row>
    <row r="3667" spans="1:28" ht="15.75" customHeight="1">
      <c r="A3667" s="827" t="str">
        <f>IF(B3667&lt;&gt;"",IF(AND(B3667&gt;=_TM1,B3667&lt;=_TM2,OR(TH!L3667="1111",TH!M3667="1111")),TH!D3667,""),"")</f>
        <v/>
      </c>
      <c r="B3667" s="36">
        <f t="shared" si="389"/>
        <v>1</v>
      </c>
      <c r="C3667" s="190">
        <f t="shared" si="390"/>
        <v>42397</v>
      </c>
      <c r="D3667" s="856" t="s">
        <v>1664</v>
      </c>
      <c r="E3667" s="856">
        <v>42397</v>
      </c>
      <c r="F3667" s="857" t="s">
        <v>683</v>
      </c>
      <c r="G3667" s="858" t="s">
        <v>1032</v>
      </c>
      <c r="H3667" s="859" t="s">
        <v>1312</v>
      </c>
      <c r="I3667" s="251">
        <v>210</v>
      </c>
      <c r="J3667" s="251">
        <v>54982</v>
      </c>
      <c r="K3667" s="860">
        <f t="shared" si="391"/>
        <v>11546220</v>
      </c>
      <c r="L3667" s="861" t="s">
        <v>160</v>
      </c>
      <c r="M3667" s="861" t="s">
        <v>857</v>
      </c>
      <c r="N3667" s="52" t="str">
        <f>IF(AND('331-CT'!$E$7=TH!H3667,OR(L3667="331",M3667="331")),"331",IF(AND(OR(L3667="131",M3667="131"),H3667='131-CT'!$E$7),"131",""))</f>
        <v/>
      </c>
      <c r="O3667" s="52" t="str">
        <f>IF(AND($B3667&gt;='111'!$N$11,$B3667&lt;='111'!$O$11,OR($L3667=$O$7,$M3667=$O$7)),"x","")</f>
        <v/>
      </c>
      <c r="P3667" s="52" t="str">
        <f>IF(AND($L3667=$O$7,$B3667&lt;'111'!$N$11),"x","")</f>
        <v/>
      </c>
      <c r="Q3667" s="52" t="str">
        <f>IF(AND($M3667=$O$7,$B3667&lt;'111'!$N$11),"x","")</f>
        <v/>
      </c>
      <c r="R3667" s="52" t="str">
        <f>IF(ISERROR(FIND('112'!$M$9,G3667,1)),"",IF((AND(FIND('112'!$M$9,G3667,1)&gt;=1,$B3667&gt;='112'!$N$8,$B3667&lt;='112'!$O$8,OR($L3667='112'!$I$6,$M3667='112'!$I$6))),"x",""))</f>
        <v/>
      </c>
      <c r="S3667" s="52" t="str">
        <f>IF(ISERROR(FIND('112'!$M$9,G3667,1)),"",IF((AND(LEFT(G3667,2)=LEFT('112'!$M$9,2),B3667&lt;'112'!$N$8,$L3667='112'!$I$6)),"x",""))</f>
        <v/>
      </c>
      <c r="T3667" s="52" t="str">
        <f>IF(ISERROR(FIND('112'!$M$9,G3667,1)),"",IF((AND(RIGHT(G3667,2)=RIGHT('112'!$M$9,2),B3667&lt;'112'!$N$8,$M3667='112'!$I$6)),"x",""))</f>
        <v/>
      </c>
      <c r="U3667" s="52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/>
      </c>
      <c r="AA3667" s="826"/>
      <c r="AB3667" s="576"/>
    </row>
    <row r="3668" spans="1:28" ht="15.75" customHeight="1">
      <c r="A3668" s="827" t="str">
        <f>IF(B3668&lt;&gt;"",IF(AND(B3668&gt;=_TM1,B3668&lt;=_TM2,OR(TH!L3668="1111",TH!M3668="1111")),TH!D3668,""),"")</f>
        <v/>
      </c>
      <c r="B3668" s="36">
        <f t="shared" si="389"/>
        <v>1</v>
      </c>
      <c r="C3668" s="190">
        <f t="shared" si="390"/>
        <v>42397</v>
      </c>
      <c r="D3668" s="856" t="s">
        <v>1664</v>
      </c>
      <c r="E3668" s="856">
        <v>42397</v>
      </c>
      <c r="F3668" s="868" t="s">
        <v>921</v>
      </c>
      <c r="G3668" s="858" t="s">
        <v>1032</v>
      </c>
      <c r="H3668" s="859" t="s">
        <v>1312</v>
      </c>
      <c r="I3668" s="251">
        <v>916</v>
      </c>
      <c r="J3668" s="251">
        <v>6470</v>
      </c>
      <c r="K3668" s="860">
        <f t="shared" si="391"/>
        <v>5926520</v>
      </c>
      <c r="L3668" s="861" t="s">
        <v>160</v>
      </c>
      <c r="M3668" s="861" t="s">
        <v>857</v>
      </c>
      <c r="N3668" s="52" t="str">
        <f>IF(AND('331-CT'!$E$7=TH!H3668,OR(L3668="331",M3668="331")),"331",IF(AND(OR(L3668="131",M3668="131"),H3668='131-CT'!$E$7),"131",""))</f>
        <v/>
      </c>
      <c r="O3668" s="52" t="str">
        <f>IF(AND($B3668&gt;='111'!$N$11,$B3668&lt;='111'!$O$11,OR($L3668=$O$7,$M3668=$O$7)),"x","")</f>
        <v/>
      </c>
      <c r="P3668" s="52" t="str">
        <f>IF(AND($L3668=$O$7,$B3668&lt;'111'!$N$11),"x","")</f>
        <v/>
      </c>
      <c r="Q3668" s="52" t="str">
        <f>IF(AND($M3668=$O$7,$B3668&lt;'111'!$N$11),"x","")</f>
        <v/>
      </c>
      <c r="R3668" s="52" t="str">
        <f>IF(ISERROR(FIND('112'!$M$9,G3668,1)),"",IF((AND(FIND('112'!$M$9,G3668,1)&gt;=1,$B3668&gt;='112'!$N$8,$B3668&lt;='112'!$O$8,OR($L3668='112'!$I$6,$M3668='112'!$I$6))),"x",""))</f>
        <v/>
      </c>
      <c r="S3668" s="52" t="str">
        <f>IF(ISERROR(FIND('112'!$M$9,G3668,1)),"",IF((AND(LEFT(G3668,2)=LEFT('112'!$M$9,2),B3668&lt;'112'!$N$8,$L3668='112'!$I$6)),"x",""))</f>
        <v/>
      </c>
      <c r="T3668" s="52" t="str">
        <f>IF(ISERROR(FIND('112'!$M$9,G3668,1)),"",IF((AND(RIGHT(G3668,2)=RIGHT('112'!$M$9,2),B3668&lt;'112'!$N$8,$M3668='112'!$I$6)),"x",""))</f>
        <v/>
      </c>
      <c r="U3668" s="52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/>
      </c>
      <c r="AA3668" s="826"/>
      <c r="AB3668" s="576"/>
    </row>
    <row r="3669" spans="1:28" ht="15.75" customHeight="1">
      <c r="A3669" s="827" t="str">
        <f>IF(B3669&lt;&gt;"",IF(AND(B3669&gt;=_TM1,B3669&lt;=_TM2,OR(TH!L3669="1111",TH!M3669="1111")),TH!D3669,""),"")</f>
        <v/>
      </c>
      <c r="B3669" s="36">
        <f t="shared" si="389"/>
        <v>1</v>
      </c>
      <c r="C3669" s="190">
        <f t="shared" si="390"/>
        <v>42399</v>
      </c>
      <c r="D3669" s="856" t="s">
        <v>1664</v>
      </c>
      <c r="E3669" s="856">
        <v>42399</v>
      </c>
      <c r="F3669" s="868" t="s">
        <v>937</v>
      </c>
      <c r="G3669" s="858" t="s">
        <v>1039</v>
      </c>
      <c r="H3669" s="859" t="s">
        <v>1312</v>
      </c>
      <c r="I3669" s="251">
        <v>396</v>
      </c>
      <c r="J3669" s="251">
        <v>18113</v>
      </c>
      <c r="K3669" s="860">
        <f t="shared" si="391"/>
        <v>7172748</v>
      </c>
      <c r="L3669" s="861" t="s">
        <v>160</v>
      </c>
      <c r="M3669" s="861" t="s">
        <v>857</v>
      </c>
      <c r="N3669" s="52" t="str">
        <f>IF(AND('331-CT'!$E$7=TH!H3669,OR(L3669="331",M3669="331")),"331",IF(AND(OR(L3669="131",M3669="131"),H3669='131-CT'!$E$7),"131",""))</f>
        <v/>
      </c>
      <c r="O3669" s="52" t="str">
        <f>IF(AND($B3669&gt;='111'!$N$11,$B3669&lt;='111'!$O$11,OR($L3669=$O$7,$M3669=$O$7)),"x","")</f>
        <v/>
      </c>
      <c r="P3669" s="52" t="str">
        <f>IF(AND($L3669=$O$7,$B3669&lt;'111'!$N$11),"x","")</f>
        <v/>
      </c>
      <c r="Q3669" s="52" t="str">
        <f>IF(AND($M3669=$O$7,$B3669&lt;'111'!$N$11),"x","")</f>
        <v/>
      </c>
      <c r="R3669" s="52" t="str">
        <f>IF(ISERROR(FIND('112'!$M$9,G3669,1)),"",IF((AND(FIND('112'!$M$9,G3669,1)&gt;=1,$B3669&gt;='112'!$N$8,$B3669&lt;='112'!$O$8,OR($L3669='112'!$I$6,$M3669='112'!$I$6))),"x",""))</f>
        <v/>
      </c>
      <c r="S3669" s="52" t="str">
        <f>IF(ISERROR(FIND('112'!$M$9,G3669,1)),"",IF((AND(LEFT(G3669,2)=LEFT('112'!$M$9,2),B3669&lt;'112'!$N$8,$L3669='112'!$I$6)),"x",""))</f>
        <v/>
      </c>
      <c r="T3669" s="52" t="str">
        <f>IF(ISERROR(FIND('112'!$M$9,G3669,1)),"",IF((AND(RIGHT(G3669,2)=RIGHT('112'!$M$9,2),B3669&lt;'112'!$N$8,$M3669='112'!$I$6)),"x",""))</f>
        <v/>
      </c>
      <c r="U3669" s="52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/>
      </c>
      <c r="AA3669" s="826"/>
      <c r="AB3669" s="576"/>
    </row>
    <row r="3670" spans="1:28" ht="15.75" customHeight="1">
      <c r="A3670" s="827" t="str">
        <f>IF(B3670&lt;&gt;"",IF(AND(B3670&gt;=_TM1,B3670&lt;=_TM2,OR(TH!L3670="1111",TH!M3670="1111")),TH!D3670,""),"")</f>
        <v/>
      </c>
      <c r="B3670" s="36">
        <f t="shared" si="389"/>
        <v>1</v>
      </c>
      <c r="C3670" s="190">
        <f t="shared" si="390"/>
        <v>42399</v>
      </c>
      <c r="D3670" s="856" t="s">
        <v>1664</v>
      </c>
      <c r="E3670" s="856">
        <v>42399</v>
      </c>
      <c r="F3670" s="868" t="s">
        <v>939</v>
      </c>
      <c r="G3670" s="858" t="s">
        <v>1039</v>
      </c>
      <c r="H3670" s="859" t="s">
        <v>1312</v>
      </c>
      <c r="I3670" s="251">
        <v>150</v>
      </c>
      <c r="J3670" s="251">
        <v>14466</v>
      </c>
      <c r="K3670" s="860">
        <f t="shared" si="391"/>
        <v>2169900</v>
      </c>
      <c r="L3670" s="861" t="s">
        <v>160</v>
      </c>
      <c r="M3670" s="861" t="s">
        <v>857</v>
      </c>
      <c r="N3670" s="52" t="str">
        <f>IF(AND('331-CT'!$E$7=TH!H3670,OR(L3670="331",M3670="331")),"331",IF(AND(OR(L3670="131",M3670="131"),H3670='131-CT'!$E$7),"131",""))</f>
        <v/>
      </c>
      <c r="O3670" s="52" t="str">
        <f>IF(AND($B3670&gt;='111'!$N$11,$B3670&lt;='111'!$O$11,OR($L3670=$O$7,$M3670=$O$7)),"x","")</f>
        <v/>
      </c>
      <c r="P3670" s="52" t="str">
        <f>IF(AND($L3670=$O$7,$B3670&lt;'111'!$N$11),"x","")</f>
        <v/>
      </c>
      <c r="Q3670" s="52" t="str">
        <f>IF(AND($M3670=$O$7,$B3670&lt;'111'!$N$11),"x","")</f>
        <v/>
      </c>
      <c r="R3670" s="52" t="str">
        <f>IF(ISERROR(FIND('112'!$M$9,G3670,1)),"",IF((AND(FIND('112'!$M$9,G3670,1)&gt;=1,$B3670&gt;='112'!$N$8,$B3670&lt;='112'!$O$8,OR($L3670='112'!$I$6,$M3670='112'!$I$6))),"x",""))</f>
        <v/>
      </c>
      <c r="S3670" s="52" t="str">
        <f>IF(ISERROR(FIND('112'!$M$9,G3670,1)),"",IF((AND(LEFT(G3670,2)=LEFT('112'!$M$9,2),B3670&lt;'112'!$N$8,$L3670='112'!$I$6)),"x",""))</f>
        <v/>
      </c>
      <c r="T3670" s="52" t="str">
        <f>IF(ISERROR(FIND('112'!$M$9,G3670,1)),"",IF((AND(RIGHT(G3670,2)=RIGHT('112'!$M$9,2),B3670&lt;'112'!$N$8,$M3670='112'!$I$6)),"x",""))</f>
        <v/>
      </c>
      <c r="U3670" s="52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/>
      </c>
      <c r="AA3670" s="826"/>
      <c r="AB3670" s="576"/>
    </row>
    <row r="3671" spans="1:28" ht="15.75" customHeight="1">
      <c r="A3671" s="827" t="str">
        <f>IF(B3671&lt;&gt;"",IF(AND(B3671&gt;=_TM1,B3671&lt;=_TM2,OR(TH!L3671="1111",TH!M3671="1111")),TH!D3671,""),"")</f>
        <v/>
      </c>
      <c r="B3671" s="36">
        <f t="shared" si="389"/>
        <v>1</v>
      </c>
      <c r="C3671" s="190">
        <f t="shared" si="390"/>
        <v>42400</v>
      </c>
      <c r="D3671" s="856" t="s">
        <v>1664</v>
      </c>
      <c r="E3671" s="856">
        <v>42400</v>
      </c>
      <c r="F3671" s="868" t="s">
        <v>659</v>
      </c>
      <c r="G3671" s="858" t="s">
        <v>1040</v>
      </c>
      <c r="H3671" s="859" t="s">
        <v>1312</v>
      </c>
      <c r="I3671" s="251">
        <v>1000</v>
      </c>
      <c r="J3671" s="251">
        <v>8771</v>
      </c>
      <c r="K3671" s="860">
        <f t="shared" si="391"/>
        <v>8771000</v>
      </c>
      <c r="L3671" s="861" t="s">
        <v>160</v>
      </c>
      <c r="M3671" s="861" t="s">
        <v>857</v>
      </c>
      <c r="N3671" s="52" t="str">
        <f>IF(AND('331-CT'!$E$7=TH!H3671,OR(L3671="331",M3671="331")),"331",IF(AND(OR(L3671="131",M3671="131"),H3671='131-CT'!$E$7),"131",""))</f>
        <v/>
      </c>
      <c r="O3671" s="52" t="str">
        <f>IF(AND($B3671&gt;='111'!$N$11,$B3671&lt;='111'!$O$11,OR($L3671=$O$7,$M3671=$O$7)),"x","")</f>
        <v/>
      </c>
      <c r="P3671" s="52" t="str">
        <f>IF(AND($L3671=$O$7,$B3671&lt;'111'!$N$11),"x","")</f>
        <v/>
      </c>
      <c r="Q3671" s="52" t="str">
        <f>IF(AND($M3671=$O$7,$B3671&lt;'111'!$N$11),"x","")</f>
        <v/>
      </c>
      <c r="R3671" s="52" t="str">
        <f>IF(ISERROR(FIND('112'!$M$9,G3671,1)),"",IF((AND(FIND('112'!$M$9,G3671,1)&gt;=1,$B3671&gt;='112'!$N$8,$B3671&lt;='112'!$O$8,OR($L3671='112'!$I$6,$M3671='112'!$I$6))),"x",""))</f>
        <v/>
      </c>
      <c r="S3671" s="52" t="str">
        <f>IF(ISERROR(FIND('112'!$M$9,G3671,1)),"",IF((AND(LEFT(G3671,2)=LEFT('112'!$M$9,2),B3671&lt;'112'!$N$8,$L3671='112'!$I$6)),"x",""))</f>
        <v/>
      </c>
      <c r="T3671" s="52" t="str">
        <f>IF(ISERROR(FIND('112'!$M$9,G3671,1)),"",IF((AND(RIGHT(G3671,2)=RIGHT('112'!$M$9,2),B3671&lt;'112'!$N$8,$M3671='112'!$I$6)),"x",""))</f>
        <v/>
      </c>
      <c r="U3671" s="52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/>
      </c>
      <c r="AA3671" s="826"/>
      <c r="AB3671" s="576"/>
    </row>
    <row r="3672" spans="1:28" ht="15.75" customHeight="1">
      <c r="A3672" s="827" t="str">
        <f>IF(B3672&lt;&gt;"",IF(AND(B3672&gt;=_TM1,B3672&lt;=_TM2,OR(TH!L3672="1111",TH!M3672="1111")),TH!D3672,""),"")</f>
        <v/>
      </c>
      <c r="B3672" s="36">
        <f t="shared" si="389"/>
        <v>2</v>
      </c>
      <c r="C3672" s="190">
        <f t="shared" si="390"/>
        <v>42414</v>
      </c>
      <c r="D3672" s="856" t="s">
        <v>1664</v>
      </c>
      <c r="E3672" s="856">
        <v>42414</v>
      </c>
      <c r="F3672" s="868" t="s">
        <v>659</v>
      </c>
      <c r="G3672" s="858" t="s">
        <v>1043</v>
      </c>
      <c r="H3672" s="859" t="s">
        <v>1312</v>
      </c>
      <c r="I3672" s="251">
        <v>1000</v>
      </c>
      <c r="J3672" s="251">
        <v>8771</v>
      </c>
      <c r="K3672" s="860">
        <f t="shared" si="391"/>
        <v>8771000</v>
      </c>
      <c r="L3672" s="861" t="s">
        <v>160</v>
      </c>
      <c r="M3672" s="861" t="s">
        <v>857</v>
      </c>
      <c r="N3672" s="52" t="str">
        <f>IF(AND('331-CT'!$E$7=TH!H3672,OR(L3672="331",M3672="331")),"331",IF(AND(OR(L3672="131",M3672="131"),H3672='131-CT'!$E$7),"131",""))</f>
        <v/>
      </c>
      <c r="O3672" s="52" t="str">
        <f>IF(AND($B3672&gt;='111'!$N$11,$B3672&lt;='111'!$O$11,OR($L3672=$O$7,$M3672=$O$7)),"x","")</f>
        <v/>
      </c>
      <c r="P3672" s="52" t="str">
        <f>IF(AND($L3672=$O$7,$B3672&lt;'111'!$N$11),"x","")</f>
        <v/>
      </c>
      <c r="Q3672" s="52" t="str">
        <f>IF(AND($M3672=$O$7,$B3672&lt;'111'!$N$11),"x","")</f>
        <v/>
      </c>
      <c r="R3672" s="52" t="str">
        <f>IF(ISERROR(FIND('112'!$M$9,G3672,1)),"",IF((AND(FIND('112'!$M$9,G3672,1)&gt;=1,$B3672&gt;='112'!$N$8,$B3672&lt;='112'!$O$8,OR($L3672='112'!$I$6,$M3672='112'!$I$6))),"x",""))</f>
        <v/>
      </c>
      <c r="S3672" s="52" t="str">
        <f>IF(ISERROR(FIND('112'!$M$9,G3672,1)),"",IF((AND(LEFT(G3672,2)=LEFT('112'!$M$9,2),B3672&lt;'112'!$N$8,$L3672='112'!$I$6)),"x",""))</f>
        <v/>
      </c>
      <c r="T3672" s="52" t="str">
        <f>IF(ISERROR(FIND('112'!$M$9,G3672,1)),"",IF((AND(RIGHT(G3672,2)=RIGHT('112'!$M$9,2),B3672&lt;'112'!$N$8,$M3672='112'!$I$6)),"x",""))</f>
        <v/>
      </c>
      <c r="U3672" s="52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/>
      </c>
      <c r="AA3672" s="826"/>
      <c r="AB3672" s="576"/>
    </row>
    <row r="3673" spans="1:28" ht="15.75" customHeight="1">
      <c r="A3673" s="827" t="str">
        <f>IF(B3673&lt;&gt;"",IF(AND(B3673&gt;=_TM1,B3673&lt;=_TM2,OR(TH!L3673="1111",TH!M3673="1111")),TH!D3673,""),"")</f>
        <v/>
      </c>
      <c r="B3673" s="36">
        <f t="shared" si="389"/>
        <v>2</v>
      </c>
      <c r="C3673" s="190">
        <f t="shared" si="390"/>
        <v>42414</v>
      </c>
      <c r="D3673" s="856" t="s">
        <v>1664</v>
      </c>
      <c r="E3673" s="856">
        <v>42414</v>
      </c>
      <c r="F3673" s="868" t="s">
        <v>637</v>
      </c>
      <c r="G3673" s="858" t="s">
        <v>1044</v>
      </c>
      <c r="H3673" s="859" t="s">
        <v>1312</v>
      </c>
      <c r="I3673" s="251">
        <v>438</v>
      </c>
      <c r="J3673" s="251">
        <v>5942</v>
      </c>
      <c r="K3673" s="860">
        <f t="shared" si="391"/>
        <v>2602596</v>
      </c>
      <c r="L3673" s="861" t="s">
        <v>160</v>
      </c>
      <c r="M3673" s="861" t="s">
        <v>857</v>
      </c>
      <c r="N3673" s="52" t="str">
        <f>IF(AND('331-CT'!$E$7=TH!H3673,OR(L3673="331",M3673="331")),"331",IF(AND(OR(L3673="131",M3673="131"),H3673='131-CT'!$E$7),"131",""))</f>
        <v/>
      </c>
      <c r="O3673" s="52" t="str">
        <f>IF(AND($B3673&gt;='111'!$N$11,$B3673&lt;='111'!$O$11,OR($L3673=$O$7,$M3673=$O$7)),"x","")</f>
        <v/>
      </c>
      <c r="P3673" s="52" t="str">
        <f>IF(AND($L3673=$O$7,$B3673&lt;'111'!$N$11),"x","")</f>
        <v/>
      </c>
      <c r="Q3673" s="52" t="str">
        <f>IF(AND($M3673=$O$7,$B3673&lt;'111'!$N$11),"x","")</f>
        <v/>
      </c>
      <c r="R3673" s="52" t="str">
        <f>IF(ISERROR(FIND('112'!$M$9,G3673,1)),"",IF((AND(FIND('112'!$M$9,G3673,1)&gt;=1,$B3673&gt;='112'!$N$8,$B3673&lt;='112'!$O$8,OR($L3673='112'!$I$6,$M3673='112'!$I$6))),"x",""))</f>
        <v/>
      </c>
      <c r="S3673" s="52" t="str">
        <f>IF(ISERROR(FIND('112'!$M$9,G3673,1)),"",IF((AND(LEFT(G3673,2)=LEFT('112'!$M$9,2),B3673&lt;'112'!$N$8,$L3673='112'!$I$6)),"x",""))</f>
        <v/>
      </c>
      <c r="T3673" s="52" t="str">
        <f>IF(ISERROR(FIND('112'!$M$9,G3673,1)),"",IF((AND(RIGHT(G3673,2)=RIGHT('112'!$M$9,2),B3673&lt;'112'!$N$8,$M3673='112'!$I$6)),"x",""))</f>
        <v/>
      </c>
      <c r="U3673" s="52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/>
      </c>
      <c r="AA3673" s="826"/>
      <c r="AB3673" s="576"/>
    </row>
    <row r="3674" spans="1:28" ht="15.75" customHeight="1">
      <c r="A3674" s="827" t="str">
        <f>IF(B3674&lt;&gt;"",IF(AND(B3674&gt;=_TM1,B3674&lt;=_TM2,OR(TH!L3674="1111",TH!M3674="1111")),TH!D3674,""),"")</f>
        <v/>
      </c>
      <c r="B3674" s="36">
        <f t="shared" si="389"/>
        <v>2</v>
      </c>
      <c r="C3674" s="190">
        <f t="shared" si="390"/>
        <v>42420</v>
      </c>
      <c r="D3674" s="856" t="s">
        <v>1664</v>
      </c>
      <c r="E3674" s="856">
        <v>42420</v>
      </c>
      <c r="F3674" s="868" t="s">
        <v>1178</v>
      </c>
      <c r="G3674" s="858" t="s">
        <v>1047</v>
      </c>
      <c r="H3674" s="859" t="s">
        <v>1312</v>
      </c>
      <c r="I3674" s="251">
        <v>850</v>
      </c>
      <c r="J3674" s="251">
        <v>30875</v>
      </c>
      <c r="K3674" s="860">
        <f t="shared" si="391"/>
        <v>26243750</v>
      </c>
      <c r="L3674" s="861" t="s">
        <v>160</v>
      </c>
      <c r="M3674" s="861" t="s">
        <v>857</v>
      </c>
      <c r="N3674" s="52" t="str">
        <f>IF(AND('331-CT'!$E$7=TH!H3674,OR(L3674="331",M3674="331")),"331",IF(AND(OR(L3674="131",M3674="131"),H3674='131-CT'!$E$7),"131",""))</f>
        <v/>
      </c>
      <c r="O3674" s="52" t="str">
        <f>IF(AND($B3674&gt;='111'!$N$11,$B3674&lt;='111'!$O$11,OR($L3674=$O$7,$M3674=$O$7)),"x","")</f>
        <v/>
      </c>
      <c r="P3674" s="52" t="str">
        <f>IF(AND($L3674=$O$7,$B3674&lt;'111'!$N$11),"x","")</f>
        <v/>
      </c>
      <c r="Q3674" s="52" t="str">
        <f>IF(AND($M3674=$O$7,$B3674&lt;'111'!$N$11),"x","")</f>
        <v/>
      </c>
      <c r="R3674" s="52" t="str">
        <f>IF(ISERROR(FIND('112'!$M$9,G3674,1)),"",IF((AND(FIND('112'!$M$9,G3674,1)&gt;=1,$B3674&gt;='112'!$N$8,$B3674&lt;='112'!$O$8,OR($L3674='112'!$I$6,$M3674='112'!$I$6))),"x",""))</f>
        <v/>
      </c>
      <c r="S3674" s="52" t="str">
        <f>IF(ISERROR(FIND('112'!$M$9,G3674,1)),"",IF((AND(LEFT(G3674,2)=LEFT('112'!$M$9,2),B3674&lt;'112'!$N$8,$L3674='112'!$I$6)),"x",""))</f>
        <v/>
      </c>
      <c r="T3674" s="52" t="str">
        <f>IF(ISERROR(FIND('112'!$M$9,G3674,1)),"",IF((AND(RIGHT(G3674,2)=RIGHT('112'!$M$9,2),B3674&lt;'112'!$N$8,$M3674='112'!$I$6)),"x",""))</f>
        <v/>
      </c>
      <c r="U3674" s="52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/>
      </c>
      <c r="AA3674" s="826"/>
      <c r="AB3674" s="576"/>
    </row>
    <row r="3675" spans="1:28" ht="15.75" customHeight="1">
      <c r="A3675" s="827" t="str">
        <f>IF(B3675&lt;&gt;"",IF(AND(B3675&gt;=_TM1,B3675&lt;=_TM2,OR(TH!L3675="1111",TH!M3675="1111")),TH!D3675,""),"")</f>
        <v/>
      </c>
      <c r="B3675" s="36">
        <f t="shared" si="389"/>
        <v>2</v>
      </c>
      <c r="C3675" s="190">
        <f t="shared" si="390"/>
        <v>42420</v>
      </c>
      <c r="D3675" s="856" t="s">
        <v>1664</v>
      </c>
      <c r="E3675" s="856">
        <v>42420</v>
      </c>
      <c r="F3675" s="868" t="s">
        <v>1179</v>
      </c>
      <c r="G3675" s="858" t="s">
        <v>1047</v>
      </c>
      <c r="H3675" s="859" t="s">
        <v>1312</v>
      </c>
      <c r="I3675" s="251">
        <v>850</v>
      </c>
      <c r="J3675" s="251">
        <v>31155</v>
      </c>
      <c r="K3675" s="860">
        <f t="shared" si="391"/>
        <v>26481750</v>
      </c>
      <c r="L3675" s="861" t="s">
        <v>160</v>
      </c>
      <c r="M3675" s="861" t="s">
        <v>857</v>
      </c>
      <c r="N3675" s="52" t="str">
        <f>IF(AND('331-CT'!$E$7=TH!H3675,OR(L3675="331",M3675="331")),"331",IF(AND(OR(L3675="131",M3675="131"),H3675='131-CT'!$E$7),"131",""))</f>
        <v/>
      </c>
      <c r="O3675" s="52" t="str">
        <f>IF(AND($B3675&gt;='111'!$N$11,$B3675&lt;='111'!$O$11,OR($L3675=$O$7,$M3675=$O$7)),"x","")</f>
        <v/>
      </c>
      <c r="P3675" s="52" t="str">
        <f>IF(AND($L3675=$O$7,$B3675&lt;'111'!$N$11),"x","")</f>
        <v/>
      </c>
      <c r="Q3675" s="52" t="str">
        <f>IF(AND($M3675=$O$7,$B3675&lt;'111'!$N$11),"x","")</f>
        <v/>
      </c>
      <c r="R3675" s="52" t="str">
        <f>IF(ISERROR(FIND('112'!$M$9,G3675,1)),"",IF((AND(FIND('112'!$M$9,G3675,1)&gt;=1,$B3675&gt;='112'!$N$8,$B3675&lt;='112'!$O$8,OR($L3675='112'!$I$6,$M3675='112'!$I$6))),"x",""))</f>
        <v/>
      </c>
      <c r="S3675" s="52" t="str">
        <f>IF(ISERROR(FIND('112'!$M$9,G3675,1)),"",IF((AND(LEFT(G3675,2)=LEFT('112'!$M$9,2),B3675&lt;'112'!$N$8,$L3675='112'!$I$6)),"x",""))</f>
        <v/>
      </c>
      <c r="T3675" s="52" t="str">
        <f>IF(ISERROR(FIND('112'!$M$9,G3675,1)),"",IF((AND(RIGHT(G3675,2)=RIGHT('112'!$M$9,2),B3675&lt;'112'!$N$8,$M3675='112'!$I$6)),"x",""))</f>
        <v/>
      </c>
      <c r="U3675" s="52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/>
      </c>
      <c r="AA3675" s="826"/>
      <c r="AB3675" s="576"/>
    </row>
    <row r="3676" spans="1:28" ht="15.75" customHeight="1">
      <c r="A3676" s="827" t="str">
        <f>IF(B3676&lt;&gt;"",IF(AND(B3676&gt;=_TM1,B3676&lt;=_TM2,OR(TH!L3676="1111",TH!M3676="1111")),TH!D3676,""),"")</f>
        <v/>
      </c>
      <c r="B3676" s="36">
        <f t="shared" si="389"/>
        <v>2</v>
      </c>
      <c r="C3676" s="190">
        <f t="shared" si="390"/>
        <v>42421</v>
      </c>
      <c r="D3676" s="856" t="s">
        <v>1664</v>
      </c>
      <c r="E3676" s="856">
        <v>42421</v>
      </c>
      <c r="F3676" s="868" t="s">
        <v>946</v>
      </c>
      <c r="G3676" s="858" t="s">
        <v>1048</v>
      </c>
      <c r="H3676" s="859" t="s">
        <v>1312</v>
      </c>
      <c r="I3676" s="251">
        <v>200</v>
      </c>
      <c r="J3676" s="251">
        <v>10355</v>
      </c>
      <c r="K3676" s="860">
        <f t="shared" si="391"/>
        <v>2071000</v>
      </c>
      <c r="L3676" s="861" t="s">
        <v>160</v>
      </c>
      <c r="M3676" s="861" t="s">
        <v>857</v>
      </c>
      <c r="N3676" s="52" t="str">
        <f>IF(AND('331-CT'!$E$7=TH!H3676,OR(L3676="331",M3676="331")),"331",IF(AND(OR(L3676="131",M3676="131"),H3676='131-CT'!$E$7),"131",""))</f>
        <v/>
      </c>
      <c r="O3676" s="52" t="str">
        <f>IF(AND($B3676&gt;='111'!$N$11,$B3676&lt;='111'!$O$11,OR($L3676=$O$7,$M3676=$O$7)),"x","")</f>
        <v/>
      </c>
      <c r="P3676" s="52" t="str">
        <f>IF(AND($L3676=$O$7,$B3676&lt;'111'!$N$11),"x","")</f>
        <v/>
      </c>
      <c r="Q3676" s="52" t="str">
        <f>IF(AND($M3676=$O$7,$B3676&lt;'111'!$N$11),"x","")</f>
        <v/>
      </c>
      <c r="R3676" s="52" t="str">
        <f>IF(ISERROR(FIND('112'!$M$9,G3676,1)),"",IF((AND(FIND('112'!$M$9,G3676,1)&gt;=1,$B3676&gt;='112'!$N$8,$B3676&lt;='112'!$O$8,OR($L3676='112'!$I$6,$M3676='112'!$I$6))),"x",""))</f>
        <v/>
      </c>
      <c r="S3676" s="52" t="str">
        <f>IF(ISERROR(FIND('112'!$M$9,G3676,1)),"",IF((AND(LEFT(G3676,2)=LEFT('112'!$M$9,2),B3676&lt;'112'!$N$8,$L3676='112'!$I$6)),"x",""))</f>
        <v/>
      </c>
      <c r="T3676" s="52" t="str">
        <f>IF(ISERROR(FIND('112'!$M$9,G3676,1)),"",IF((AND(RIGHT(G3676,2)=RIGHT('112'!$M$9,2),B3676&lt;'112'!$N$8,$M3676='112'!$I$6)),"x",""))</f>
        <v/>
      </c>
      <c r="U3676" s="52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/>
      </c>
      <c r="AA3676" s="826"/>
      <c r="AB3676" s="576"/>
    </row>
    <row r="3677" spans="1:28" ht="15.75" customHeight="1">
      <c r="A3677" s="827" t="str">
        <f>IF(B3677&lt;&gt;"",IF(AND(B3677&gt;=_TM1,B3677&lt;=_TM2,OR(TH!L3677="1111",TH!M3677="1111")),TH!D3677,""),"")</f>
        <v/>
      </c>
      <c r="B3677" s="36">
        <f t="shared" si="389"/>
        <v>2</v>
      </c>
      <c r="C3677" s="190">
        <f t="shared" si="390"/>
        <v>42424</v>
      </c>
      <c r="D3677" s="856" t="s">
        <v>1664</v>
      </c>
      <c r="E3677" s="856">
        <v>42424</v>
      </c>
      <c r="F3677" s="868" t="s">
        <v>954</v>
      </c>
      <c r="G3677" s="858" t="s">
        <v>1049</v>
      </c>
      <c r="H3677" s="859" t="s">
        <v>1312</v>
      </c>
      <c r="I3677" s="251">
        <v>500</v>
      </c>
      <c r="J3677" s="251">
        <v>17334</v>
      </c>
      <c r="K3677" s="860">
        <f t="shared" si="391"/>
        <v>8667000</v>
      </c>
      <c r="L3677" s="861" t="s">
        <v>160</v>
      </c>
      <c r="M3677" s="861" t="s">
        <v>857</v>
      </c>
      <c r="N3677" s="52" t="str">
        <f>IF(AND('331-CT'!$E$7=TH!H3677,OR(L3677="331",M3677="331")),"331",IF(AND(OR(L3677="131",M3677="131"),H3677='131-CT'!$E$7),"131",""))</f>
        <v/>
      </c>
      <c r="O3677" s="52" t="str">
        <f>IF(AND($B3677&gt;='111'!$N$11,$B3677&lt;='111'!$O$11,OR($L3677=$O$7,$M3677=$O$7)),"x","")</f>
        <v/>
      </c>
      <c r="P3677" s="52" t="str">
        <f>IF(AND($L3677=$O$7,$B3677&lt;'111'!$N$11),"x","")</f>
        <v/>
      </c>
      <c r="Q3677" s="52" t="str">
        <f>IF(AND($M3677=$O$7,$B3677&lt;'111'!$N$11),"x","")</f>
        <v/>
      </c>
      <c r="R3677" s="52" t="str">
        <f>IF(ISERROR(FIND('112'!$M$9,G3677,1)),"",IF((AND(FIND('112'!$M$9,G3677,1)&gt;=1,$B3677&gt;='112'!$N$8,$B3677&lt;='112'!$O$8,OR($L3677='112'!$I$6,$M3677='112'!$I$6))),"x",""))</f>
        <v/>
      </c>
      <c r="S3677" s="52" t="str">
        <f>IF(ISERROR(FIND('112'!$M$9,G3677,1)),"",IF((AND(LEFT(G3677,2)=LEFT('112'!$M$9,2),B3677&lt;'112'!$N$8,$L3677='112'!$I$6)),"x",""))</f>
        <v/>
      </c>
      <c r="T3677" s="52" t="str">
        <f>IF(ISERROR(FIND('112'!$M$9,G3677,1)),"",IF((AND(RIGHT(G3677,2)=RIGHT('112'!$M$9,2),B3677&lt;'112'!$N$8,$M3677='112'!$I$6)),"x",""))</f>
        <v/>
      </c>
      <c r="U3677" s="52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/>
      </c>
      <c r="AA3677" s="826"/>
      <c r="AB3677" s="576"/>
    </row>
    <row r="3678" spans="1:28" ht="15.75" customHeight="1">
      <c r="A3678" s="827" t="str">
        <f>IF(B3678&lt;&gt;"",IF(AND(B3678&gt;=_TM1,B3678&lt;=_TM2,OR(TH!L3678="1111",TH!M3678="1111")),TH!D3678,""),"")</f>
        <v/>
      </c>
      <c r="B3678" s="36">
        <f t="shared" si="389"/>
        <v>2</v>
      </c>
      <c r="C3678" s="190">
        <f t="shared" si="390"/>
        <v>42425</v>
      </c>
      <c r="D3678" s="856" t="s">
        <v>1664</v>
      </c>
      <c r="E3678" s="856">
        <v>42425</v>
      </c>
      <c r="F3678" s="868" t="s">
        <v>659</v>
      </c>
      <c r="G3678" s="858" t="s">
        <v>1053</v>
      </c>
      <c r="H3678" s="859" t="s">
        <v>1312</v>
      </c>
      <c r="I3678" s="251">
        <v>1000</v>
      </c>
      <c r="J3678" s="251">
        <v>8771</v>
      </c>
      <c r="K3678" s="860">
        <f t="shared" si="391"/>
        <v>8771000</v>
      </c>
      <c r="L3678" s="861" t="s">
        <v>160</v>
      </c>
      <c r="M3678" s="861" t="s">
        <v>857</v>
      </c>
      <c r="N3678" s="52" t="str">
        <f>IF(AND('331-CT'!$E$7=TH!H3678,OR(L3678="331",M3678="331")),"331",IF(AND(OR(L3678="131",M3678="131"),H3678='131-CT'!$E$7),"131",""))</f>
        <v/>
      </c>
      <c r="O3678" s="52" t="str">
        <f>IF(AND($B3678&gt;='111'!$N$11,$B3678&lt;='111'!$O$11,OR($L3678=$O$7,$M3678=$O$7)),"x","")</f>
        <v/>
      </c>
      <c r="P3678" s="52" t="str">
        <f>IF(AND($L3678=$O$7,$B3678&lt;'111'!$N$11),"x","")</f>
        <v/>
      </c>
      <c r="Q3678" s="52" t="str">
        <f>IF(AND($M3678=$O$7,$B3678&lt;'111'!$N$11),"x","")</f>
        <v/>
      </c>
      <c r="R3678" s="52" t="str">
        <f>IF(ISERROR(FIND('112'!$M$9,G3678,1)),"",IF((AND(FIND('112'!$M$9,G3678,1)&gt;=1,$B3678&gt;='112'!$N$8,$B3678&lt;='112'!$O$8,OR($L3678='112'!$I$6,$M3678='112'!$I$6))),"x",""))</f>
        <v/>
      </c>
      <c r="S3678" s="52" t="str">
        <f>IF(ISERROR(FIND('112'!$M$9,G3678,1)),"",IF((AND(LEFT(G3678,2)=LEFT('112'!$M$9,2),B3678&lt;'112'!$N$8,$L3678='112'!$I$6)),"x",""))</f>
        <v/>
      </c>
      <c r="T3678" s="52" t="str">
        <f>IF(ISERROR(FIND('112'!$M$9,G3678,1)),"",IF((AND(RIGHT(G3678,2)=RIGHT('112'!$M$9,2),B3678&lt;'112'!$N$8,$M3678='112'!$I$6)),"x",""))</f>
        <v/>
      </c>
      <c r="U3678" s="52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/>
      </c>
      <c r="AA3678" s="826"/>
      <c r="AB3678" s="576"/>
    </row>
    <row r="3679" spans="1:28" ht="15.75" customHeight="1">
      <c r="A3679" s="827" t="str">
        <f>IF(B3679&lt;&gt;"",IF(AND(B3679&gt;=_TM1,B3679&lt;=_TM2,OR(TH!L3679="1111",TH!M3679="1111")),TH!D3679,""),"")</f>
        <v/>
      </c>
      <c r="B3679" s="36">
        <f t="shared" si="389"/>
        <v>2</v>
      </c>
      <c r="C3679" s="190">
        <f t="shared" si="390"/>
        <v>42427</v>
      </c>
      <c r="D3679" s="856" t="s">
        <v>1664</v>
      </c>
      <c r="E3679" s="856">
        <v>42427</v>
      </c>
      <c r="F3679" s="868" t="s">
        <v>542</v>
      </c>
      <c r="G3679" s="858" t="s">
        <v>1054</v>
      </c>
      <c r="H3679" s="859" t="s">
        <v>1312</v>
      </c>
      <c r="I3679" s="251">
        <v>180</v>
      </c>
      <c r="J3679" s="251">
        <v>37996</v>
      </c>
      <c r="K3679" s="860">
        <f t="shared" si="391"/>
        <v>6839280</v>
      </c>
      <c r="L3679" s="861" t="s">
        <v>160</v>
      </c>
      <c r="M3679" s="861" t="s">
        <v>857</v>
      </c>
      <c r="N3679" s="52" t="str">
        <f>IF(AND('331-CT'!$E$7=TH!H3679,OR(L3679="331",M3679="331")),"331",IF(AND(OR(L3679="131",M3679="131"),H3679='131-CT'!$E$7),"131",""))</f>
        <v/>
      </c>
      <c r="O3679" s="52" t="str">
        <f>IF(AND($B3679&gt;='111'!$N$11,$B3679&lt;='111'!$O$11,OR($L3679=$O$7,$M3679=$O$7)),"x","")</f>
        <v/>
      </c>
      <c r="P3679" s="52" t="str">
        <f>IF(AND($L3679=$O$7,$B3679&lt;'111'!$N$11),"x","")</f>
        <v/>
      </c>
      <c r="Q3679" s="52" t="str">
        <f>IF(AND($M3679=$O$7,$B3679&lt;'111'!$N$11),"x","")</f>
        <v/>
      </c>
      <c r="R3679" s="52" t="str">
        <f>IF(ISERROR(FIND('112'!$M$9,G3679,1)),"",IF((AND(FIND('112'!$M$9,G3679,1)&gt;=1,$B3679&gt;='112'!$N$8,$B3679&lt;='112'!$O$8,OR($L3679='112'!$I$6,$M3679='112'!$I$6))),"x",""))</f>
        <v/>
      </c>
      <c r="S3679" s="52" t="str">
        <f>IF(ISERROR(FIND('112'!$M$9,G3679,1)),"",IF((AND(LEFT(G3679,2)=LEFT('112'!$M$9,2),B3679&lt;'112'!$N$8,$L3679='112'!$I$6)),"x",""))</f>
        <v/>
      </c>
      <c r="T3679" s="52" t="str">
        <f>IF(ISERROR(FIND('112'!$M$9,G3679,1)),"",IF((AND(RIGHT(G3679,2)=RIGHT('112'!$M$9,2),B3679&lt;'112'!$N$8,$M3679='112'!$I$6)),"x",""))</f>
        <v/>
      </c>
      <c r="U3679" s="52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/>
      </c>
      <c r="AA3679" s="826"/>
      <c r="AB3679" s="576"/>
    </row>
    <row r="3680" spans="1:28" ht="15.75" customHeight="1">
      <c r="A3680" s="827" t="str">
        <f>IF(B3680&lt;&gt;"",IF(AND(B3680&gt;=_TM1,B3680&lt;=_TM2,OR(TH!L3680="1111",TH!M3680="1111")),TH!D3680,""),"")</f>
        <v/>
      </c>
      <c r="B3680" s="36">
        <f t="shared" si="389"/>
        <v>2</v>
      </c>
      <c r="C3680" s="190">
        <f t="shared" si="390"/>
        <v>42427</v>
      </c>
      <c r="D3680" s="856" t="s">
        <v>1664</v>
      </c>
      <c r="E3680" s="856">
        <v>42427</v>
      </c>
      <c r="F3680" s="868" t="s">
        <v>1014</v>
      </c>
      <c r="G3680" s="858" t="s">
        <v>1054</v>
      </c>
      <c r="H3680" s="859" t="s">
        <v>1312</v>
      </c>
      <c r="I3680" s="251">
        <v>200</v>
      </c>
      <c r="J3680" s="251">
        <v>56265</v>
      </c>
      <c r="K3680" s="860">
        <f t="shared" si="391"/>
        <v>11253000</v>
      </c>
      <c r="L3680" s="861" t="s">
        <v>160</v>
      </c>
      <c r="M3680" s="861" t="s">
        <v>857</v>
      </c>
      <c r="N3680" s="52" t="str">
        <f>IF(AND('331-CT'!$E$7=TH!H3680,OR(L3680="331",M3680="331")),"331",IF(AND(OR(L3680="131",M3680="131"),H3680='131-CT'!$E$7),"131",""))</f>
        <v/>
      </c>
      <c r="O3680" s="52" t="str">
        <f>IF(AND($B3680&gt;='111'!$N$11,$B3680&lt;='111'!$O$11,OR($L3680=$O$7,$M3680=$O$7)),"x","")</f>
        <v/>
      </c>
      <c r="P3680" s="52" t="str">
        <f>IF(AND($L3680=$O$7,$B3680&lt;'111'!$N$11),"x","")</f>
        <v/>
      </c>
      <c r="Q3680" s="52" t="str">
        <f>IF(AND($M3680=$O$7,$B3680&lt;'111'!$N$11),"x","")</f>
        <v/>
      </c>
      <c r="R3680" s="52" t="str">
        <f>IF(ISERROR(FIND('112'!$M$9,G3680,1)),"",IF((AND(FIND('112'!$M$9,G3680,1)&gt;=1,$B3680&gt;='112'!$N$8,$B3680&lt;='112'!$O$8,OR($L3680='112'!$I$6,$M3680='112'!$I$6))),"x",""))</f>
        <v/>
      </c>
      <c r="S3680" s="52" t="str">
        <f>IF(ISERROR(FIND('112'!$M$9,G3680,1)),"",IF((AND(LEFT(G3680,2)=LEFT('112'!$M$9,2),B3680&lt;'112'!$N$8,$L3680='112'!$I$6)),"x",""))</f>
        <v/>
      </c>
      <c r="T3680" s="52" t="str">
        <f>IF(ISERROR(FIND('112'!$M$9,G3680,1)),"",IF((AND(RIGHT(G3680,2)=RIGHT('112'!$M$9,2),B3680&lt;'112'!$N$8,$M3680='112'!$I$6)),"x",""))</f>
        <v/>
      </c>
      <c r="U3680" s="52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/>
      </c>
      <c r="AA3680" s="826"/>
      <c r="AB3680" s="576"/>
    </row>
    <row r="3681" spans="1:28" ht="15.75" customHeight="1">
      <c r="A3681" s="827" t="str">
        <f>IF(B3681&lt;&gt;"",IF(AND(B3681&gt;=_TM1,B3681&lt;=_TM2,OR(TH!L3681="1111",TH!M3681="1111")),TH!D3681,""),"")</f>
        <v/>
      </c>
      <c r="B3681" s="36">
        <f t="shared" si="389"/>
        <v>3</v>
      </c>
      <c r="C3681" s="190">
        <f t="shared" si="390"/>
        <v>42434</v>
      </c>
      <c r="D3681" s="856" t="s">
        <v>1664</v>
      </c>
      <c r="E3681" s="856">
        <v>42434</v>
      </c>
      <c r="F3681" s="868" t="s">
        <v>939</v>
      </c>
      <c r="G3681" s="858" t="s">
        <v>1059</v>
      </c>
      <c r="H3681" s="859" t="s">
        <v>1312</v>
      </c>
      <c r="I3681" s="251">
        <v>685</v>
      </c>
      <c r="J3681" s="251">
        <v>14572</v>
      </c>
      <c r="K3681" s="860">
        <f t="shared" si="391"/>
        <v>9981820</v>
      </c>
      <c r="L3681" s="861" t="s">
        <v>160</v>
      </c>
      <c r="M3681" s="861" t="s">
        <v>857</v>
      </c>
      <c r="N3681" s="52" t="str">
        <f>IF(AND('331-CT'!$E$7=TH!H3681,OR(L3681="331",M3681="331")),"331",IF(AND(OR(L3681="131",M3681="131"),H3681='131-CT'!$E$7),"131",""))</f>
        <v/>
      </c>
      <c r="O3681" s="52" t="str">
        <f>IF(AND($B3681&gt;='111'!$N$11,$B3681&lt;='111'!$O$11,OR($L3681=$O$7,$M3681=$O$7)),"x","")</f>
        <v/>
      </c>
      <c r="P3681" s="52" t="str">
        <f>IF(AND($L3681=$O$7,$B3681&lt;'111'!$N$11),"x","")</f>
        <v/>
      </c>
      <c r="Q3681" s="52" t="str">
        <f>IF(AND($M3681=$O$7,$B3681&lt;'111'!$N$11),"x","")</f>
        <v/>
      </c>
      <c r="R3681" s="52" t="str">
        <f>IF(ISERROR(FIND('112'!$M$9,G3681,1)),"",IF((AND(FIND('112'!$M$9,G3681,1)&gt;=1,$B3681&gt;='112'!$N$8,$B3681&lt;='112'!$O$8,OR($L3681='112'!$I$6,$M3681='112'!$I$6))),"x",""))</f>
        <v/>
      </c>
      <c r="S3681" s="52" t="str">
        <f>IF(ISERROR(FIND('112'!$M$9,G3681,1)),"",IF((AND(LEFT(G3681,2)=LEFT('112'!$M$9,2),B3681&lt;'112'!$N$8,$L3681='112'!$I$6)),"x",""))</f>
        <v/>
      </c>
      <c r="T3681" s="52" t="str">
        <f>IF(ISERROR(FIND('112'!$M$9,G3681,1)),"",IF((AND(RIGHT(G3681,2)=RIGHT('112'!$M$9,2),B3681&lt;'112'!$N$8,$M3681='112'!$I$6)),"x",""))</f>
        <v/>
      </c>
      <c r="U3681" s="52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/>
      </c>
      <c r="AA3681" s="826"/>
      <c r="AB3681" s="576"/>
    </row>
    <row r="3682" spans="1:28" ht="15.75" customHeight="1">
      <c r="A3682" s="827" t="str">
        <f>IF(B3682&lt;&gt;"",IF(AND(B3682&gt;=_TM1,B3682&lt;=_TM2,OR(TH!L3682="1111",TH!M3682="1111")),TH!D3682,""),"")</f>
        <v/>
      </c>
      <c r="B3682" s="36">
        <f t="shared" si="389"/>
        <v>3</v>
      </c>
      <c r="C3682" s="190">
        <f t="shared" si="390"/>
        <v>42438</v>
      </c>
      <c r="D3682" s="856" t="s">
        <v>1664</v>
      </c>
      <c r="E3682" s="856">
        <v>42438</v>
      </c>
      <c r="F3682" s="49" t="s">
        <v>637</v>
      </c>
      <c r="G3682" s="858" t="s">
        <v>1066</v>
      </c>
      <c r="H3682" s="859" t="s">
        <v>1312</v>
      </c>
      <c r="I3682" s="251">
        <v>308</v>
      </c>
      <c r="J3682" s="251">
        <v>5942</v>
      </c>
      <c r="K3682" s="860">
        <f t="shared" si="391"/>
        <v>1830136</v>
      </c>
      <c r="L3682" s="861" t="s">
        <v>160</v>
      </c>
      <c r="M3682" s="861" t="s">
        <v>857</v>
      </c>
      <c r="N3682" s="52" t="str">
        <f>IF(AND('331-CT'!$E$7=TH!H3682,OR(L3682="331",M3682="331")),"331",IF(AND(OR(L3682="131",M3682="131"),H3682='131-CT'!$E$7),"131",""))</f>
        <v/>
      </c>
      <c r="O3682" s="52" t="str">
        <f>IF(AND($B3682&gt;='111'!$N$11,$B3682&lt;='111'!$O$11,OR($L3682=$O$7,$M3682=$O$7)),"x","")</f>
        <v/>
      </c>
      <c r="P3682" s="52" t="str">
        <f>IF(AND($L3682=$O$7,$B3682&lt;'111'!$N$11),"x","")</f>
        <v/>
      </c>
      <c r="Q3682" s="52" t="str">
        <f>IF(AND($M3682=$O$7,$B3682&lt;'111'!$N$11),"x","")</f>
        <v/>
      </c>
      <c r="R3682" s="52" t="str">
        <f>IF(ISERROR(FIND('112'!$M$9,G3682,1)),"",IF((AND(FIND('112'!$M$9,G3682,1)&gt;=1,$B3682&gt;='112'!$N$8,$B3682&lt;='112'!$O$8,OR($L3682='112'!$I$6,$M3682='112'!$I$6))),"x",""))</f>
        <v/>
      </c>
      <c r="S3682" s="52" t="str">
        <f>IF(ISERROR(FIND('112'!$M$9,G3682,1)),"",IF((AND(LEFT(G3682,2)=LEFT('112'!$M$9,2),B3682&lt;'112'!$N$8,$L3682='112'!$I$6)),"x",""))</f>
        <v/>
      </c>
      <c r="T3682" s="52" t="str">
        <f>IF(ISERROR(FIND('112'!$M$9,G3682,1)),"",IF((AND(RIGHT(G3682,2)=RIGHT('112'!$M$9,2),B3682&lt;'112'!$N$8,$M3682='112'!$I$6)),"x",""))</f>
        <v/>
      </c>
      <c r="U3682" s="52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/>
      </c>
      <c r="AA3682" s="826"/>
      <c r="AB3682" s="576"/>
    </row>
    <row r="3683" spans="1:28" ht="15.75" customHeight="1">
      <c r="A3683" s="827" t="str">
        <f>IF(B3683&lt;&gt;"",IF(AND(B3683&gt;=_TM1,B3683&lt;=_TM2,OR(TH!L3683="1111",TH!M3683="1111")),TH!D3683,""),"")</f>
        <v/>
      </c>
      <c r="B3683" s="36">
        <f t="shared" si="389"/>
        <v>3</v>
      </c>
      <c r="C3683" s="190">
        <f t="shared" si="390"/>
        <v>42440</v>
      </c>
      <c r="D3683" s="856" t="s">
        <v>1664</v>
      </c>
      <c r="E3683" s="856">
        <v>42440</v>
      </c>
      <c r="F3683" s="868" t="s">
        <v>655</v>
      </c>
      <c r="G3683" s="858" t="s">
        <v>1067</v>
      </c>
      <c r="H3683" s="859" t="s">
        <v>1312</v>
      </c>
      <c r="I3683" s="251">
        <v>641</v>
      </c>
      <c r="J3683" s="251">
        <v>6552</v>
      </c>
      <c r="K3683" s="860">
        <f t="shared" si="391"/>
        <v>4199832</v>
      </c>
      <c r="L3683" s="861" t="s">
        <v>160</v>
      </c>
      <c r="M3683" s="861" t="s">
        <v>857</v>
      </c>
      <c r="N3683" s="52" t="str">
        <f>IF(AND('331-CT'!$E$7=TH!H3683,OR(L3683="331",M3683="331")),"331",IF(AND(OR(L3683="131",M3683="131"),H3683='131-CT'!$E$7),"131",""))</f>
        <v/>
      </c>
      <c r="O3683" s="52" t="str">
        <f>IF(AND($B3683&gt;='111'!$N$11,$B3683&lt;='111'!$O$11,OR($L3683=$O$7,$M3683=$O$7)),"x","")</f>
        <v/>
      </c>
      <c r="P3683" s="52" t="str">
        <f>IF(AND($L3683=$O$7,$B3683&lt;'111'!$N$11),"x","")</f>
        <v/>
      </c>
      <c r="Q3683" s="52" t="str">
        <f>IF(AND($M3683=$O$7,$B3683&lt;'111'!$N$11),"x","")</f>
        <v/>
      </c>
      <c r="R3683" s="52" t="str">
        <f>IF(ISERROR(FIND('112'!$M$9,G3683,1)),"",IF((AND(FIND('112'!$M$9,G3683,1)&gt;=1,$B3683&gt;='112'!$N$8,$B3683&lt;='112'!$O$8,OR($L3683='112'!$I$6,$M3683='112'!$I$6))),"x",""))</f>
        <v/>
      </c>
      <c r="S3683" s="52" t="str">
        <f>IF(ISERROR(FIND('112'!$M$9,G3683,1)),"",IF((AND(LEFT(G3683,2)=LEFT('112'!$M$9,2),B3683&lt;'112'!$N$8,$L3683='112'!$I$6)),"x",""))</f>
        <v/>
      </c>
      <c r="T3683" s="52" t="str">
        <f>IF(ISERROR(FIND('112'!$M$9,G3683,1)),"",IF((AND(RIGHT(G3683,2)=RIGHT('112'!$M$9,2),B3683&lt;'112'!$N$8,$M3683='112'!$I$6)),"x",""))</f>
        <v/>
      </c>
      <c r="U3683" s="52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/>
      </c>
      <c r="AA3683" s="826"/>
      <c r="AB3683" s="576"/>
    </row>
    <row r="3684" spans="1:28" ht="15.75" customHeight="1">
      <c r="A3684" s="827" t="str">
        <f>IF(B3684&lt;&gt;"",IF(AND(B3684&gt;=_TM1,B3684&lt;=_TM2,OR(TH!L3684="1111",TH!M3684="1111")),TH!D3684,""),"")</f>
        <v/>
      </c>
      <c r="B3684" s="36">
        <f t="shared" ref="B3684:B3746" si="484">IF(C3684&lt;&gt;"",MONTH(C3684),"")</f>
        <v>3</v>
      </c>
      <c r="C3684" s="190">
        <f t="shared" si="390"/>
        <v>42440</v>
      </c>
      <c r="D3684" s="856" t="s">
        <v>1664</v>
      </c>
      <c r="E3684" s="856">
        <v>42440</v>
      </c>
      <c r="F3684" s="868" t="s">
        <v>766</v>
      </c>
      <c r="G3684" s="858" t="s">
        <v>1068</v>
      </c>
      <c r="H3684" s="859" t="s">
        <v>1312</v>
      </c>
      <c r="I3684" s="251">
        <v>400</v>
      </c>
      <c r="J3684" s="251">
        <v>12919</v>
      </c>
      <c r="K3684" s="860">
        <f t="shared" si="391"/>
        <v>5167600</v>
      </c>
      <c r="L3684" s="861" t="s">
        <v>160</v>
      </c>
      <c r="M3684" s="861" t="s">
        <v>857</v>
      </c>
      <c r="N3684" s="52" t="str">
        <f>IF(AND('331-CT'!$E$7=TH!H3684,OR(L3684="331",M3684="331")),"331",IF(AND(OR(L3684="131",M3684="131"),H3684='131-CT'!$E$7),"131",""))</f>
        <v/>
      </c>
      <c r="O3684" s="52" t="str">
        <f>IF(AND($B3684&gt;='111'!$N$11,$B3684&lt;='111'!$O$11,OR($L3684=$O$7,$M3684=$O$7)),"x","")</f>
        <v/>
      </c>
      <c r="P3684" s="52" t="str">
        <f>IF(AND($L3684=$O$7,$B3684&lt;'111'!$N$11),"x","")</f>
        <v/>
      </c>
      <c r="Q3684" s="52" t="str">
        <f>IF(AND($M3684=$O$7,$B3684&lt;'111'!$N$11),"x","")</f>
        <v/>
      </c>
      <c r="R3684" s="52" t="str">
        <f>IF(ISERROR(FIND('112'!$M$9,G3684,1)),"",IF((AND(FIND('112'!$M$9,G3684,1)&gt;=1,$B3684&gt;='112'!$N$8,$B3684&lt;='112'!$O$8,OR($L3684='112'!$I$6,$M3684='112'!$I$6))),"x",""))</f>
        <v/>
      </c>
      <c r="S3684" s="52" t="str">
        <f>IF(ISERROR(FIND('112'!$M$9,G3684,1)),"",IF((AND(LEFT(G3684,2)=LEFT('112'!$M$9,2),B3684&lt;'112'!$N$8,$L3684='112'!$I$6)),"x",""))</f>
        <v/>
      </c>
      <c r="T3684" s="52" t="str">
        <f>IF(ISERROR(FIND('112'!$M$9,G3684,1)),"",IF((AND(RIGHT(G3684,2)=RIGHT('112'!$M$9,2),B3684&lt;'112'!$N$8,$M3684='112'!$I$6)),"x",""))</f>
        <v/>
      </c>
      <c r="U3684" s="52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/>
      </c>
      <c r="AA3684" s="826"/>
      <c r="AB3684" s="576"/>
    </row>
    <row r="3685" spans="1:28" ht="15.75" customHeight="1">
      <c r="A3685" s="827" t="str">
        <f>IF(B3685&lt;&gt;"",IF(AND(B3685&gt;=_TM1,B3685&lt;=_TM2,OR(TH!L3685="1111",TH!M3685="1111")),TH!D3685,""),"")</f>
        <v/>
      </c>
      <c r="B3685" s="36">
        <f t="shared" si="484"/>
        <v>3</v>
      </c>
      <c r="C3685" s="190">
        <f t="shared" si="390"/>
        <v>42447</v>
      </c>
      <c r="D3685" s="856" t="s">
        <v>1664</v>
      </c>
      <c r="E3685" s="856">
        <v>42447</v>
      </c>
      <c r="F3685" s="868" t="s">
        <v>1178</v>
      </c>
      <c r="G3685" s="858" t="s">
        <v>1072</v>
      </c>
      <c r="H3685" s="859" t="s">
        <v>1312</v>
      </c>
      <c r="I3685" s="251">
        <v>950</v>
      </c>
      <c r="J3685" s="251">
        <v>30875</v>
      </c>
      <c r="K3685" s="860">
        <f t="shared" si="391"/>
        <v>29331250</v>
      </c>
      <c r="L3685" s="861" t="s">
        <v>160</v>
      </c>
      <c r="M3685" s="861" t="s">
        <v>857</v>
      </c>
      <c r="N3685" s="52" t="str">
        <f>IF(AND('331-CT'!$E$7=TH!H3685,OR(L3685="331",M3685="331")),"331",IF(AND(OR(L3685="131",M3685="131"),H3685='131-CT'!$E$7),"131",""))</f>
        <v/>
      </c>
      <c r="O3685" s="52" t="str">
        <f>IF(AND($B3685&gt;='111'!$N$11,$B3685&lt;='111'!$O$11,OR($L3685=$O$7,$M3685=$O$7)),"x","")</f>
        <v/>
      </c>
      <c r="P3685" s="52" t="str">
        <f>IF(AND($L3685=$O$7,$B3685&lt;'111'!$N$11),"x","")</f>
        <v/>
      </c>
      <c r="Q3685" s="52" t="str">
        <f>IF(AND($M3685=$O$7,$B3685&lt;'111'!$N$11),"x","")</f>
        <v/>
      </c>
      <c r="R3685" s="52" t="str">
        <f>IF(ISERROR(FIND('112'!$M$9,G3685,1)),"",IF((AND(FIND('112'!$M$9,G3685,1)&gt;=1,$B3685&gt;='112'!$N$8,$B3685&lt;='112'!$O$8,OR($L3685='112'!$I$6,$M3685='112'!$I$6))),"x",""))</f>
        <v/>
      </c>
      <c r="S3685" s="52" t="str">
        <f>IF(ISERROR(FIND('112'!$M$9,G3685,1)),"",IF((AND(LEFT(G3685,2)=LEFT('112'!$M$9,2),B3685&lt;'112'!$N$8,$L3685='112'!$I$6)),"x",""))</f>
        <v/>
      </c>
      <c r="T3685" s="52" t="str">
        <f>IF(ISERROR(FIND('112'!$M$9,G3685,1)),"",IF((AND(RIGHT(G3685,2)=RIGHT('112'!$M$9,2),B3685&lt;'112'!$N$8,$M3685='112'!$I$6)),"x",""))</f>
        <v/>
      </c>
      <c r="U3685" s="52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/>
      </c>
      <c r="AA3685" s="826"/>
      <c r="AB3685" s="576"/>
    </row>
    <row r="3686" spans="1:28" ht="15.75" customHeight="1">
      <c r="A3686" s="827" t="str">
        <f>IF(B3686&lt;&gt;"",IF(AND(B3686&gt;=_TM1,B3686&lt;=_TM2,OR(TH!L3686="1111",TH!M3686="1111")),TH!D3686,""),"")</f>
        <v/>
      </c>
      <c r="B3686" s="36">
        <f t="shared" si="484"/>
        <v>3</v>
      </c>
      <c r="C3686" s="190">
        <f t="shared" si="390"/>
        <v>42447</v>
      </c>
      <c r="D3686" s="856" t="s">
        <v>1664</v>
      </c>
      <c r="E3686" s="856">
        <v>42447</v>
      </c>
      <c r="F3686" s="868" t="s">
        <v>1179</v>
      </c>
      <c r="G3686" s="858" t="s">
        <v>1072</v>
      </c>
      <c r="H3686" s="859" t="s">
        <v>1312</v>
      </c>
      <c r="I3686" s="862">
        <v>950</v>
      </c>
      <c r="J3686" s="862">
        <v>31155</v>
      </c>
      <c r="K3686" s="860">
        <f t="shared" si="391"/>
        <v>29597250</v>
      </c>
      <c r="L3686" s="861" t="s">
        <v>160</v>
      </c>
      <c r="M3686" s="861" t="s">
        <v>857</v>
      </c>
      <c r="N3686" s="52" t="str">
        <f>IF(AND('331-CT'!$E$7=TH!H3686,OR(L3686="331",M3686="331")),"331",IF(AND(OR(L3686="131",M3686="131"),H3686='131-CT'!$E$7),"131",""))</f>
        <v/>
      </c>
      <c r="O3686" s="52" t="str">
        <f>IF(AND($B3686&gt;='111'!$N$11,$B3686&lt;='111'!$O$11,OR($L3686=$O$7,$M3686=$O$7)),"x","")</f>
        <v/>
      </c>
      <c r="P3686" s="52" t="str">
        <f>IF(AND($L3686=$O$7,$B3686&lt;'111'!$N$11),"x","")</f>
        <v/>
      </c>
      <c r="Q3686" s="52" t="str">
        <f>IF(AND($M3686=$O$7,$B3686&lt;'111'!$N$11),"x","")</f>
        <v/>
      </c>
      <c r="R3686" s="52" t="str">
        <f>IF(ISERROR(FIND('112'!$M$9,G3686,1)),"",IF((AND(FIND('112'!$M$9,G3686,1)&gt;=1,$B3686&gt;='112'!$N$8,$B3686&lt;='112'!$O$8,OR($L3686='112'!$I$6,$M3686='112'!$I$6))),"x",""))</f>
        <v/>
      </c>
      <c r="S3686" s="52" t="str">
        <f>IF(ISERROR(FIND('112'!$M$9,G3686,1)),"",IF((AND(LEFT(G3686,2)=LEFT('112'!$M$9,2),B3686&lt;'112'!$N$8,$L3686='112'!$I$6)),"x",""))</f>
        <v/>
      </c>
      <c r="T3686" s="52" t="str">
        <f>IF(ISERROR(FIND('112'!$M$9,G3686,1)),"",IF((AND(RIGHT(G3686,2)=RIGHT('112'!$M$9,2),B3686&lt;'112'!$N$8,$M3686='112'!$I$6)),"x",""))</f>
        <v/>
      </c>
      <c r="U3686" s="52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/>
      </c>
      <c r="AA3686" s="826"/>
      <c r="AB3686" s="576"/>
    </row>
    <row r="3687" spans="1:28" ht="15.75" customHeight="1">
      <c r="A3687" s="827" t="str">
        <f>IF(B3687&lt;&gt;"",IF(AND(B3687&gt;=_TM1,B3687&lt;=_TM2,OR(TH!L3687="1111",TH!M3687="1111")),TH!D3687,""),"")</f>
        <v/>
      </c>
      <c r="B3687" s="36">
        <f t="shared" si="484"/>
        <v>3</v>
      </c>
      <c r="C3687" s="190">
        <f t="shared" si="390"/>
        <v>42455</v>
      </c>
      <c r="D3687" s="856" t="s">
        <v>1664</v>
      </c>
      <c r="E3687" s="856">
        <v>42455</v>
      </c>
      <c r="F3687" s="868" t="s">
        <v>655</v>
      </c>
      <c r="G3687" s="858" t="s">
        <v>1074</v>
      </c>
      <c r="H3687" s="859" t="s">
        <v>1312</v>
      </c>
      <c r="I3687" s="251">
        <v>472</v>
      </c>
      <c r="J3687" s="251">
        <v>6552</v>
      </c>
      <c r="K3687" s="860">
        <f t="shared" si="391"/>
        <v>3092544</v>
      </c>
      <c r="L3687" s="861" t="s">
        <v>160</v>
      </c>
      <c r="M3687" s="861" t="s">
        <v>857</v>
      </c>
      <c r="N3687" s="52" t="str">
        <f>IF(AND('331-CT'!$E$7=TH!H3687,OR(L3687="331",M3687="331")),"331",IF(AND(OR(L3687="131",M3687="131"),H3687='131-CT'!$E$7),"131",""))</f>
        <v/>
      </c>
      <c r="O3687" s="52" t="str">
        <f>IF(AND($B3687&gt;='111'!$N$11,$B3687&lt;='111'!$O$11,OR($L3687=$O$7,$M3687=$O$7)),"x","")</f>
        <v/>
      </c>
      <c r="P3687" s="52" t="str">
        <f>IF(AND($L3687=$O$7,$B3687&lt;'111'!$N$11),"x","")</f>
        <v/>
      </c>
      <c r="Q3687" s="52" t="str">
        <f>IF(AND($M3687=$O$7,$B3687&lt;'111'!$N$11),"x","")</f>
        <v/>
      </c>
      <c r="R3687" s="52" t="str">
        <f>IF(ISERROR(FIND('112'!$M$9,G3687,1)),"",IF((AND(FIND('112'!$M$9,G3687,1)&gt;=1,$B3687&gt;='112'!$N$8,$B3687&lt;='112'!$O$8,OR($L3687='112'!$I$6,$M3687='112'!$I$6))),"x",""))</f>
        <v/>
      </c>
      <c r="S3687" s="52" t="str">
        <f>IF(ISERROR(FIND('112'!$M$9,G3687,1)),"",IF((AND(LEFT(G3687,2)=LEFT('112'!$M$9,2),B3687&lt;'112'!$N$8,$L3687='112'!$I$6)),"x",""))</f>
        <v/>
      </c>
      <c r="T3687" s="52" t="str">
        <f>IF(ISERROR(FIND('112'!$M$9,G3687,1)),"",IF((AND(RIGHT(G3687,2)=RIGHT('112'!$M$9,2),B3687&lt;'112'!$N$8,$M3687='112'!$I$6)),"x",""))</f>
        <v/>
      </c>
      <c r="U3687" s="52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/>
      </c>
      <c r="AA3687" s="826"/>
      <c r="AB3687" s="576"/>
    </row>
    <row r="3688" spans="1:28" ht="15.75" customHeight="1">
      <c r="A3688" s="827" t="str">
        <f>IF(B3688&lt;&gt;"",IF(AND(B3688&gt;=_TM1,B3688&lt;=_TM2,OR(TH!L3688="1111",TH!M3688="1111")),TH!D3688,""),"")</f>
        <v/>
      </c>
      <c r="B3688" s="36">
        <f t="shared" si="484"/>
        <v>3</v>
      </c>
      <c r="C3688" s="190">
        <f t="shared" si="390"/>
        <v>42456</v>
      </c>
      <c r="D3688" s="856" t="s">
        <v>1664</v>
      </c>
      <c r="E3688" s="856">
        <v>42456</v>
      </c>
      <c r="F3688" s="868" t="s">
        <v>656</v>
      </c>
      <c r="G3688" s="858" t="s">
        <v>1075</v>
      </c>
      <c r="H3688" s="859" t="s">
        <v>1312</v>
      </c>
      <c r="I3688" s="251">
        <v>719</v>
      </c>
      <c r="J3688" s="251">
        <v>4251</v>
      </c>
      <c r="K3688" s="860">
        <f t="shared" si="391"/>
        <v>3056469</v>
      </c>
      <c r="L3688" s="861" t="s">
        <v>160</v>
      </c>
      <c r="M3688" s="861" t="s">
        <v>857</v>
      </c>
      <c r="N3688" s="52" t="str">
        <f>IF(AND('331-CT'!$E$7=TH!H3688,OR(L3688="331",M3688="331")),"331",IF(AND(OR(L3688="131",M3688="131"),H3688='131-CT'!$E$7),"131",""))</f>
        <v/>
      </c>
      <c r="O3688" s="52" t="str">
        <f>IF(AND($B3688&gt;='111'!$N$11,$B3688&lt;='111'!$O$11,OR($L3688=$O$7,$M3688=$O$7)),"x","")</f>
        <v/>
      </c>
      <c r="P3688" s="52" t="str">
        <f>IF(AND($L3688=$O$7,$B3688&lt;'111'!$N$11),"x","")</f>
        <v/>
      </c>
      <c r="Q3688" s="52" t="str">
        <f>IF(AND($M3688=$O$7,$B3688&lt;'111'!$N$11),"x","")</f>
        <v/>
      </c>
      <c r="R3688" s="52" t="str">
        <f>IF(ISERROR(FIND('112'!$M$9,G3688,1)),"",IF((AND(FIND('112'!$M$9,G3688,1)&gt;=1,$B3688&gt;='112'!$N$8,$B3688&lt;='112'!$O$8,OR($L3688='112'!$I$6,$M3688='112'!$I$6))),"x",""))</f>
        <v/>
      </c>
      <c r="S3688" s="52" t="str">
        <f>IF(ISERROR(FIND('112'!$M$9,G3688,1)),"",IF((AND(LEFT(G3688,2)=LEFT('112'!$M$9,2),B3688&lt;'112'!$N$8,$L3688='112'!$I$6)),"x",""))</f>
        <v/>
      </c>
      <c r="T3688" s="52" t="str">
        <f>IF(ISERROR(FIND('112'!$M$9,G3688,1)),"",IF((AND(RIGHT(G3688,2)=RIGHT('112'!$M$9,2),B3688&lt;'112'!$N$8,$M3688='112'!$I$6)),"x",""))</f>
        <v/>
      </c>
      <c r="U3688" s="52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/>
      </c>
      <c r="AA3688" s="826"/>
      <c r="AB3688" s="576"/>
    </row>
    <row r="3689" spans="1:28" ht="15.75" customHeight="1">
      <c r="A3689" s="827" t="str">
        <f>IF(B3689&lt;&gt;"",IF(AND(B3689&gt;=_TM1,B3689&lt;=_TM2,OR(TH!L3689="1111",TH!M3689="1111")),TH!D3689,""),"")</f>
        <v/>
      </c>
      <c r="B3689" s="36">
        <f t="shared" si="484"/>
        <v>3</v>
      </c>
      <c r="C3689" s="190">
        <f t="shared" si="390"/>
        <v>42456</v>
      </c>
      <c r="D3689" s="856" t="s">
        <v>1664</v>
      </c>
      <c r="E3689" s="856">
        <v>42456</v>
      </c>
      <c r="F3689" s="868" t="s">
        <v>959</v>
      </c>
      <c r="G3689" s="858" t="s">
        <v>1080</v>
      </c>
      <c r="H3689" s="859" t="s">
        <v>1312</v>
      </c>
      <c r="I3689" s="251">
        <v>60</v>
      </c>
      <c r="J3689" s="251">
        <v>67172</v>
      </c>
      <c r="K3689" s="860">
        <f t="shared" si="391"/>
        <v>4030320</v>
      </c>
      <c r="L3689" s="861" t="s">
        <v>160</v>
      </c>
      <c r="M3689" s="861" t="s">
        <v>857</v>
      </c>
      <c r="N3689" s="52" t="str">
        <f>IF(AND('331-CT'!$E$7=TH!H3689,OR(L3689="331",M3689="331")),"331",IF(AND(OR(L3689="131",M3689="131"),H3689='131-CT'!$E$7),"131",""))</f>
        <v/>
      </c>
      <c r="O3689" s="52" t="str">
        <f>IF(AND($B3689&gt;='111'!$N$11,$B3689&lt;='111'!$O$11,OR($L3689=$O$7,$M3689=$O$7)),"x","")</f>
        <v/>
      </c>
      <c r="P3689" s="52" t="str">
        <f>IF(AND($L3689=$O$7,$B3689&lt;'111'!$N$11),"x","")</f>
        <v/>
      </c>
      <c r="Q3689" s="52" t="str">
        <f>IF(AND($M3689=$O$7,$B3689&lt;'111'!$N$11),"x","")</f>
        <v/>
      </c>
      <c r="R3689" s="52" t="str">
        <f>IF(ISERROR(FIND('112'!$M$9,G3689,1)),"",IF((AND(FIND('112'!$M$9,G3689,1)&gt;=1,$B3689&gt;='112'!$N$8,$B3689&lt;='112'!$O$8,OR($L3689='112'!$I$6,$M3689='112'!$I$6))),"x",""))</f>
        <v/>
      </c>
      <c r="S3689" s="52" t="str">
        <f>IF(ISERROR(FIND('112'!$M$9,G3689,1)),"",IF((AND(LEFT(G3689,2)=LEFT('112'!$M$9,2),B3689&lt;'112'!$N$8,$L3689='112'!$I$6)),"x",""))</f>
        <v/>
      </c>
      <c r="T3689" s="52" t="str">
        <f>IF(ISERROR(FIND('112'!$M$9,G3689,1)),"",IF((AND(RIGHT(G3689,2)=RIGHT('112'!$M$9,2),B3689&lt;'112'!$N$8,$M3689='112'!$I$6)),"x",""))</f>
        <v/>
      </c>
      <c r="U3689" s="52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/>
      </c>
      <c r="AA3689" s="826"/>
      <c r="AB3689" s="576"/>
    </row>
    <row r="3690" spans="1:28" ht="15.75" customHeight="1">
      <c r="A3690" s="827" t="str">
        <f>IF(B3690&lt;&gt;"",IF(AND(B3690&gt;=_TM1,B3690&lt;=_TM2,OR(TH!L3690="1111",TH!M3690="1111")),TH!D3690,""),"")</f>
        <v/>
      </c>
      <c r="B3690" s="36">
        <f t="shared" si="484"/>
        <v>3</v>
      </c>
      <c r="C3690" s="190">
        <f t="shared" si="390"/>
        <v>42456</v>
      </c>
      <c r="D3690" s="856" t="s">
        <v>1664</v>
      </c>
      <c r="E3690" s="856">
        <v>42456</v>
      </c>
      <c r="F3690" s="868" t="s">
        <v>761</v>
      </c>
      <c r="G3690" s="858" t="s">
        <v>1080</v>
      </c>
      <c r="H3690" s="859" t="s">
        <v>1312</v>
      </c>
      <c r="I3690" s="251">
        <v>32</v>
      </c>
      <c r="J3690" s="251">
        <v>70894</v>
      </c>
      <c r="K3690" s="860">
        <f t="shared" si="391"/>
        <v>2268608</v>
      </c>
      <c r="L3690" s="861" t="s">
        <v>160</v>
      </c>
      <c r="M3690" s="861" t="s">
        <v>857</v>
      </c>
      <c r="N3690" s="52" t="str">
        <f>IF(AND('331-CT'!$E$7=TH!H3690,OR(L3690="331",M3690="331")),"331",IF(AND(OR(L3690="131",M3690="131"),H3690='131-CT'!$E$7),"131",""))</f>
        <v/>
      </c>
      <c r="O3690" s="52" t="str">
        <f>IF(AND($B3690&gt;='111'!$N$11,$B3690&lt;='111'!$O$11,OR($L3690=$O$7,$M3690=$O$7)),"x","")</f>
        <v/>
      </c>
      <c r="P3690" s="52" t="str">
        <f>IF(AND($L3690=$O$7,$B3690&lt;'111'!$N$11),"x","")</f>
        <v/>
      </c>
      <c r="Q3690" s="52" t="str">
        <f>IF(AND($M3690=$O$7,$B3690&lt;'111'!$N$11),"x","")</f>
        <v/>
      </c>
      <c r="R3690" s="52" t="str">
        <f>IF(ISERROR(FIND('112'!$M$9,G3690,1)),"",IF((AND(FIND('112'!$M$9,G3690,1)&gt;=1,$B3690&gt;='112'!$N$8,$B3690&lt;='112'!$O$8,OR($L3690='112'!$I$6,$M3690='112'!$I$6))),"x",""))</f>
        <v/>
      </c>
      <c r="S3690" s="52" t="str">
        <f>IF(ISERROR(FIND('112'!$M$9,G3690,1)),"",IF((AND(LEFT(G3690,2)=LEFT('112'!$M$9,2),B3690&lt;'112'!$N$8,$L3690='112'!$I$6)),"x",""))</f>
        <v/>
      </c>
      <c r="T3690" s="52" t="str">
        <f>IF(ISERROR(FIND('112'!$M$9,G3690,1)),"",IF((AND(RIGHT(G3690,2)=RIGHT('112'!$M$9,2),B3690&lt;'112'!$N$8,$M3690='112'!$I$6)),"x",""))</f>
        <v/>
      </c>
      <c r="U3690" s="52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/>
      </c>
      <c r="AA3690" s="826"/>
      <c r="AB3690" s="576"/>
    </row>
    <row r="3691" spans="1:28" ht="15.75" customHeight="1">
      <c r="A3691" s="827" t="str">
        <f>IF(B3691&lt;&gt;"",IF(AND(B3691&gt;=_TM1,B3691&lt;=_TM2,OR(TH!L3691="1111",TH!M3691="1111")),TH!D3691,""),"")</f>
        <v/>
      </c>
      <c r="B3691" s="36">
        <f t="shared" si="484"/>
        <v>3</v>
      </c>
      <c r="C3691" s="190">
        <f t="shared" si="390"/>
        <v>42456</v>
      </c>
      <c r="D3691" s="856" t="s">
        <v>1664</v>
      </c>
      <c r="E3691" s="856">
        <v>42456</v>
      </c>
      <c r="F3691" s="868" t="s">
        <v>957</v>
      </c>
      <c r="G3691" s="858" t="s">
        <v>1080</v>
      </c>
      <c r="H3691" s="859" t="s">
        <v>1312</v>
      </c>
      <c r="I3691" s="251">
        <v>36</v>
      </c>
      <c r="J3691" s="251">
        <v>30701</v>
      </c>
      <c r="K3691" s="860">
        <f t="shared" si="391"/>
        <v>1105236</v>
      </c>
      <c r="L3691" s="861" t="s">
        <v>160</v>
      </c>
      <c r="M3691" s="861" t="s">
        <v>857</v>
      </c>
      <c r="N3691" s="52" t="str">
        <f>IF(AND('331-CT'!$E$7=TH!H3691,OR(L3691="331",M3691="331")),"331",IF(AND(OR(L3691="131",M3691="131"),H3691='131-CT'!$E$7),"131",""))</f>
        <v/>
      </c>
      <c r="O3691" s="52" t="str">
        <f>IF(AND($B3691&gt;='111'!$N$11,$B3691&lt;='111'!$O$11,OR($L3691=$O$7,$M3691=$O$7)),"x","")</f>
        <v/>
      </c>
      <c r="P3691" s="52" t="str">
        <f>IF(AND($L3691=$O$7,$B3691&lt;'111'!$N$11),"x","")</f>
        <v/>
      </c>
      <c r="Q3691" s="52" t="str">
        <f>IF(AND($M3691=$O$7,$B3691&lt;'111'!$N$11),"x","")</f>
        <v/>
      </c>
      <c r="R3691" s="52" t="str">
        <f>IF(ISERROR(FIND('112'!$M$9,G3691,1)),"",IF((AND(FIND('112'!$M$9,G3691,1)&gt;=1,$B3691&gt;='112'!$N$8,$B3691&lt;='112'!$O$8,OR($L3691='112'!$I$6,$M3691='112'!$I$6))),"x",""))</f>
        <v/>
      </c>
      <c r="S3691" s="52" t="str">
        <f>IF(ISERROR(FIND('112'!$M$9,G3691,1)),"",IF((AND(LEFT(G3691,2)=LEFT('112'!$M$9,2),B3691&lt;'112'!$N$8,$L3691='112'!$I$6)),"x",""))</f>
        <v/>
      </c>
      <c r="T3691" s="52" t="str">
        <f>IF(ISERROR(FIND('112'!$M$9,G3691,1)),"",IF((AND(RIGHT(G3691,2)=RIGHT('112'!$M$9,2),B3691&lt;'112'!$N$8,$M3691='112'!$I$6)),"x",""))</f>
        <v/>
      </c>
      <c r="U3691" s="52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/>
      </c>
      <c r="AA3691" s="826"/>
      <c r="AB3691" s="576"/>
    </row>
    <row r="3692" spans="1:28" ht="15.75" customHeight="1">
      <c r="A3692" s="827" t="str">
        <f>IF(B3692&lt;&gt;"",IF(AND(B3692&gt;=_TM1,B3692&lt;=_TM2,OR(TH!L3692="1111",TH!M3692="1111")),TH!D3692,""),"")</f>
        <v/>
      </c>
      <c r="B3692" s="36">
        <f t="shared" si="484"/>
        <v>3</v>
      </c>
      <c r="C3692" s="190">
        <f t="shared" si="390"/>
        <v>42456</v>
      </c>
      <c r="D3692" s="856" t="s">
        <v>1664</v>
      </c>
      <c r="E3692" s="856">
        <v>42456</v>
      </c>
      <c r="F3692" s="868" t="s">
        <v>957</v>
      </c>
      <c r="G3692" s="858" t="s">
        <v>1080</v>
      </c>
      <c r="H3692" s="859" t="s">
        <v>1312</v>
      </c>
      <c r="I3692" s="251">
        <v>20</v>
      </c>
      <c r="J3692" s="251">
        <v>30701</v>
      </c>
      <c r="K3692" s="860">
        <f t="shared" si="391"/>
        <v>614020</v>
      </c>
      <c r="L3692" s="861" t="s">
        <v>160</v>
      </c>
      <c r="M3692" s="861" t="s">
        <v>857</v>
      </c>
      <c r="N3692" s="52" t="str">
        <f>IF(AND('331-CT'!$E$7=TH!H3692,OR(L3692="331",M3692="331")),"331",IF(AND(OR(L3692="131",M3692="131"),H3692='131-CT'!$E$7),"131",""))</f>
        <v/>
      </c>
      <c r="O3692" s="52" t="str">
        <f>IF(AND($B3692&gt;='111'!$N$11,$B3692&lt;='111'!$O$11,OR($L3692=$O$7,$M3692=$O$7)),"x","")</f>
        <v/>
      </c>
      <c r="P3692" s="52" t="str">
        <f>IF(AND($L3692=$O$7,$B3692&lt;'111'!$N$11),"x","")</f>
        <v/>
      </c>
      <c r="Q3692" s="52" t="str">
        <f>IF(AND($M3692=$O$7,$B3692&lt;'111'!$N$11),"x","")</f>
        <v/>
      </c>
      <c r="R3692" s="52" t="str">
        <f>IF(ISERROR(FIND('112'!$M$9,G3692,1)),"",IF((AND(FIND('112'!$M$9,G3692,1)&gt;=1,$B3692&gt;='112'!$N$8,$B3692&lt;='112'!$O$8,OR($L3692='112'!$I$6,$M3692='112'!$I$6))),"x",""))</f>
        <v/>
      </c>
      <c r="S3692" s="52" t="str">
        <f>IF(ISERROR(FIND('112'!$M$9,G3692,1)),"",IF((AND(LEFT(G3692,2)=LEFT('112'!$M$9,2),B3692&lt;'112'!$N$8,$L3692='112'!$I$6)),"x",""))</f>
        <v/>
      </c>
      <c r="T3692" s="52" t="str">
        <f>IF(ISERROR(FIND('112'!$M$9,G3692,1)),"",IF((AND(RIGHT(G3692,2)=RIGHT('112'!$M$9,2),B3692&lt;'112'!$N$8,$M3692='112'!$I$6)),"x",""))</f>
        <v/>
      </c>
      <c r="U3692" s="52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/>
      </c>
      <c r="AA3692" s="826"/>
      <c r="AB3692" s="576"/>
    </row>
    <row r="3693" spans="1:28" ht="15.75" customHeight="1">
      <c r="A3693" s="827" t="str">
        <f>IF(B3693&lt;&gt;"",IF(AND(B3693&gt;=_TM1,B3693&lt;=_TM2,OR(TH!L3693="1111",TH!M3693="1111")),TH!D3693,""),"")</f>
        <v/>
      </c>
      <c r="B3693" s="36">
        <f t="shared" si="484"/>
        <v>3</v>
      </c>
      <c r="C3693" s="190">
        <f t="shared" si="390"/>
        <v>42456</v>
      </c>
      <c r="D3693" s="856" t="s">
        <v>1664</v>
      </c>
      <c r="E3693" s="856">
        <v>42456</v>
      </c>
      <c r="F3693" s="868" t="s">
        <v>758</v>
      </c>
      <c r="G3693" s="858" t="s">
        <v>1080</v>
      </c>
      <c r="H3693" s="859" t="s">
        <v>1312</v>
      </c>
      <c r="I3693" s="251">
        <v>18</v>
      </c>
      <c r="J3693" s="251">
        <v>40482</v>
      </c>
      <c r="K3693" s="860">
        <f t="shared" si="391"/>
        <v>728676</v>
      </c>
      <c r="L3693" s="861" t="s">
        <v>160</v>
      </c>
      <c r="M3693" s="861" t="s">
        <v>857</v>
      </c>
      <c r="N3693" s="52" t="str">
        <f>IF(AND('331-CT'!$E$7=TH!H3693,OR(L3693="331",M3693="331")),"331",IF(AND(OR(L3693="131",M3693="131"),H3693='131-CT'!$E$7),"131",""))</f>
        <v/>
      </c>
      <c r="O3693" s="52" t="str">
        <f>IF(AND($B3693&gt;='111'!$N$11,$B3693&lt;='111'!$O$11,OR($L3693=$O$7,$M3693=$O$7)),"x","")</f>
        <v/>
      </c>
      <c r="P3693" s="52" t="str">
        <f>IF(AND($L3693=$O$7,$B3693&lt;'111'!$N$11),"x","")</f>
        <v/>
      </c>
      <c r="Q3693" s="52" t="str">
        <f>IF(AND($M3693=$O$7,$B3693&lt;'111'!$N$11),"x","")</f>
        <v/>
      </c>
      <c r="R3693" s="52" t="str">
        <f>IF(ISERROR(FIND('112'!$M$9,G3693,1)),"",IF((AND(FIND('112'!$M$9,G3693,1)&gt;=1,$B3693&gt;='112'!$N$8,$B3693&lt;='112'!$O$8,OR($L3693='112'!$I$6,$M3693='112'!$I$6))),"x",""))</f>
        <v/>
      </c>
      <c r="S3693" s="52" t="str">
        <f>IF(ISERROR(FIND('112'!$M$9,G3693,1)),"",IF((AND(LEFT(G3693,2)=LEFT('112'!$M$9,2),B3693&lt;'112'!$N$8,$L3693='112'!$I$6)),"x",""))</f>
        <v/>
      </c>
      <c r="T3693" s="52" t="str">
        <f>IF(ISERROR(FIND('112'!$M$9,G3693,1)),"",IF((AND(RIGHT(G3693,2)=RIGHT('112'!$M$9,2),B3693&lt;'112'!$N$8,$M3693='112'!$I$6)),"x",""))</f>
        <v/>
      </c>
      <c r="U3693" s="52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/>
      </c>
      <c r="AA3693" s="826"/>
      <c r="AB3693" s="576"/>
    </row>
    <row r="3694" spans="1:28" ht="15.75" customHeight="1">
      <c r="A3694" s="827" t="str">
        <f>IF(B3694&lt;&gt;"",IF(AND(B3694&gt;=_TM1,B3694&lt;=_TM2,OR(TH!L3694="1111",TH!M3694="1111")),TH!D3694,""),"")</f>
        <v/>
      </c>
      <c r="B3694" s="36">
        <f t="shared" si="484"/>
        <v>3</v>
      </c>
      <c r="C3694" s="190">
        <f t="shared" si="390"/>
        <v>42456</v>
      </c>
      <c r="D3694" s="856" t="s">
        <v>1664</v>
      </c>
      <c r="E3694" s="856">
        <v>42456</v>
      </c>
      <c r="F3694" s="868" t="s">
        <v>757</v>
      </c>
      <c r="G3694" s="858" t="s">
        <v>1080</v>
      </c>
      <c r="H3694" s="859" t="s">
        <v>1312</v>
      </c>
      <c r="I3694" s="251">
        <v>40</v>
      </c>
      <c r="J3694" s="251">
        <v>57766</v>
      </c>
      <c r="K3694" s="860">
        <f t="shared" si="391"/>
        <v>2310640</v>
      </c>
      <c r="L3694" s="861" t="s">
        <v>160</v>
      </c>
      <c r="M3694" s="861" t="s">
        <v>857</v>
      </c>
      <c r="N3694" s="52" t="str">
        <f>IF(AND('331-CT'!$E$7=TH!H3694,OR(L3694="331",M3694="331")),"331",IF(AND(OR(L3694="131",M3694="131"),H3694='131-CT'!$E$7),"131",""))</f>
        <v/>
      </c>
      <c r="O3694" s="52" t="str">
        <f>IF(AND($B3694&gt;='111'!$N$11,$B3694&lt;='111'!$O$11,OR($L3694=$O$7,$M3694=$O$7)),"x","")</f>
        <v/>
      </c>
      <c r="P3694" s="52" t="str">
        <f>IF(AND($L3694=$O$7,$B3694&lt;'111'!$N$11),"x","")</f>
        <v/>
      </c>
      <c r="Q3694" s="52" t="str">
        <f>IF(AND($M3694=$O$7,$B3694&lt;'111'!$N$11),"x","")</f>
        <v/>
      </c>
      <c r="R3694" s="52" t="str">
        <f>IF(ISERROR(FIND('112'!$M$9,G3694,1)),"",IF((AND(FIND('112'!$M$9,G3694,1)&gt;=1,$B3694&gt;='112'!$N$8,$B3694&lt;='112'!$O$8,OR($L3694='112'!$I$6,$M3694='112'!$I$6))),"x",""))</f>
        <v/>
      </c>
      <c r="S3694" s="52" t="str">
        <f>IF(ISERROR(FIND('112'!$M$9,G3694,1)),"",IF((AND(LEFT(G3694,2)=LEFT('112'!$M$9,2),B3694&lt;'112'!$N$8,$L3694='112'!$I$6)),"x",""))</f>
        <v/>
      </c>
      <c r="T3694" s="52" t="str">
        <f>IF(ISERROR(FIND('112'!$M$9,G3694,1)),"",IF((AND(RIGHT(G3694,2)=RIGHT('112'!$M$9,2),B3694&lt;'112'!$N$8,$M3694='112'!$I$6)),"x",""))</f>
        <v/>
      </c>
      <c r="U3694" s="52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/>
      </c>
      <c r="AA3694" s="826"/>
      <c r="AB3694" s="576"/>
    </row>
    <row r="3695" spans="1:28" ht="15.75" customHeight="1">
      <c r="A3695" s="827" t="str">
        <f>IF(B3695&lt;&gt;"",IF(AND(B3695&gt;=_TM1,B3695&lt;=_TM2,OR(TH!L3695="1111",TH!M3695="1111")),TH!D3695,""),"")</f>
        <v/>
      </c>
      <c r="B3695" s="36">
        <f t="shared" si="484"/>
        <v>3</v>
      </c>
      <c r="C3695" s="190">
        <f t="shared" si="390"/>
        <v>42456</v>
      </c>
      <c r="D3695" s="856" t="s">
        <v>1664</v>
      </c>
      <c r="E3695" s="856">
        <v>42456</v>
      </c>
      <c r="F3695" s="868" t="s">
        <v>958</v>
      </c>
      <c r="G3695" s="858" t="s">
        <v>1080</v>
      </c>
      <c r="H3695" s="859" t="s">
        <v>1312</v>
      </c>
      <c r="I3695" s="251">
        <v>50</v>
      </c>
      <c r="J3695" s="251">
        <v>32374</v>
      </c>
      <c r="K3695" s="860">
        <f t="shared" si="391"/>
        <v>1618700</v>
      </c>
      <c r="L3695" s="861" t="s">
        <v>160</v>
      </c>
      <c r="M3695" s="861" t="s">
        <v>857</v>
      </c>
      <c r="N3695" s="52" t="str">
        <f>IF(AND('331-CT'!$E$7=TH!H3695,OR(L3695="331",M3695="331")),"331",IF(AND(OR(L3695="131",M3695="131"),H3695='131-CT'!$E$7),"131",""))</f>
        <v/>
      </c>
      <c r="O3695" s="52" t="str">
        <f>IF(AND($B3695&gt;='111'!$N$11,$B3695&lt;='111'!$O$11,OR($L3695=$O$7,$M3695=$O$7)),"x","")</f>
        <v/>
      </c>
      <c r="P3695" s="52" t="str">
        <f>IF(AND($L3695=$O$7,$B3695&lt;'111'!$N$11),"x","")</f>
        <v/>
      </c>
      <c r="Q3695" s="52" t="str">
        <f>IF(AND($M3695=$O$7,$B3695&lt;'111'!$N$11),"x","")</f>
        <v/>
      </c>
      <c r="R3695" s="52" t="str">
        <f>IF(ISERROR(FIND('112'!$M$9,G3695,1)),"",IF((AND(FIND('112'!$M$9,G3695,1)&gt;=1,$B3695&gt;='112'!$N$8,$B3695&lt;='112'!$O$8,OR($L3695='112'!$I$6,$M3695='112'!$I$6))),"x",""))</f>
        <v/>
      </c>
      <c r="S3695" s="52" t="str">
        <f>IF(ISERROR(FIND('112'!$M$9,G3695,1)),"",IF((AND(LEFT(G3695,2)=LEFT('112'!$M$9,2),B3695&lt;'112'!$N$8,$L3695='112'!$I$6)),"x",""))</f>
        <v/>
      </c>
      <c r="T3695" s="52" t="str">
        <f>IF(ISERROR(FIND('112'!$M$9,G3695,1)),"",IF((AND(RIGHT(G3695,2)=RIGHT('112'!$M$9,2),B3695&lt;'112'!$N$8,$M3695='112'!$I$6)),"x",""))</f>
        <v/>
      </c>
      <c r="U3695" s="52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/>
      </c>
      <c r="AA3695" s="826"/>
      <c r="AB3695" s="576"/>
    </row>
    <row r="3696" spans="1:28" ht="15.75" customHeight="1">
      <c r="A3696" s="827" t="str">
        <f>IF(B3696&lt;&gt;"",IF(AND(B3696&gt;=_TM1,B3696&lt;=_TM2,OR(TH!L3696="1111",TH!M3696="1111")),TH!D3696,""),"")</f>
        <v/>
      </c>
      <c r="B3696" s="36">
        <f t="shared" si="484"/>
        <v>3</v>
      </c>
      <c r="C3696" s="190">
        <f t="shared" si="390"/>
        <v>42456</v>
      </c>
      <c r="D3696" s="856" t="s">
        <v>1664</v>
      </c>
      <c r="E3696" s="856">
        <v>42456</v>
      </c>
      <c r="F3696" s="868" t="s">
        <v>760</v>
      </c>
      <c r="G3696" s="858" t="s">
        <v>1080</v>
      </c>
      <c r="H3696" s="859" t="s">
        <v>1312</v>
      </c>
      <c r="I3696" s="251">
        <v>18</v>
      </c>
      <c r="J3696" s="251">
        <v>39732</v>
      </c>
      <c r="K3696" s="860">
        <f t="shared" si="391"/>
        <v>715176</v>
      </c>
      <c r="L3696" s="861" t="s">
        <v>160</v>
      </c>
      <c r="M3696" s="861" t="s">
        <v>857</v>
      </c>
      <c r="N3696" s="52" t="str">
        <f>IF(AND('331-CT'!$E$7=TH!H3696,OR(L3696="331",M3696="331")),"331",IF(AND(OR(L3696="131",M3696="131"),H3696='131-CT'!$E$7),"131",""))</f>
        <v/>
      </c>
      <c r="O3696" s="52" t="str">
        <f>IF(AND($B3696&gt;='111'!$N$11,$B3696&lt;='111'!$O$11,OR($L3696=$O$7,$M3696=$O$7)),"x","")</f>
        <v/>
      </c>
      <c r="P3696" s="52" t="str">
        <f>IF(AND($L3696=$O$7,$B3696&lt;'111'!$N$11),"x","")</f>
        <v/>
      </c>
      <c r="Q3696" s="52" t="str">
        <f>IF(AND($M3696=$O$7,$B3696&lt;'111'!$N$11),"x","")</f>
        <v/>
      </c>
      <c r="R3696" s="52" t="str">
        <f>IF(ISERROR(FIND('112'!$M$9,G3696,1)),"",IF((AND(FIND('112'!$M$9,G3696,1)&gt;=1,$B3696&gt;='112'!$N$8,$B3696&lt;='112'!$O$8,OR($L3696='112'!$I$6,$M3696='112'!$I$6))),"x",""))</f>
        <v/>
      </c>
      <c r="S3696" s="52" t="str">
        <f>IF(ISERROR(FIND('112'!$M$9,G3696,1)),"",IF((AND(LEFT(G3696,2)=LEFT('112'!$M$9,2),B3696&lt;'112'!$N$8,$L3696='112'!$I$6)),"x",""))</f>
        <v/>
      </c>
      <c r="T3696" s="52" t="str">
        <f>IF(ISERROR(FIND('112'!$M$9,G3696,1)),"",IF((AND(RIGHT(G3696,2)=RIGHT('112'!$M$9,2),B3696&lt;'112'!$N$8,$M3696='112'!$I$6)),"x",""))</f>
        <v/>
      </c>
      <c r="U3696" s="52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/>
      </c>
      <c r="AA3696" s="826"/>
      <c r="AB3696" s="576"/>
    </row>
    <row r="3697" spans="1:28" ht="15.75" customHeight="1">
      <c r="A3697" s="827" t="str">
        <f>IF(B3697&lt;&gt;"",IF(AND(B3697&gt;=_TM1,B3697&lt;=_TM2,OR(TH!L3697="1111",TH!M3697="1111")),TH!D3697,""),"")</f>
        <v/>
      </c>
      <c r="B3697" s="36">
        <f t="shared" si="484"/>
        <v>3</v>
      </c>
      <c r="C3697" s="190">
        <f t="shared" si="390"/>
        <v>42456</v>
      </c>
      <c r="D3697" s="856" t="s">
        <v>1664</v>
      </c>
      <c r="E3697" s="856">
        <v>42456</v>
      </c>
      <c r="F3697" s="868" t="s">
        <v>670</v>
      </c>
      <c r="G3697" s="858" t="s">
        <v>1080</v>
      </c>
      <c r="H3697" s="859" t="s">
        <v>1312</v>
      </c>
      <c r="I3697" s="251">
        <v>27</v>
      </c>
      <c r="J3697" s="251">
        <v>105692</v>
      </c>
      <c r="K3697" s="860">
        <f t="shared" si="391"/>
        <v>2853684</v>
      </c>
      <c r="L3697" s="861" t="s">
        <v>160</v>
      </c>
      <c r="M3697" s="861" t="s">
        <v>857</v>
      </c>
      <c r="N3697" s="52" t="str">
        <f>IF(AND('331-CT'!$E$7=TH!H3697,OR(L3697="331",M3697="331")),"331",IF(AND(OR(L3697="131",M3697="131"),H3697='131-CT'!$E$7),"131",""))</f>
        <v/>
      </c>
      <c r="O3697" s="52" t="str">
        <f>IF(AND($B3697&gt;='111'!$N$11,$B3697&lt;='111'!$O$11,OR($L3697=$O$7,$M3697=$O$7)),"x","")</f>
        <v/>
      </c>
      <c r="P3697" s="52" t="str">
        <f>IF(AND($L3697=$O$7,$B3697&lt;'111'!$N$11),"x","")</f>
        <v/>
      </c>
      <c r="Q3697" s="52" t="str">
        <f>IF(AND($M3697=$O$7,$B3697&lt;'111'!$N$11),"x","")</f>
        <v/>
      </c>
      <c r="R3697" s="52" t="str">
        <f>IF(ISERROR(FIND('112'!$M$9,G3697,1)),"",IF((AND(FIND('112'!$M$9,G3697,1)&gt;=1,$B3697&gt;='112'!$N$8,$B3697&lt;='112'!$O$8,OR($L3697='112'!$I$6,$M3697='112'!$I$6))),"x",""))</f>
        <v/>
      </c>
      <c r="S3697" s="52" t="str">
        <f>IF(ISERROR(FIND('112'!$M$9,G3697,1)),"",IF((AND(LEFT(G3697,2)=LEFT('112'!$M$9,2),B3697&lt;'112'!$N$8,$L3697='112'!$I$6)),"x",""))</f>
        <v/>
      </c>
      <c r="T3697" s="52" t="str">
        <f>IF(ISERROR(FIND('112'!$M$9,G3697,1)),"",IF((AND(RIGHT(G3697,2)=RIGHT('112'!$M$9,2),B3697&lt;'112'!$N$8,$M3697='112'!$I$6)),"x",""))</f>
        <v/>
      </c>
      <c r="U3697" s="52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/>
      </c>
      <c r="AA3697" s="826"/>
      <c r="AB3697" s="576"/>
    </row>
    <row r="3698" spans="1:28" ht="15.75" customHeight="1">
      <c r="A3698" s="827" t="str">
        <f>IF(B3698&lt;&gt;"",IF(AND(B3698&gt;=_TM1,B3698&lt;=_TM2,OR(TH!L3698="1111",TH!M3698="1111")),TH!D3698,""),"")</f>
        <v/>
      </c>
      <c r="B3698" s="36">
        <f t="shared" si="484"/>
        <v>3</v>
      </c>
      <c r="C3698" s="190">
        <f t="shared" si="390"/>
        <v>42456</v>
      </c>
      <c r="D3698" s="856" t="s">
        <v>1664</v>
      </c>
      <c r="E3698" s="856">
        <v>42456</v>
      </c>
      <c r="F3698" s="868" t="s">
        <v>762</v>
      </c>
      <c r="G3698" s="858" t="s">
        <v>1080</v>
      </c>
      <c r="H3698" s="859" t="s">
        <v>1312</v>
      </c>
      <c r="I3698" s="251">
        <v>31</v>
      </c>
      <c r="J3698" s="251">
        <v>51043</v>
      </c>
      <c r="K3698" s="860">
        <f t="shared" si="391"/>
        <v>1582333</v>
      </c>
      <c r="L3698" s="861" t="s">
        <v>160</v>
      </c>
      <c r="M3698" s="861" t="s">
        <v>857</v>
      </c>
      <c r="N3698" s="52" t="str">
        <f>IF(AND('331-CT'!$E$7=TH!H3698,OR(L3698="331",M3698="331")),"331",IF(AND(OR(L3698="131",M3698="131"),H3698='131-CT'!$E$7),"131",""))</f>
        <v/>
      </c>
      <c r="O3698" s="52" t="str">
        <f>IF(AND($B3698&gt;='111'!$N$11,$B3698&lt;='111'!$O$11,OR($L3698=$O$7,$M3698=$O$7)),"x","")</f>
        <v/>
      </c>
      <c r="P3698" s="52" t="str">
        <f>IF(AND($L3698=$O$7,$B3698&lt;'111'!$N$11),"x","")</f>
        <v/>
      </c>
      <c r="Q3698" s="52" t="str">
        <f>IF(AND($M3698=$O$7,$B3698&lt;'111'!$N$11),"x","")</f>
        <v/>
      </c>
      <c r="R3698" s="52" t="str">
        <f>IF(ISERROR(FIND('112'!$M$9,G3698,1)),"",IF((AND(FIND('112'!$M$9,G3698,1)&gt;=1,$B3698&gt;='112'!$N$8,$B3698&lt;='112'!$O$8,OR($L3698='112'!$I$6,$M3698='112'!$I$6))),"x",""))</f>
        <v/>
      </c>
      <c r="S3698" s="52" t="str">
        <f>IF(ISERROR(FIND('112'!$M$9,G3698,1)),"",IF((AND(LEFT(G3698,2)=LEFT('112'!$M$9,2),B3698&lt;'112'!$N$8,$L3698='112'!$I$6)),"x",""))</f>
        <v/>
      </c>
      <c r="T3698" s="52" t="str">
        <f>IF(ISERROR(FIND('112'!$M$9,G3698,1)),"",IF((AND(RIGHT(G3698,2)=RIGHT('112'!$M$9,2),B3698&lt;'112'!$N$8,$M3698='112'!$I$6)),"x",""))</f>
        <v/>
      </c>
      <c r="U3698" s="52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/>
      </c>
      <c r="AA3698" s="826"/>
      <c r="AB3698" s="576"/>
    </row>
    <row r="3699" spans="1:28" ht="15.75" customHeight="1">
      <c r="A3699" s="827" t="str">
        <f>IF(B3699&lt;&gt;"",IF(AND(B3699&gt;=_TM1,B3699&lt;=_TM2,OR(TH!L3699="1111",TH!M3699="1111")),TH!D3699,""),"")</f>
        <v/>
      </c>
      <c r="B3699" s="36">
        <f t="shared" si="484"/>
        <v>3</v>
      </c>
      <c r="C3699" s="190">
        <f t="shared" si="390"/>
        <v>42456</v>
      </c>
      <c r="D3699" s="856" t="s">
        <v>1664</v>
      </c>
      <c r="E3699" s="856">
        <v>42456</v>
      </c>
      <c r="F3699" s="868" t="s">
        <v>759</v>
      </c>
      <c r="G3699" s="858" t="s">
        <v>1080</v>
      </c>
      <c r="H3699" s="859" t="s">
        <v>1312</v>
      </c>
      <c r="I3699" s="251">
        <v>12</v>
      </c>
      <c r="J3699" s="251">
        <v>42242</v>
      </c>
      <c r="K3699" s="860">
        <f t="shared" si="391"/>
        <v>506904</v>
      </c>
      <c r="L3699" s="861" t="s">
        <v>160</v>
      </c>
      <c r="M3699" s="861" t="s">
        <v>857</v>
      </c>
      <c r="N3699" s="52" t="str">
        <f>IF(AND('331-CT'!$E$7=TH!H3699,OR(L3699="331",M3699="331")),"331",IF(AND(OR(L3699="131",M3699="131"),H3699='131-CT'!$E$7),"131",""))</f>
        <v/>
      </c>
      <c r="O3699" s="52" t="str">
        <f>IF(AND($B3699&gt;='111'!$N$11,$B3699&lt;='111'!$O$11,OR($L3699=$O$7,$M3699=$O$7)),"x","")</f>
        <v/>
      </c>
      <c r="P3699" s="52" t="str">
        <f>IF(AND($L3699=$O$7,$B3699&lt;'111'!$N$11),"x","")</f>
        <v/>
      </c>
      <c r="Q3699" s="52" t="str">
        <f>IF(AND($M3699=$O$7,$B3699&lt;'111'!$N$11),"x","")</f>
        <v/>
      </c>
      <c r="R3699" s="52" t="str">
        <f>IF(ISERROR(FIND('112'!$M$9,G3699,1)),"",IF((AND(FIND('112'!$M$9,G3699,1)&gt;=1,$B3699&gt;='112'!$N$8,$B3699&lt;='112'!$O$8,OR($L3699='112'!$I$6,$M3699='112'!$I$6))),"x",""))</f>
        <v/>
      </c>
      <c r="S3699" s="52" t="str">
        <f>IF(ISERROR(FIND('112'!$M$9,G3699,1)),"",IF((AND(LEFT(G3699,2)=LEFT('112'!$M$9,2),B3699&lt;'112'!$N$8,$L3699='112'!$I$6)),"x",""))</f>
        <v/>
      </c>
      <c r="T3699" s="52" t="str">
        <f>IF(ISERROR(FIND('112'!$M$9,G3699,1)),"",IF((AND(RIGHT(G3699,2)=RIGHT('112'!$M$9,2),B3699&lt;'112'!$N$8,$M3699='112'!$I$6)),"x",""))</f>
        <v/>
      </c>
      <c r="U3699" s="52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/>
      </c>
      <c r="AA3699" s="826"/>
      <c r="AB3699" s="576"/>
    </row>
    <row r="3700" spans="1:28" ht="15.75" customHeight="1">
      <c r="A3700" s="827" t="str">
        <f>IF(B3700&lt;&gt;"",IF(AND(B3700&gt;=_TM1,B3700&lt;=_TM2,OR(TH!L3700="1111",TH!M3700="1111")),TH!D3700,""),"")</f>
        <v/>
      </c>
      <c r="B3700" s="36">
        <f t="shared" si="484"/>
        <v>3</v>
      </c>
      <c r="C3700" s="190">
        <f t="shared" ref="C3700:C3750" si="485">E3700</f>
        <v>42456</v>
      </c>
      <c r="D3700" s="856" t="s">
        <v>1664</v>
      </c>
      <c r="E3700" s="856">
        <v>42456</v>
      </c>
      <c r="F3700" s="868" t="s">
        <v>759</v>
      </c>
      <c r="G3700" s="858" t="s">
        <v>1080</v>
      </c>
      <c r="H3700" s="859" t="s">
        <v>1312</v>
      </c>
      <c r="I3700" s="251">
        <v>36</v>
      </c>
      <c r="J3700" s="251">
        <v>42242</v>
      </c>
      <c r="K3700" s="860">
        <f t="shared" si="391"/>
        <v>1520712</v>
      </c>
      <c r="L3700" s="861" t="s">
        <v>160</v>
      </c>
      <c r="M3700" s="861" t="s">
        <v>857</v>
      </c>
      <c r="N3700" s="52" t="str">
        <f>IF(AND('331-CT'!$E$7=TH!H3700,OR(L3700="331",M3700="331")),"331",IF(AND(OR(L3700="131",M3700="131"),H3700='131-CT'!$E$7),"131",""))</f>
        <v/>
      </c>
      <c r="O3700" s="52" t="str">
        <f>IF(AND($B3700&gt;='111'!$N$11,$B3700&lt;='111'!$O$11,OR($L3700=$O$7,$M3700=$O$7)),"x","")</f>
        <v/>
      </c>
      <c r="P3700" s="52" t="str">
        <f>IF(AND($L3700=$O$7,$B3700&lt;'111'!$N$11),"x","")</f>
        <v/>
      </c>
      <c r="Q3700" s="52" t="str">
        <f>IF(AND($M3700=$O$7,$B3700&lt;'111'!$N$11),"x","")</f>
        <v/>
      </c>
      <c r="R3700" s="52" t="str">
        <f>IF(ISERROR(FIND('112'!$M$9,G3700,1)),"",IF((AND(FIND('112'!$M$9,G3700,1)&gt;=1,$B3700&gt;='112'!$N$8,$B3700&lt;='112'!$O$8,OR($L3700='112'!$I$6,$M3700='112'!$I$6))),"x",""))</f>
        <v/>
      </c>
      <c r="S3700" s="52" t="str">
        <f>IF(ISERROR(FIND('112'!$M$9,G3700,1)),"",IF((AND(LEFT(G3700,2)=LEFT('112'!$M$9,2),B3700&lt;'112'!$N$8,$L3700='112'!$I$6)),"x",""))</f>
        <v/>
      </c>
      <c r="T3700" s="52" t="str">
        <f>IF(ISERROR(FIND('112'!$M$9,G3700,1)),"",IF((AND(RIGHT(G3700,2)=RIGHT('112'!$M$9,2),B3700&lt;'112'!$N$8,$M3700='112'!$I$6)),"x",""))</f>
        <v/>
      </c>
      <c r="U3700" s="52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/>
      </c>
      <c r="AA3700" s="826"/>
      <c r="AB3700" s="576"/>
    </row>
    <row r="3701" spans="1:28" ht="15.75" customHeight="1">
      <c r="A3701" s="827" t="str">
        <f>IF(B3701&lt;&gt;"",IF(AND(B3701&gt;=_TM1,B3701&lt;=_TM2,OR(TH!L3701="1111",TH!M3701="1111")),TH!D3701,""),"")</f>
        <v/>
      </c>
      <c r="B3701" s="36">
        <f t="shared" si="484"/>
        <v>3</v>
      </c>
      <c r="C3701" s="190">
        <f t="shared" si="485"/>
        <v>42456</v>
      </c>
      <c r="D3701" s="856" t="s">
        <v>1664</v>
      </c>
      <c r="E3701" s="856">
        <v>42456</v>
      </c>
      <c r="F3701" s="868" t="s">
        <v>1014</v>
      </c>
      <c r="G3701" s="858" t="s">
        <v>1080</v>
      </c>
      <c r="H3701" s="859" t="s">
        <v>1312</v>
      </c>
      <c r="I3701" s="251">
        <v>40</v>
      </c>
      <c r="J3701" s="251">
        <v>64322</v>
      </c>
      <c r="K3701" s="860">
        <f t="shared" si="391"/>
        <v>2572880</v>
      </c>
      <c r="L3701" s="861" t="s">
        <v>160</v>
      </c>
      <c r="M3701" s="861" t="s">
        <v>857</v>
      </c>
      <c r="N3701" s="52" t="str">
        <f>IF(AND('331-CT'!$E$7=TH!H3701,OR(L3701="331",M3701="331")),"331",IF(AND(OR(L3701="131",M3701="131"),H3701='131-CT'!$E$7),"131",""))</f>
        <v/>
      </c>
      <c r="O3701" s="52" t="str">
        <f>IF(AND($B3701&gt;='111'!$N$11,$B3701&lt;='111'!$O$11,OR($L3701=$O$7,$M3701=$O$7)),"x","")</f>
        <v/>
      </c>
      <c r="P3701" s="52" t="str">
        <f>IF(AND($L3701=$O$7,$B3701&lt;'111'!$N$11),"x","")</f>
        <v/>
      </c>
      <c r="Q3701" s="52" t="str">
        <f>IF(AND($M3701=$O$7,$B3701&lt;'111'!$N$11),"x","")</f>
        <v/>
      </c>
      <c r="R3701" s="52" t="str">
        <f>IF(ISERROR(FIND('112'!$M$9,G3701,1)),"",IF((AND(FIND('112'!$M$9,G3701,1)&gt;=1,$B3701&gt;='112'!$N$8,$B3701&lt;='112'!$O$8,OR($L3701='112'!$I$6,$M3701='112'!$I$6))),"x",""))</f>
        <v/>
      </c>
      <c r="S3701" s="52" t="str">
        <f>IF(ISERROR(FIND('112'!$M$9,G3701,1)),"",IF((AND(LEFT(G3701,2)=LEFT('112'!$M$9,2),B3701&lt;'112'!$N$8,$L3701='112'!$I$6)),"x",""))</f>
        <v/>
      </c>
      <c r="T3701" s="52" t="str">
        <f>IF(ISERROR(FIND('112'!$M$9,G3701,1)),"",IF((AND(RIGHT(G3701,2)=RIGHT('112'!$M$9,2),B3701&lt;'112'!$N$8,$M3701='112'!$I$6)),"x",""))</f>
        <v/>
      </c>
      <c r="U3701" s="52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/>
      </c>
      <c r="AA3701" s="826"/>
      <c r="AB3701" s="576"/>
    </row>
    <row r="3702" spans="1:28" ht="15.75" customHeight="1">
      <c r="A3702" s="827" t="str">
        <f>IF(B3702&lt;&gt;"",IF(AND(B3702&gt;=_TM1,B3702&lt;=_TM2,OR(TH!L3702="1111",TH!M3702="1111")),TH!D3702,""),"")</f>
        <v/>
      </c>
      <c r="B3702" s="36">
        <f t="shared" si="484"/>
        <v>3</v>
      </c>
      <c r="C3702" s="190">
        <f t="shared" si="485"/>
        <v>42456</v>
      </c>
      <c r="D3702" s="856" t="s">
        <v>1664</v>
      </c>
      <c r="E3702" s="856">
        <v>42456</v>
      </c>
      <c r="F3702" s="868" t="s">
        <v>764</v>
      </c>
      <c r="G3702" s="858" t="s">
        <v>1080</v>
      </c>
      <c r="H3702" s="859" t="s">
        <v>1312</v>
      </c>
      <c r="I3702" s="251">
        <v>12</v>
      </c>
      <c r="J3702" s="251">
        <v>83677</v>
      </c>
      <c r="K3702" s="860">
        <f t="shared" si="391"/>
        <v>1004124</v>
      </c>
      <c r="L3702" s="861" t="s">
        <v>160</v>
      </c>
      <c r="M3702" s="861" t="s">
        <v>857</v>
      </c>
      <c r="N3702" s="52" t="str">
        <f>IF(AND('331-CT'!$E$7=TH!H3702,OR(L3702="331",M3702="331")),"331",IF(AND(OR(L3702="131",M3702="131"),H3702='131-CT'!$E$7),"131",""))</f>
        <v/>
      </c>
      <c r="O3702" s="52" t="str">
        <f>IF(AND($B3702&gt;='111'!$N$11,$B3702&lt;='111'!$O$11,OR($L3702=$O$7,$M3702=$O$7)),"x","")</f>
        <v/>
      </c>
      <c r="P3702" s="52" t="str">
        <f>IF(AND($L3702=$O$7,$B3702&lt;'111'!$N$11),"x","")</f>
        <v/>
      </c>
      <c r="Q3702" s="52" t="str">
        <f>IF(AND($M3702=$O$7,$B3702&lt;'111'!$N$11),"x","")</f>
        <v/>
      </c>
      <c r="R3702" s="52" t="str">
        <f>IF(ISERROR(FIND('112'!$M$9,G3702,1)),"",IF((AND(FIND('112'!$M$9,G3702,1)&gt;=1,$B3702&gt;='112'!$N$8,$B3702&lt;='112'!$O$8,OR($L3702='112'!$I$6,$M3702='112'!$I$6))),"x",""))</f>
        <v/>
      </c>
      <c r="S3702" s="52" t="str">
        <f>IF(ISERROR(FIND('112'!$M$9,G3702,1)),"",IF((AND(LEFT(G3702,2)=LEFT('112'!$M$9,2),B3702&lt;'112'!$N$8,$L3702='112'!$I$6)),"x",""))</f>
        <v/>
      </c>
      <c r="T3702" s="52" t="str">
        <f>IF(ISERROR(FIND('112'!$M$9,G3702,1)),"",IF((AND(RIGHT(G3702,2)=RIGHT('112'!$M$9,2),B3702&lt;'112'!$N$8,$M3702='112'!$I$6)),"x",""))</f>
        <v/>
      </c>
      <c r="U3702" s="52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/>
      </c>
      <c r="AA3702" s="826"/>
      <c r="AB3702" s="576"/>
    </row>
    <row r="3703" spans="1:28" ht="15.75" customHeight="1">
      <c r="A3703" s="827" t="str">
        <f>IF(B3703&lt;&gt;"",IF(AND(B3703&gt;=_TM1,B3703&lt;=_TM2,OR(TH!L3703="1111",TH!M3703="1111")),TH!D3703,""),"")</f>
        <v/>
      </c>
      <c r="B3703" s="36">
        <f t="shared" si="484"/>
        <v>3</v>
      </c>
      <c r="C3703" s="190">
        <f t="shared" si="485"/>
        <v>42456</v>
      </c>
      <c r="D3703" s="856" t="s">
        <v>1664</v>
      </c>
      <c r="E3703" s="856">
        <v>42456</v>
      </c>
      <c r="F3703" s="868" t="s">
        <v>454</v>
      </c>
      <c r="G3703" s="858" t="s">
        <v>1080</v>
      </c>
      <c r="H3703" s="859" t="s">
        <v>1312</v>
      </c>
      <c r="I3703" s="251">
        <v>10</v>
      </c>
      <c r="J3703" s="251">
        <v>73996</v>
      </c>
      <c r="K3703" s="860">
        <f t="shared" ref="K3703:K3750" si="486">ROUND(I3703*J3703,0)</f>
        <v>739960</v>
      </c>
      <c r="L3703" s="861" t="s">
        <v>160</v>
      </c>
      <c r="M3703" s="861" t="s">
        <v>857</v>
      </c>
      <c r="N3703" s="52" t="str">
        <f>IF(AND('331-CT'!$E$7=TH!H3703,OR(L3703="331",M3703="331")),"331",IF(AND(OR(L3703="131",M3703="131"),H3703='131-CT'!$E$7),"131",""))</f>
        <v/>
      </c>
      <c r="O3703" s="52" t="str">
        <f>IF(AND($B3703&gt;='111'!$N$11,$B3703&lt;='111'!$O$11,OR($L3703=$O$7,$M3703=$O$7)),"x","")</f>
        <v/>
      </c>
      <c r="P3703" s="52" t="str">
        <f>IF(AND($L3703=$O$7,$B3703&lt;'111'!$N$11),"x","")</f>
        <v/>
      </c>
      <c r="Q3703" s="52" t="str">
        <f>IF(AND($M3703=$O$7,$B3703&lt;'111'!$N$11),"x","")</f>
        <v/>
      </c>
      <c r="R3703" s="52" t="str">
        <f>IF(ISERROR(FIND('112'!$M$9,G3703,1)),"",IF((AND(FIND('112'!$M$9,G3703,1)&gt;=1,$B3703&gt;='112'!$N$8,$B3703&lt;='112'!$O$8,OR($L3703='112'!$I$6,$M3703='112'!$I$6))),"x",""))</f>
        <v/>
      </c>
      <c r="S3703" s="52" t="str">
        <f>IF(ISERROR(FIND('112'!$M$9,G3703,1)),"",IF((AND(LEFT(G3703,2)=LEFT('112'!$M$9,2),B3703&lt;'112'!$N$8,$L3703='112'!$I$6)),"x",""))</f>
        <v/>
      </c>
      <c r="T3703" s="52" t="str">
        <f>IF(ISERROR(FIND('112'!$M$9,G3703,1)),"",IF((AND(RIGHT(G3703,2)=RIGHT('112'!$M$9,2),B3703&lt;'112'!$N$8,$M3703='112'!$I$6)),"x",""))</f>
        <v/>
      </c>
      <c r="U3703" s="52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/>
      </c>
      <c r="AA3703" s="826"/>
      <c r="AB3703" s="576"/>
    </row>
    <row r="3704" spans="1:28" ht="15.75" customHeight="1">
      <c r="A3704" s="827" t="str">
        <f>IF(B3704&lt;&gt;"",IF(AND(B3704&gt;=_TM1,B3704&lt;=_TM2,OR(TH!L3704="1111",TH!M3704="1111")),TH!D3704,""),"")</f>
        <v/>
      </c>
      <c r="B3704" s="36">
        <f t="shared" si="484"/>
        <v>3</v>
      </c>
      <c r="C3704" s="190">
        <f t="shared" si="485"/>
        <v>42456</v>
      </c>
      <c r="D3704" s="856" t="s">
        <v>1664</v>
      </c>
      <c r="E3704" s="856">
        <v>42456</v>
      </c>
      <c r="F3704" s="868" t="s">
        <v>765</v>
      </c>
      <c r="G3704" s="858" t="s">
        <v>1080</v>
      </c>
      <c r="H3704" s="859" t="s">
        <v>1312</v>
      </c>
      <c r="I3704" s="251">
        <v>10</v>
      </c>
      <c r="J3704" s="251">
        <v>72380</v>
      </c>
      <c r="K3704" s="860">
        <f t="shared" si="486"/>
        <v>723800</v>
      </c>
      <c r="L3704" s="861" t="s">
        <v>160</v>
      </c>
      <c r="M3704" s="861" t="s">
        <v>857</v>
      </c>
      <c r="N3704" s="52" t="str">
        <f>IF(AND('331-CT'!$E$7=TH!H3704,OR(L3704="331",M3704="331")),"331",IF(AND(OR(L3704="131",M3704="131"),H3704='131-CT'!$E$7),"131",""))</f>
        <v/>
      </c>
      <c r="O3704" s="52" t="str">
        <f>IF(AND($B3704&gt;='111'!$N$11,$B3704&lt;='111'!$O$11,OR($L3704=$O$7,$M3704=$O$7)),"x","")</f>
        <v/>
      </c>
      <c r="P3704" s="52" t="str">
        <f>IF(AND($L3704=$O$7,$B3704&lt;'111'!$N$11),"x","")</f>
        <v/>
      </c>
      <c r="Q3704" s="52" t="str">
        <f>IF(AND($M3704=$O$7,$B3704&lt;'111'!$N$11),"x","")</f>
        <v/>
      </c>
      <c r="R3704" s="52" t="str">
        <f>IF(ISERROR(FIND('112'!$M$9,G3704,1)),"",IF((AND(FIND('112'!$M$9,G3704,1)&gt;=1,$B3704&gt;='112'!$N$8,$B3704&lt;='112'!$O$8,OR($L3704='112'!$I$6,$M3704='112'!$I$6))),"x",""))</f>
        <v/>
      </c>
      <c r="S3704" s="52" t="str">
        <f>IF(ISERROR(FIND('112'!$M$9,G3704,1)),"",IF((AND(LEFT(G3704,2)=LEFT('112'!$M$9,2),B3704&lt;'112'!$N$8,$L3704='112'!$I$6)),"x",""))</f>
        <v/>
      </c>
      <c r="T3704" s="52" t="str">
        <f>IF(ISERROR(FIND('112'!$M$9,G3704,1)),"",IF((AND(RIGHT(G3704,2)=RIGHT('112'!$M$9,2),B3704&lt;'112'!$N$8,$M3704='112'!$I$6)),"x",""))</f>
        <v/>
      </c>
      <c r="U3704" s="52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/>
      </c>
      <c r="AA3704" s="826"/>
      <c r="AB3704" s="576"/>
    </row>
    <row r="3705" spans="1:28" ht="15.75" customHeight="1">
      <c r="A3705" s="827" t="str">
        <f>IF(B3705&lt;&gt;"",IF(AND(B3705&gt;=_TM1,B3705&lt;=_TM2,OR(TH!L3705="1111",TH!M3705="1111")),TH!D3705,""),"")</f>
        <v/>
      </c>
      <c r="B3705" s="36">
        <f t="shared" si="484"/>
        <v>3</v>
      </c>
      <c r="C3705" s="190">
        <f t="shared" si="485"/>
        <v>42457</v>
      </c>
      <c r="D3705" s="856" t="s">
        <v>1664</v>
      </c>
      <c r="E3705" s="856">
        <v>42457</v>
      </c>
      <c r="F3705" s="868" t="s">
        <v>627</v>
      </c>
      <c r="G3705" s="858" t="s">
        <v>1081</v>
      </c>
      <c r="H3705" s="859" t="s">
        <v>1312</v>
      </c>
      <c r="I3705" s="251">
        <v>2750</v>
      </c>
      <c r="J3705" s="251">
        <v>6209</v>
      </c>
      <c r="K3705" s="860">
        <f t="shared" si="486"/>
        <v>17074750</v>
      </c>
      <c r="L3705" s="861" t="s">
        <v>160</v>
      </c>
      <c r="M3705" s="861" t="s">
        <v>857</v>
      </c>
      <c r="N3705" s="52" t="str">
        <f>IF(AND('331-CT'!$E$7=TH!H3705,OR(L3705="331",M3705="331")),"331",IF(AND(OR(L3705="131",M3705="131"),H3705='131-CT'!$E$7),"131",""))</f>
        <v/>
      </c>
      <c r="O3705" s="52" t="str">
        <f>IF(AND($B3705&gt;='111'!$N$11,$B3705&lt;='111'!$O$11,OR($L3705=$O$7,$M3705=$O$7)),"x","")</f>
        <v/>
      </c>
      <c r="P3705" s="52" t="str">
        <f>IF(AND($L3705=$O$7,$B3705&lt;'111'!$N$11),"x","")</f>
        <v/>
      </c>
      <c r="Q3705" s="52" t="str">
        <f>IF(AND($M3705=$O$7,$B3705&lt;'111'!$N$11),"x","")</f>
        <v/>
      </c>
      <c r="R3705" s="52" t="str">
        <f>IF(ISERROR(FIND('112'!$M$9,G3705,1)),"",IF((AND(FIND('112'!$M$9,G3705,1)&gt;=1,$B3705&gt;='112'!$N$8,$B3705&lt;='112'!$O$8,OR($L3705='112'!$I$6,$M3705='112'!$I$6))),"x",""))</f>
        <v/>
      </c>
      <c r="S3705" s="52" t="str">
        <f>IF(ISERROR(FIND('112'!$M$9,G3705,1)),"",IF((AND(LEFT(G3705,2)=LEFT('112'!$M$9,2),B3705&lt;'112'!$N$8,$L3705='112'!$I$6)),"x",""))</f>
        <v/>
      </c>
      <c r="T3705" s="52" t="str">
        <f>IF(ISERROR(FIND('112'!$M$9,G3705,1)),"",IF((AND(RIGHT(G3705,2)=RIGHT('112'!$M$9,2),B3705&lt;'112'!$N$8,$M3705='112'!$I$6)),"x",""))</f>
        <v/>
      </c>
      <c r="U3705" s="52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/>
      </c>
      <c r="AA3705" s="826"/>
      <c r="AB3705" s="576"/>
    </row>
    <row r="3706" spans="1:28" ht="15.75" customHeight="1">
      <c r="A3706" s="827" t="str">
        <f>IF(B3706&lt;&gt;"",IF(AND(B3706&gt;=_TM1,B3706&lt;=_TM2,OR(TH!L3706="1111",TH!M3706="1111")),TH!D3706,""),"")</f>
        <v/>
      </c>
      <c r="B3706" s="36">
        <f t="shared" si="484"/>
        <v>1</v>
      </c>
      <c r="C3706" s="190">
        <f t="shared" si="485"/>
        <v>42371</v>
      </c>
      <c r="D3706" s="856" t="s">
        <v>1664</v>
      </c>
      <c r="E3706" s="856">
        <v>42371</v>
      </c>
      <c r="F3706" s="868" t="s">
        <v>1207</v>
      </c>
      <c r="G3706" s="858" t="s">
        <v>1019</v>
      </c>
      <c r="H3706" s="859" t="s">
        <v>1312</v>
      </c>
      <c r="I3706" s="251">
        <v>47</v>
      </c>
      <c r="J3706" s="251">
        <v>12444</v>
      </c>
      <c r="K3706" s="860">
        <f t="shared" si="486"/>
        <v>584868</v>
      </c>
      <c r="L3706" s="861" t="s">
        <v>160</v>
      </c>
      <c r="M3706" s="861" t="s">
        <v>857</v>
      </c>
      <c r="N3706" s="52" t="str">
        <f>IF(AND('331-CT'!$E$7=TH!H3706,OR(L3706="331",M3706="331")),"331",IF(AND(OR(L3706="131",M3706="131"),H3706='131-CT'!$E$7),"131",""))</f>
        <v/>
      </c>
      <c r="O3706" s="52" t="str">
        <f>IF(AND($B3706&gt;='111'!$N$11,$B3706&lt;='111'!$O$11,OR($L3706=$O$7,$M3706=$O$7)),"x","")</f>
        <v/>
      </c>
      <c r="P3706" s="52" t="str">
        <f>IF(AND($L3706=$O$7,$B3706&lt;'111'!$N$11),"x","")</f>
        <v/>
      </c>
      <c r="Q3706" s="52" t="str">
        <f>IF(AND($M3706=$O$7,$B3706&lt;'111'!$N$11),"x","")</f>
        <v/>
      </c>
      <c r="R3706" s="52" t="str">
        <f>IF(ISERROR(FIND('112'!$M$9,G3706,1)),"",IF((AND(FIND('112'!$M$9,G3706,1)&gt;=1,$B3706&gt;='112'!$N$8,$B3706&lt;='112'!$O$8,OR($L3706='112'!$I$6,$M3706='112'!$I$6))),"x",""))</f>
        <v/>
      </c>
      <c r="S3706" s="52" t="str">
        <f>IF(ISERROR(FIND('112'!$M$9,G3706,1)),"",IF((AND(LEFT(G3706,2)=LEFT('112'!$M$9,2),B3706&lt;'112'!$N$8,$L3706='112'!$I$6)),"x",""))</f>
        <v/>
      </c>
      <c r="T3706" s="52" t="str">
        <f>IF(ISERROR(FIND('112'!$M$9,G3706,1)),"",IF((AND(RIGHT(G3706,2)=RIGHT('112'!$M$9,2),B3706&lt;'112'!$N$8,$M3706='112'!$I$6)),"x",""))</f>
        <v/>
      </c>
      <c r="U3706" s="52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/>
      </c>
      <c r="AA3706" s="826"/>
      <c r="AB3706" s="576"/>
    </row>
    <row r="3707" spans="1:28" ht="15.75" customHeight="1">
      <c r="A3707" s="827" t="str">
        <f>IF(B3707&lt;&gt;"",IF(AND(B3707&gt;=_TM1,B3707&lt;=_TM2,OR(TH!L3707="1111",TH!M3707="1111")),TH!D3707,""),"")</f>
        <v/>
      </c>
      <c r="B3707" s="36">
        <f t="shared" si="484"/>
        <v>1</v>
      </c>
      <c r="C3707" s="190">
        <f t="shared" si="485"/>
        <v>42375</v>
      </c>
      <c r="D3707" s="856" t="s">
        <v>1664</v>
      </c>
      <c r="E3707" s="856">
        <v>42375</v>
      </c>
      <c r="F3707" s="868" t="s">
        <v>1217</v>
      </c>
      <c r="G3707" s="858" t="s">
        <v>1025</v>
      </c>
      <c r="H3707" s="859" t="s">
        <v>1312</v>
      </c>
      <c r="I3707" s="251">
        <v>100</v>
      </c>
      <c r="J3707" s="251">
        <v>8201</v>
      </c>
      <c r="K3707" s="860">
        <f t="shared" si="486"/>
        <v>820100</v>
      </c>
      <c r="L3707" s="861" t="s">
        <v>160</v>
      </c>
      <c r="M3707" s="861" t="s">
        <v>857</v>
      </c>
      <c r="N3707" s="52" t="str">
        <f>IF(AND('331-CT'!$E$7=TH!H3707,OR(L3707="331",M3707="331")),"331",IF(AND(OR(L3707="131",M3707="131"),H3707='131-CT'!$E$7),"131",""))</f>
        <v/>
      </c>
      <c r="O3707" s="52" t="str">
        <f>IF(AND($B3707&gt;='111'!$N$11,$B3707&lt;='111'!$O$11,OR($L3707=$O$7,$M3707=$O$7)),"x","")</f>
        <v/>
      </c>
      <c r="P3707" s="52" t="str">
        <f>IF(AND($L3707=$O$7,$B3707&lt;'111'!$N$11),"x","")</f>
        <v/>
      </c>
      <c r="Q3707" s="52" t="str">
        <f>IF(AND($M3707=$O$7,$B3707&lt;'111'!$N$11),"x","")</f>
        <v/>
      </c>
      <c r="R3707" s="52" t="str">
        <f>IF(ISERROR(FIND('112'!$M$9,G3707,1)),"",IF((AND(FIND('112'!$M$9,G3707,1)&gt;=1,$B3707&gt;='112'!$N$8,$B3707&lt;='112'!$O$8,OR($L3707='112'!$I$6,$M3707='112'!$I$6))),"x",""))</f>
        <v/>
      </c>
      <c r="S3707" s="52" t="str">
        <f>IF(ISERROR(FIND('112'!$M$9,G3707,1)),"",IF((AND(LEFT(G3707,2)=LEFT('112'!$M$9,2),B3707&lt;'112'!$N$8,$L3707='112'!$I$6)),"x",""))</f>
        <v/>
      </c>
      <c r="T3707" s="52" t="str">
        <f>IF(ISERROR(FIND('112'!$M$9,G3707,1)),"",IF((AND(RIGHT(G3707,2)=RIGHT('112'!$M$9,2),B3707&lt;'112'!$N$8,$M3707='112'!$I$6)),"x",""))</f>
        <v/>
      </c>
      <c r="U3707" s="52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/>
      </c>
      <c r="AA3707" s="826"/>
      <c r="AB3707" s="576"/>
    </row>
    <row r="3708" spans="1:28" ht="15.75" customHeight="1">
      <c r="A3708" s="827" t="str">
        <f>IF(B3708&lt;&gt;"",IF(AND(B3708&gt;=_TM1,B3708&lt;=_TM2,OR(TH!L3708="1111",TH!M3708="1111")),TH!D3708,""),"")</f>
        <v/>
      </c>
      <c r="B3708" s="36">
        <f t="shared" si="484"/>
        <v>1</v>
      </c>
      <c r="C3708" s="190">
        <f t="shared" si="485"/>
        <v>42379</v>
      </c>
      <c r="D3708" s="856" t="s">
        <v>1664</v>
      </c>
      <c r="E3708" s="856">
        <v>42379</v>
      </c>
      <c r="F3708" s="868" t="s">
        <v>1177</v>
      </c>
      <c r="G3708" s="858" t="s">
        <v>1026</v>
      </c>
      <c r="H3708" s="859" t="s">
        <v>1312</v>
      </c>
      <c r="I3708" s="251">
        <v>40</v>
      </c>
      <c r="J3708" s="251">
        <v>20777</v>
      </c>
      <c r="K3708" s="860">
        <f t="shared" si="486"/>
        <v>831080</v>
      </c>
      <c r="L3708" s="861" t="s">
        <v>160</v>
      </c>
      <c r="M3708" s="861" t="s">
        <v>857</v>
      </c>
      <c r="N3708" s="52" t="str">
        <f>IF(AND('331-CT'!$E$7=TH!H3708,OR(L3708="331",M3708="331")),"331",IF(AND(OR(L3708="131",M3708="131"),H3708='131-CT'!$E$7),"131",""))</f>
        <v/>
      </c>
      <c r="O3708" s="52" t="str">
        <f>IF(AND($B3708&gt;='111'!$N$11,$B3708&lt;='111'!$O$11,OR($L3708=$O$7,$M3708=$O$7)),"x","")</f>
        <v/>
      </c>
      <c r="P3708" s="52" t="str">
        <f>IF(AND($L3708=$O$7,$B3708&lt;'111'!$N$11),"x","")</f>
        <v/>
      </c>
      <c r="Q3708" s="52" t="str">
        <f>IF(AND($M3708=$O$7,$B3708&lt;'111'!$N$11),"x","")</f>
        <v/>
      </c>
      <c r="R3708" s="52" t="str">
        <f>IF(ISERROR(FIND('112'!$M$9,G3708,1)),"",IF((AND(FIND('112'!$M$9,G3708,1)&gt;=1,$B3708&gt;='112'!$N$8,$B3708&lt;='112'!$O$8,OR($L3708='112'!$I$6,$M3708='112'!$I$6))),"x",""))</f>
        <v/>
      </c>
      <c r="S3708" s="52" t="str">
        <f>IF(ISERROR(FIND('112'!$M$9,G3708,1)),"",IF((AND(LEFT(G3708,2)=LEFT('112'!$M$9,2),B3708&lt;'112'!$N$8,$L3708='112'!$I$6)),"x",""))</f>
        <v/>
      </c>
      <c r="T3708" s="52" t="str">
        <f>IF(ISERROR(FIND('112'!$M$9,G3708,1)),"",IF((AND(RIGHT(G3708,2)=RIGHT('112'!$M$9,2),B3708&lt;'112'!$N$8,$M3708='112'!$I$6)),"x",""))</f>
        <v/>
      </c>
      <c r="U3708" s="52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/>
      </c>
      <c r="AA3708" s="826"/>
      <c r="AB3708" s="576"/>
    </row>
    <row r="3709" spans="1:28" ht="15.75" customHeight="1">
      <c r="A3709" s="827" t="str">
        <f>IF(B3709&lt;&gt;"",IF(AND(B3709&gt;=_TM1,B3709&lt;=_TM2,OR(TH!L3709="1111",TH!M3709="1111")),TH!D3709,""),"")</f>
        <v/>
      </c>
      <c r="B3709" s="36">
        <f t="shared" si="484"/>
        <v>1</v>
      </c>
      <c r="C3709" s="190">
        <f t="shared" si="485"/>
        <v>42386</v>
      </c>
      <c r="D3709" s="856" t="s">
        <v>1664</v>
      </c>
      <c r="E3709" s="856">
        <v>42386</v>
      </c>
      <c r="F3709" s="868" t="s">
        <v>1169</v>
      </c>
      <c r="G3709" s="858" t="s">
        <v>1027</v>
      </c>
      <c r="H3709" s="859" t="s">
        <v>1312</v>
      </c>
      <c r="I3709" s="251">
        <v>250</v>
      </c>
      <c r="J3709" s="251">
        <v>9430</v>
      </c>
      <c r="K3709" s="860">
        <f t="shared" si="486"/>
        <v>2357500</v>
      </c>
      <c r="L3709" s="861" t="s">
        <v>160</v>
      </c>
      <c r="M3709" s="861" t="s">
        <v>857</v>
      </c>
      <c r="N3709" s="52" t="str">
        <f>IF(AND('331-CT'!$E$7=TH!H3709,OR(L3709="331",M3709="331")),"331",IF(AND(OR(L3709="131",M3709="131"),H3709='131-CT'!$E$7),"131",""))</f>
        <v/>
      </c>
      <c r="O3709" s="52" t="str">
        <f>IF(AND($B3709&gt;='111'!$N$11,$B3709&lt;='111'!$O$11,OR($L3709=$O$7,$M3709=$O$7)),"x","")</f>
        <v/>
      </c>
      <c r="P3709" s="52" t="str">
        <f>IF(AND($L3709=$O$7,$B3709&lt;'111'!$N$11),"x","")</f>
        <v/>
      </c>
      <c r="Q3709" s="52" t="str">
        <f>IF(AND($M3709=$O$7,$B3709&lt;'111'!$N$11),"x","")</f>
        <v/>
      </c>
      <c r="R3709" s="52" t="str">
        <f>IF(ISERROR(FIND('112'!$M$9,G3709,1)),"",IF((AND(FIND('112'!$M$9,G3709,1)&gt;=1,$B3709&gt;='112'!$N$8,$B3709&lt;='112'!$O$8,OR($L3709='112'!$I$6,$M3709='112'!$I$6))),"x",""))</f>
        <v/>
      </c>
      <c r="S3709" s="52" t="str">
        <f>IF(ISERROR(FIND('112'!$M$9,G3709,1)),"",IF((AND(LEFT(G3709,2)=LEFT('112'!$M$9,2),B3709&lt;'112'!$N$8,$L3709='112'!$I$6)),"x",""))</f>
        <v/>
      </c>
      <c r="T3709" s="52" t="str">
        <f>IF(ISERROR(FIND('112'!$M$9,G3709,1)),"",IF((AND(RIGHT(G3709,2)=RIGHT('112'!$M$9,2),B3709&lt;'112'!$N$8,$M3709='112'!$I$6)),"x",""))</f>
        <v/>
      </c>
      <c r="U3709" s="52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/>
      </c>
      <c r="AA3709" s="826"/>
      <c r="AB3709" s="576"/>
    </row>
    <row r="3710" spans="1:28" ht="15.75" customHeight="1">
      <c r="A3710" s="827" t="str">
        <f>IF(B3710&lt;&gt;"",IF(AND(B3710&gt;=_TM1,B3710&lt;=_TM2,OR(TH!L3710="1111",TH!M3710="1111")),TH!D3710,""),"")</f>
        <v/>
      </c>
      <c r="B3710" s="36">
        <f t="shared" si="484"/>
        <v>1</v>
      </c>
      <c r="C3710" s="190">
        <f t="shared" si="485"/>
        <v>42392</v>
      </c>
      <c r="D3710" s="856" t="s">
        <v>1664</v>
      </c>
      <c r="E3710" s="856">
        <v>42392</v>
      </c>
      <c r="F3710" s="868" t="s">
        <v>1160</v>
      </c>
      <c r="G3710" s="858" t="s">
        <v>1029</v>
      </c>
      <c r="H3710" s="859" t="s">
        <v>1312</v>
      </c>
      <c r="I3710" s="251">
        <v>60</v>
      </c>
      <c r="J3710" s="251">
        <v>17250</v>
      </c>
      <c r="K3710" s="860">
        <f t="shared" si="486"/>
        <v>1035000</v>
      </c>
      <c r="L3710" s="861" t="s">
        <v>160</v>
      </c>
      <c r="M3710" s="861" t="s">
        <v>857</v>
      </c>
      <c r="N3710" s="52" t="str">
        <f>IF(AND('331-CT'!$E$7=TH!H3710,OR(L3710="331",M3710="331")),"331",IF(AND(OR(L3710="131",M3710="131"),H3710='131-CT'!$E$7),"131",""))</f>
        <v/>
      </c>
      <c r="O3710" s="52" t="str">
        <f>IF(AND($B3710&gt;='111'!$N$11,$B3710&lt;='111'!$O$11,OR($L3710=$O$7,$M3710=$O$7)),"x","")</f>
        <v/>
      </c>
      <c r="P3710" s="52" t="str">
        <f>IF(AND($L3710=$O$7,$B3710&lt;'111'!$N$11),"x","")</f>
        <v/>
      </c>
      <c r="Q3710" s="52" t="str">
        <f>IF(AND($M3710=$O$7,$B3710&lt;'111'!$N$11),"x","")</f>
        <v/>
      </c>
      <c r="R3710" s="52" t="str">
        <f>IF(ISERROR(FIND('112'!$M$9,G3710,1)),"",IF((AND(FIND('112'!$M$9,G3710,1)&gt;=1,$B3710&gt;='112'!$N$8,$B3710&lt;='112'!$O$8,OR($L3710='112'!$I$6,$M3710='112'!$I$6))),"x",""))</f>
        <v/>
      </c>
      <c r="S3710" s="52" t="str">
        <f>IF(ISERROR(FIND('112'!$M$9,G3710,1)),"",IF((AND(LEFT(G3710,2)=LEFT('112'!$M$9,2),B3710&lt;'112'!$N$8,$L3710='112'!$I$6)),"x",""))</f>
        <v/>
      </c>
      <c r="T3710" s="52" t="str">
        <f>IF(ISERROR(FIND('112'!$M$9,G3710,1)),"",IF((AND(RIGHT(G3710,2)=RIGHT('112'!$M$9,2),B3710&lt;'112'!$N$8,$M3710='112'!$I$6)),"x",""))</f>
        <v/>
      </c>
      <c r="U3710" s="52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/>
      </c>
      <c r="AA3710" s="826"/>
      <c r="AB3710" s="576"/>
    </row>
    <row r="3711" spans="1:28" ht="15.75" customHeight="1">
      <c r="A3711" s="827" t="str">
        <f>IF(B3711&lt;&gt;"",IF(AND(B3711&gt;=_TM1,B3711&lt;=_TM2,OR(TH!L3711="1111",TH!M3711="1111")),TH!D3711,""),"")</f>
        <v/>
      </c>
      <c r="B3711" s="36">
        <f t="shared" si="484"/>
        <v>1</v>
      </c>
      <c r="C3711" s="190">
        <f t="shared" si="485"/>
        <v>42397</v>
      </c>
      <c r="D3711" s="856" t="s">
        <v>1664</v>
      </c>
      <c r="E3711" s="856">
        <v>42397</v>
      </c>
      <c r="F3711" s="868" t="s">
        <v>1284</v>
      </c>
      <c r="G3711" s="858" t="s">
        <v>1032</v>
      </c>
      <c r="H3711" s="859" t="s">
        <v>1312</v>
      </c>
      <c r="I3711" s="251">
        <v>15</v>
      </c>
      <c r="J3711" s="251">
        <v>24472</v>
      </c>
      <c r="K3711" s="860">
        <f t="shared" si="486"/>
        <v>367080</v>
      </c>
      <c r="L3711" s="861" t="s">
        <v>160</v>
      </c>
      <c r="M3711" s="861" t="s">
        <v>857</v>
      </c>
      <c r="N3711" s="52" t="str">
        <f>IF(AND('331-CT'!$E$7=TH!H3711,OR(L3711="331",M3711="331")),"331",IF(AND(OR(L3711="131",M3711="131"),H3711='131-CT'!$E$7),"131",""))</f>
        <v/>
      </c>
      <c r="O3711" s="52" t="str">
        <f>IF(AND($B3711&gt;='111'!$N$11,$B3711&lt;='111'!$O$11,OR($L3711=$O$7,$M3711=$O$7)),"x","")</f>
        <v/>
      </c>
      <c r="P3711" s="52" t="str">
        <f>IF(AND($L3711=$O$7,$B3711&lt;'111'!$N$11),"x","")</f>
        <v/>
      </c>
      <c r="Q3711" s="52" t="str">
        <f>IF(AND($M3711=$O$7,$B3711&lt;'111'!$N$11),"x","")</f>
        <v/>
      </c>
      <c r="R3711" s="52" t="str">
        <f>IF(ISERROR(FIND('112'!$M$9,G3711,1)),"",IF((AND(FIND('112'!$M$9,G3711,1)&gt;=1,$B3711&gt;='112'!$N$8,$B3711&lt;='112'!$O$8,OR($L3711='112'!$I$6,$M3711='112'!$I$6))),"x",""))</f>
        <v/>
      </c>
      <c r="S3711" s="52" t="str">
        <f>IF(ISERROR(FIND('112'!$M$9,G3711,1)),"",IF((AND(LEFT(G3711,2)=LEFT('112'!$M$9,2),B3711&lt;'112'!$N$8,$L3711='112'!$I$6)),"x",""))</f>
        <v/>
      </c>
      <c r="T3711" s="52" t="str">
        <f>IF(ISERROR(FIND('112'!$M$9,G3711,1)),"",IF((AND(RIGHT(G3711,2)=RIGHT('112'!$M$9,2),B3711&lt;'112'!$N$8,$M3711='112'!$I$6)),"x",""))</f>
        <v/>
      </c>
      <c r="U3711" s="52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/>
      </c>
      <c r="AA3711" s="826"/>
      <c r="AB3711" s="576"/>
    </row>
    <row r="3712" spans="1:28" ht="15.75" customHeight="1">
      <c r="A3712" s="827" t="str">
        <f>IF(B3712&lt;&gt;"",IF(AND(B3712&gt;=_TM1,B3712&lt;=_TM2,OR(TH!L3712="1111",TH!M3712="1111")),TH!D3712,""),"")</f>
        <v/>
      </c>
      <c r="B3712" s="36">
        <f t="shared" si="484"/>
        <v>1</v>
      </c>
      <c r="C3712" s="190">
        <f t="shared" si="485"/>
        <v>42397</v>
      </c>
      <c r="D3712" s="856" t="s">
        <v>1664</v>
      </c>
      <c r="E3712" s="856">
        <v>42397</v>
      </c>
      <c r="F3712" s="868" t="s">
        <v>1117</v>
      </c>
      <c r="G3712" s="858" t="s">
        <v>1032</v>
      </c>
      <c r="H3712" s="859" t="s">
        <v>1312</v>
      </c>
      <c r="I3712" s="251">
        <v>28</v>
      </c>
      <c r="J3712" s="251">
        <v>13988</v>
      </c>
      <c r="K3712" s="860">
        <f t="shared" si="486"/>
        <v>391664</v>
      </c>
      <c r="L3712" s="861" t="s">
        <v>160</v>
      </c>
      <c r="M3712" s="861" t="s">
        <v>857</v>
      </c>
      <c r="N3712" s="52" t="str">
        <f>IF(AND('331-CT'!$E$7=TH!H3712,OR(L3712="331",M3712="331")),"331",IF(AND(OR(L3712="131",M3712="131"),H3712='131-CT'!$E$7),"131",""))</f>
        <v/>
      </c>
      <c r="O3712" s="52" t="str">
        <f>IF(AND($B3712&gt;='111'!$N$11,$B3712&lt;='111'!$O$11,OR($L3712=$O$7,$M3712=$O$7)),"x","")</f>
        <v/>
      </c>
      <c r="P3712" s="52" t="str">
        <f>IF(AND($L3712=$O$7,$B3712&lt;'111'!$N$11),"x","")</f>
        <v/>
      </c>
      <c r="Q3712" s="52" t="str">
        <f>IF(AND($M3712=$O$7,$B3712&lt;'111'!$N$11),"x","")</f>
        <v/>
      </c>
      <c r="R3712" s="52" t="str">
        <f>IF(ISERROR(FIND('112'!$M$9,G3712,1)),"",IF((AND(FIND('112'!$M$9,G3712,1)&gt;=1,$B3712&gt;='112'!$N$8,$B3712&lt;='112'!$O$8,OR($L3712='112'!$I$6,$M3712='112'!$I$6))),"x",""))</f>
        <v/>
      </c>
      <c r="S3712" s="52" t="str">
        <f>IF(ISERROR(FIND('112'!$M$9,G3712,1)),"",IF((AND(LEFT(G3712,2)=LEFT('112'!$M$9,2),B3712&lt;'112'!$N$8,$L3712='112'!$I$6)),"x",""))</f>
        <v/>
      </c>
      <c r="T3712" s="52" t="str">
        <f>IF(ISERROR(FIND('112'!$M$9,G3712,1)),"",IF((AND(RIGHT(G3712,2)=RIGHT('112'!$M$9,2),B3712&lt;'112'!$N$8,$M3712='112'!$I$6)),"x",""))</f>
        <v/>
      </c>
      <c r="U3712" s="52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/>
      </c>
      <c r="AA3712" s="826"/>
      <c r="AB3712" s="576"/>
    </row>
    <row r="3713" spans="1:28" ht="15.75" customHeight="1">
      <c r="A3713" s="827" t="str">
        <f>IF(B3713&lt;&gt;"",IF(AND(B3713&gt;=_TM1,B3713&lt;=_TM2,OR(TH!L3713="1111",TH!M3713="1111")),TH!D3713,""),"")</f>
        <v/>
      </c>
      <c r="B3713" s="36">
        <f t="shared" si="484"/>
        <v>1</v>
      </c>
      <c r="C3713" s="190">
        <f t="shared" si="485"/>
        <v>42397</v>
      </c>
      <c r="D3713" s="856" t="s">
        <v>1664</v>
      </c>
      <c r="E3713" s="856">
        <v>42397</v>
      </c>
      <c r="F3713" s="868" t="s">
        <v>1171</v>
      </c>
      <c r="G3713" s="858" t="s">
        <v>1032</v>
      </c>
      <c r="H3713" s="859" t="s">
        <v>1312</v>
      </c>
      <c r="I3713" s="251">
        <v>40</v>
      </c>
      <c r="J3713" s="251">
        <v>19188</v>
      </c>
      <c r="K3713" s="860">
        <f t="shared" si="486"/>
        <v>767520</v>
      </c>
      <c r="L3713" s="861" t="s">
        <v>160</v>
      </c>
      <c r="M3713" s="861" t="s">
        <v>857</v>
      </c>
      <c r="N3713" s="52" t="str">
        <f>IF(AND('331-CT'!$E$7=TH!H3713,OR(L3713="331",M3713="331")),"331",IF(AND(OR(L3713="131",M3713="131"),H3713='131-CT'!$E$7),"131",""))</f>
        <v/>
      </c>
      <c r="O3713" s="52" t="str">
        <f>IF(AND($B3713&gt;='111'!$N$11,$B3713&lt;='111'!$O$11,OR($L3713=$O$7,$M3713=$O$7)),"x","")</f>
        <v/>
      </c>
      <c r="P3713" s="52" t="str">
        <f>IF(AND($L3713=$O$7,$B3713&lt;'111'!$N$11),"x","")</f>
        <v/>
      </c>
      <c r="Q3713" s="52" t="str">
        <f>IF(AND($M3713=$O$7,$B3713&lt;'111'!$N$11),"x","")</f>
        <v/>
      </c>
      <c r="R3713" s="52" t="str">
        <f>IF(ISERROR(FIND('112'!$M$9,G3713,1)),"",IF((AND(FIND('112'!$M$9,G3713,1)&gt;=1,$B3713&gt;='112'!$N$8,$B3713&lt;='112'!$O$8,OR($L3713='112'!$I$6,$M3713='112'!$I$6))),"x",""))</f>
        <v/>
      </c>
      <c r="S3713" s="52" t="str">
        <f>IF(ISERROR(FIND('112'!$M$9,G3713,1)),"",IF((AND(LEFT(G3713,2)=LEFT('112'!$M$9,2),B3713&lt;'112'!$N$8,$L3713='112'!$I$6)),"x",""))</f>
        <v/>
      </c>
      <c r="T3713" s="52" t="str">
        <f>IF(ISERROR(FIND('112'!$M$9,G3713,1)),"",IF((AND(RIGHT(G3713,2)=RIGHT('112'!$M$9,2),B3713&lt;'112'!$N$8,$M3713='112'!$I$6)),"x",""))</f>
        <v/>
      </c>
      <c r="U3713" s="52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/>
      </c>
      <c r="AA3713" s="826"/>
      <c r="AB3713" s="576"/>
    </row>
    <row r="3714" spans="1:28" ht="15.75" customHeight="1">
      <c r="A3714" s="827" t="str">
        <f>IF(B3714&lt;&gt;"",IF(AND(B3714&gt;=_TM1,B3714&lt;=_TM2,OR(TH!L3714="1111",TH!M3714="1111")),TH!D3714,""),"")</f>
        <v/>
      </c>
      <c r="B3714" s="36">
        <f t="shared" si="484"/>
        <v>1</v>
      </c>
      <c r="C3714" s="190">
        <f t="shared" si="485"/>
        <v>42399</v>
      </c>
      <c r="D3714" s="856" t="s">
        <v>1664</v>
      </c>
      <c r="E3714" s="856">
        <v>42399</v>
      </c>
      <c r="F3714" s="868" t="s">
        <v>1161</v>
      </c>
      <c r="G3714" s="858" t="s">
        <v>1039</v>
      </c>
      <c r="H3714" s="859" t="s">
        <v>1312</v>
      </c>
      <c r="I3714" s="251">
        <v>140</v>
      </c>
      <c r="J3714" s="251">
        <v>16662</v>
      </c>
      <c r="K3714" s="860">
        <f t="shared" si="486"/>
        <v>2332680</v>
      </c>
      <c r="L3714" s="861" t="s">
        <v>160</v>
      </c>
      <c r="M3714" s="861" t="s">
        <v>857</v>
      </c>
      <c r="N3714" s="52" t="str">
        <f>IF(AND('331-CT'!$E$7=TH!H3714,OR(L3714="331",M3714="331")),"331",IF(AND(OR(L3714="131",M3714="131"),H3714='131-CT'!$E$7),"131",""))</f>
        <v/>
      </c>
      <c r="O3714" s="52" t="str">
        <f>IF(AND($B3714&gt;='111'!$N$11,$B3714&lt;='111'!$O$11,OR($L3714=$O$7,$M3714=$O$7)),"x","")</f>
        <v/>
      </c>
      <c r="P3714" s="52" t="str">
        <f>IF(AND($L3714=$O$7,$B3714&lt;'111'!$N$11),"x","")</f>
        <v/>
      </c>
      <c r="Q3714" s="52" t="str">
        <f>IF(AND($M3714=$O$7,$B3714&lt;'111'!$N$11),"x","")</f>
        <v/>
      </c>
      <c r="R3714" s="52" t="str">
        <f>IF(ISERROR(FIND('112'!$M$9,G3714,1)),"",IF((AND(FIND('112'!$M$9,G3714,1)&gt;=1,$B3714&gt;='112'!$N$8,$B3714&lt;='112'!$O$8,OR($L3714='112'!$I$6,$M3714='112'!$I$6))),"x",""))</f>
        <v/>
      </c>
      <c r="S3714" s="52" t="str">
        <f>IF(ISERROR(FIND('112'!$M$9,G3714,1)),"",IF((AND(LEFT(G3714,2)=LEFT('112'!$M$9,2),B3714&lt;'112'!$N$8,$L3714='112'!$I$6)),"x",""))</f>
        <v/>
      </c>
      <c r="T3714" s="52" t="str">
        <f>IF(ISERROR(FIND('112'!$M$9,G3714,1)),"",IF((AND(RIGHT(G3714,2)=RIGHT('112'!$M$9,2),B3714&lt;'112'!$N$8,$M3714='112'!$I$6)),"x",""))</f>
        <v/>
      </c>
      <c r="U3714" s="52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/>
      </c>
      <c r="AA3714" s="826"/>
      <c r="AB3714" s="576"/>
    </row>
    <row r="3715" spans="1:28" ht="15.75" customHeight="1">
      <c r="A3715" s="827" t="str">
        <f>IF(B3715&lt;&gt;"",IF(AND(B3715&gt;=_TM1,B3715&lt;=_TM2,OR(TH!L3715="1111",TH!M3715="1111")),TH!D3715,""),"")</f>
        <v/>
      </c>
      <c r="B3715" s="36">
        <f t="shared" si="484"/>
        <v>1</v>
      </c>
      <c r="C3715" s="190">
        <f t="shared" si="485"/>
        <v>42399</v>
      </c>
      <c r="D3715" s="856" t="s">
        <v>1664</v>
      </c>
      <c r="E3715" s="856">
        <v>42399</v>
      </c>
      <c r="F3715" s="868" t="s">
        <v>1158</v>
      </c>
      <c r="G3715" s="858" t="s">
        <v>1039</v>
      </c>
      <c r="H3715" s="859" t="s">
        <v>1312</v>
      </c>
      <c r="I3715" s="251">
        <v>88</v>
      </c>
      <c r="J3715" s="251">
        <v>11155</v>
      </c>
      <c r="K3715" s="860">
        <f t="shared" si="486"/>
        <v>981640</v>
      </c>
      <c r="L3715" s="861" t="s">
        <v>160</v>
      </c>
      <c r="M3715" s="861" t="s">
        <v>857</v>
      </c>
      <c r="N3715" s="52" t="str">
        <f>IF(AND('331-CT'!$E$7=TH!H3715,OR(L3715="331",M3715="331")),"331",IF(AND(OR(L3715="131",M3715="131"),H3715='131-CT'!$E$7),"131",""))</f>
        <v/>
      </c>
      <c r="O3715" s="52" t="str">
        <f>IF(AND($B3715&gt;='111'!$N$11,$B3715&lt;='111'!$O$11,OR($L3715=$O$7,$M3715=$O$7)),"x","")</f>
        <v/>
      </c>
      <c r="P3715" s="52" t="str">
        <f>IF(AND($L3715=$O$7,$B3715&lt;'111'!$N$11),"x","")</f>
        <v/>
      </c>
      <c r="Q3715" s="52" t="str">
        <f>IF(AND($M3715=$O$7,$B3715&lt;'111'!$N$11),"x","")</f>
        <v/>
      </c>
      <c r="R3715" s="52" t="str">
        <f>IF(ISERROR(FIND('112'!$M$9,G3715,1)),"",IF((AND(FIND('112'!$M$9,G3715,1)&gt;=1,$B3715&gt;='112'!$N$8,$B3715&lt;='112'!$O$8,OR($L3715='112'!$I$6,$M3715='112'!$I$6))),"x",""))</f>
        <v/>
      </c>
      <c r="S3715" s="52" t="str">
        <f>IF(ISERROR(FIND('112'!$M$9,G3715,1)),"",IF((AND(LEFT(G3715,2)=LEFT('112'!$M$9,2),B3715&lt;'112'!$N$8,$L3715='112'!$I$6)),"x",""))</f>
        <v/>
      </c>
      <c r="T3715" s="52" t="str">
        <f>IF(ISERROR(FIND('112'!$M$9,G3715,1)),"",IF((AND(RIGHT(G3715,2)=RIGHT('112'!$M$9,2),B3715&lt;'112'!$N$8,$M3715='112'!$I$6)),"x",""))</f>
        <v/>
      </c>
      <c r="U3715" s="52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/>
      </c>
      <c r="AA3715" s="826"/>
      <c r="AB3715" s="576"/>
    </row>
    <row r="3716" spans="1:28" ht="15.75" customHeight="1">
      <c r="A3716" s="827" t="str">
        <f>IF(B3716&lt;&gt;"",IF(AND(B3716&gt;=_TM1,B3716&lt;=_TM2,OR(TH!L3716="1111",TH!M3716="1111")),TH!D3716,""),"")</f>
        <v/>
      </c>
      <c r="B3716" s="36">
        <f t="shared" si="484"/>
        <v>1</v>
      </c>
      <c r="C3716" s="190">
        <f t="shared" si="485"/>
        <v>42400</v>
      </c>
      <c r="D3716" s="856" t="s">
        <v>1664</v>
      </c>
      <c r="E3716" s="856">
        <v>42400</v>
      </c>
      <c r="F3716" s="868" t="s">
        <v>1165</v>
      </c>
      <c r="G3716" s="858" t="s">
        <v>1040</v>
      </c>
      <c r="H3716" s="859" t="s">
        <v>1312</v>
      </c>
      <c r="I3716" s="251">
        <v>33</v>
      </c>
      <c r="J3716" s="251">
        <v>24385</v>
      </c>
      <c r="K3716" s="860">
        <f t="shared" si="486"/>
        <v>804705</v>
      </c>
      <c r="L3716" s="861" t="s">
        <v>160</v>
      </c>
      <c r="M3716" s="861" t="s">
        <v>857</v>
      </c>
      <c r="N3716" s="52" t="str">
        <f>IF(AND('331-CT'!$E$7=TH!H3716,OR(L3716="331",M3716="331")),"331",IF(AND(OR(L3716="131",M3716="131"),H3716='131-CT'!$E$7),"131",""))</f>
        <v/>
      </c>
      <c r="O3716" s="52" t="str">
        <f>IF(AND($B3716&gt;='111'!$N$11,$B3716&lt;='111'!$O$11,OR($L3716=$O$7,$M3716=$O$7)),"x","")</f>
        <v/>
      </c>
      <c r="P3716" s="52" t="str">
        <f>IF(AND($L3716=$O$7,$B3716&lt;'111'!$N$11),"x","")</f>
        <v/>
      </c>
      <c r="Q3716" s="52" t="str">
        <f>IF(AND($M3716=$O$7,$B3716&lt;'111'!$N$11),"x","")</f>
        <v/>
      </c>
      <c r="R3716" s="52" t="str">
        <f>IF(ISERROR(FIND('112'!$M$9,G3716,1)),"",IF((AND(FIND('112'!$M$9,G3716,1)&gt;=1,$B3716&gt;='112'!$N$8,$B3716&lt;='112'!$O$8,OR($L3716='112'!$I$6,$M3716='112'!$I$6))),"x",""))</f>
        <v/>
      </c>
      <c r="S3716" s="52" t="str">
        <f>IF(ISERROR(FIND('112'!$M$9,G3716,1)),"",IF((AND(LEFT(G3716,2)=LEFT('112'!$M$9,2),B3716&lt;'112'!$N$8,$L3716='112'!$I$6)),"x",""))</f>
        <v/>
      </c>
      <c r="T3716" s="52" t="str">
        <f>IF(ISERROR(FIND('112'!$M$9,G3716,1)),"",IF((AND(RIGHT(G3716,2)=RIGHT('112'!$M$9,2),B3716&lt;'112'!$N$8,$M3716='112'!$I$6)),"x",""))</f>
        <v/>
      </c>
      <c r="U3716" s="52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/>
      </c>
      <c r="AA3716" s="826"/>
      <c r="AB3716" s="576"/>
    </row>
    <row r="3717" spans="1:28" ht="15.75" customHeight="1">
      <c r="A3717" s="827" t="str">
        <f>IF(B3717&lt;&gt;"",IF(AND(B3717&gt;=_TM1,B3717&lt;=_TM2,OR(TH!L3717="1111",TH!M3717="1111")),TH!D3717,""),"")</f>
        <v/>
      </c>
      <c r="B3717" s="36">
        <f t="shared" si="484"/>
        <v>2</v>
      </c>
      <c r="C3717" s="190">
        <f t="shared" si="485"/>
        <v>42414</v>
      </c>
      <c r="D3717" s="856" t="s">
        <v>1664</v>
      </c>
      <c r="E3717" s="856">
        <v>42414</v>
      </c>
      <c r="F3717" s="868" t="s">
        <v>1128</v>
      </c>
      <c r="G3717" s="858" t="s">
        <v>1043</v>
      </c>
      <c r="H3717" s="859" t="s">
        <v>1312</v>
      </c>
      <c r="I3717" s="251">
        <v>33</v>
      </c>
      <c r="J3717" s="251">
        <v>21197</v>
      </c>
      <c r="K3717" s="860">
        <f t="shared" si="486"/>
        <v>699501</v>
      </c>
      <c r="L3717" s="861" t="s">
        <v>160</v>
      </c>
      <c r="M3717" s="861" t="s">
        <v>857</v>
      </c>
      <c r="N3717" s="52" t="str">
        <f>IF(AND('331-CT'!$E$7=TH!H3717,OR(L3717="331",M3717="331")),"331",IF(AND(OR(L3717="131",M3717="131"),H3717='131-CT'!$E$7),"131",""))</f>
        <v/>
      </c>
      <c r="O3717" s="52" t="str">
        <f>IF(AND($B3717&gt;='111'!$N$11,$B3717&lt;='111'!$O$11,OR($L3717=$O$7,$M3717=$O$7)),"x","")</f>
        <v/>
      </c>
      <c r="P3717" s="52" t="str">
        <f>IF(AND($L3717=$O$7,$B3717&lt;'111'!$N$11),"x","")</f>
        <v/>
      </c>
      <c r="Q3717" s="52" t="str">
        <f>IF(AND($M3717=$O$7,$B3717&lt;'111'!$N$11),"x","")</f>
        <v/>
      </c>
      <c r="R3717" s="52" t="str">
        <f>IF(ISERROR(FIND('112'!$M$9,G3717,1)),"",IF((AND(FIND('112'!$M$9,G3717,1)&gt;=1,$B3717&gt;='112'!$N$8,$B3717&lt;='112'!$O$8,OR($L3717='112'!$I$6,$M3717='112'!$I$6))),"x",""))</f>
        <v/>
      </c>
      <c r="S3717" s="52" t="str">
        <f>IF(ISERROR(FIND('112'!$M$9,G3717,1)),"",IF((AND(LEFT(G3717,2)=LEFT('112'!$M$9,2),B3717&lt;'112'!$N$8,$L3717='112'!$I$6)),"x",""))</f>
        <v/>
      </c>
      <c r="T3717" s="52" t="str">
        <f>IF(ISERROR(FIND('112'!$M$9,G3717,1)),"",IF((AND(RIGHT(G3717,2)=RIGHT('112'!$M$9,2),B3717&lt;'112'!$N$8,$M3717='112'!$I$6)),"x",""))</f>
        <v/>
      </c>
      <c r="U3717" s="52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/>
      </c>
      <c r="AA3717" s="826"/>
      <c r="AB3717" s="576"/>
    </row>
    <row r="3718" spans="1:28" ht="15.75" customHeight="1">
      <c r="A3718" s="827" t="str">
        <f>IF(B3718&lt;&gt;"",IF(AND(B3718&gt;=_TM1,B3718&lt;=_TM2,OR(TH!L3718="1111",TH!M3718="1111")),TH!D3718,""),"")</f>
        <v/>
      </c>
      <c r="B3718" s="36">
        <f t="shared" si="484"/>
        <v>2</v>
      </c>
      <c r="C3718" s="190">
        <f t="shared" si="485"/>
        <v>42414</v>
      </c>
      <c r="D3718" s="856" t="s">
        <v>1664</v>
      </c>
      <c r="E3718" s="856">
        <v>42414</v>
      </c>
      <c r="F3718" s="868" t="s">
        <v>1140</v>
      </c>
      <c r="G3718" s="858" t="s">
        <v>1044</v>
      </c>
      <c r="H3718" s="859" t="s">
        <v>1312</v>
      </c>
      <c r="I3718" s="251">
        <v>16</v>
      </c>
      <c r="J3718" s="251">
        <v>21547.5</v>
      </c>
      <c r="K3718" s="860">
        <f t="shared" si="486"/>
        <v>344760</v>
      </c>
      <c r="L3718" s="861" t="s">
        <v>160</v>
      </c>
      <c r="M3718" s="861" t="s">
        <v>857</v>
      </c>
      <c r="N3718" s="52" t="str">
        <f>IF(AND('331-CT'!$E$7=TH!H3718,OR(L3718="331",M3718="331")),"331",IF(AND(OR(L3718="131",M3718="131"),H3718='131-CT'!$E$7),"131",""))</f>
        <v/>
      </c>
      <c r="O3718" s="52" t="str">
        <f>IF(AND($B3718&gt;='111'!$N$11,$B3718&lt;='111'!$O$11,OR($L3718=$O$7,$M3718=$O$7)),"x","")</f>
        <v/>
      </c>
      <c r="P3718" s="52" t="str">
        <f>IF(AND($L3718=$O$7,$B3718&lt;'111'!$N$11),"x","")</f>
        <v/>
      </c>
      <c r="Q3718" s="52" t="str">
        <f>IF(AND($M3718=$O$7,$B3718&lt;'111'!$N$11),"x","")</f>
        <v/>
      </c>
      <c r="R3718" s="52" t="str">
        <f>IF(ISERROR(FIND('112'!$M$9,G3718,1)),"",IF((AND(FIND('112'!$M$9,G3718,1)&gt;=1,$B3718&gt;='112'!$N$8,$B3718&lt;='112'!$O$8,OR($L3718='112'!$I$6,$M3718='112'!$I$6))),"x",""))</f>
        <v/>
      </c>
      <c r="S3718" s="52" t="str">
        <f>IF(ISERROR(FIND('112'!$M$9,G3718,1)),"",IF((AND(LEFT(G3718,2)=LEFT('112'!$M$9,2),B3718&lt;'112'!$N$8,$L3718='112'!$I$6)),"x",""))</f>
        <v/>
      </c>
      <c r="T3718" s="52" t="str">
        <f>IF(ISERROR(FIND('112'!$M$9,G3718,1)),"",IF((AND(RIGHT(G3718,2)=RIGHT('112'!$M$9,2),B3718&lt;'112'!$N$8,$M3718='112'!$I$6)),"x",""))</f>
        <v/>
      </c>
      <c r="U3718" s="52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/>
      </c>
      <c r="AA3718" s="826"/>
      <c r="AB3718" s="576"/>
    </row>
    <row r="3719" spans="1:28" ht="15.75" customHeight="1">
      <c r="A3719" s="827" t="str">
        <f>IF(B3719&lt;&gt;"",IF(AND(B3719&gt;=_TM1,B3719&lt;=_TM2,OR(TH!L3719="1111",TH!M3719="1111")),TH!D3719,""),"")</f>
        <v/>
      </c>
      <c r="B3719" s="36">
        <f t="shared" si="484"/>
        <v>2</v>
      </c>
      <c r="C3719" s="190">
        <f t="shared" si="485"/>
        <v>42420</v>
      </c>
      <c r="D3719" s="856" t="s">
        <v>1664</v>
      </c>
      <c r="E3719" s="856">
        <v>42420</v>
      </c>
      <c r="F3719" s="868" t="s">
        <v>1127</v>
      </c>
      <c r="G3719" s="858" t="s">
        <v>1047</v>
      </c>
      <c r="H3719" s="859" t="s">
        <v>1312</v>
      </c>
      <c r="I3719" s="251">
        <v>72</v>
      </c>
      <c r="J3719" s="251">
        <v>17333</v>
      </c>
      <c r="K3719" s="860">
        <f t="shared" si="486"/>
        <v>1247976</v>
      </c>
      <c r="L3719" s="861" t="s">
        <v>160</v>
      </c>
      <c r="M3719" s="861" t="s">
        <v>857</v>
      </c>
      <c r="N3719" s="52" t="str">
        <f>IF(AND('331-CT'!$E$7=TH!H3719,OR(L3719="331",M3719="331")),"331",IF(AND(OR(L3719="131",M3719="131"),H3719='131-CT'!$E$7),"131",""))</f>
        <v/>
      </c>
      <c r="O3719" s="52" t="str">
        <f>IF(AND($B3719&gt;='111'!$N$11,$B3719&lt;='111'!$O$11,OR($L3719=$O$7,$M3719=$O$7)),"x","")</f>
        <v/>
      </c>
      <c r="P3719" s="52" t="str">
        <f>IF(AND($L3719=$O$7,$B3719&lt;'111'!$N$11),"x","")</f>
        <v/>
      </c>
      <c r="Q3719" s="52" t="str">
        <f>IF(AND($M3719=$O$7,$B3719&lt;'111'!$N$11),"x","")</f>
        <v/>
      </c>
      <c r="R3719" s="52" t="str">
        <f>IF(ISERROR(FIND('112'!$M$9,G3719,1)),"",IF((AND(FIND('112'!$M$9,G3719,1)&gt;=1,$B3719&gt;='112'!$N$8,$B3719&lt;='112'!$O$8,OR($L3719='112'!$I$6,$M3719='112'!$I$6))),"x",""))</f>
        <v/>
      </c>
      <c r="S3719" s="52" t="str">
        <f>IF(ISERROR(FIND('112'!$M$9,G3719,1)),"",IF((AND(LEFT(G3719,2)=LEFT('112'!$M$9,2),B3719&lt;'112'!$N$8,$L3719='112'!$I$6)),"x",""))</f>
        <v/>
      </c>
      <c r="T3719" s="52" t="str">
        <f>IF(ISERROR(FIND('112'!$M$9,G3719,1)),"",IF((AND(RIGHT(G3719,2)=RIGHT('112'!$M$9,2),B3719&lt;'112'!$N$8,$M3719='112'!$I$6)),"x",""))</f>
        <v/>
      </c>
      <c r="U3719" s="52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/>
      </c>
      <c r="AA3719" s="826"/>
      <c r="AB3719" s="576"/>
    </row>
    <row r="3720" spans="1:28" ht="15.75" customHeight="1">
      <c r="A3720" s="827" t="str">
        <f>IF(B3720&lt;&gt;"",IF(AND(B3720&gt;=_TM1,B3720&lt;=_TM2,OR(TH!L3720="1111",TH!M3720="1111")),TH!D3720,""),"")</f>
        <v/>
      </c>
      <c r="B3720" s="36">
        <f t="shared" si="484"/>
        <v>2</v>
      </c>
      <c r="C3720" s="190">
        <f t="shared" si="485"/>
        <v>42420</v>
      </c>
      <c r="D3720" s="856" t="s">
        <v>1664</v>
      </c>
      <c r="E3720" s="856">
        <v>42420</v>
      </c>
      <c r="F3720" s="868" t="s">
        <v>1155</v>
      </c>
      <c r="G3720" s="858" t="s">
        <v>1047</v>
      </c>
      <c r="H3720" s="859" t="s">
        <v>1312</v>
      </c>
      <c r="I3720" s="251">
        <v>15</v>
      </c>
      <c r="J3720" s="251">
        <v>9738</v>
      </c>
      <c r="K3720" s="860">
        <f t="shared" si="486"/>
        <v>146070</v>
      </c>
      <c r="L3720" s="861" t="s">
        <v>160</v>
      </c>
      <c r="M3720" s="861" t="s">
        <v>857</v>
      </c>
      <c r="N3720" s="52" t="str">
        <f>IF(AND('331-CT'!$E$7=TH!H3720,OR(L3720="331",M3720="331")),"331",IF(AND(OR(L3720="131",M3720="131"),H3720='131-CT'!$E$7),"131",""))</f>
        <v/>
      </c>
      <c r="O3720" s="52" t="str">
        <f>IF(AND($B3720&gt;='111'!$N$11,$B3720&lt;='111'!$O$11,OR($L3720=$O$7,$M3720=$O$7)),"x","")</f>
        <v/>
      </c>
      <c r="P3720" s="52" t="str">
        <f>IF(AND($L3720=$O$7,$B3720&lt;'111'!$N$11),"x","")</f>
        <v/>
      </c>
      <c r="Q3720" s="52" t="str">
        <f>IF(AND($M3720=$O$7,$B3720&lt;'111'!$N$11),"x","")</f>
        <v/>
      </c>
      <c r="R3720" s="52" t="str">
        <f>IF(ISERROR(FIND('112'!$M$9,G3720,1)),"",IF((AND(FIND('112'!$M$9,G3720,1)&gt;=1,$B3720&gt;='112'!$N$8,$B3720&lt;='112'!$O$8,OR($L3720='112'!$I$6,$M3720='112'!$I$6))),"x",""))</f>
        <v/>
      </c>
      <c r="S3720" s="52" t="str">
        <f>IF(ISERROR(FIND('112'!$M$9,G3720,1)),"",IF((AND(LEFT(G3720,2)=LEFT('112'!$M$9,2),B3720&lt;'112'!$N$8,$L3720='112'!$I$6)),"x",""))</f>
        <v/>
      </c>
      <c r="T3720" s="52" t="str">
        <f>IF(ISERROR(FIND('112'!$M$9,G3720,1)),"",IF((AND(RIGHT(G3720,2)=RIGHT('112'!$M$9,2),B3720&lt;'112'!$N$8,$M3720='112'!$I$6)),"x",""))</f>
        <v/>
      </c>
      <c r="U3720" s="52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/>
      </c>
      <c r="AA3720" s="826"/>
      <c r="AB3720" s="576"/>
    </row>
    <row r="3721" spans="1:28" ht="15.75" customHeight="1">
      <c r="A3721" s="827" t="str">
        <f>IF(B3721&lt;&gt;"",IF(AND(B3721&gt;=_TM1,B3721&lt;=_TM2,OR(TH!L3721="1111",TH!M3721="1111")),TH!D3721,""),"")</f>
        <v/>
      </c>
      <c r="B3721" s="36">
        <f t="shared" si="484"/>
        <v>2</v>
      </c>
      <c r="C3721" s="190">
        <f t="shared" si="485"/>
        <v>42421</v>
      </c>
      <c r="D3721" s="856" t="s">
        <v>1664</v>
      </c>
      <c r="E3721" s="856">
        <v>42421</v>
      </c>
      <c r="F3721" s="868" t="s">
        <v>1139</v>
      </c>
      <c r="G3721" s="858" t="s">
        <v>1048</v>
      </c>
      <c r="H3721" s="859" t="s">
        <v>1312</v>
      </c>
      <c r="I3721" s="251">
        <v>16</v>
      </c>
      <c r="J3721" s="251">
        <v>21105.5</v>
      </c>
      <c r="K3721" s="860">
        <f t="shared" si="486"/>
        <v>337688</v>
      </c>
      <c r="L3721" s="861" t="s">
        <v>160</v>
      </c>
      <c r="M3721" s="861" t="s">
        <v>857</v>
      </c>
      <c r="N3721" s="52" t="str">
        <f>IF(AND('331-CT'!$E$7=TH!H3721,OR(L3721="331",M3721="331")),"331",IF(AND(OR(L3721="131",M3721="131"),H3721='131-CT'!$E$7),"131",""))</f>
        <v/>
      </c>
      <c r="O3721" s="52" t="str">
        <f>IF(AND($B3721&gt;='111'!$N$11,$B3721&lt;='111'!$O$11,OR($L3721=$O$7,$M3721=$O$7)),"x","")</f>
        <v/>
      </c>
      <c r="P3721" s="52" t="str">
        <f>IF(AND($L3721=$O$7,$B3721&lt;'111'!$N$11),"x","")</f>
        <v/>
      </c>
      <c r="Q3721" s="52" t="str">
        <f>IF(AND($M3721=$O$7,$B3721&lt;'111'!$N$11),"x","")</f>
        <v/>
      </c>
      <c r="R3721" s="52" t="str">
        <f>IF(ISERROR(FIND('112'!$M$9,G3721,1)),"",IF((AND(FIND('112'!$M$9,G3721,1)&gt;=1,$B3721&gt;='112'!$N$8,$B3721&lt;='112'!$O$8,OR($L3721='112'!$I$6,$M3721='112'!$I$6))),"x",""))</f>
        <v/>
      </c>
      <c r="S3721" s="52" t="str">
        <f>IF(ISERROR(FIND('112'!$M$9,G3721,1)),"",IF((AND(LEFT(G3721,2)=LEFT('112'!$M$9,2),B3721&lt;'112'!$N$8,$L3721='112'!$I$6)),"x",""))</f>
        <v/>
      </c>
      <c r="T3721" s="52" t="str">
        <f>IF(ISERROR(FIND('112'!$M$9,G3721,1)),"",IF((AND(RIGHT(G3721,2)=RIGHT('112'!$M$9,2),B3721&lt;'112'!$N$8,$M3721='112'!$I$6)),"x",""))</f>
        <v/>
      </c>
      <c r="U3721" s="52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/>
      </c>
      <c r="AA3721" s="826"/>
      <c r="AB3721" s="576"/>
    </row>
    <row r="3722" spans="1:28" ht="15.75" customHeight="1">
      <c r="A3722" s="827" t="str">
        <f>IF(B3722&lt;&gt;"",IF(AND(B3722&gt;=_TM1,B3722&lt;=_TM2,OR(TH!L3722="1111",TH!M3722="1111")),TH!D3722,""),"")</f>
        <v/>
      </c>
      <c r="B3722" s="36">
        <f t="shared" si="484"/>
        <v>2</v>
      </c>
      <c r="C3722" s="190">
        <f t="shared" si="485"/>
        <v>42424</v>
      </c>
      <c r="D3722" s="856" t="s">
        <v>1664</v>
      </c>
      <c r="E3722" s="856">
        <v>42424</v>
      </c>
      <c r="F3722" s="868" t="s">
        <v>1182</v>
      </c>
      <c r="G3722" s="858" t="s">
        <v>1049</v>
      </c>
      <c r="H3722" s="859" t="s">
        <v>1312</v>
      </c>
      <c r="I3722" s="251">
        <v>240</v>
      </c>
      <c r="J3722" s="251">
        <v>12031.541666666666</v>
      </c>
      <c r="K3722" s="860">
        <f t="shared" si="486"/>
        <v>2887570</v>
      </c>
      <c r="L3722" s="861" t="s">
        <v>160</v>
      </c>
      <c r="M3722" s="861" t="s">
        <v>857</v>
      </c>
      <c r="N3722" s="52" t="str">
        <f>IF(AND('331-CT'!$E$7=TH!H3722,OR(L3722="331",M3722="331")),"331",IF(AND(OR(L3722="131",M3722="131"),H3722='131-CT'!$E$7),"131",""))</f>
        <v/>
      </c>
      <c r="O3722" s="52" t="str">
        <f>IF(AND($B3722&gt;='111'!$N$11,$B3722&lt;='111'!$O$11,OR($L3722=$O$7,$M3722=$O$7)),"x","")</f>
        <v/>
      </c>
      <c r="P3722" s="52" t="str">
        <f>IF(AND($L3722=$O$7,$B3722&lt;'111'!$N$11),"x","")</f>
        <v/>
      </c>
      <c r="Q3722" s="52" t="str">
        <f>IF(AND($M3722=$O$7,$B3722&lt;'111'!$N$11),"x","")</f>
        <v/>
      </c>
      <c r="R3722" s="52" t="str">
        <f>IF(ISERROR(FIND('112'!$M$9,G3722,1)),"",IF((AND(FIND('112'!$M$9,G3722,1)&gt;=1,$B3722&gt;='112'!$N$8,$B3722&lt;='112'!$O$8,OR($L3722='112'!$I$6,$M3722='112'!$I$6))),"x",""))</f>
        <v/>
      </c>
      <c r="S3722" s="52" t="str">
        <f>IF(ISERROR(FIND('112'!$M$9,G3722,1)),"",IF((AND(LEFT(G3722,2)=LEFT('112'!$M$9,2),B3722&lt;'112'!$N$8,$L3722='112'!$I$6)),"x",""))</f>
        <v/>
      </c>
      <c r="T3722" s="52" t="str">
        <f>IF(ISERROR(FIND('112'!$M$9,G3722,1)),"",IF((AND(RIGHT(G3722,2)=RIGHT('112'!$M$9,2),B3722&lt;'112'!$N$8,$M3722='112'!$I$6)),"x",""))</f>
        <v/>
      </c>
      <c r="U3722" s="52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/>
      </c>
      <c r="AA3722" s="826"/>
      <c r="AB3722" s="576"/>
    </row>
    <row r="3723" spans="1:28" ht="15.75" customHeight="1">
      <c r="A3723" s="827" t="str">
        <f>IF(B3723&lt;&gt;"",IF(AND(B3723&gt;=_TM1,B3723&lt;=_TM2,OR(TH!L3723="1111",TH!M3723="1111")),TH!D3723,""),"")</f>
        <v/>
      </c>
      <c r="B3723" s="36">
        <f t="shared" si="484"/>
        <v>2</v>
      </c>
      <c r="C3723" s="190">
        <f t="shared" si="485"/>
        <v>42425</v>
      </c>
      <c r="D3723" s="856" t="s">
        <v>1664</v>
      </c>
      <c r="E3723" s="856">
        <v>42425</v>
      </c>
      <c r="F3723" s="868" t="s">
        <v>1149</v>
      </c>
      <c r="G3723" s="858" t="s">
        <v>1053</v>
      </c>
      <c r="H3723" s="859" t="s">
        <v>1312</v>
      </c>
      <c r="I3723" s="251">
        <v>52</v>
      </c>
      <c r="J3723" s="251">
        <v>16854</v>
      </c>
      <c r="K3723" s="860">
        <f t="shared" si="486"/>
        <v>876408</v>
      </c>
      <c r="L3723" s="861" t="s">
        <v>160</v>
      </c>
      <c r="M3723" s="861" t="s">
        <v>857</v>
      </c>
      <c r="N3723" s="52" t="str">
        <f>IF(AND('331-CT'!$E$7=TH!H3723,OR(L3723="331",M3723="331")),"331",IF(AND(OR(L3723="131",M3723="131"),H3723='131-CT'!$E$7),"131",""))</f>
        <v/>
      </c>
      <c r="O3723" s="52" t="str">
        <f>IF(AND($B3723&gt;='111'!$N$11,$B3723&lt;='111'!$O$11,OR($L3723=$O$7,$M3723=$O$7)),"x","")</f>
        <v/>
      </c>
      <c r="P3723" s="52" t="str">
        <f>IF(AND($L3723=$O$7,$B3723&lt;'111'!$N$11),"x","")</f>
        <v/>
      </c>
      <c r="Q3723" s="52" t="str">
        <f>IF(AND($M3723=$O$7,$B3723&lt;'111'!$N$11),"x","")</f>
        <v/>
      </c>
      <c r="R3723" s="52" t="str">
        <f>IF(ISERROR(FIND('112'!$M$9,G3723,1)),"",IF((AND(FIND('112'!$M$9,G3723,1)&gt;=1,$B3723&gt;='112'!$N$8,$B3723&lt;='112'!$O$8,OR($L3723='112'!$I$6,$M3723='112'!$I$6))),"x",""))</f>
        <v/>
      </c>
      <c r="S3723" s="52" t="str">
        <f>IF(ISERROR(FIND('112'!$M$9,G3723,1)),"",IF((AND(LEFT(G3723,2)=LEFT('112'!$M$9,2),B3723&lt;'112'!$N$8,$L3723='112'!$I$6)),"x",""))</f>
        <v/>
      </c>
      <c r="T3723" s="52" t="str">
        <f>IF(ISERROR(FIND('112'!$M$9,G3723,1)),"",IF((AND(RIGHT(G3723,2)=RIGHT('112'!$M$9,2),B3723&lt;'112'!$N$8,$M3723='112'!$I$6)),"x",""))</f>
        <v/>
      </c>
      <c r="U3723" s="52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/>
      </c>
      <c r="AA3723" s="826"/>
      <c r="AB3723" s="576"/>
    </row>
    <row r="3724" spans="1:28" ht="15.75" customHeight="1">
      <c r="A3724" s="827" t="str">
        <f>IF(B3724&lt;&gt;"",IF(AND(B3724&gt;=_TM1,B3724&lt;=_TM2,OR(TH!L3724="1111",TH!M3724="1111")),TH!D3724,""),"")</f>
        <v/>
      </c>
      <c r="B3724" s="36">
        <f t="shared" si="484"/>
        <v>2</v>
      </c>
      <c r="C3724" s="190">
        <f t="shared" si="485"/>
        <v>42427</v>
      </c>
      <c r="D3724" s="856" t="s">
        <v>1664</v>
      </c>
      <c r="E3724" s="856">
        <v>42427</v>
      </c>
      <c r="F3724" s="857" t="s">
        <v>1150</v>
      </c>
      <c r="G3724" s="858" t="s">
        <v>1054</v>
      </c>
      <c r="H3724" s="859" t="s">
        <v>1312</v>
      </c>
      <c r="I3724" s="251">
        <v>5</v>
      </c>
      <c r="J3724" s="251">
        <v>20010</v>
      </c>
      <c r="K3724" s="860">
        <f t="shared" si="486"/>
        <v>100050</v>
      </c>
      <c r="L3724" s="861" t="s">
        <v>160</v>
      </c>
      <c r="M3724" s="861" t="s">
        <v>857</v>
      </c>
      <c r="N3724" s="52" t="str">
        <f>IF(AND('331-CT'!$E$7=TH!H3724,OR(L3724="331",M3724="331")),"331",IF(AND(OR(L3724="131",M3724="131"),H3724='131-CT'!$E$7),"131",""))</f>
        <v/>
      </c>
      <c r="O3724" s="52" t="str">
        <f>IF(AND($B3724&gt;='111'!$N$11,$B3724&lt;='111'!$O$11,OR($L3724=$O$7,$M3724=$O$7)),"x","")</f>
        <v/>
      </c>
      <c r="P3724" s="52" t="str">
        <f>IF(AND($L3724=$O$7,$B3724&lt;'111'!$N$11),"x","")</f>
        <v/>
      </c>
      <c r="Q3724" s="52" t="str">
        <f>IF(AND($M3724=$O$7,$B3724&lt;'111'!$N$11),"x","")</f>
        <v/>
      </c>
      <c r="R3724" s="52" t="str">
        <f>IF(ISERROR(FIND('112'!$M$9,G3724,1)),"",IF((AND(FIND('112'!$M$9,G3724,1)&gt;=1,$B3724&gt;='112'!$N$8,$B3724&lt;='112'!$O$8,OR($L3724='112'!$I$6,$M3724='112'!$I$6))),"x",""))</f>
        <v/>
      </c>
      <c r="S3724" s="52" t="str">
        <f>IF(ISERROR(FIND('112'!$M$9,G3724,1)),"",IF((AND(LEFT(G3724,2)=LEFT('112'!$M$9,2),B3724&lt;'112'!$N$8,$L3724='112'!$I$6)),"x",""))</f>
        <v/>
      </c>
      <c r="T3724" s="52" t="str">
        <f>IF(ISERROR(FIND('112'!$M$9,G3724,1)),"",IF((AND(RIGHT(G3724,2)=RIGHT('112'!$M$9,2),B3724&lt;'112'!$N$8,$M3724='112'!$I$6)),"x",""))</f>
        <v/>
      </c>
      <c r="U3724" s="52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/>
      </c>
      <c r="AA3724" s="826"/>
      <c r="AB3724" s="576"/>
    </row>
    <row r="3725" spans="1:28" ht="15.75" customHeight="1">
      <c r="A3725" s="827" t="str">
        <f>IF(B3725&lt;&gt;"",IF(AND(B3725&gt;=_TM1,B3725&lt;=_TM2,OR(TH!L3725="1111",TH!M3725="1111")),TH!D3725,""),"")</f>
        <v/>
      </c>
      <c r="B3725" s="36">
        <f t="shared" si="484"/>
        <v>2</v>
      </c>
      <c r="C3725" s="190">
        <f t="shared" si="485"/>
        <v>42427</v>
      </c>
      <c r="D3725" s="856" t="s">
        <v>1664</v>
      </c>
      <c r="E3725" s="856">
        <v>42427</v>
      </c>
      <c r="F3725" s="857" t="s">
        <v>1274</v>
      </c>
      <c r="G3725" s="858" t="s">
        <v>1054</v>
      </c>
      <c r="H3725" s="859" t="s">
        <v>1312</v>
      </c>
      <c r="I3725" s="251">
        <v>52</v>
      </c>
      <c r="J3725" s="251">
        <v>29784</v>
      </c>
      <c r="K3725" s="860">
        <f t="shared" si="486"/>
        <v>1548768</v>
      </c>
      <c r="L3725" s="861" t="s">
        <v>160</v>
      </c>
      <c r="M3725" s="861" t="s">
        <v>857</v>
      </c>
      <c r="N3725" s="52" t="str">
        <f>IF(AND('331-CT'!$E$7=TH!H3725,OR(L3725="331",M3725="331")),"331",IF(AND(OR(L3725="131",M3725="131"),H3725='131-CT'!$E$7),"131",""))</f>
        <v/>
      </c>
      <c r="O3725" s="52" t="str">
        <f>IF(AND($B3725&gt;='111'!$N$11,$B3725&lt;='111'!$O$11,OR($L3725=$O$7,$M3725=$O$7)),"x","")</f>
        <v/>
      </c>
      <c r="P3725" s="52" t="str">
        <f>IF(AND($L3725=$O$7,$B3725&lt;'111'!$N$11),"x","")</f>
        <v/>
      </c>
      <c r="Q3725" s="52" t="str">
        <f>IF(AND($M3725=$O$7,$B3725&lt;'111'!$N$11),"x","")</f>
        <v/>
      </c>
      <c r="R3725" s="52" t="str">
        <f>IF(ISERROR(FIND('112'!$M$9,G3725,1)),"",IF((AND(FIND('112'!$M$9,G3725,1)&gt;=1,$B3725&gt;='112'!$N$8,$B3725&lt;='112'!$O$8,OR($L3725='112'!$I$6,$M3725='112'!$I$6))),"x",""))</f>
        <v/>
      </c>
      <c r="S3725" s="52" t="str">
        <f>IF(ISERROR(FIND('112'!$M$9,G3725,1)),"",IF((AND(LEFT(G3725,2)=LEFT('112'!$M$9,2),B3725&lt;'112'!$N$8,$L3725='112'!$I$6)),"x",""))</f>
        <v/>
      </c>
      <c r="T3725" s="52" t="str">
        <f>IF(ISERROR(FIND('112'!$M$9,G3725,1)),"",IF((AND(RIGHT(G3725,2)=RIGHT('112'!$M$9,2),B3725&lt;'112'!$N$8,$M3725='112'!$I$6)),"x",""))</f>
        <v/>
      </c>
      <c r="U3725" s="52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/>
      </c>
      <c r="AA3725" s="826"/>
      <c r="AB3725" s="576"/>
    </row>
    <row r="3726" spans="1:28" ht="15.75" customHeight="1">
      <c r="A3726" s="827" t="str">
        <f>IF(B3726&lt;&gt;"",IF(AND(B3726&gt;=_TM1,B3726&lt;=_TM2,OR(TH!L3726="1111",TH!M3726="1111")),TH!D3726,""),"")</f>
        <v/>
      </c>
      <c r="B3726" s="36">
        <f t="shared" si="484"/>
        <v>3</v>
      </c>
      <c r="C3726" s="190">
        <f t="shared" si="485"/>
        <v>42434</v>
      </c>
      <c r="D3726" s="856" t="s">
        <v>1664</v>
      </c>
      <c r="E3726" s="856">
        <v>42434</v>
      </c>
      <c r="F3726" s="868" t="s">
        <v>1222</v>
      </c>
      <c r="G3726" s="858" t="s">
        <v>1059</v>
      </c>
      <c r="H3726" s="859" t="s">
        <v>1312</v>
      </c>
      <c r="I3726" s="251">
        <v>400</v>
      </c>
      <c r="J3726" s="251">
        <v>8556</v>
      </c>
      <c r="K3726" s="860">
        <f t="shared" si="486"/>
        <v>3422400</v>
      </c>
      <c r="L3726" s="861" t="s">
        <v>160</v>
      </c>
      <c r="M3726" s="861" t="s">
        <v>857</v>
      </c>
      <c r="N3726" s="52" t="str">
        <f>IF(AND('331-CT'!$E$7=TH!H3726,OR(L3726="331",M3726="331")),"331",IF(AND(OR(L3726="131",M3726="131"),H3726='131-CT'!$E$7),"131",""))</f>
        <v/>
      </c>
      <c r="O3726" s="52" t="str">
        <f>IF(AND($B3726&gt;='111'!$N$11,$B3726&lt;='111'!$O$11,OR($L3726=$O$7,$M3726=$O$7)),"x","")</f>
        <v/>
      </c>
      <c r="P3726" s="52" t="str">
        <f>IF(AND($L3726=$O$7,$B3726&lt;'111'!$N$11),"x","")</f>
        <v/>
      </c>
      <c r="Q3726" s="52" t="str">
        <f>IF(AND($M3726=$O$7,$B3726&lt;'111'!$N$11),"x","")</f>
        <v/>
      </c>
      <c r="R3726" s="52" t="str">
        <f>IF(ISERROR(FIND('112'!$M$9,G3726,1)),"",IF((AND(FIND('112'!$M$9,G3726,1)&gt;=1,$B3726&gt;='112'!$N$8,$B3726&lt;='112'!$O$8,OR($L3726='112'!$I$6,$M3726='112'!$I$6))),"x",""))</f>
        <v/>
      </c>
      <c r="S3726" s="52" t="str">
        <f>IF(ISERROR(FIND('112'!$M$9,G3726,1)),"",IF((AND(LEFT(G3726,2)=LEFT('112'!$M$9,2),B3726&lt;'112'!$N$8,$L3726='112'!$I$6)),"x",""))</f>
        <v/>
      </c>
      <c r="T3726" s="52" t="str">
        <f>IF(ISERROR(FIND('112'!$M$9,G3726,1)),"",IF((AND(RIGHT(G3726,2)=RIGHT('112'!$M$9,2),B3726&lt;'112'!$N$8,$M3726='112'!$I$6)),"x",""))</f>
        <v/>
      </c>
      <c r="U3726" s="52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/>
      </c>
      <c r="AA3726" s="826"/>
      <c r="AB3726" s="576"/>
    </row>
    <row r="3727" spans="1:28" ht="15.75" customHeight="1">
      <c r="A3727" s="827" t="str">
        <f>IF(B3727&lt;&gt;"",IF(AND(B3727&gt;=_TM1,B3727&lt;=_TM2,OR(TH!L3727="1111",TH!M3727="1111")),TH!D3727,""),"")</f>
        <v/>
      </c>
      <c r="B3727" s="36">
        <f t="shared" si="484"/>
        <v>3</v>
      </c>
      <c r="C3727" s="190">
        <f t="shared" si="485"/>
        <v>42438</v>
      </c>
      <c r="D3727" s="856" t="s">
        <v>1664</v>
      </c>
      <c r="E3727" s="856">
        <v>42438</v>
      </c>
      <c r="F3727" s="868" t="s">
        <v>1141</v>
      </c>
      <c r="G3727" s="858" t="s">
        <v>1066</v>
      </c>
      <c r="H3727" s="859" t="s">
        <v>1312</v>
      </c>
      <c r="I3727" s="251">
        <v>10</v>
      </c>
      <c r="J3727" s="251">
        <v>21658</v>
      </c>
      <c r="K3727" s="860">
        <f t="shared" si="486"/>
        <v>216580</v>
      </c>
      <c r="L3727" s="861" t="s">
        <v>160</v>
      </c>
      <c r="M3727" s="861" t="s">
        <v>857</v>
      </c>
      <c r="N3727" s="52" t="str">
        <f>IF(AND('331-CT'!$E$7=TH!H3727,OR(L3727="331",M3727="331")),"331",IF(AND(OR(L3727="131",M3727="131"),H3727='131-CT'!$E$7),"131",""))</f>
        <v/>
      </c>
      <c r="O3727" s="52" t="str">
        <f>IF(AND($B3727&gt;='111'!$N$11,$B3727&lt;='111'!$O$11,OR($L3727=$O$7,$M3727=$O$7)),"x","")</f>
        <v/>
      </c>
      <c r="P3727" s="52" t="str">
        <f>IF(AND($L3727=$O$7,$B3727&lt;'111'!$N$11),"x","")</f>
        <v/>
      </c>
      <c r="Q3727" s="52" t="str">
        <f>IF(AND($M3727=$O$7,$B3727&lt;'111'!$N$11),"x","")</f>
        <v/>
      </c>
      <c r="R3727" s="52" t="str">
        <f>IF(ISERROR(FIND('112'!$M$9,G3727,1)),"",IF((AND(FIND('112'!$M$9,G3727,1)&gt;=1,$B3727&gt;='112'!$N$8,$B3727&lt;='112'!$O$8,OR($L3727='112'!$I$6,$M3727='112'!$I$6))),"x",""))</f>
        <v/>
      </c>
      <c r="S3727" s="52" t="str">
        <f>IF(ISERROR(FIND('112'!$M$9,G3727,1)),"",IF((AND(LEFT(G3727,2)=LEFT('112'!$M$9,2),B3727&lt;'112'!$N$8,$L3727='112'!$I$6)),"x",""))</f>
        <v/>
      </c>
      <c r="T3727" s="52" t="str">
        <f>IF(ISERROR(FIND('112'!$M$9,G3727,1)),"",IF((AND(RIGHT(G3727,2)=RIGHT('112'!$M$9,2),B3727&lt;'112'!$N$8,$M3727='112'!$I$6)),"x",""))</f>
        <v/>
      </c>
      <c r="U3727" s="52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/>
      </c>
      <c r="AA3727" s="826"/>
      <c r="AB3727" s="576"/>
    </row>
    <row r="3728" spans="1:28" ht="15.75" customHeight="1">
      <c r="A3728" s="827" t="str">
        <f>IF(B3728&lt;&gt;"",IF(AND(B3728&gt;=_TM1,B3728&lt;=_TM2,OR(TH!L3728="1111",TH!M3728="1111")),TH!D3728,""),"")</f>
        <v/>
      </c>
      <c r="B3728" s="36">
        <f t="shared" si="484"/>
        <v>3</v>
      </c>
      <c r="C3728" s="190">
        <f t="shared" si="485"/>
        <v>42440</v>
      </c>
      <c r="D3728" s="856" t="s">
        <v>1664</v>
      </c>
      <c r="E3728" s="856">
        <v>42440</v>
      </c>
      <c r="F3728" s="868" t="s">
        <v>1142</v>
      </c>
      <c r="G3728" s="858" t="s">
        <v>1067</v>
      </c>
      <c r="H3728" s="859" t="s">
        <v>1312</v>
      </c>
      <c r="I3728" s="251">
        <v>2</v>
      </c>
      <c r="J3728" s="251">
        <v>22873.5</v>
      </c>
      <c r="K3728" s="860">
        <f t="shared" si="486"/>
        <v>45747</v>
      </c>
      <c r="L3728" s="861" t="s">
        <v>160</v>
      </c>
      <c r="M3728" s="861" t="s">
        <v>857</v>
      </c>
      <c r="N3728" s="52" t="str">
        <f>IF(AND('331-CT'!$E$7=TH!H3728,OR(L3728="331",M3728="331")),"331",IF(AND(OR(L3728="131",M3728="131"),H3728='131-CT'!$E$7),"131",""))</f>
        <v/>
      </c>
      <c r="O3728" s="52" t="str">
        <f>IF(AND($B3728&gt;='111'!$N$11,$B3728&lt;='111'!$O$11,OR($L3728=$O$7,$M3728=$O$7)),"x","")</f>
        <v/>
      </c>
      <c r="P3728" s="52" t="str">
        <f>IF(AND($L3728=$O$7,$B3728&lt;'111'!$N$11),"x","")</f>
        <v/>
      </c>
      <c r="Q3728" s="52" t="str">
        <f>IF(AND($M3728=$O$7,$B3728&lt;'111'!$N$11),"x","")</f>
        <v/>
      </c>
      <c r="R3728" s="52" t="str">
        <f>IF(ISERROR(FIND('112'!$M$9,G3728,1)),"",IF((AND(FIND('112'!$M$9,G3728,1)&gt;=1,$B3728&gt;='112'!$N$8,$B3728&lt;='112'!$O$8,OR($L3728='112'!$I$6,$M3728='112'!$I$6))),"x",""))</f>
        <v/>
      </c>
      <c r="S3728" s="52" t="str">
        <f>IF(ISERROR(FIND('112'!$M$9,G3728,1)),"",IF((AND(LEFT(G3728,2)=LEFT('112'!$M$9,2),B3728&lt;'112'!$N$8,$L3728='112'!$I$6)),"x",""))</f>
        <v/>
      </c>
      <c r="T3728" s="52" t="str">
        <f>IF(ISERROR(FIND('112'!$M$9,G3728,1)),"",IF((AND(RIGHT(G3728,2)=RIGHT('112'!$M$9,2),B3728&lt;'112'!$N$8,$M3728='112'!$I$6)),"x",""))</f>
        <v/>
      </c>
      <c r="U3728" s="52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/>
      </c>
      <c r="AA3728" s="826"/>
      <c r="AB3728" s="576"/>
    </row>
    <row r="3729" spans="1:28" ht="15.75" customHeight="1">
      <c r="A3729" s="827" t="str">
        <f>IF(B3729&lt;&gt;"",IF(AND(B3729&gt;=_TM1,B3729&lt;=_TM2,OR(TH!L3729="1111",TH!M3729="1111")),TH!D3729,""),"")</f>
        <v/>
      </c>
      <c r="B3729" s="36">
        <f t="shared" si="484"/>
        <v>3</v>
      </c>
      <c r="C3729" s="190">
        <f t="shared" si="485"/>
        <v>42440</v>
      </c>
      <c r="D3729" s="856" t="s">
        <v>1664</v>
      </c>
      <c r="E3729" s="856">
        <v>42440</v>
      </c>
      <c r="F3729" s="868" t="s">
        <v>1275</v>
      </c>
      <c r="G3729" s="858" t="s">
        <v>1068</v>
      </c>
      <c r="H3729" s="859" t="s">
        <v>1312</v>
      </c>
      <c r="I3729" s="251">
        <v>24</v>
      </c>
      <c r="J3729" s="251">
        <v>23634</v>
      </c>
      <c r="K3729" s="860">
        <f t="shared" si="486"/>
        <v>567216</v>
      </c>
      <c r="L3729" s="861" t="s">
        <v>160</v>
      </c>
      <c r="M3729" s="861" t="s">
        <v>857</v>
      </c>
      <c r="N3729" s="52" t="str">
        <f>IF(AND('331-CT'!$E$7=TH!H3729,OR(L3729="331",M3729="331")),"331",IF(AND(OR(L3729="131",M3729="131"),H3729='131-CT'!$E$7),"131",""))</f>
        <v/>
      </c>
      <c r="O3729" s="52" t="str">
        <f>IF(AND($B3729&gt;='111'!$N$11,$B3729&lt;='111'!$O$11,OR($L3729=$O$7,$M3729=$O$7)),"x","")</f>
        <v/>
      </c>
      <c r="P3729" s="52" t="str">
        <f>IF(AND($L3729=$O$7,$B3729&lt;'111'!$N$11),"x","")</f>
        <v/>
      </c>
      <c r="Q3729" s="52" t="str">
        <f>IF(AND($M3729=$O$7,$B3729&lt;'111'!$N$11),"x","")</f>
        <v/>
      </c>
      <c r="R3729" s="52" t="str">
        <f>IF(ISERROR(FIND('112'!$M$9,G3729,1)),"",IF((AND(FIND('112'!$M$9,G3729,1)&gt;=1,$B3729&gt;='112'!$N$8,$B3729&lt;='112'!$O$8,OR($L3729='112'!$I$6,$M3729='112'!$I$6))),"x",""))</f>
        <v/>
      </c>
      <c r="S3729" s="52" t="str">
        <f>IF(ISERROR(FIND('112'!$M$9,G3729,1)),"",IF((AND(LEFT(G3729,2)=LEFT('112'!$M$9,2),B3729&lt;'112'!$N$8,$L3729='112'!$I$6)),"x",""))</f>
        <v/>
      </c>
      <c r="T3729" s="52" t="str">
        <f>IF(ISERROR(FIND('112'!$M$9,G3729,1)),"",IF((AND(RIGHT(G3729,2)=RIGHT('112'!$M$9,2),B3729&lt;'112'!$N$8,$M3729='112'!$I$6)),"x",""))</f>
        <v/>
      </c>
      <c r="U3729" s="52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/>
      </c>
      <c r="AA3729" s="826"/>
      <c r="AB3729" s="576"/>
    </row>
    <row r="3730" spans="1:28" ht="15.75" customHeight="1">
      <c r="A3730" s="827" t="str">
        <f>IF(B3730&lt;&gt;"",IF(AND(B3730&gt;=_TM1,B3730&lt;=_TM2,OR(TH!L3730="1111",TH!M3730="1111")),TH!D3730,""),"")</f>
        <v/>
      </c>
      <c r="B3730" s="36">
        <f t="shared" si="484"/>
        <v>3</v>
      </c>
      <c r="C3730" s="190">
        <f t="shared" si="485"/>
        <v>42447</v>
      </c>
      <c r="D3730" s="856" t="s">
        <v>1664</v>
      </c>
      <c r="E3730" s="856">
        <v>42447</v>
      </c>
      <c r="F3730" s="868" t="s">
        <v>1131</v>
      </c>
      <c r="G3730" s="858" t="s">
        <v>1072</v>
      </c>
      <c r="H3730" s="859" t="s">
        <v>1312</v>
      </c>
      <c r="I3730" s="251">
        <v>140</v>
      </c>
      <c r="J3730" s="251">
        <v>8998</v>
      </c>
      <c r="K3730" s="860">
        <f t="shared" si="486"/>
        <v>1259720</v>
      </c>
      <c r="L3730" s="861" t="s">
        <v>160</v>
      </c>
      <c r="M3730" s="861" t="s">
        <v>857</v>
      </c>
      <c r="N3730" s="52" t="str">
        <f>IF(AND('331-CT'!$E$7=TH!H3730,OR(L3730="331",M3730="331")),"331",IF(AND(OR(L3730="131",M3730="131"),H3730='131-CT'!$E$7),"131",""))</f>
        <v/>
      </c>
      <c r="O3730" s="52" t="str">
        <f>IF(AND($B3730&gt;='111'!$N$11,$B3730&lt;='111'!$O$11,OR($L3730=$O$7,$M3730=$O$7)),"x","")</f>
        <v/>
      </c>
      <c r="P3730" s="52" t="str">
        <f>IF(AND($L3730=$O$7,$B3730&lt;'111'!$N$11),"x","")</f>
        <v/>
      </c>
      <c r="Q3730" s="52" t="str">
        <f>IF(AND($M3730=$O$7,$B3730&lt;'111'!$N$11),"x","")</f>
        <v/>
      </c>
      <c r="R3730" s="52" t="str">
        <f>IF(ISERROR(FIND('112'!$M$9,G3730,1)),"",IF((AND(FIND('112'!$M$9,G3730,1)&gt;=1,$B3730&gt;='112'!$N$8,$B3730&lt;='112'!$O$8,OR($L3730='112'!$I$6,$M3730='112'!$I$6))),"x",""))</f>
        <v/>
      </c>
      <c r="S3730" s="52" t="str">
        <f>IF(ISERROR(FIND('112'!$M$9,G3730,1)),"",IF((AND(LEFT(G3730,2)=LEFT('112'!$M$9,2),B3730&lt;'112'!$N$8,$L3730='112'!$I$6)),"x",""))</f>
        <v/>
      </c>
      <c r="T3730" s="52" t="str">
        <f>IF(ISERROR(FIND('112'!$M$9,G3730,1)),"",IF((AND(RIGHT(G3730,2)=RIGHT('112'!$M$9,2),B3730&lt;'112'!$N$8,$M3730='112'!$I$6)),"x",""))</f>
        <v/>
      </c>
      <c r="U3730" s="52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/>
      </c>
      <c r="AA3730" s="826"/>
      <c r="AB3730" s="576"/>
    </row>
    <row r="3731" spans="1:28" ht="15.75" customHeight="1">
      <c r="A3731" s="827" t="str">
        <f>IF(B3731&lt;&gt;"",IF(AND(B3731&gt;=_TM1,B3731&lt;=_TM2,OR(TH!L3731="1111",TH!M3731="1111")),TH!D3731,""),"")</f>
        <v/>
      </c>
      <c r="B3731" s="36">
        <f t="shared" si="484"/>
        <v>3</v>
      </c>
      <c r="C3731" s="190">
        <f t="shared" si="485"/>
        <v>42447</v>
      </c>
      <c r="D3731" s="856" t="s">
        <v>1664</v>
      </c>
      <c r="E3731" s="856">
        <v>42447</v>
      </c>
      <c r="F3731" s="868" t="s">
        <v>1152</v>
      </c>
      <c r="G3731" s="858" t="s">
        <v>1072</v>
      </c>
      <c r="H3731" s="859" t="s">
        <v>1312</v>
      </c>
      <c r="I3731" s="251">
        <v>17</v>
      </c>
      <c r="J3731" s="251">
        <v>23478</v>
      </c>
      <c r="K3731" s="860">
        <f t="shared" si="486"/>
        <v>399126</v>
      </c>
      <c r="L3731" s="861" t="s">
        <v>160</v>
      </c>
      <c r="M3731" s="861" t="s">
        <v>857</v>
      </c>
      <c r="N3731" s="52" t="str">
        <f>IF(AND('331-CT'!$E$7=TH!H3731,OR(L3731="331",M3731="331")),"331",IF(AND(OR(L3731="131",M3731="131"),H3731='131-CT'!$E$7),"131",""))</f>
        <v/>
      </c>
      <c r="O3731" s="52" t="str">
        <f>IF(AND($B3731&gt;='111'!$N$11,$B3731&lt;='111'!$O$11,OR($L3731=$O$7,$M3731=$O$7)),"x","")</f>
        <v/>
      </c>
      <c r="P3731" s="52" t="str">
        <f>IF(AND($L3731=$O$7,$B3731&lt;'111'!$N$11),"x","")</f>
        <v/>
      </c>
      <c r="Q3731" s="52" t="str">
        <f>IF(AND($M3731=$O$7,$B3731&lt;'111'!$N$11),"x","")</f>
        <v/>
      </c>
      <c r="R3731" s="52" t="str">
        <f>IF(ISERROR(FIND('112'!$M$9,G3731,1)),"",IF((AND(FIND('112'!$M$9,G3731,1)&gt;=1,$B3731&gt;='112'!$N$8,$B3731&lt;='112'!$O$8,OR($L3731='112'!$I$6,$M3731='112'!$I$6))),"x",""))</f>
        <v/>
      </c>
      <c r="S3731" s="52" t="str">
        <f>IF(ISERROR(FIND('112'!$M$9,G3731,1)),"",IF((AND(LEFT(G3731,2)=LEFT('112'!$M$9,2),B3731&lt;'112'!$N$8,$L3731='112'!$I$6)),"x",""))</f>
        <v/>
      </c>
      <c r="T3731" s="52" t="str">
        <f>IF(ISERROR(FIND('112'!$M$9,G3731,1)),"",IF((AND(RIGHT(G3731,2)=RIGHT('112'!$M$9,2),B3731&lt;'112'!$N$8,$M3731='112'!$I$6)),"x",""))</f>
        <v/>
      </c>
      <c r="U3731" s="52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/>
      </c>
      <c r="AA3731" s="826"/>
      <c r="AB3731" s="576"/>
    </row>
    <row r="3732" spans="1:28" ht="15.75" customHeight="1">
      <c r="A3732" s="827" t="str">
        <f>IF(B3732&lt;&gt;"",IF(AND(B3732&gt;=_TM1,B3732&lt;=_TM2,OR(TH!L3732="1111",TH!M3732="1111")),TH!D3732,""),"")</f>
        <v/>
      </c>
      <c r="B3732" s="36">
        <f t="shared" si="484"/>
        <v>3</v>
      </c>
      <c r="C3732" s="190">
        <f t="shared" si="485"/>
        <v>42455</v>
      </c>
      <c r="D3732" s="856" t="s">
        <v>1664</v>
      </c>
      <c r="E3732" s="856">
        <v>42455</v>
      </c>
      <c r="F3732" s="868" t="s">
        <v>1167</v>
      </c>
      <c r="G3732" s="858" t="s">
        <v>1074</v>
      </c>
      <c r="H3732" s="859" t="s">
        <v>1312</v>
      </c>
      <c r="I3732" s="251">
        <v>3</v>
      </c>
      <c r="J3732" s="251">
        <v>29090</v>
      </c>
      <c r="K3732" s="860">
        <f t="shared" si="486"/>
        <v>87270</v>
      </c>
      <c r="L3732" s="861" t="s">
        <v>160</v>
      </c>
      <c r="M3732" s="861" t="s">
        <v>857</v>
      </c>
      <c r="N3732" s="52" t="str">
        <f>IF(AND('331-CT'!$E$7=TH!H3732,OR(L3732="331",M3732="331")),"331",IF(AND(OR(L3732="131",M3732="131"),H3732='131-CT'!$E$7),"131",""))</f>
        <v/>
      </c>
      <c r="O3732" s="52" t="str">
        <f>IF(AND($B3732&gt;='111'!$N$11,$B3732&lt;='111'!$O$11,OR($L3732=$O$7,$M3732=$O$7)),"x","")</f>
        <v/>
      </c>
      <c r="P3732" s="52" t="str">
        <f>IF(AND($L3732=$O$7,$B3732&lt;'111'!$N$11),"x","")</f>
        <v/>
      </c>
      <c r="Q3732" s="52" t="str">
        <f>IF(AND($M3732=$O$7,$B3732&lt;'111'!$N$11),"x","")</f>
        <v/>
      </c>
      <c r="R3732" s="52" t="str">
        <f>IF(ISERROR(FIND('112'!$M$9,G3732,1)),"",IF((AND(FIND('112'!$M$9,G3732,1)&gt;=1,$B3732&gt;='112'!$N$8,$B3732&lt;='112'!$O$8,OR($L3732='112'!$I$6,$M3732='112'!$I$6))),"x",""))</f>
        <v/>
      </c>
      <c r="S3732" s="52" t="str">
        <f>IF(ISERROR(FIND('112'!$M$9,G3732,1)),"",IF((AND(LEFT(G3732,2)=LEFT('112'!$M$9,2),B3732&lt;'112'!$N$8,$L3732='112'!$I$6)),"x",""))</f>
        <v/>
      </c>
      <c r="T3732" s="52" t="str">
        <f>IF(ISERROR(FIND('112'!$M$9,G3732,1)),"",IF((AND(RIGHT(G3732,2)=RIGHT('112'!$M$9,2),B3732&lt;'112'!$N$8,$M3732='112'!$I$6)),"x",""))</f>
        <v/>
      </c>
      <c r="U3732" s="52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/>
      </c>
      <c r="AA3732" s="826"/>
      <c r="AB3732" s="576"/>
    </row>
    <row r="3733" spans="1:28" ht="15.75" customHeight="1">
      <c r="A3733" s="827" t="str">
        <f>IF(B3733&lt;&gt;"",IF(AND(B3733&gt;=_TM1,B3733&lt;=_TM2,OR(TH!L3733="1111",TH!M3733="1111")),TH!D3733,""),"")</f>
        <v/>
      </c>
      <c r="B3733" s="36">
        <f t="shared" si="484"/>
        <v>3</v>
      </c>
      <c r="C3733" s="190">
        <f t="shared" si="485"/>
        <v>42456</v>
      </c>
      <c r="D3733" s="856" t="s">
        <v>1664</v>
      </c>
      <c r="E3733" s="856">
        <v>42456</v>
      </c>
      <c r="F3733" s="868" t="s">
        <v>1153</v>
      </c>
      <c r="G3733" s="858" t="s">
        <v>1075</v>
      </c>
      <c r="H3733" s="859" t="s">
        <v>1312</v>
      </c>
      <c r="I3733" s="251">
        <v>5</v>
      </c>
      <c r="J3733" s="251">
        <v>26680</v>
      </c>
      <c r="K3733" s="860">
        <f t="shared" si="486"/>
        <v>133400</v>
      </c>
      <c r="L3733" s="861" t="s">
        <v>160</v>
      </c>
      <c r="M3733" s="861" t="s">
        <v>857</v>
      </c>
      <c r="N3733" s="52" t="str">
        <f>IF(AND('331-CT'!$E$7=TH!H3733,OR(L3733="331",M3733="331")),"331",IF(AND(OR(L3733="131",M3733="131"),H3733='131-CT'!$E$7),"131",""))</f>
        <v/>
      </c>
      <c r="O3733" s="52" t="str">
        <f>IF(AND($B3733&gt;='111'!$N$11,$B3733&lt;='111'!$O$11,OR($L3733=$O$7,$M3733=$O$7)),"x","")</f>
        <v/>
      </c>
      <c r="P3733" s="52" t="str">
        <f>IF(AND($L3733=$O$7,$B3733&lt;'111'!$N$11),"x","")</f>
        <v/>
      </c>
      <c r="Q3733" s="52" t="str">
        <f>IF(AND($M3733=$O$7,$B3733&lt;'111'!$N$11),"x","")</f>
        <v/>
      </c>
      <c r="R3733" s="52" t="str">
        <f>IF(ISERROR(FIND('112'!$M$9,G3733,1)),"",IF((AND(FIND('112'!$M$9,G3733,1)&gt;=1,$B3733&gt;='112'!$N$8,$B3733&lt;='112'!$O$8,OR($L3733='112'!$I$6,$M3733='112'!$I$6))),"x",""))</f>
        <v/>
      </c>
      <c r="S3733" s="52" t="str">
        <f>IF(ISERROR(FIND('112'!$M$9,G3733,1)),"",IF((AND(LEFT(G3733,2)=LEFT('112'!$M$9,2),B3733&lt;'112'!$N$8,$L3733='112'!$I$6)),"x",""))</f>
        <v/>
      </c>
      <c r="T3733" s="52" t="str">
        <f>IF(ISERROR(FIND('112'!$M$9,G3733,1)),"",IF((AND(RIGHT(G3733,2)=RIGHT('112'!$M$9,2),B3733&lt;'112'!$N$8,$M3733='112'!$I$6)),"x",""))</f>
        <v/>
      </c>
      <c r="U3733" s="52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/>
      </c>
      <c r="AA3733" s="826"/>
      <c r="AB3733" s="576"/>
    </row>
    <row r="3734" spans="1:28" ht="15.75" customHeight="1">
      <c r="A3734" s="827" t="str">
        <f>IF(B3734&lt;&gt;"",IF(AND(B3734&gt;=_TM1,B3734&lt;=_TM2,OR(TH!L3734="1111",TH!M3734="1111")),TH!D3734,""),"")</f>
        <v/>
      </c>
      <c r="B3734" s="36">
        <f t="shared" si="484"/>
        <v>3</v>
      </c>
      <c r="C3734" s="190">
        <f t="shared" si="485"/>
        <v>42456</v>
      </c>
      <c r="D3734" s="856" t="s">
        <v>1664</v>
      </c>
      <c r="E3734" s="856">
        <v>42456</v>
      </c>
      <c r="F3734" s="868" t="s">
        <v>1116</v>
      </c>
      <c r="G3734" s="858" t="s">
        <v>1080</v>
      </c>
      <c r="H3734" s="859" t="s">
        <v>1312</v>
      </c>
      <c r="I3734" s="251">
        <v>40</v>
      </c>
      <c r="J3734" s="251">
        <v>14364</v>
      </c>
      <c r="K3734" s="860">
        <f t="shared" si="486"/>
        <v>574560</v>
      </c>
      <c r="L3734" s="861" t="s">
        <v>160</v>
      </c>
      <c r="M3734" s="861" t="s">
        <v>857</v>
      </c>
      <c r="N3734" s="52" t="str">
        <f>IF(AND('331-CT'!$E$7=TH!H3734,OR(L3734="331",M3734="331")),"331",IF(AND(OR(L3734="131",M3734="131"),H3734='131-CT'!$E$7),"131",""))</f>
        <v/>
      </c>
      <c r="O3734" s="52" t="str">
        <f>IF(AND($B3734&gt;='111'!$N$11,$B3734&lt;='111'!$O$11,OR($L3734=$O$7,$M3734=$O$7)),"x","")</f>
        <v/>
      </c>
      <c r="P3734" s="52" t="str">
        <f>IF(AND($L3734=$O$7,$B3734&lt;'111'!$N$11),"x","")</f>
        <v/>
      </c>
      <c r="Q3734" s="52" t="str">
        <f>IF(AND($M3734=$O$7,$B3734&lt;'111'!$N$11),"x","")</f>
        <v/>
      </c>
      <c r="R3734" s="52" t="str">
        <f>IF(ISERROR(FIND('112'!$M$9,G3734,1)),"",IF((AND(FIND('112'!$M$9,G3734,1)&gt;=1,$B3734&gt;='112'!$N$8,$B3734&lt;='112'!$O$8,OR($L3734='112'!$I$6,$M3734='112'!$I$6))),"x",""))</f>
        <v/>
      </c>
      <c r="S3734" s="52" t="str">
        <f>IF(ISERROR(FIND('112'!$M$9,G3734,1)),"",IF((AND(LEFT(G3734,2)=LEFT('112'!$M$9,2),B3734&lt;'112'!$N$8,$L3734='112'!$I$6)),"x",""))</f>
        <v/>
      </c>
      <c r="T3734" s="52" t="str">
        <f>IF(ISERROR(FIND('112'!$M$9,G3734,1)),"",IF((AND(RIGHT(G3734,2)=RIGHT('112'!$M$9,2),B3734&lt;'112'!$N$8,$M3734='112'!$I$6)),"x",""))</f>
        <v/>
      </c>
      <c r="U3734" s="52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/>
      </c>
      <c r="AA3734" s="826"/>
      <c r="AB3734" s="576"/>
    </row>
    <row r="3735" spans="1:28" ht="15.75" customHeight="1">
      <c r="A3735" s="827" t="str">
        <f>IF(B3735&lt;&gt;"",IF(AND(B3735&gt;=_TM1,B3735&lt;=_TM2,OR(TH!L3735="1111",TH!M3735="1111")),TH!D3735,""),"")</f>
        <v/>
      </c>
      <c r="B3735" s="36">
        <f t="shared" si="484"/>
        <v>3</v>
      </c>
      <c r="C3735" s="190">
        <f t="shared" si="485"/>
        <v>42456</v>
      </c>
      <c r="D3735" s="856" t="s">
        <v>1664</v>
      </c>
      <c r="E3735" s="856">
        <v>42456</v>
      </c>
      <c r="F3735" s="868" t="s">
        <v>1130</v>
      </c>
      <c r="G3735" s="858" t="s">
        <v>1080</v>
      </c>
      <c r="H3735" s="859" t="s">
        <v>1312</v>
      </c>
      <c r="I3735" s="251">
        <v>17</v>
      </c>
      <c r="J3735" s="251">
        <v>25171</v>
      </c>
      <c r="K3735" s="860">
        <f t="shared" si="486"/>
        <v>427907</v>
      </c>
      <c r="L3735" s="861" t="s">
        <v>160</v>
      </c>
      <c r="M3735" s="861" t="s">
        <v>857</v>
      </c>
      <c r="N3735" s="52" t="str">
        <f>IF(AND('331-CT'!$E$7=TH!H3735,OR(L3735="331",M3735="331")),"331",IF(AND(OR(L3735="131",M3735="131"),H3735='131-CT'!$E$7),"131",""))</f>
        <v/>
      </c>
      <c r="O3735" s="52" t="str">
        <f>IF(AND($B3735&gt;='111'!$N$11,$B3735&lt;='111'!$O$11,OR($L3735=$O$7,$M3735=$O$7)),"x","")</f>
        <v/>
      </c>
      <c r="P3735" s="52" t="str">
        <f>IF(AND($L3735=$O$7,$B3735&lt;'111'!$N$11),"x","")</f>
        <v/>
      </c>
      <c r="Q3735" s="52" t="str">
        <f>IF(AND($M3735=$O$7,$B3735&lt;'111'!$N$11),"x","")</f>
        <v/>
      </c>
      <c r="R3735" s="52" t="str">
        <f>IF(ISERROR(FIND('112'!$M$9,G3735,1)),"",IF((AND(FIND('112'!$M$9,G3735,1)&gt;=1,$B3735&gt;='112'!$N$8,$B3735&lt;='112'!$O$8,OR($L3735='112'!$I$6,$M3735='112'!$I$6))),"x",""))</f>
        <v/>
      </c>
      <c r="S3735" s="52" t="str">
        <f>IF(ISERROR(FIND('112'!$M$9,G3735,1)),"",IF((AND(LEFT(G3735,2)=LEFT('112'!$M$9,2),B3735&lt;'112'!$N$8,$L3735='112'!$I$6)),"x",""))</f>
        <v/>
      </c>
      <c r="T3735" s="52" t="str">
        <f>IF(ISERROR(FIND('112'!$M$9,G3735,1)),"",IF((AND(RIGHT(G3735,2)=RIGHT('112'!$M$9,2),B3735&lt;'112'!$N$8,$M3735='112'!$I$6)),"x",""))</f>
        <v/>
      </c>
      <c r="U3735" s="52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/>
      </c>
      <c r="AA3735" s="826"/>
      <c r="AB3735" s="576"/>
    </row>
    <row r="3736" spans="1:28" ht="15.75" customHeight="1">
      <c r="A3736" s="827" t="str">
        <f>IF(B3736&lt;&gt;"",IF(AND(B3736&gt;=_TM1,B3736&lt;=_TM2,OR(TH!L3736="1111",TH!M3736="1111")),TH!D3736,""),"")</f>
        <v/>
      </c>
      <c r="B3736" s="36">
        <f t="shared" si="484"/>
        <v>3</v>
      </c>
      <c r="C3736" s="190">
        <f t="shared" si="485"/>
        <v>42456</v>
      </c>
      <c r="D3736" s="856" t="s">
        <v>1664</v>
      </c>
      <c r="E3736" s="856">
        <v>42456</v>
      </c>
      <c r="F3736" s="868" t="s">
        <v>1129</v>
      </c>
      <c r="G3736" s="858" t="s">
        <v>1080</v>
      </c>
      <c r="H3736" s="859" t="s">
        <v>1312</v>
      </c>
      <c r="I3736" s="251">
        <v>6</v>
      </c>
      <c r="J3736" s="251">
        <v>22853</v>
      </c>
      <c r="K3736" s="860">
        <f t="shared" si="486"/>
        <v>137118</v>
      </c>
      <c r="L3736" s="861" t="s">
        <v>160</v>
      </c>
      <c r="M3736" s="861" t="s">
        <v>857</v>
      </c>
      <c r="N3736" s="52" t="str">
        <f>IF(AND('331-CT'!$E$7=TH!H3736,OR(L3736="331",M3736="331")),"331",IF(AND(OR(L3736="131",M3736="131"),H3736='131-CT'!$E$7),"131",""))</f>
        <v/>
      </c>
      <c r="O3736" s="52" t="str">
        <f>IF(AND($B3736&gt;='111'!$N$11,$B3736&lt;='111'!$O$11,OR($L3736=$O$7,$M3736=$O$7)),"x","")</f>
        <v/>
      </c>
      <c r="P3736" s="52" t="str">
        <f>IF(AND($L3736=$O$7,$B3736&lt;'111'!$N$11),"x","")</f>
        <v/>
      </c>
      <c r="Q3736" s="52" t="str">
        <f>IF(AND($M3736=$O$7,$B3736&lt;'111'!$N$11),"x","")</f>
        <v/>
      </c>
      <c r="R3736" s="52" t="str">
        <f>IF(ISERROR(FIND('112'!$M$9,G3736,1)),"",IF((AND(FIND('112'!$M$9,G3736,1)&gt;=1,$B3736&gt;='112'!$N$8,$B3736&lt;='112'!$O$8,OR($L3736='112'!$I$6,$M3736='112'!$I$6))),"x",""))</f>
        <v/>
      </c>
      <c r="S3736" s="52" t="str">
        <f>IF(ISERROR(FIND('112'!$M$9,G3736,1)),"",IF((AND(LEFT(G3736,2)=LEFT('112'!$M$9,2),B3736&lt;'112'!$N$8,$L3736='112'!$I$6)),"x",""))</f>
        <v/>
      </c>
      <c r="T3736" s="52" t="str">
        <f>IF(ISERROR(FIND('112'!$M$9,G3736,1)),"",IF((AND(RIGHT(G3736,2)=RIGHT('112'!$M$9,2),B3736&lt;'112'!$N$8,$M3736='112'!$I$6)),"x",""))</f>
        <v/>
      </c>
      <c r="U3736" s="52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/>
      </c>
      <c r="AA3736" s="826"/>
      <c r="AB3736" s="576"/>
    </row>
    <row r="3737" spans="1:28" ht="15.75" customHeight="1">
      <c r="A3737" s="827" t="str">
        <f>IF(B3737&lt;&gt;"",IF(AND(B3737&gt;=_TM1,B3737&lt;=_TM2,OR(TH!L3737="1111",TH!M3737="1111")),TH!D3737,""),"")</f>
        <v/>
      </c>
      <c r="B3737" s="36">
        <f t="shared" si="484"/>
        <v>3</v>
      </c>
      <c r="C3737" s="190">
        <f t="shared" si="485"/>
        <v>42456</v>
      </c>
      <c r="D3737" s="856" t="s">
        <v>1664</v>
      </c>
      <c r="E3737" s="856">
        <v>42456</v>
      </c>
      <c r="F3737" s="868" t="s">
        <v>1138</v>
      </c>
      <c r="G3737" s="858" t="s">
        <v>1080</v>
      </c>
      <c r="H3737" s="859" t="s">
        <v>1312</v>
      </c>
      <c r="I3737" s="251">
        <v>2</v>
      </c>
      <c r="J3737" s="251">
        <v>17348.5</v>
      </c>
      <c r="K3737" s="860">
        <f t="shared" si="486"/>
        <v>34697</v>
      </c>
      <c r="L3737" s="861" t="s">
        <v>160</v>
      </c>
      <c r="M3737" s="861" t="s">
        <v>857</v>
      </c>
      <c r="N3737" s="52" t="str">
        <f>IF(AND('331-CT'!$E$7=TH!H3737,OR(L3737="331",M3737="331")),"331",IF(AND(OR(L3737="131",M3737="131"),H3737='131-CT'!$E$7),"131",""))</f>
        <v/>
      </c>
      <c r="O3737" s="52" t="str">
        <f>IF(AND($B3737&gt;='111'!$N$11,$B3737&lt;='111'!$O$11,OR($L3737=$O$7,$M3737=$O$7)),"x","")</f>
        <v/>
      </c>
      <c r="P3737" s="52" t="str">
        <f>IF(AND($L3737=$O$7,$B3737&lt;'111'!$N$11),"x","")</f>
        <v/>
      </c>
      <c r="Q3737" s="52" t="str">
        <f>IF(AND($M3737=$O$7,$B3737&lt;'111'!$N$11),"x","")</f>
        <v/>
      </c>
      <c r="R3737" s="52" t="str">
        <f>IF(ISERROR(FIND('112'!$M$9,G3737,1)),"",IF((AND(FIND('112'!$M$9,G3737,1)&gt;=1,$B3737&gt;='112'!$N$8,$B3737&lt;='112'!$O$8,OR($L3737='112'!$I$6,$M3737='112'!$I$6))),"x",""))</f>
        <v/>
      </c>
      <c r="S3737" s="52" t="str">
        <f>IF(ISERROR(FIND('112'!$M$9,G3737,1)),"",IF((AND(LEFT(G3737,2)=LEFT('112'!$M$9,2),B3737&lt;'112'!$N$8,$L3737='112'!$I$6)),"x",""))</f>
        <v/>
      </c>
      <c r="T3737" s="52" t="str">
        <f>IF(ISERROR(FIND('112'!$M$9,G3737,1)),"",IF((AND(RIGHT(G3737,2)=RIGHT('112'!$M$9,2),B3737&lt;'112'!$N$8,$M3737='112'!$I$6)),"x",""))</f>
        <v/>
      </c>
      <c r="U3737" s="52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/>
      </c>
      <c r="AA3737" s="826"/>
      <c r="AB3737" s="576"/>
    </row>
    <row r="3738" spans="1:28" ht="15.75" customHeight="1">
      <c r="A3738" s="827" t="str">
        <f>IF(B3738&lt;&gt;"",IF(AND(B3738&gt;=_TM1,B3738&lt;=_TM2,OR(TH!L3738="1111",TH!M3738="1111")),TH!D3738,""),"")</f>
        <v/>
      </c>
      <c r="B3738" s="36">
        <f t="shared" si="484"/>
        <v>3</v>
      </c>
      <c r="C3738" s="190">
        <f t="shared" si="485"/>
        <v>42456</v>
      </c>
      <c r="D3738" s="856" t="s">
        <v>1664</v>
      </c>
      <c r="E3738" s="856">
        <v>42456</v>
      </c>
      <c r="F3738" s="868" t="s">
        <v>1151</v>
      </c>
      <c r="G3738" s="858" t="s">
        <v>1080</v>
      </c>
      <c r="H3738" s="859" t="s">
        <v>1312</v>
      </c>
      <c r="I3738" s="251">
        <v>5</v>
      </c>
      <c r="J3738" s="251">
        <v>22678</v>
      </c>
      <c r="K3738" s="860">
        <f t="shared" si="486"/>
        <v>113390</v>
      </c>
      <c r="L3738" s="861" t="s">
        <v>160</v>
      </c>
      <c r="M3738" s="861" t="s">
        <v>857</v>
      </c>
      <c r="N3738" s="52" t="str">
        <f>IF(AND('331-CT'!$E$7=TH!H3738,OR(L3738="331",M3738="331")),"331",IF(AND(OR(L3738="131",M3738="131"),H3738='131-CT'!$E$7),"131",""))</f>
        <v/>
      </c>
      <c r="O3738" s="52" t="str">
        <f>IF(AND($B3738&gt;='111'!$N$11,$B3738&lt;='111'!$O$11,OR($L3738=$O$7,$M3738=$O$7)),"x","")</f>
        <v/>
      </c>
      <c r="P3738" s="52" t="str">
        <f>IF(AND($L3738=$O$7,$B3738&lt;'111'!$N$11),"x","")</f>
        <v/>
      </c>
      <c r="Q3738" s="52" t="str">
        <f>IF(AND($M3738=$O$7,$B3738&lt;'111'!$N$11),"x","")</f>
        <v/>
      </c>
      <c r="R3738" s="52" t="str">
        <f>IF(ISERROR(FIND('112'!$M$9,G3738,1)),"",IF((AND(FIND('112'!$M$9,G3738,1)&gt;=1,$B3738&gt;='112'!$N$8,$B3738&lt;='112'!$O$8,OR($L3738='112'!$I$6,$M3738='112'!$I$6))),"x",""))</f>
        <v/>
      </c>
      <c r="S3738" s="52" t="str">
        <f>IF(ISERROR(FIND('112'!$M$9,G3738,1)),"",IF((AND(LEFT(G3738,2)=LEFT('112'!$M$9,2),B3738&lt;'112'!$N$8,$L3738='112'!$I$6)),"x",""))</f>
        <v/>
      </c>
      <c r="T3738" s="52" t="str">
        <f>IF(ISERROR(FIND('112'!$M$9,G3738,1)),"",IF((AND(RIGHT(G3738,2)=RIGHT('112'!$M$9,2),B3738&lt;'112'!$N$8,$M3738='112'!$I$6)),"x",""))</f>
        <v/>
      </c>
      <c r="U3738" s="52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/>
      </c>
      <c r="AA3738" s="826"/>
      <c r="AB3738" s="576"/>
    </row>
    <row r="3739" spans="1:28" ht="15.75" customHeight="1">
      <c r="A3739" s="827" t="str">
        <f>IF(B3739&lt;&gt;"",IF(AND(B3739&gt;=_TM1,B3739&lt;=_TM2,OR(TH!L3739="1111",TH!M3739="1111")),TH!D3739,""),"")</f>
        <v/>
      </c>
      <c r="B3739" s="36">
        <f t="shared" si="484"/>
        <v>3</v>
      </c>
      <c r="C3739" s="190">
        <f t="shared" si="485"/>
        <v>42456</v>
      </c>
      <c r="D3739" s="856" t="s">
        <v>1664</v>
      </c>
      <c r="E3739" s="856">
        <v>42456</v>
      </c>
      <c r="F3739" s="868" t="s">
        <v>1148</v>
      </c>
      <c r="G3739" s="858" t="s">
        <v>1080</v>
      </c>
      <c r="H3739" s="859" t="s">
        <v>1312</v>
      </c>
      <c r="I3739" s="251">
        <v>20</v>
      </c>
      <c r="J3739" s="251">
        <v>14007</v>
      </c>
      <c r="K3739" s="860">
        <f t="shared" si="486"/>
        <v>280140</v>
      </c>
      <c r="L3739" s="861" t="s">
        <v>160</v>
      </c>
      <c r="M3739" s="861" t="s">
        <v>857</v>
      </c>
      <c r="N3739" s="52" t="str">
        <f>IF(AND('331-CT'!$E$7=TH!H3739,OR(L3739="331",M3739="331")),"331",IF(AND(OR(L3739="131",M3739="131"),H3739='131-CT'!$E$7),"131",""))</f>
        <v/>
      </c>
      <c r="O3739" s="52" t="str">
        <f>IF(AND($B3739&gt;='111'!$N$11,$B3739&lt;='111'!$O$11,OR($L3739=$O$7,$M3739=$O$7)),"x","")</f>
        <v/>
      </c>
      <c r="P3739" s="52" t="str">
        <f>IF(AND($L3739=$O$7,$B3739&lt;'111'!$N$11),"x","")</f>
        <v/>
      </c>
      <c r="Q3739" s="52" t="str">
        <f>IF(AND($M3739=$O$7,$B3739&lt;'111'!$N$11),"x","")</f>
        <v/>
      </c>
      <c r="R3739" s="52" t="str">
        <f>IF(ISERROR(FIND('112'!$M$9,G3739,1)),"",IF((AND(FIND('112'!$M$9,G3739,1)&gt;=1,$B3739&gt;='112'!$N$8,$B3739&lt;='112'!$O$8,OR($L3739='112'!$I$6,$M3739='112'!$I$6))),"x",""))</f>
        <v/>
      </c>
      <c r="S3739" s="52" t="str">
        <f>IF(ISERROR(FIND('112'!$M$9,G3739,1)),"",IF((AND(LEFT(G3739,2)=LEFT('112'!$M$9,2),B3739&lt;'112'!$N$8,$L3739='112'!$I$6)),"x",""))</f>
        <v/>
      </c>
      <c r="T3739" s="52" t="str">
        <f>IF(ISERROR(FIND('112'!$M$9,G3739,1)),"",IF((AND(RIGHT(G3739,2)=RIGHT('112'!$M$9,2),B3739&lt;'112'!$N$8,$M3739='112'!$I$6)),"x",""))</f>
        <v/>
      </c>
      <c r="U3739" s="52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/>
      </c>
      <c r="AA3739" s="826"/>
      <c r="AB3739" s="576"/>
    </row>
    <row r="3740" spans="1:28" ht="15.75" customHeight="1">
      <c r="A3740" s="827" t="str">
        <f>IF(B3740&lt;&gt;"",IF(AND(B3740&gt;=_TM1,B3740&lt;=_TM2,OR(TH!L3740="1111",TH!M3740="1111")),TH!D3740,""),"")</f>
        <v/>
      </c>
      <c r="B3740" s="36">
        <f t="shared" si="484"/>
        <v>3</v>
      </c>
      <c r="C3740" s="190">
        <f t="shared" si="485"/>
        <v>42456</v>
      </c>
      <c r="D3740" s="856" t="s">
        <v>1664</v>
      </c>
      <c r="E3740" s="856">
        <v>42456</v>
      </c>
      <c r="F3740" s="868" t="s">
        <v>1154</v>
      </c>
      <c r="G3740" s="858" t="s">
        <v>1080</v>
      </c>
      <c r="H3740" s="859" t="s">
        <v>1312</v>
      </c>
      <c r="I3740" s="251">
        <v>34</v>
      </c>
      <c r="J3740" s="251">
        <v>28281</v>
      </c>
      <c r="K3740" s="860">
        <f t="shared" si="486"/>
        <v>961554</v>
      </c>
      <c r="L3740" s="861" t="s">
        <v>160</v>
      </c>
      <c r="M3740" s="861" t="s">
        <v>857</v>
      </c>
      <c r="N3740" s="52" t="str">
        <f>IF(AND('331-CT'!$E$7=TH!H3740,OR(L3740="331",M3740="331")),"331",IF(AND(OR(L3740="131",M3740="131"),H3740='131-CT'!$E$7),"131",""))</f>
        <v/>
      </c>
      <c r="O3740" s="52" t="str">
        <f>IF(AND($B3740&gt;='111'!$N$11,$B3740&lt;='111'!$O$11,OR($L3740=$O$7,$M3740=$O$7)),"x","")</f>
        <v/>
      </c>
      <c r="P3740" s="52" t="str">
        <f>IF(AND($L3740=$O$7,$B3740&lt;'111'!$N$11),"x","")</f>
        <v/>
      </c>
      <c r="Q3740" s="52" t="str">
        <f>IF(AND($M3740=$O$7,$B3740&lt;'111'!$N$11),"x","")</f>
        <v/>
      </c>
      <c r="R3740" s="52" t="str">
        <f>IF(ISERROR(FIND('112'!$M$9,G3740,1)),"",IF((AND(FIND('112'!$M$9,G3740,1)&gt;=1,$B3740&gt;='112'!$N$8,$B3740&lt;='112'!$O$8,OR($L3740='112'!$I$6,$M3740='112'!$I$6))),"x",""))</f>
        <v/>
      </c>
      <c r="S3740" s="52" t="str">
        <f>IF(ISERROR(FIND('112'!$M$9,G3740,1)),"",IF((AND(LEFT(G3740,2)=LEFT('112'!$M$9,2),B3740&lt;'112'!$N$8,$L3740='112'!$I$6)),"x",""))</f>
        <v/>
      </c>
      <c r="T3740" s="52" t="str">
        <f>IF(ISERROR(FIND('112'!$M$9,G3740,1)),"",IF((AND(RIGHT(G3740,2)=RIGHT('112'!$M$9,2),B3740&lt;'112'!$N$8,$M3740='112'!$I$6)),"x",""))</f>
        <v/>
      </c>
      <c r="U3740" s="52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/>
      </c>
      <c r="AA3740" s="826"/>
      <c r="AB3740" s="576"/>
    </row>
    <row r="3741" spans="1:28" ht="15.75" customHeight="1">
      <c r="A3741" s="827" t="str">
        <f>IF(B3741&lt;&gt;"",IF(AND(B3741&gt;=_TM1,B3741&lt;=_TM2,OR(TH!L3741="1111",TH!M3741="1111")),TH!D3741,""),"")</f>
        <v/>
      </c>
      <c r="B3741" s="36">
        <f t="shared" si="484"/>
        <v>3</v>
      </c>
      <c r="C3741" s="190">
        <f t="shared" si="485"/>
        <v>42456</v>
      </c>
      <c r="D3741" s="856" t="s">
        <v>1664</v>
      </c>
      <c r="E3741" s="856">
        <v>42456</v>
      </c>
      <c r="F3741" s="868" t="s">
        <v>1163</v>
      </c>
      <c r="G3741" s="858" t="s">
        <v>1080</v>
      </c>
      <c r="H3741" s="859" t="s">
        <v>1312</v>
      </c>
      <c r="I3741" s="251">
        <v>3</v>
      </c>
      <c r="J3741" s="251">
        <v>21960</v>
      </c>
      <c r="K3741" s="860">
        <f t="shared" si="486"/>
        <v>65880</v>
      </c>
      <c r="L3741" s="861" t="s">
        <v>160</v>
      </c>
      <c r="M3741" s="861" t="s">
        <v>857</v>
      </c>
      <c r="N3741" s="52" t="str">
        <f>IF(AND('331-CT'!$E$7=TH!H3741,OR(L3741="331",M3741="331")),"331",IF(AND(OR(L3741="131",M3741="131"),H3741='131-CT'!$E$7),"131",""))</f>
        <v/>
      </c>
      <c r="O3741" s="52" t="str">
        <f>IF(AND($B3741&gt;='111'!$N$11,$B3741&lt;='111'!$O$11,OR($L3741=$O$7,$M3741=$O$7)),"x","")</f>
        <v/>
      </c>
      <c r="P3741" s="52" t="str">
        <f>IF(AND($L3741=$O$7,$B3741&lt;'111'!$N$11),"x","")</f>
        <v/>
      </c>
      <c r="Q3741" s="52" t="str">
        <f>IF(AND($M3741=$O$7,$B3741&lt;'111'!$N$11),"x","")</f>
        <v/>
      </c>
      <c r="R3741" s="52" t="str">
        <f>IF(ISERROR(FIND('112'!$M$9,G3741,1)),"",IF((AND(FIND('112'!$M$9,G3741,1)&gt;=1,$B3741&gt;='112'!$N$8,$B3741&lt;='112'!$O$8,OR($L3741='112'!$I$6,$M3741='112'!$I$6))),"x",""))</f>
        <v/>
      </c>
      <c r="S3741" s="52" t="str">
        <f>IF(ISERROR(FIND('112'!$M$9,G3741,1)),"",IF((AND(LEFT(G3741,2)=LEFT('112'!$M$9,2),B3741&lt;'112'!$N$8,$L3741='112'!$I$6)),"x",""))</f>
        <v/>
      </c>
      <c r="T3741" s="52" t="str">
        <f>IF(ISERROR(FIND('112'!$M$9,G3741,1)),"",IF((AND(RIGHT(G3741,2)=RIGHT('112'!$M$9,2),B3741&lt;'112'!$N$8,$M3741='112'!$I$6)),"x",""))</f>
        <v/>
      </c>
      <c r="U3741" s="52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/>
      </c>
      <c r="AA3741" s="826"/>
      <c r="AB3741" s="576"/>
    </row>
    <row r="3742" spans="1:28" ht="15.75" customHeight="1">
      <c r="A3742" s="827" t="str">
        <f>IF(B3742&lt;&gt;"",IF(AND(B3742&gt;=_TM1,B3742&lt;=_TM2,OR(TH!L3742="1111",TH!M3742="1111")),TH!D3742,""),"")</f>
        <v/>
      </c>
      <c r="B3742" s="36">
        <f t="shared" si="484"/>
        <v>3</v>
      </c>
      <c r="C3742" s="190">
        <f t="shared" si="485"/>
        <v>42456</v>
      </c>
      <c r="D3742" s="856" t="s">
        <v>1664</v>
      </c>
      <c r="E3742" s="856">
        <v>42456</v>
      </c>
      <c r="F3742" s="868" t="s">
        <v>1124</v>
      </c>
      <c r="G3742" s="858" t="s">
        <v>1080</v>
      </c>
      <c r="H3742" s="859" t="s">
        <v>1312</v>
      </c>
      <c r="I3742" s="251">
        <v>40</v>
      </c>
      <c r="J3742" s="251">
        <v>12420</v>
      </c>
      <c r="K3742" s="860">
        <f t="shared" si="486"/>
        <v>496800</v>
      </c>
      <c r="L3742" s="861" t="s">
        <v>160</v>
      </c>
      <c r="M3742" s="861" t="s">
        <v>857</v>
      </c>
      <c r="N3742" s="52" t="str">
        <f>IF(AND('331-CT'!$E$7=TH!H3742,OR(L3742="331",M3742="331")),"331",IF(AND(OR(L3742="131",M3742="131"),H3742='131-CT'!$E$7),"131",""))</f>
        <v/>
      </c>
      <c r="O3742" s="52" t="str">
        <f>IF(AND($B3742&gt;='111'!$N$11,$B3742&lt;='111'!$O$11,OR($L3742=$O$7,$M3742=$O$7)),"x","")</f>
        <v/>
      </c>
      <c r="P3742" s="52" t="str">
        <f>IF(AND($L3742=$O$7,$B3742&lt;'111'!$N$11),"x","")</f>
        <v/>
      </c>
      <c r="Q3742" s="52" t="str">
        <f>IF(AND($M3742=$O$7,$B3742&lt;'111'!$N$11),"x","")</f>
        <v/>
      </c>
      <c r="R3742" s="52" t="str">
        <f>IF(ISERROR(FIND('112'!$M$9,G3742,1)),"",IF((AND(FIND('112'!$M$9,G3742,1)&gt;=1,$B3742&gt;='112'!$N$8,$B3742&lt;='112'!$O$8,OR($L3742='112'!$I$6,$M3742='112'!$I$6))),"x",""))</f>
        <v/>
      </c>
      <c r="S3742" s="52" t="str">
        <f>IF(ISERROR(FIND('112'!$M$9,G3742,1)),"",IF((AND(LEFT(G3742,2)=LEFT('112'!$M$9,2),B3742&lt;'112'!$N$8,$L3742='112'!$I$6)),"x",""))</f>
        <v/>
      </c>
      <c r="T3742" s="52" t="str">
        <f>IF(ISERROR(FIND('112'!$M$9,G3742,1)),"",IF((AND(RIGHT(G3742,2)=RIGHT('112'!$M$9,2),B3742&lt;'112'!$N$8,$M3742='112'!$I$6)),"x",""))</f>
        <v/>
      </c>
      <c r="U3742" s="52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/>
      </c>
      <c r="AA3742" s="826"/>
      <c r="AB3742" s="576"/>
    </row>
    <row r="3743" spans="1:28" ht="15.75" customHeight="1">
      <c r="A3743" s="827" t="str">
        <f>IF(B3743&lt;&gt;"",IF(AND(B3743&gt;=_TM1,B3743&lt;=_TM2,OR(TH!L3743="1111",TH!M3743="1111")),TH!D3743,""),"")</f>
        <v/>
      </c>
      <c r="B3743" s="36">
        <f t="shared" si="484"/>
        <v>3</v>
      </c>
      <c r="C3743" s="190">
        <f t="shared" si="485"/>
        <v>42456</v>
      </c>
      <c r="D3743" s="856" t="s">
        <v>1664</v>
      </c>
      <c r="E3743" s="856">
        <v>42456</v>
      </c>
      <c r="F3743" s="868" t="s">
        <v>1122</v>
      </c>
      <c r="G3743" s="858" t="s">
        <v>1080</v>
      </c>
      <c r="H3743" s="859" t="s">
        <v>1312</v>
      </c>
      <c r="I3743" s="251">
        <v>16</v>
      </c>
      <c r="J3743" s="251">
        <v>17986</v>
      </c>
      <c r="K3743" s="860">
        <f t="shared" si="486"/>
        <v>287776</v>
      </c>
      <c r="L3743" s="861" t="s">
        <v>160</v>
      </c>
      <c r="M3743" s="861" t="s">
        <v>857</v>
      </c>
      <c r="N3743" s="52" t="str">
        <f>IF(AND('331-CT'!$E$7=TH!H3743,OR(L3743="331",M3743="331")),"331",IF(AND(OR(L3743="131",M3743="131"),H3743='131-CT'!$E$7),"131",""))</f>
        <v/>
      </c>
      <c r="O3743" s="52" t="str">
        <f>IF(AND($B3743&gt;='111'!$N$11,$B3743&lt;='111'!$O$11,OR($L3743=$O$7,$M3743=$O$7)),"x","")</f>
        <v/>
      </c>
      <c r="P3743" s="52" t="str">
        <f>IF(AND($L3743=$O$7,$B3743&lt;'111'!$N$11),"x","")</f>
        <v/>
      </c>
      <c r="Q3743" s="52" t="str">
        <f>IF(AND($M3743=$O$7,$B3743&lt;'111'!$N$11),"x","")</f>
        <v/>
      </c>
      <c r="R3743" s="52" t="str">
        <f>IF(ISERROR(FIND('112'!$M$9,G3743,1)),"",IF((AND(FIND('112'!$M$9,G3743,1)&gt;=1,$B3743&gt;='112'!$N$8,$B3743&lt;='112'!$O$8,OR($L3743='112'!$I$6,$M3743='112'!$I$6))),"x",""))</f>
        <v/>
      </c>
      <c r="S3743" s="52" t="str">
        <f>IF(ISERROR(FIND('112'!$M$9,G3743,1)),"",IF((AND(LEFT(G3743,2)=LEFT('112'!$M$9,2),B3743&lt;'112'!$N$8,$L3743='112'!$I$6)),"x",""))</f>
        <v/>
      </c>
      <c r="T3743" s="52" t="str">
        <f>IF(ISERROR(FIND('112'!$M$9,G3743,1)),"",IF((AND(RIGHT(G3743,2)=RIGHT('112'!$M$9,2),B3743&lt;'112'!$N$8,$M3743='112'!$I$6)),"x",""))</f>
        <v/>
      </c>
      <c r="U3743" s="52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/>
      </c>
      <c r="AA3743" s="826"/>
      <c r="AB3743" s="576"/>
    </row>
    <row r="3744" spans="1:28" ht="15.75" customHeight="1">
      <c r="A3744" s="827" t="str">
        <f>IF(B3744&lt;&gt;"",IF(AND(B3744&gt;=_TM1,B3744&lt;=_TM2,OR(TH!L3744="1111",TH!M3744="1111")),TH!D3744,""),"")</f>
        <v/>
      </c>
      <c r="B3744" s="36">
        <f t="shared" si="484"/>
        <v>3</v>
      </c>
      <c r="C3744" s="190">
        <f t="shared" si="485"/>
        <v>42456</v>
      </c>
      <c r="D3744" s="856" t="s">
        <v>1664</v>
      </c>
      <c r="E3744" s="856">
        <v>42456</v>
      </c>
      <c r="F3744" s="868" t="s">
        <v>1119</v>
      </c>
      <c r="G3744" s="858" t="s">
        <v>1080</v>
      </c>
      <c r="H3744" s="859" t="s">
        <v>1312</v>
      </c>
      <c r="I3744" s="251">
        <v>2</v>
      </c>
      <c r="J3744" s="251">
        <v>35438</v>
      </c>
      <c r="K3744" s="860">
        <f t="shared" si="486"/>
        <v>70876</v>
      </c>
      <c r="L3744" s="861" t="s">
        <v>160</v>
      </c>
      <c r="M3744" s="861" t="s">
        <v>857</v>
      </c>
      <c r="N3744" s="52" t="str">
        <f>IF(AND('331-CT'!$E$7=TH!H3744,OR(L3744="331",M3744="331")),"331",IF(AND(OR(L3744="131",M3744="131"),H3744='131-CT'!$E$7),"131",""))</f>
        <v/>
      </c>
      <c r="O3744" s="52" t="str">
        <f>IF(AND($B3744&gt;='111'!$N$11,$B3744&lt;='111'!$O$11,OR($L3744=$O$7,$M3744=$O$7)),"x","")</f>
        <v/>
      </c>
      <c r="P3744" s="52" t="str">
        <f>IF(AND($L3744=$O$7,$B3744&lt;'111'!$N$11),"x","")</f>
        <v/>
      </c>
      <c r="Q3744" s="52" t="str">
        <f>IF(AND($M3744=$O$7,$B3744&lt;'111'!$N$11),"x","")</f>
        <v/>
      </c>
      <c r="R3744" s="52" t="str">
        <f>IF(ISERROR(FIND('112'!$M$9,G3744,1)),"",IF((AND(FIND('112'!$M$9,G3744,1)&gt;=1,$B3744&gt;='112'!$N$8,$B3744&lt;='112'!$O$8,OR($L3744='112'!$I$6,$M3744='112'!$I$6))),"x",""))</f>
        <v/>
      </c>
      <c r="S3744" s="52" t="str">
        <f>IF(ISERROR(FIND('112'!$M$9,G3744,1)),"",IF((AND(LEFT(G3744,2)=LEFT('112'!$M$9,2),B3744&lt;'112'!$N$8,$L3744='112'!$I$6)),"x",""))</f>
        <v/>
      </c>
      <c r="T3744" s="52" t="str">
        <f>IF(ISERROR(FIND('112'!$M$9,G3744,1)),"",IF((AND(RIGHT(G3744,2)=RIGHT('112'!$M$9,2),B3744&lt;'112'!$N$8,$M3744='112'!$I$6)),"x",""))</f>
        <v/>
      </c>
      <c r="U3744" s="52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/>
      </c>
      <c r="AA3744" s="826"/>
      <c r="AB3744" s="576"/>
    </row>
    <row r="3745" spans="1:28" ht="15.75" customHeight="1">
      <c r="A3745" s="827" t="str">
        <f>IF(B3745&lt;&gt;"",IF(AND(B3745&gt;=_TM1,B3745&lt;=_TM2,OR(TH!L3745="1111",TH!M3745="1111")),TH!D3745,""),"")</f>
        <v/>
      </c>
      <c r="B3745" s="36">
        <f t="shared" si="484"/>
        <v>3</v>
      </c>
      <c r="C3745" s="190">
        <f t="shared" si="485"/>
        <v>42456</v>
      </c>
      <c r="D3745" s="856" t="s">
        <v>1664</v>
      </c>
      <c r="E3745" s="856">
        <v>42456</v>
      </c>
      <c r="F3745" s="868" t="s">
        <v>1120</v>
      </c>
      <c r="G3745" s="858" t="s">
        <v>1080</v>
      </c>
      <c r="H3745" s="859" t="s">
        <v>1312</v>
      </c>
      <c r="I3745" s="251">
        <v>16</v>
      </c>
      <c r="J3745" s="251">
        <v>15151.25</v>
      </c>
      <c r="K3745" s="860">
        <f t="shared" si="486"/>
        <v>242420</v>
      </c>
      <c r="L3745" s="861" t="s">
        <v>160</v>
      </c>
      <c r="M3745" s="861" t="s">
        <v>857</v>
      </c>
      <c r="N3745" s="52" t="str">
        <f>IF(AND('331-CT'!$E$7=TH!H3745,OR(L3745="331",M3745="331")),"331",IF(AND(OR(L3745="131",M3745="131"),H3745='131-CT'!$E$7),"131",""))</f>
        <v/>
      </c>
      <c r="O3745" s="52" t="str">
        <f>IF(AND($B3745&gt;='111'!$N$11,$B3745&lt;='111'!$O$11,OR($L3745=$O$7,$M3745=$O$7)),"x","")</f>
        <v/>
      </c>
      <c r="P3745" s="52" t="str">
        <f>IF(AND($L3745=$O$7,$B3745&lt;'111'!$N$11),"x","")</f>
        <v/>
      </c>
      <c r="Q3745" s="52" t="str">
        <f>IF(AND($M3745=$O$7,$B3745&lt;'111'!$N$11),"x","")</f>
        <v/>
      </c>
      <c r="R3745" s="52" t="str">
        <f>IF(ISERROR(FIND('112'!$M$9,G3745,1)),"",IF((AND(FIND('112'!$M$9,G3745,1)&gt;=1,$B3745&gt;='112'!$N$8,$B3745&lt;='112'!$O$8,OR($L3745='112'!$I$6,$M3745='112'!$I$6))),"x",""))</f>
        <v/>
      </c>
      <c r="S3745" s="52" t="str">
        <f>IF(ISERROR(FIND('112'!$M$9,G3745,1)),"",IF((AND(LEFT(G3745,2)=LEFT('112'!$M$9,2),B3745&lt;'112'!$N$8,$L3745='112'!$I$6)),"x",""))</f>
        <v/>
      </c>
      <c r="T3745" s="52" t="str">
        <f>IF(ISERROR(FIND('112'!$M$9,G3745,1)),"",IF((AND(RIGHT(G3745,2)=RIGHT('112'!$M$9,2),B3745&lt;'112'!$N$8,$M3745='112'!$I$6)),"x",""))</f>
        <v/>
      </c>
      <c r="U3745" s="52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/>
      </c>
      <c r="AA3745" s="826"/>
      <c r="AB3745" s="576"/>
    </row>
    <row r="3746" spans="1:28" ht="15.75" customHeight="1">
      <c r="A3746" s="827" t="str">
        <f>IF(B3746&lt;&gt;"",IF(AND(B3746&gt;=_TM1,B3746&lt;=_TM2,OR(TH!L3746="1111",TH!M3746="1111")),TH!D3746,""),"")</f>
        <v/>
      </c>
      <c r="B3746" s="36">
        <f t="shared" si="484"/>
        <v>3</v>
      </c>
      <c r="C3746" s="190">
        <f t="shared" si="485"/>
        <v>42456</v>
      </c>
      <c r="D3746" s="856" t="s">
        <v>1664</v>
      </c>
      <c r="E3746" s="856">
        <v>42456</v>
      </c>
      <c r="F3746" s="868" t="s">
        <v>1121</v>
      </c>
      <c r="G3746" s="858" t="s">
        <v>1080</v>
      </c>
      <c r="H3746" s="859" t="s">
        <v>1312</v>
      </c>
      <c r="I3746" s="251">
        <v>10</v>
      </c>
      <c r="J3746" s="251">
        <v>15835.5</v>
      </c>
      <c r="K3746" s="860">
        <f t="shared" si="486"/>
        <v>158355</v>
      </c>
      <c r="L3746" s="861" t="s">
        <v>160</v>
      </c>
      <c r="M3746" s="861" t="s">
        <v>857</v>
      </c>
      <c r="N3746" s="52" t="str">
        <f>IF(AND('331-CT'!$E$7=TH!H3746,OR(L3746="331",M3746="331")),"331",IF(AND(OR(L3746="131",M3746="131"),H3746='131-CT'!$E$7),"131",""))</f>
        <v/>
      </c>
      <c r="O3746" s="52" t="str">
        <f>IF(AND($B3746&gt;='111'!$N$11,$B3746&lt;='111'!$O$11,OR($L3746=$O$7,$M3746=$O$7)),"x","")</f>
        <v/>
      </c>
      <c r="P3746" s="52" t="str">
        <f>IF(AND($L3746=$O$7,$B3746&lt;'111'!$N$11),"x","")</f>
        <v/>
      </c>
      <c r="Q3746" s="52" t="str">
        <f>IF(AND($M3746=$O$7,$B3746&lt;'111'!$N$11),"x","")</f>
        <v/>
      </c>
      <c r="R3746" s="52" t="str">
        <f>IF(ISERROR(FIND('112'!$M$9,G3746,1)),"",IF((AND(FIND('112'!$M$9,G3746,1)&gt;=1,$B3746&gt;='112'!$N$8,$B3746&lt;='112'!$O$8,OR($L3746='112'!$I$6,$M3746='112'!$I$6))),"x",""))</f>
        <v/>
      </c>
      <c r="S3746" s="52" t="str">
        <f>IF(ISERROR(FIND('112'!$M$9,G3746,1)),"",IF((AND(LEFT(G3746,2)=LEFT('112'!$M$9,2),B3746&lt;'112'!$N$8,$L3746='112'!$I$6)),"x",""))</f>
        <v/>
      </c>
      <c r="T3746" s="52" t="str">
        <f>IF(ISERROR(FIND('112'!$M$9,G3746,1)),"",IF((AND(RIGHT(G3746,2)=RIGHT('112'!$M$9,2),B3746&lt;'112'!$N$8,$M3746='112'!$I$6)),"x",""))</f>
        <v/>
      </c>
      <c r="U3746" s="52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/>
      </c>
      <c r="AA3746" s="826"/>
      <c r="AB3746" s="576"/>
    </row>
    <row r="3747" spans="1:28" ht="15.75" customHeight="1">
      <c r="A3747" s="827" t="str">
        <f>IF(B3747&lt;&gt;"",IF(AND(B3747&gt;=_TM1,B3747&lt;=_TM2,OR(TH!L3747="1111",TH!M3747="1111")),TH!D3747,""),"")</f>
        <v/>
      </c>
      <c r="B3747" s="36">
        <f t="shared" ref="B3747:B3758" si="487">IF(C3747&lt;&gt;"",MONTH(C3747),"")</f>
        <v>3</v>
      </c>
      <c r="C3747" s="190">
        <f t="shared" si="485"/>
        <v>42456</v>
      </c>
      <c r="D3747" s="856" t="s">
        <v>1664</v>
      </c>
      <c r="E3747" s="856">
        <v>42456</v>
      </c>
      <c r="F3747" s="866" t="s">
        <v>1172</v>
      </c>
      <c r="G3747" s="858" t="s">
        <v>1080</v>
      </c>
      <c r="H3747" s="859" t="s">
        <v>1312</v>
      </c>
      <c r="I3747" s="251">
        <v>40</v>
      </c>
      <c r="J3747" s="251">
        <v>25830</v>
      </c>
      <c r="K3747" s="860">
        <f t="shared" si="486"/>
        <v>1033200</v>
      </c>
      <c r="L3747" s="861" t="s">
        <v>160</v>
      </c>
      <c r="M3747" s="861" t="s">
        <v>857</v>
      </c>
      <c r="N3747" s="52" t="str">
        <f>IF(AND('331-CT'!$E$7=TH!H3747,OR(L3747="331",M3747="331")),"331",IF(AND(OR(L3747="131",M3747="131"),H3747='131-CT'!$E$7),"131",""))</f>
        <v/>
      </c>
      <c r="O3747" s="52" t="str">
        <f>IF(AND($B3747&gt;='111'!$N$11,$B3747&lt;='111'!$O$11,OR($L3747=$O$7,$M3747=$O$7)),"x","")</f>
        <v/>
      </c>
      <c r="P3747" s="52" t="str">
        <f>IF(AND($L3747=$O$7,$B3747&lt;'111'!$N$11),"x","")</f>
        <v/>
      </c>
      <c r="Q3747" s="52" t="str">
        <f>IF(AND($M3747=$O$7,$B3747&lt;'111'!$N$11),"x","")</f>
        <v/>
      </c>
      <c r="R3747" s="52" t="str">
        <f>IF(ISERROR(FIND('112'!$M$9,G3747,1)),"",IF((AND(FIND('112'!$M$9,G3747,1)&gt;=1,$B3747&gt;='112'!$N$8,$B3747&lt;='112'!$O$8,OR($L3747='112'!$I$6,$M3747='112'!$I$6))),"x",""))</f>
        <v/>
      </c>
      <c r="S3747" s="52" t="str">
        <f>IF(ISERROR(FIND('112'!$M$9,G3747,1)),"",IF((AND(LEFT(G3747,2)=LEFT('112'!$M$9,2),B3747&lt;'112'!$N$8,$L3747='112'!$I$6)),"x",""))</f>
        <v/>
      </c>
      <c r="T3747" s="52" t="str">
        <f>IF(ISERROR(FIND('112'!$M$9,G3747,1)),"",IF((AND(RIGHT(G3747,2)=RIGHT('112'!$M$9,2),B3747&lt;'112'!$N$8,$M3747='112'!$I$6)),"x",""))</f>
        <v/>
      </c>
      <c r="U3747" s="52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/>
      </c>
      <c r="AA3747" s="826"/>
      <c r="AB3747" s="576"/>
    </row>
    <row r="3748" spans="1:28" ht="15.75" customHeight="1">
      <c r="A3748" s="827" t="str">
        <f>IF(B3748&lt;&gt;"",IF(AND(B3748&gt;=_TM1,B3748&lt;=_TM2,OR(TH!L3748="1111",TH!M3748="1111")),TH!D3748,""),"")</f>
        <v/>
      </c>
      <c r="B3748" s="36">
        <f t="shared" si="487"/>
        <v>3</v>
      </c>
      <c r="C3748" s="190">
        <f t="shared" si="485"/>
        <v>42456</v>
      </c>
      <c r="D3748" s="856" t="s">
        <v>1664</v>
      </c>
      <c r="E3748" s="856">
        <v>42456</v>
      </c>
      <c r="F3748" s="868" t="s">
        <v>1147</v>
      </c>
      <c r="G3748" s="858" t="s">
        <v>1080</v>
      </c>
      <c r="H3748" s="859" t="s">
        <v>1312</v>
      </c>
      <c r="I3748" s="251">
        <v>30</v>
      </c>
      <c r="J3748" s="251">
        <v>20230</v>
      </c>
      <c r="K3748" s="860">
        <f t="shared" si="486"/>
        <v>606900</v>
      </c>
      <c r="L3748" s="861" t="s">
        <v>160</v>
      </c>
      <c r="M3748" s="861" t="s">
        <v>857</v>
      </c>
      <c r="N3748" s="52" t="str">
        <f>IF(AND('331-CT'!$E$7=TH!H3748,OR(L3748="331",M3748="331")),"331",IF(AND(OR(L3748="131",M3748="131"),H3748='131-CT'!$E$7),"131",""))</f>
        <v/>
      </c>
      <c r="O3748" s="52" t="str">
        <f>IF(AND($B3748&gt;='111'!$N$11,$B3748&lt;='111'!$O$11,OR($L3748=$O$7,$M3748=$O$7)),"x","")</f>
        <v/>
      </c>
      <c r="P3748" s="52" t="str">
        <f>IF(AND($L3748=$O$7,$B3748&lt;'111'!$N$11),"x","")</f>
        <v/>
      </c>
      <c r="Q3748" s="52" t="str">
        <f>IF(AND($M3748=$O$7,$B3748&lt;'111'!$N$11),"x","")</f>
        <v/>
      </c>
      <c r="R3748" s="52" t="str">
        <f>IF(ISERROR(FIND('112'!$M$9,G3748,1)),"",IF((AND(FIND('112'!$M$9,G3748,1)&gt;=1,$B3748&gt;='112'!$N$8,$B3748&lt;='112'!$O$8,OR($L3748='112'!$I$6,$M3748='112'!$I$6))),"x",""))</f>
        <v/>
      </c>
      <c r="S3748" s="52" t="str">
        <f>IF(ISERROR(FIND('112'!$M$9,G3748,1)),"",IF((AND(LEFT(G3748,2)=LEFT('112'!$M$9,2),B3748&lt;'112'!$N$8,$L3748='112'!$I$6)),"x",""))</f>
        <v/>
      </c>
      <c r="T3748" s="52" t="str">
        <f>IF(ISERROR(FIND('112'!$M$9,G3748,1)),"",IF((AND(RIGHT(G3748,2)=RIGHT('112'!$M$9,2),B3748&lt;'112'!$N$8,$M3748='112'!$I$6)),"x",""))</f>
        <v/>
      </c>
      <c r="U3748" s="52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/>
      </c>
      <c r="AA3748" s="826"/>
      <c r="AB3748" s="576"/>
    </row>
    <row r="3749" spans="1:28" ht="15.75" customHeight="1">
      <c r="A3749" s="827" t="str">
        <f>IF(B3749&lt;&gt;"",IF(AND(B3749&gt;=_TM1,B3749&lt;=_TM2,OR(TH!L3749="1111",TH!M3749="1111")),TH!D3749,""),"")</f>
        <v/>
      </c>
      <c r="B3749" s="36">
        <f t="shared" si="487"/>
        <v>3</v>
      </c>
      <c r="C3749" s="190">
        <f t="shared" si="485"/>
        <v>42456</v>
      </c>
      <c r="D3749" s="856" t="s">
        <v>1664</v>
      </c>
      <c r="E3749" s="856">
        <v>42456</v>
      </c>
      <c r="F3749" s="866" t="s">
        <v>1126</v>
      </c>
      <c r="G3749" s="858" t="s">
        <v>1080</v>
      </c>
      <c r="H3749" s="859" t="s">
        <v>1312</v>
      </c>
      <c r="I3749" s="251">
        <v>10</v>
      </c>
      <c r="J3749" s="251">
        <v>17112</v>
      </c>
      <c r="K3749" s="860">
        <f t="shared" si="486"/>
        <v>171120</v>
      </c>
      <c r="L3749" s="861" t="s">
        <v>160</v>
      </c>
      <c r="M3749" s="861" t="s">
        <v>857</v>
      </c>
      <c r="N3749" s="52" t="str">
        <f>IF(AND('331-CT'!$E$7=TH!H3749,OR(L3749="331",M3749="331")),"331",IF(AND(OR(L3749="131",M3749="131"),H3749='131-CT'!$E$7),"131",""))</f>
        <v/>
      </c>
      <c r="O3749" s="52" t="str">
        <f>IF(AND($B3749&gt;='111'!$N$11,$B3749&lt;='111'!$O$11,OR($L3749=$O$7,$M3749=$O$7)),"x","")</f>
        <v/>
      </c>
      <c r="P3749" s="52" t="str">
        <f>IF(AND($L3749=$O$7,$B3749&lt;'111'!$N$11),"x","")</f>
        <v/>
      </c>
      <c r="Q3749" s="52" t="str">
        <f>IF(AND($M3749=$O$7,$B3749&lt;'111'!$N$11),"x","")</f>
        <v/>
      </c>
      <c r="R3749" s="52" t="str">
        <f>IF(ISERROR(FIND('112'!$M$9,G3749,1)),"",IF((AND(FIND('112'!$M$9,G3749,1)&gt;=1,$B3749&gt;='112'!$N$8,$B3749&lt;='112'!$O$8,OR($L3749='112'!$I$6,$M3749='112'!$I$6))),"x",""))</f>
        <v/>
      </c>
      <c r="S3749" s="52" t="str">
        <f>IF(ISERROR(FIND('112'!$M$9,G3749,1)),"",IF((AND(LEFT(G3749,2)=LEFT('112'!$M$9,2),B3749&lt;'112'!$N$8,$L3749='112'!$I$6)),"x",""))</f>
        <v/>
      </c>
      <c r="T3749" s="52" t="str">
        <f>IF(ISERROR(FIND('112'!$M$9,G3749,1)),"",IF((AND(RIGHT(G3749,2)=RIGHT('112'!$M$9,2),B3749&lt;'112'!$N$8,$M3749='112'!$I$6)),"x",""))</f>
        <v/>
      </c>
      <c r="U3749" s="52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/>
      </c>
      <c r="AA3749" s="826"/>
      <c r="AB3749" s="576"/>
    </row>
    <row r="3750" spans="1:28" ht="15.75" customHeight="1">
      <c r="A3750" s="827" t="str">
        <f>IF(B3750&lt;&gt;"",IF(AND(B3750&gt;=_TM1,B3750&lt;=_TM2,OR(TH!L3750="1111",TH!M3750="1111")),TH!D3750,""),"")</f>
        <v/>
      </c>
      <c r="B3750" s="36">
        <f t="shared" si="487"/>
        <v>3</v>
      </c>
      <c r="C3750" s="190">
        <f t="shared" si="485"/>
        <v>42457</v>
      </c>
      <c r="D3750" s="856" t="s">
        <v>1664</v>
      </c>
      <c r="E3750" s="856">
        <v>42457</v>
      </c>
      <c r="F3750" s="857" t="s">
        <v>1123</v>
      </c>
      <c r="G3750" s="858" t="s">
        <v>1081</v>
      </c>
      <c r="H3750" s="859" t="s">
        <v>1312</v>
      </c>
      <c r="I3750" s="251">
        <v>40</v>
      </c>
      <c r="J3750" s="251">
        <v>15138</v>
      </c>
      <c r="K3750" s="860">
        <f t="shared" si="486"/>
        <v>605520</v>
      </c>
      <c r="L3750" s="861" t="s">
        <v>160</v>
      </c>
      <c r="M3750" s="861" t="s">
        <v>857</v>
      </c>
      <c r="N3750" s="52" t="str">
        <f>IF(AND('331-CT'!$E$7=TH!H3750,OR(L3750="331",M3750="331")),"331",IF(AND(OR(L3750="131",M3750="131"),H3750='131-CT'!$E$7),"131",""))</f>
        <v/>
      </c>
      <c r="O3750" s="52" t="str">
        <f>IF(AND($B3750&gt;='111'!$N$11,$B3750&lt;='111'!$O$11,OR($L3750=$O$7,$M3750=$O$7)),"x","")</f>
        <v/>
      </c>
      <c r="P3750" s="52" t="str">
        <f>IF(AND($L3750=$O$7,$B3750&lt;'111'!$N$11),"x","")</f>
        <v/>
      </c>
      <c r="Q3750" s="52" t="str">
        <f>IF(AND($M3750=$O$7,$B3750&lt;'111'!$N$11),"x","")</f>
        <v/>
      </c>
      <c r="R3750" s="52" t="str">
        <f>IF(ISERROR(FIND('112'!$M$9,G3750,1)),"",IF((AND(FIND('112'!$M$9,G3750,1)&gt;=1,$B3750&gt;='112'!$N$8,$B3750&lt;='112'!$O$8,OR($L3750='112'!$I$6,$M3750='112'!$I$6))),"x",""))</f>
        <v/>
      </c>
      <c r="S3750" s="52" t="str">
        <f>IF(ISERROR(FIND('112'!$M$9,G3750,1)),"",IF((AND(LEFT(G3750,2)=LEFT('112'!$M$9,2),B3750&lt;'112'!$N$8,$L3750='112'!$I$6)),"x",""))</f>
        <v/>
      </c>
      <c r="T3750" s="52" t="str">
        <f>IF(ISERROR(FIND('112'!$M$9,G3750,1)),"",IF((AND(RIGHT(G3750,2)=RIGHT('112'!$M$9,2),B3750&lt;'112'!$N$8,$M3750='112'!$I$6)),"x",""))</f>
        <v/>
      </c>
      <c r="U3750" s="52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/>
      </c>
      <c r="AA3750" s="826"/>
      <c r="AB3750" s="576"/>
    </row>
    <row r="3751" spans="1:28" ht="15.75" customHeight="1">
      <c r="A3751" s="827" t="str">
        <f>IF(B3751&lt;&gt;"",IF(AND(B3751&gt;=_TM1,B3751&lt;=_TM2,OR(TH!L3751="1111",TH!M3751="1111")),TH!D3751,""),"")</f>
        <v/>
      </c>
      <c r="B3751" s="36">
        <f t="shared" si="487"/>
        <v>1</v>
      </c>
      <c r="C3751" s="190">
        <f t="shared" ref="C3751:C3758" si="488">E3751</f>
        <v>42371</v>
      </c>
      <c r="D3751" s="856" t="s">
        <v>1664</v>
      </c>
      <c r="E3751" s="856">
        <v>42371</v>
      </c>
      <c r="F3751" s="857" t="s">
        <v>1174</v>
      </c>
      <c r="G3751" s="858" t="s">
        <v>1020</v>
      </c>
      <c r="H3751" s="859" t="s">
        <v>1312</v>
      </c>
      <c r="I3751" s="251">
        <v>250</v>
      </c>
      <c r="J3751" s="251">
        <v>26041</v>
      </c>
      <c r="K3751" s="860">
        <f t="shared" ref="K3751:K3758" si="489">ROUND(I3751*J3751,0)</f>
        <v>6510250</v>
      </c>
      <c r="L3751" s="861" t="s">
        <v>160</v>
      </c>
      <c r="M3751" s="861" t="s">
        <v>857</v>
      </c>
      <c r="N3751" s="52" t="str">
        <f>IF(AND('331-CT'!$E$7=TH!H3751,OR(L3751="331",M3751="331")),"331",IF(AND(OR(L3751="131",M3751="131"),H3751='131-CT'!$E$7),"131",""))</f>
        <v/>
      </c>
      <c r="O3751" s="52" t="str">
        <f>IF(AND($B3751&gt;='111'!$N$11,$B3751&lt;='111'!$O$11,OR($L3751=$O$7,$M3751=$O$7)),"x","")</f>
        <v/>
      </c>
      <c r="P3751" s="52" t="str">
        <f>IF(AND($L3751=$O$7,$B3751&lt;'111'!$N$11),"x","")</f>
        <v/>
      </c>
      <c r="Q3751" s="52" t="str">
        <f>IF(AND($M3751=$O$7,$B3751&lt;'111'!$N$11),"x","")</f>
        <v/>
      </c>
      <c r="R3751" s="52" t="str">
        <f>IF(ISERROR(FIND('112'!$M$9,G3751,1)),"",IF((AND(FIND('112'!$M$9,G3751,1)&gt;=1,$B3751&gt;='112'!$N$8,$B3751&lt;='112'!$O$8,OR($L3751='112'!$I$6,$M3751='112'!$I$6))),"x",""))</f>
        <v/>
      </c>
      <c r="S3751" s="52" t="str">
        <f>IF(ISERROR(FIND('112'!$M$9,G3751,1)),"",IF((AND(LEFT(G3751,2)=LEFT('112'!$M$9,2),B3751&lt;'112'!$N$8,$L3751='112'!$I$6)),"x",""))</f>
        <v/>
      </c>
      <c r="T3751" s="52" t="str">
        <f>IF(ISERROR(FIND('112'!$M$9,G3751,1)),"",IF((AND(RIGHT(G3751,2)=RIGHT('112'!$M$9,2),B3751&lt;'112'!$N$8,$M3751='112'!$I$6)),"x",""))</f>
        <v/>
      </c>
      <c r="U3751" s="52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/>
      </c>
      <c r="AA3751" s="826"/>
      <c r="AB3751" s="576"/>
    </row>
    <row r="3752" spans="1:28" ht="15.75" customHeight="1">
      <c r="A3752" s="827" t="str">
        <f>IF(B3752&lt;&gt;"",IF(AND(B3752&gt;=_TM1,B3752&lt;=_TM2,OR(TH!L3752="1111",TH!M3752="1111")),TH!D3752,""),"")</f>
        <v/>
      </c>
      <c r="B3752" s="36">
        <f t="shared" si="487"/>
        <v>1</v>
      </c>
      <c r="C3752" s="190">
        <f t="shared" si="488"/>
        <v>42373</v>
      </c>
      <c r="D3752" s="856" t="s">
        <v>1664</v>
      </c>
      <c r="E3752" s="856">
        <v>42373</v>
      </c>
      <c r="F3752" s="866" t="s">
        <v>1270</v>
      </c>
      <c r="G3752" s="858" t="s">
        <v>1022</v>
      </c>
      <c r="H3752" s="859" t="s">
        <v>1312</v>
      </c>
      <c r="I3752" s="251">
        <v>36</v>
      </c>
      <c r="J3752" s="251">
        <v>21735</v>
      </c>
      <c r="K3752" s="860">
        <f t="shared" si="489"/>
        <v>782460</v>
      </c>
      <c r="L3752" s="861" t="s">
        <v>160</v>
      </c>
      <c r="M3752" s="861" t="s">
        <v>857</v>
      </c>
      <c r="N3752" s="52" t="str">
        <f>IF(AND('331-CT'!$E$7=TH!H3752,OR(L3752="331",M3752="331")),"331",IF(AND(OR(L3752="131",M3752="131"),H3752='131-CT'!$E$7),"131",""))</f>
        <v/>
      </c>
      <c r="O3752" s="52" t="str">
        <f>IF(AND($B3752&gt;='111'!$N$11,$B3752&lt;='111'!$O$11,OR($L3752=$O$7,$M3752=$O$7)),"x","")</f>
        <v/>
      </c>
      <c r="P3752" s="52" t="str">
        <f>IF(AND($L3752=$O$7,$B3752&lt;'111'!$N$11),"x","")</f>
        <v/>
      </c>
      <c r="Q3752" s="52" t="str">
        <f>IF(AND($M3752=$O$7,$B3752&lt;'111'!$N$11),"x","")</f>
        <v/>
      </c>
      <c r="R3752" s="52" t="str">
        <f>IF(ISERROR(FIND('112'!$M$9,G3752,1)),"",IF((AND(FIND('112'!$M$9,G3752,1)&gt;=1,$B3752&gt;='112'!$N$8,$B3752&lt;='112'!$O$8,OR($L3752='112'!$I$6,$M3752='112'!$I$6))),"x",""))</f>
        <v/>
      </c>
      <c r="S3752" s="52" t="str">
        <f>IF(ISERROR(FIND('112'!$M$9,G3752,1)),"",IF((AND(LEFT(G3752,2)=LEFT('112'!$M$9,2),B3752&lt;'112'!$N$8,$L3752='112'!$I$6)),"x",""))</f>
        <v/>
      </c>
      <c r="T3752" s="52" t="str">
        <f>IF(ISERROR(FIND('112'!$M$9,G3752,1)),"",IF((AND(RIGHT(G3752,2)=RIGHT('112'!$M$9,2),B3752&lt;'112'!$N$8,$M3752='112'!$I$6)),"x",""))</f>
        <v/>
      </c>
      <c r="U3752" s="52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/>
      </c>
      <c r="AA3752" s="826"/>
      <c r="AB3752" s="576"/>
    </row>
    <row r="3753" spans="1:28" ht="15.75" customHeight="1">
      <c r="A3753" s="827" t="str">
        <f>IF(B3753&lt;&gt;"",IF(AND(B3753&gt;=_TM1,B3753&lt;=_TM2,OR(TH!L3753="1111",TH!M3753="1111")),TH!D3753,""),"")</f>
        <v/>
      </c>
      <c r="B3753" s="36">
        <f t="shared" si="487"/>
        <v>1</v>
      </c>
      <c r="C3753" s="190">
        <f t="shared" si="488"/>
        <v>42386</v>
      </c>
      <c r="D3753" s="856" t="s">
        <v>1664</v>
      </c>
      <c r="E3753" s="856">
        <v>42386</v>
      </c>
      <c r="F3753" s="857" t="s">
        <v>1269</v>
      </c>
      <c r="G3753" s="858" t="s">
        <v>1028</v>
      </c>
      <c r="H3753" s="859" t="s">
        <v>1312</v>
      </c>
      <c r="I3753" s="251">
        <v>20</v>
      </c>
      <c r="J3753" s="251">
        <v>22680</v>
      </c>
      <c r="K3753" s="860">
        <f t="shared" si="489"/>
        <v>453600</v>
      </c>
      <c r="L3753" s="861" t="s">
        <v>160</v>
      </c>
      <c r="M3753" s="861" t="s">
        <v>857</v>
      </c>
      <c r="N3753" s="52" t="str">
        <f>IF(AND('331-CT'!$E$7=TH!H3753,OR(L3753="331",M3753="331")),"331",IF(AND(OR(L3753="131",M3753="131"),H3753='131-CT'!$E$7),"131",""))</f>
        <v/>
      </c>
      <c r="O3753" s="52" t="str">
        <f>IF(AND($B3753&gt;='111'!$N$11,$B3753&lt;='111'!$O$11,OR($L3753=$O$7,$M3753=$O$7)),"x","")</f>
        <v/>
      </c>
      <c r="P3753" s="52" t="str">
        <f>IF(AND($L3753=$O$7,$B3753&lt;'111'!$N$11),"x","")</f>
        <v/>
      </c>
      <c r="Q3753" s="52" t="str">
        <f>IF(AND($M3753=$O$7,$B3753&lt;'111'!$N$11),"x","")</f>
        <v/>
      </c>
      <c r="R3753" s="52" t="str">
        <f>IF(ISERROR(FIND('112'!$M$9,G3753,1)),"",IF((AND(FIND('112'!$M$9,G3753,1)&gt;=1,$B3753&gt;='112'!$N$8,$B3753&lt;='112'!$O$8,OR($L3753='112'!$I$6,$M3753='112'!$I$6))),"x",""))</f>
        <v/>
      </c>
      <c r="S3753" s="52" t="str">
        <f>IF(ISERROR(FIND('112'!$M$9,G3753,1)),"",IF((AND(LEFT(G3753,2)=LEFT('112'!$M$9,2),B3753&lt;'112'!$N$8,$L3753='112'!$I$6)),"x",""))</f>
        <v/>
      </c>
      <c r="T3753" s="52" t="str">
        <f>IF(ISERROR(FIND('112'!$M$9,G3753,1)),"",IF((AND(RIGHT(G3753,2)=RIGHT('112'!$M$9,2),B3753&lt;'112'!$N$8,$M3753='112'!$I$6)),"x",""))</f>
        <v/>
      </c>
      <c r="U3753" s="52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/>
      </c>
      <c r="AA3753" s="826"/>
      <c r="AB3753" s="576"/>
    </row>
    <row r="3754" spans="1:28" ht="15.75" customHeight="1">
      <c r="A3754" s="827" t="str">
        <f>IF(B3754&lt;&gt;"",IF(AND(B3754&gt;=_TM1,B3754&lt;=_TM2,OR(TH!L3754="1111",TH!M3754="1111")),TH!D3754,""),"")</f>
        <v/>
      </c>
      <c r="B3754" s="36">
        <f t="shared" si="487"/>
        <v>1</v>
      </c>
      <c r="C3754" s="190">
        <f t="shared" si="488"/>
        <v>42386</v>
      </c>
      <c r="D3754" s="856" t="s">
        <v>1664</v>
      </c>
      <c r="E3754" s="856">
        <v>42386</v>
      </c>
      <c r="F3754" s="857" t="s">
        <v>1290</v>
      </c>
      <c r="G3754" s="858" t="s">
        <v>1028</v>
      </c>
      <c r="H3754" s="859" t="s">
        <v>1312</v>
      </c>
      <c r="I3754" s="251">
        <v>11</v>
      </c>
      <c r="J3754" s="251">
        <v>22540</v>
      </c>
      <c r="K3754" s="860">
        <f t="shared" si="489"/>
        <v>247940</v>
      </c>
      <c r="L3754" s="861" t="s">
        <v>160</v>
      </c>
      <c r="M3754" s="861" t="s">
        <v>857</v>
      </c>
      <c r="N3754" s="52" t="str">
        <f>IF(AND('331-CT'!$E$7=TH!H3754,OR(L3754="331",M3754="331")),"331",IF(AND(OR(L3754="131",M3754="131"),H3754='131-CT'!$E$7),"131",""))</f>
        <v/>
      </c>
      <c r="O3754" s="52" t="str">
        <f>IF(AND($B3754&gt;='111'!$N$11,$B3754&lt;='111'!$O$11,OR($L3754=$O$7,$M3754=$O$7)),"x","")</f>
        <v/>
      </c>
      <c r="P3754" s="52" t="str">
        <f>IF(AND($L3754=$O$7,$B3754&lt;'111'!$N$11),"x","")</f>
        <v/>
      </c>
      <c r="Q3754" s="52" t="str">
        <f>IF(AND($M3754=$O$7,$B3754&lt;'111'!$N$11),"x","")</f>
        <v/>
      </c>
      <c r="R3754" s="52" t="str">
        <f>IF(ISERROR(FIND('112'!$M$9,G3754,1)),"",IF((AND(FIND('112'!$M$9,G3754,1)&gt;=1,$B3754&gt;='112'!$N$8,$B3754&lt;='112'!$O$8,OR($L3754='112'!$I$6,$M3754='112'!$I$6))),"x",""))</f>
        <v/>
      </c>
      <c r="S3754" s="52" t="str">
        <f>IF(ISERROR(FIND('112'!$M$9,G3754,1)),"",IF((AND(LEFT(G3754,2)=LEFT('112'!$M$9,2),B3754&lt;'112'!$N$8,$L3754='112'!$I$6)),"x",""))</f>
        <v/>
      </c>
      <c r="T3754" s="52" t="str">
        <f>IF(ISERROR(FIND('112'!$M$9,G3754,1)),"",IF((AND(RIGHT(G3754,2)=RIGHT('112'!$M$9,2),B3754&lt;'112'!$N$8,$M3754='112'!$I$6)),"x",""))</f>
        <v/>
      </c>
      <c r="U3754" s="52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/>
      </c>
      <c r="AA3754" s="826"/>
      <c r="AB3754" s="576"/>
    </row>
    <row r="3755" spans="1:28" ht="15.75" customHeight="1">
      <c r="A3755" s="827" t="str">
        <f>IF(B3755&lt;&gt;"",IF(AND(B3755&gt;=_TM1,B3755&lt;=_TM2,OR(TH!L3755="1111",TH!M3755="1111")),TH!D3755,""),"")</f>
        <v/>
      </c>
      <c r="B3755" s="36">
        <f t="shared" si="487"/>
        <v>1</v>
      </c>
      <c r="C3755" s="190">
        <f t="shared" si="488"/>
        <v>42399</v>
      </c>
      <c r="D3755" s="856" t="s">
        <v>1664</v>
      </c>
      <c r="E3755" s="856">
        <v>42399</v>
      </c>
      <c r="F3755" s="868" t="s">
        <v>970</v>
      </c>
      <c r="G3755" s="858" t="s">
        <v>1038</v>
      </c>
      <c r="H3755" s="859" t="s">
        <v>1312</v>
      </c>
      <c r="I3755" s="251">
        <v>1000</v>
      </c>
      <c r="J3755" s="251">
        <v>8265</v>
      </c>
      <c r="K3755" s="860">
        <f t="shared" si="489"/>
        <v>8265000</v>
      </c>
      <c r="L3755" s="861" t="s">
        <v>160</v>
      </c>
      <c r="M3755" s="861" t="s">
        <v>857</v>
      </c>
      <c r="N3755" s="52" t="str">
        <f>IF(AND('331-CT'!$E$7=TH!H3755,OR(L3755="331",M3755="331")),"331",IF(AND(OR(L3755="131",M3755="131"),H3755='131-CT'!$E$7),"131",""))</f>
        <v/>
      </c>
      <c r="O3755" s="52" t="str">
        <f>IF(AND($B3755&gt;='111'!$N$11,$B3755&lt;='111'!$O$11,OR($L3755=$O$7,$M3755=$O$7)),"x","")</f>
        <v/>
      </c>
      <c r="P3755" s="52" t="str">
        <f>IF(AND($L3755=$O$7,$B3755&lt;'111'!$N$11),"x","")</f>
        <v/>
      </c>
      <c r="Q3755" s="52" t="str">
        <f>IF(AND($M3755=$O$7,$B3755&lt;'111'!$N$11),"x","")</f>
        <v/>
      </c>
      <c r="R3755" s="52" t="str">
        <f>IF(ISERROR(FIND('112'!$M$9,G3755,1)),"",IF((AND(FIND('112'!$M$9,G3755,1)&gt;=1,$B3755&gt;='112'!$N$8,$B3755&lt;='112'!$O$8,OR($L3755='112'!$I$6,$M3755='112'!$I$6))),"x",""))</f>
        <v/>
      </c>
      <c r="S3755" s="52" t="str">
        <f>IF(ISERROR(FIND('112'!$M$9,G3755,1)),"",IF((AND(LEFT(G3755,2)=LEFT('112'!$M$9,2),B3755&lt;'112'!$N$8,$L3755='112'!$I$6)),"x",""))</f>
        <v/>
      </c>
      <c r="T3755" s="52" t="str">
        <f>IF(ISERROR(FIND('112'!$M$9,G3755,1)),"",IF((AND(RIGHT(G3755,2)=RIGHT('112'!$M$9,2),B3755&lt;'112'!$N$8,$M3755='112'!$I$6)),"x",""))</f>
        <v/>
      </c>
      <c r="U3755" s="52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/>
      </c>
      <c r="AA3755" s="826"/>
      <c r="AB3755" s="576"/>
    </row>
    <row r="3756" spans="1:28" ht="15.75" customHeight="1">
      <c r="A3756" s="827" t="str">
        <f>IF(B3756&lt;&gt;"",IF(AND(B3756&gt;=_TM1,B3756&lt;=_TM2,OR(TH!L3756="1111",TH!M3756="1111")),TH!D3756,""),"")</f>
        <v/>
      </c>
      <c r="B3756" s="36">
        <f t="shared" si="487"/>
        <v>2</v>
      </c>
      <c r="C3756" s="190">
        <f t="shared" si="488"/>
        <v>42427</v>
      </c>
      <c r="D3756" s="856" t="s">
        <v>1664</v>
      </c>
      <c r="E3756" s="856">
        <v>42427</v>
      </c>
      <c r="F3756" s="868" t="s">
        <v>1286</v>
      </c>
      <c r="G3756" s="858" t="s">
        <v>1054</v>
      </c>
      <c r="H3756" s="859" t="s">
        <v>1312</v>
      </c>
      <c r="I3756" s="251">
        <v>15</v>
      </c>
      <c r="J3756" s="251">
        <v>24086</v>
      </c>
      <c r="K3756" s="860">
        <f t="shared" si="489"/>
        <v>361290</v>
      </c>
      <c r="L3756" s="861" t="s">
        <v>160</v>
      </c>
      <c r="M3756" s="861" t="s">
        <v>857</v>
      </c>
      <c r="N3756" s="52" t="str">
        <f>IF(AND('331-CT'!$E$7=TH!H3756,OR(L3756="331",M3756="331")),"331",IF(AND(OR(L3756="131",M3756="131"),H3756='131-CT'!$E$7),"131",""))</f>
        <v/>
      </c>
      <c r="O3756" s="52" t="str">
        <f>IF(AND($B3756&gt;='111'!$N$11,$B3756&lt;='111'!$O$11,OR($L3756=$O$7,$M3756=$O$7)),"x","")</f>
        <v/>
      </c>
      <c r="P3756" s="52" t="str">
        <f>IF(AND($L3756=$O$7,$B3756&lt;'111'!$N$11),"x","")</f>
        <v/>
      </c>
      <c r="Q3756" s="52" t="str">
        <f>IF(AND($M3756=$O$7,$B3756&lt;'111'!$N$11),"x","")</f>
        <v/>
      </c>
      <c r="R3756" s="52" t="str">
        <f>IF(ISERROR(FIND('112'!$M$9,G3756,1)),"",IF((AND(FIND('112'!$M$9,G3756,1)&gt;=1,$B3756&gt;='112'!$N$8,$B3756&lt;='112'!$O$8,OR($L3756='112'!$I$6,$M3756='112'!$I$6))),"x",""))</f>
        <v/>
      </c>
      <c r="S3756" s="52" t="str">
        <f>IF(ISERROR(FIND('112'!$M$9,G3756,1)),"",IF((AND(LEFT(G3756,2)=LEFT('112'!$M$9,2),B3756&lt;'112'!$N$8,$L3756='112'!$I$6)),"x",""))</f>
        <v/>
      </c>
      <c r="T3756" s="52" t="str">
        <f>IF(ISERROR(FIND('112'!$M$9,G3756,1)),"",IF((AND(RIGHT(G3756,2)=RIGHT('112'!$M$9,2),B3756&lt;'112'!$N$8,$M3756='112'!$I$6)),"x",""))</f>
        <v/>
      </c>
      <c r="U3756" s="52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/>
      </c>
      <c r="AA3756" s="826"/>
      <c r="AB3756" s="576"/>
    </row>
    <row r="3757" spans="1:28" ht="15.75" customHeight="1">
      <c r="A3757" s="827" t="str">
        <f>IF(B3757&lt;&gt;"",IF(AND(B3757&gt;=_TM1,B3757&lt;=_TM2,OR(TH!L3757="1111",TH!M3757="1111")),TH!D3757,""),"")</f>
        <v/>
      </c>
      <c r="B3757" s="36">
        <f t="shared" si="487"/>
        <v>3</v>
      </c>
      <c r="C3757" s="190">
        <f t="shared" si="488"/>
        <v>42431</v>
      </c>
      <c r="D3757" s="856" t="s">
        <v>1664</v>
      </c>
      <c r="E3757" s="856">
        <v>42431</v>
      </c>
      <c r="F3757" s="868" t="s">
        <v>1192</v>
      </c>
      <c r="G3757" s="858" t="s">
        <v>1056</v>
      </c>
      <c r="H3757" s="859" t="s">
        <v>1312</v>
      </c>
      <c r="I3757" s="251">
        <v>61</v>
      </c>
      <c r="J3757" s="251">
        <v>18819</v>
      </c>
      <c r="K3757" s="860">
        <f t="shared" si="489"/>
        <v>1147959</v>
      </c>
      <c r="L3757" s="861" t="s">
        <v>160</v>
      </c>
      <c r="M3757" s="861" t="s">
        <v>857</v>
      </c>
      <c r="N3757" s="52" t="str">
        <f>IF(AND('331-CT'!$E$7=TH!H3757,OR(L3757="331",M3757="331")),"331",IF(AND(OR(L3757="131",M3757="131"),H3757='131-CT'!$E$7),"131",""))</f>
        <v/>
      </c>
      <c r="O3757" s="52" t="str">
        <f>IF(AND($B3757&gt;='111'!$N$11,$B3757&lt;='111'!$O$11,OR($L3757=$O$7,$M3757=$O$7)),"x","")</f>
        <v/>
      </c>
      <c r="P3757" s="52" t="str">
        <f>IF(AND($L3757=$O$7,$B3757&lt;'111'!$N$11),"x","")</f>
        <v/>
      </c>
      <c r="Q3757" s="52" t="str">
        <f>IF(AND($M3757=$O$7,$B3757&lt;'111'!$N$11),"x","")</f>
        <v/>
      </c>
      <c r="R3757" s="52" t="str">
        <f>IF(ISERROR(FIND('112'!$M$9,G3757,1)),"",IF((AND(FIND('112'!$M$9,G3757,1)&gt;=1,$B3757&gt;='112'!$N$8,$B3757&lt;='112'!$O$8,OR($L3757='112'!$I$6,$M3757='112'!$I$6))),"x",""))</f>
        <v/>
      </c>
      <c r="S3757" s="52" t="str">
        <f>IF(ISERROR(FIND('112'!$M$9,G3757,1)),"",IF((AND(LEFT(G3757,2)=LEFT('112'!$M$9,2),B3757&lt;'112'!$N$8,$L3757='112'!$I$6)),"x",""))</f>
        <v/>
      </c>
      <c r="T3757" s="52" t="str">
        <f>IF(ISERROR(FIND('112'!$M$9,G3757,1)),"",IF((AND(RIGHT(G3757,2)=RIGHT('112'!$M$9,2),B3757&lt;'112'!$N$8,$M3757='112'!$I$6)),"x",""))</f>
        <v/>
      </c>
      <c r="U3757" s="52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/>
      </c>
      <c r="AA3757" s="826"/>
      <c r="AB3757" s="576"/>
    </row>
    <row r="3758" spans="1:28" ht="15.75" customHeight="1">
      <c r="A3758" s="827" t="str">
        <f>IF(B3758&lt;&gt;"",IF(AND(B3758&gt;=_TM1,B3758&lt;=_TM2,OR(TH!L3758="1111",TH!M3758="1111")),TH!D3758,""),"")</f>
        <v/>
      </c>
      <c r="B3758" s="36">
        <f t="shared" si="487"/>
        <v>3</v>
      </c>
      <c r="C3758" s="190">
        <f t="shared" si="488"/>
        <v>42447</v>
      </c>
      <c r="D3758" s="856" t="s">
        <v>1664</v>
      </c>
      <c r="E3758" s="856">
        <v>42447</v>
      </c>
      <c r="F3758" s="868" t="s">
        <v>1283</v>
      </c>
      <c r="G3758" s="858" t="s">
        <v>1072</v>
      </c>
      <c r="H3758" s="859" t="s">
        <v>1312</v>
      </c>
      <c r="I3758" s="870">
        <v>100</v>
      </c>
      <c r="J3758" s="251">
        <v>12932</v>
      </c>
      <c r="K3758" s="860">
        <f t="shared" si="489"/>
        <v>1293200</v>
      </c>
      <c r="L3758" s="861" t="s">
        <v>160</v>
      </c>
      <c r="M3758" s="861" t="s">
        <v>857</v>
      </c>
      <c r="N3758" s="52" t="str">
        <f>IF(AND('331-CT'!$E$7=TH!H3758,OR(L3758="331",M3758="331")),"331",IF(AND(OR(L3758="131",M3758="131"),H3758='131-CT'!$E$7),"131",""))</f>
        <v/>
      </c>
      <c r="O3758" s="52" t="str">
        <f>IF(AND($B3758&gt;='111'!$N$11,$B3758&lt;='111'!$O$11,OR($L3758=$O$7,$M3758=$O$7)),"x","")</f>
        <v/>
      </c>
      <c r="P3758" s="52" t="str">
        <f>IF(AND($L3758=$O$7,$B3758&lt;'111'!$N$11),"x","")</f>
        <v/>
      </c>
      <c r="Q3758" s="52" t="str">
        <f>IF(AND($M3758=$O$7,$B3758&lt;'111'!$N$11),"x","")</f>
        <v/>
      </c>
      <c r="R3758" s="52" t="str">
        <f>IF(ISERROR(FIND('112'!$M$9,G3758,1)),"",IF((AND(FIND('112'!$M$9,G3758,1)&gt;=1,$B3758&gt;='112'!$N$8,$B3758&lt;='112'!$O$8,OR($L3758='112'!$I$6,$M3758='112'!$I$6))),"x",""))</f>
        <v/>
      </c>
      <c r="S3758" s="52" t="str">
        <f>IF(ISERROR(FIND('112'!$M$9,G3758,1)),"",IF((AND(LEFT(G3758,2)=LEFT('112'!$M$9,2),B3758&lt;'112'!$N$8,$L3758='112'!$I$6)),"x",""))</f>
        <v/>
      </c>
      <c r="T3758" s="52" t="str">
        <f>IF(ISERROR(FIND('112'!$M$9,G3758,1)),"",IF((AND(RIGHT(G3758,2)=RIGHT('112'!$M$9,2),B3758&lt;'112'!$N$8,$M3758='112'!$I$6)),"x",""))</f>
        <v/>
      </c>
      <c r="U3758" s="52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/>
      </c>
      <c r="AA3758" s="826"/>
      <c r="AB3758" s="576"/>
    </row>
    <row r="3759" spans="1:28" s="887" customFormat="1" ht="15.75" customHeight="1">
      <c r="A3759" s="827" t="str">
        <f>IF(B3759&lt;&gt;"",IF(AND(B3759&gt;=_TM1,B3759&lt;=_TM2,OR(TH!L3759="1111",TH!M3759="1111")),TH!D3759,""),"")</f>
        <v/>
      </c>
      <c r="B3759" s="876">
        <f t="shared" ref="B3759:B3814" si="490">IF(C3759&lt;&gt;"",MONTH(C3759),"")</f>
        <v>4</v>
      </c>
      <c r="C3759" s="877">
        <f t="shared" ref="C3759:C3800" si="491">E3759</f>
        <v>42462</v>
      </c>
      <c r="D3759" s="856" t="s">
        <v>1664</v>
      </c>
      <c r="E3759" s="912">
        <v>42462</v>
      </c>
      <c r="F3759" s="921" t="s">
        <v>627</v>
      </c>
      <c r="G3759" s="913" t="s">
        <v>629</v>
      </c>
      <c r="H3759" s="881" t="s">
        <v>1312</v>
      </c>
      <c r="I3759" s="882">
        <v>995</v>
      </c>
      <c r="J3759" s="882">
        <v>6209</v>
      </c>
      <c r="K3759" s="883">
        <f t="shared" ref="K3759:K3774" si="492">ROUND(I3759*J3759,0)</f>
        <v>6177955</v>
      </c>
      <c r="L3759" s="884" t="s">
        <v>160</v>
      </c>
      <c r="M3759" s="884" t="s">
        <v>857</v>
      </c>
      <c r="N3759" s="52" t="str">
        <f>IF(AND('331-CT'!$E$7=TH!H3759,OR(L3759="331",M3759="331")),"331",IF(AND(OR(L3759="131",M3759="131"),H3759='131-CT'!$E$7),"131",""))</f>
        <v/>
      </c>
      <c r="O3759" s="52" t="str">
        <f>IF(AND($B3759&gt;='111'!$N$11,$B3759&lt;='111'!$O$11,OR($L3759=$O$7,$M3759=$O$7)),"x","")</f>
        <v/>
      </c>
      <c r="P3759" s="52" t="str">
        <f>IF(AND($L3759=$O$7,$B3759&lt;'111'!$N$11),"x","")</f>
        <v/>
      </c>
      <c r="Q3759" s="52" t="str">
        <f>IF(AND($M3759=$O$7,$B3759&lt;'111'!$N$11),"x","")</f>
        <v/>
      </c>
      <c r="R3759" s="52" t="str">
        <f>IF(ISERROR(FIND('112'!$M$9,G3759,1)),"",IF((AND(FIND('112'!$M$9,G3759,1)&gt;=1,$B3759&gt;='112'!$N$8,$B3759&lt;='112'!$O$8,OR($L3759='112'!$I$6,$M3759='112'!$I$6))),"x",""))</f>
        <v/>
      </c>
      <c r="S3759" s="52" t="str">
        <f>IF(ISERROR(FIND('112'!$M$9,G3759,1)),"",IF((AND(LEFT(G3759,2)=LEFT('112'!$M$9,2),B3759&lt;'112'!$N$8,$L3759='112'!$I$6)),"x",""))</f>
        <v/>
      </c>
      <c r="T3759" s="52" t="str">
        <f>IF(ISERROR(FIND('112'!$M$9,G3759,1)),"",IF((AND(RIGHT(G3759,2)=RIGHT('112'!$M$9,2),B3759&lt;'112'!$N$8,$M3759='112'!$I$6)),"x",""))</f>
        <v/>
      </c>
      <c r="U3759" s="52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>154</v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/>
      </c>
      <c r="AA3759" s="885"/>
    </row>
    <row r="3760" spans="1:28" ht="15.75" customHeight="1">
      <c r="A3760" s="827" t="str">
        <f>IF(B3760&lt;&gt;"",IF(AND(B3760&gt;=_TM1,B3760&lt;=_TM2,OR(TH!L3760="1111",TH!M3760="1111")),TH!D3760,""),"")</f>
        <v/>
      </c>
      <c r="B3760" s="36">
        <f t="shared" si="490"/>
        <v>4</v>
      </c>
      <c r="C3760" s="856">
        <f t="shared" si="491"/>
        <v>42464</v>
      </c>
      <c r="D3760" s="856" t="s">
        <v>1664</v>
      </c>
      <c r="E3760" s="906">
        <v>42464</v>
      </c>
      <c r="F3760" s="868" t="s">
        <v>637</v>
      </c>
      <c r="G3760" s="831" t="s">
        <v>635</v>
      </c>
      <c r="H3760" s="859" t="s">
        <v>1312</v>
      </c>
      <c r="I3760" s="251">
        <v>254</v>
      </c>
      <c r="J3760" s="251">
        <v>5942</v>
      </c>
      <c r="K3760" s="860">
        <f t="shared" si="492"/>
        <v>1509268</v>
      </c>
      <c r="L3760" s="861" t="s">
        <v>160</v>
      </c>
      <c r="M3760" s="861" t="s">
        <v>857</v>
      </c>
      <c r="N3760" s="52" t="str">
        <f>IF(AND('331-CT'!$E$7=TH!H3760,OR(L3760="331",M3760="331")),"331",IF(AND(OR(L3760="131",M3760="131"),H3760='131-CT'!$E$7),"131",""))</f>
        <v/>
      </c>
      <c r="O3760" s="52" t="str">
        <f>IF(AND($B3760&gt;='111'!$N$11,$B3760&lt;='111'!$O$11,OR($L3760=$O$7,$M3760=$O$7)),"x","")</f>
        <v/>
      </c>
      <c r="P3760" s="52" t="str">
        <f>IF(AND($L3760=$O$7,$B3760&lt;'111'!$N$11),"x","")</f>
        <v/>
      </c>
      <c r="Q3760" s="52" t="str">
        <f>IF(AND($M3760=$O$7,$B3760&lt;'111'!$N$11),"x","")</f>
        <v/>
      </c>
      <c r="R3760" s="52" t="str">
        <f>IF(ISERROR(FIND('112'!$M$9,G3760,1)),"",IF((AND(FIND('112'!$M$9,G3760,1)&gt;=1,$B3760&gt;='112'!$N$8,$B3760&lt;='112'!$O$8,OR($L3760='112'!$I$6,$M3760='112'!$I$6))),"x",""))</f>
        <v/>
      </c>
      <c r="S3760" s="52" t="str">
        <f>IF(ISERROR(FIND('112'!$M$9,G3760,1)),"",IF((AND(LEFT(G3760,2)=LEFT('112'!$M$9,2),B3760&lt;'112'!$N$8,$L3760='112'!$I$6)),"x",""))</f>
        <v/>
      </c>
      <c r="T3760" s="52" t="str">
        <f>IF(ISERROR(FIND('112'!$M$9,G3760,1)),"",IF((AND(RIGHT(G3760,2)=RIGHT('112'!$M$9,2),B3760&lt;'112'!$N$8,$M3760='112'!$I$6)),"x",""))</f>
        <v/>
      </c>
      <c r="U3760" s="52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>154</v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/>
      </c>
      <c r="AA3760" s="826"/>
    </row>
    <row r="3761" spans="1:27" ht="15.75" customHeight="1">
      <c r="A3761" s="827" t="str">
        <f>IF(B3761&lt;&gt;"",IF(AND(B3761&gt;=_TM1,B3761&lt;=_TM2,OR(TH!L3761="1111",TH!M3761="1111")),TH!D3761,""),"")</f>
        <v/>
      </c>
      <c r="B3761" s="36">
        <f t="shared" si="490"/>
        <v>4</v>
      </c>
      <c r="C3761" s="856">
        <f t="shared" si="491"/>
        <v>42465</v>
      </c>
      <c r="D3761" s="856" t="s">
        <v>1664</v>
      </c>
      <c r="E3761" s="906">
        <v>42465</v>
      </c>
      <c r="F3761" s="857" t="s">
        <v>479</v>
      </c>
      <c r="G3761" s="831" t="s">
        <v>638</v>
      </c>
      <c r="H3761" s="859" t="s">
        <v>1312</v>
      </c>
      <c r="I3761" s="251">
        <v>300</v>
      </c>
      <c r="J3761" s="251">
        <v>7628</v>
      </c>
      <c r="K3761" s="860">
        <f t="shared" si="492"/>
        <v>2288400</v>
      </c>
      <c r="L3761" s="861" t="s">
        <v>160</v>
      </c>
      <c r="M3761" s="861" t="s">
        <v>857</v>
      </c>
      <c r="N3761" s="52" t="str">
        <f>IF(AND('331-CT'!$E$7=TH!H3761,OR(L3761="331",M3761="331")),"331",IF(AND(OR(L3761="131",M3761="131"),H3761='131-CT'!$E$7),"131",""))</f>
        <v/>
      </c>
      <c r="O3761" s="52" t="str">
        <f>IF(AND($B3761&gt;='111'!$N$11,$B3761&lt;='111'!$O$11,OR($L3761=$O$7,$M3761=$O$7)),"x","")</f>
        <v/>
      </c>
      <c r="P3761" s="52" t="str">
        <f>IF(AND($L3761=$O$7,$B3761&lt;'111'!$N$11),"x","")</f>
        <v/>
      </c>
      <c r="Q3761" s="52" t="str">
        <f>IF(AND($M3761=$O$7,$B3761&lt;'111'!$N$11),"x","")</f>
        <v/>
      </c>
      <c r="R3761" s="52" t="str">
        <f>IF(ISERROR(FIND('112'!$M$9,G3761,1)),"",IF((AND(FIND('112'!$M$9,G3761,1)&gt;=1,$B3761&gt;='112'!$N$8,$B3761&lt;='112'!$O$8,OR($L3761='112'!$I$6,$M3761='112'!$I$6))),"x",""))</f>
        <v/>
      </c>
      <c r="S3761" s="52" t="str">
        <f>IF(ISERROR(FIND('112'!$M$9,G3761,1)),"",IF((AND(LEFT(G3761,2)=LEFT('112'!$M$9,2),B3761&lt;'112'!$N$8,$L3761='112'!$I$6)),"x",""))</f>
        <v/>
      </c>
      <c r="T3761" s="52" t="str">
        <f>IF(ISERROR(FIND('112'!$M$9,G3761,1)),"",IF((AND(RIGHT(G3761,2)=RIGHT('112'!$M$9,2),B3761&lt;'112'!$N$8,$M3761='112'!$I$6)),"x",""))</f>
        <v/>
      </c>
      <c r="U3761" s="52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>154</v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/>
      </c>
      <c r="AA3761" s="826"/>
    </row>
    <row r="3762" spans="1:27" ht="15.75" customHeight="1">
      <c r="A3762" s="827" t="str">
        <f>IF(B3762&lt;&gt;"",IF(AND(B3762&gt;=_TM1,B3762&lt;=_TM2,OR(TH!L3762="1111",TH!M3762="1111")),TH!D3762,""),"")</f>
        <v/>
      </c>
      <c r="B3762" s="36">
        <f t="shared" si="490"/>
        <v>4</v>
      </c>
      <c r="C3762" s="856">
        <f t="shared" si="491"/>
        <v>42478</v>
      </c>
      <c r="D3762" s="856" t="s">
        <v>1664</v>
      </c>
      <c r="E3762" s="906">
        <v>42478</v>
      </c>
      <c r="F3762" s="868" t="s">
        <v>572</v>
      </c>
      <c r="G3762" s="831" t="s">
        <v>650</v>
      </c>
      <c r="H3762" s="859" t="s">
        <v>1312</v>
      </c>
      <c r="I3762" s="251">
        <v>500</v>
      </c>
      <c r="J3762" s="251">
        <v>11562</v>
      </c>
      <c r="K3762" s="860">
        <f t="shared" si="492"/>
        <v>5781000</v>
      </c>
      <c r="L3762" s="861" t="s">
        <v>160</v>
      </c>
      <c r="M3762" s="861" t="s">
        <v>857</v>
      </c>
      <c r="N3762" s="52" t="str">
        <f>IF(AND('331-CT'!$E$7=TH!H3762,OR(L3762="331",M3762="331")),"331",IF(AND(OR(L3762="131",M3762="131"),H3762='131-CT'!$E$7),"131",""))</f>
        <v/>
      </c>
      <c r="O3762" s="52" t="str">
        <f>IF(AND($B3762&gt;='111'!$N$11,$B3762&lt;='111'!$O$11,OR($L3762=$O$7,$M3762=$O$7)),"x","")</f>
        <v/>
      </c>
      <c r="P3762" s="52" t="str">
        <f>IF(AND($L3762=$O$7,$B3762&lt;'111'!$N$11),"x","")</f>
        <v/>
      </c>
      <c r="Q3762" s="52" t="str">
        <f>IF(AND($M3762=$O$7,$B3762&lt;'111'!$N$11),"x","")</f>
        <v/>
      </c>
      <c r="R3762" s="52" t="str">
        <f>IF(ISERROR(FIND('112'!$M$9,G3762,1)),"",IF((AND(FIND('112'!$M$9,G3762,1)&gt;=1,$B3762&gt;='112'!$N$8,$B3762&lt;='112'!$O$8,OR($L3762='112'!$I$6,$M3762='112'!$I$6))),"x",""))</f>
        <v/>
      </c>
      <c r="S3762" s="52" t="str">
        <f>IF(ISERROR(FIND('112'!$M$9,G3762,1)),"",IF((AND(LEFT(G3762,2)=LEFT('112'!$M$9,2),B3762&lt;'112'!$N$8,$L3762='112'!$I$6)),"x",""))</f>
        <v/>
      </c>
      <c r="T3762" s="52" t="str">
        <f>IF(ISERROR(FIND('112'!$M$9,G3762,1)),"",IF((AND(RIGHT(G3762,2)=RIGHT('112'!$M$9,2),B3762&lt;'112'!$N$8,$M3762='112'!$I$6)),"x",""))</f>
        <v/>
      </c>
      <c r="U3762" s="52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>154</v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/>
      </c>
      <c r="AA3762" s="826"/>
    </row>
    <row r="3763" spans="1:27" ht="15.75" customHeight="1">
      <c r="A3763" s="827" t="str">
        <f>IF(B3763&lt;&gt;"",IF(AND(B3763&gt;=_TM1,B3763&lt;=_TM2,OR(TH!L3763="1111",TH!M3763="1111")),TH!D3763,""),"")</f>
        <v/>
      </c>
      <c r="B3763" s="36">
        <f t="shared" si="490"/>
        <v>4</v>
      </c>
      <c r="C3763" s="856">
        <f t="shared" si="491"/>
        <v>42479</v>
      </c>
      <c r="D3763" s="856" t="s">
        <v>1664</v>
      </c>
      <c r="E3763" s="906">
        <v>42479</v>
      </c>
      <c r="F3763" s="857" t="s">
        <v>659</v>
      </c>
      <c r="G3763" s="831" t="s">
        <v>657</v>
      </c>
      <c r="H3763" s="859" t="s">
        <v>1312</v>
      </c>
      <c r="I3763" s="251">
        <v>1000</v>
      </c>
      <c r="J3763" s="251">
        <v>8771</v>
      </c>
      <c r="K3763" s="860">
        <f t="shared" si="492"/>
        <v>8771000</v>
      </c>
      <c r="L3763" s="861" t="s">
        <v>160</v>
      </c>
      <c r="M3763" s="861" t="s">
        <v>857</v>
      </c>
      <c r="N3763" s="52" t="str">
        <f>IF(AND('331-CT'!$E$7=TH!H3763,OR(L3763="331",M3763="331")),"331",IF(AND(OR(L3763="131",M3763="131"),H3763='131-CT'!$E$7),"131",""))</f>
        <v/>
      </c>
      <c r="O3763" s="52" t="str">
        <f>IF(AND($B3763&gt;='111'!$N$11,$B3763&lt;='111'!$O$11,OR($L3763=$O$7,$M3763=$O$7)),"x","")</f>
        <v/>
      </c>
      <c r="P3763" s="52" t="str">
        <f>IF(AND($L3763=$O$7,$B3763&lt;'111'!$N$11),"x","")</f>
        <v/>
      </c>
      <c r="Q3763" s="52" t="str">
        <f>IF(AND($M3763=$O$7,$B3763&lt;'111'!$N$11),"x","")</f>
        <v/>
      </c>
      <c r="R3763" s="52" t="str">
        <f>IF(ISERROR(FIND('112'!$M$9,G3763,1)),"",IF((AND(FIND('112'!$M$9,G3763,1)&gt;=1,$B3763&gt;='112'!$N$8,$B3763&lt;='112'!$O$8,OR($L3763='112'!$I$6,$M3763='112'!$I$6))),"x",""))</f>
        <v/>
      </c>
      <c r="S3763" s="52" t="str">
        <f>IF(ISERROR(FIND('112'!$M$9,G3763,1)),"",IF((AND(LEFT(G3763,2)=LEFT('112'!$M$9,2),B3763&lt;'112'!$N$8,$L3763='112'!$I$6)),"x",""))</f>
        <v/>
      </c>
      <c r="T3763" s="52" t="str">
        <f>IF(ISERROR(FIND('112'!$M$9,G3763,1)),"",IF((AND(RIGHT(G3763,2)=RIGHT('112'!$M$9,2),B3763&lt;'112'!$N$8,$M3763='112'!$I$6)),"x",""))</f>
        <v/>
      </c>
      <c r="U3763" s="52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>154</v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/>
      </c>
      <c r="AA3763" s="826"/>
    </row>
    <row r="3764" spans="1:27" ht="15.75" customHeight="1">
      <c r="A3764" s="827" t="str">
        <f>IF(B3764&lt;&gt;"",IF(AND(B3764&gt;=_TM1,B3764&lt;=_TM2,OR(TH!L3764="1111",TH!M3764="1111")),TH!D3764,""),"")</f>
        <v/>
      </c>
      <c r="B3764" s="36">
        <f t="shared" si="490"/>
        <v>4</v>
      </c>
      <c r="C3764" s="856">
        <f t="shared" si="491"/>
        <v>42483</v>
      </c>
      <c r="D3764" s="856" t="s">
        <v>1664</v>
      </c>
      <c r="E3764" s="906">
        <v>42483</v>
      </c>
      <c r="F3764" s="857" t="s">
        <v>1178</v>
      </c>
      <c r="G3764" s="831" t="s">
        <v>661</v>
      </c>
      <c r="H3764" s="859" t="s">
        <v>1312</v>
      </c>
      <c r="I3764" s="251">
        <v>1000</v>
      </c>
      <c r="J3764" s="251">
        <v>30875</v>
      </c>
      <c r="K3764" s="860">
        <f t="shared" si="492"/>
        <v>30875000</v>
      </c>
      <c r="L3764" s="861" t="s">
        <v>160</v>
      </c>
      <c r="M3764" s="861" t="s">
        <v>857</v>
      </c>
      <c r="N3764" s="52" t="str">
        <f>IF(AND('331-CT'!$E$7=TH!H3764,OR(L3764="331",M3764="331")),"331",IF(AND(OR(L3764="131",M3764="131"),H3764='131-CT'!$E$7),"131",""))</f>
        <v/>
      </c>
      <c r="O3764" s="52" t="str">
        <f>IF(AND($B3764&gt;='111'!$N$11,$B3764&lt;='111'!$O$11,OR($L3764=$O$7,$M3764=$O$7)),"x","")</f>
        <v/>
      </c>
      <c r="P3764" s="52" t="str">
        <f>IF(AND($L3764=$O$7,$B3764&lt;'111'!$N$11),"x","")</f>
        <v/>
      </c>
      <c r="Q3764" s="52" t="str">
        <f>IF(AND($M3764=$O$7,$B3764&lt;'111'!$N$11),"x","")</f>
        <v/>
      </c>
      <c r="R3764" s="52" t="str">
        <f>IF(ISERROR(FIND('112'!$M$9,G3764,1)),"",IF((AND(FIND('112'!$M$9,G3764,1)&gt;=1,$B3764&gt;='112'!$N$8,$B3764&lt;='112'!$O$8,OR($L3764='112'!$I$6,$M3764='112'!$I$6))),"x",""))</f>
        <v/>
      </c>
      <c r="S3764" s="52" t="str">
        <f>IF(ISERROR(FIND('112'!$M$9,G3764,1)),"",IF((AND(LEFT(G3764,2)=LEFT('112'!$M$9,2),B3764&lt;'112'!$N$8,$L3764='112'!$I$6)),"x",""))</f>
        <v/>
      </c>
      <c r="T3764" s="52" t="str">
        <f>IF(ISERROR(FIND('112'!$M$9,G3764,1)),"",IF((AND(RIGHT(G3764,2)=RIGHT('112'!$M$9,2),B3764&lt;'112'!$N$8,$M3764='112'!$I$6)),"x",""))</f>
        <v/>
      </c>
      <c r="U3764" s="52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>154</v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/>
      </c>
      <c r="AA3764" s="826"/>
    </row>
    <row r="3765" spans="1:27" ht="15.75" customHeight="1">
      <c r="A3765" s="827" t="str">
        <f>IF(B3765&lt;&gt;"",IF(AND(B3765&gt;=_TM1,B3765&lt;=_TM2,OR(TH!L3765="1111",TH!M3765="1111")),TH!D3765,""),"")</f>
        <v/>
      </c>
      <c r="B3765" s="36">
        <f t="shared" si="490"/>
        <v>4</v>
      </c>
      <c r="C3765" s="856">
        <f t="shared" si="491"/>
        <v>42483</v>
      </c>
      <c r="D3765" s="856" t="s">
        <v>1664</v>
      </c>
      <c r="E3765" s="906">
        <v>42483</v>
      </c>
      <c r="F3765" s="857" t="s">
        <v>1179</v>
      </c>
      <c r="G3765" s="831" t="s">
        <v>661</v>
      </c>
      <c r="H3765" s="859" t="s">
        <v>1312</v>
      </c>
      <c r="I3765" s="251">
        <v>1100</v>
      </c>
      <c r="J3765" s="251">
        <v>31155</v>
      </c>
      <c r="K3765" s="860">
        <f t="shared" si="492"/>
        <v>34270500</v>
      </c>
      <c r="L3765" s="861" t="s">
        <v>160</v>
      </c>
      <c r="M3765" s="861" t="s">
        <v>857</v>
      </c>
      <c r="N3765" s="52" t="str">
        <f>IF(AND('331-CT'!$E$7=TH!H3765,OR(L3765="331",M3765="331")),"331",IF(AND(OR(L3765="131",M3765="131"),H3765='131-CT'!$E$7),"131",""))</f>
        <v/>
      </c>
      <c r="O3765" s="52" t="str">
        <f>IF(AND($B3765&gt;='111'!$N$11,$B3765&lt;='111'!$O$11,OR($L3765=$O$7,$M3765=$O$7)),"x","")</f>
        <v/>
      </c>
      <c r="P3765" s="52" t="str">
        <f>IF(AND($L3765=$O$7,$B3765&lt;'111'!$N$11),"x","")</f>
        <v/>
      </c>
      <c r="Q3765" s="52" t="str">
        <f>IF(AND($M3765=$O$7,$B3765&lt;'111'!$N$11),"x","")</f>
        <v/>
      </c>
      <c r="R3765" s="52" t="str">
        <f>IF(ISERROR(FIND('112'!$M$9,G3765,1)),"",IF((AND(FIND('112'!$M$9,G3765,1)&gt;=1,$B3765&gt;='112'!$N$8,$B3765&lt;='112'!$O$8,OR($L3765='112'!$I$6,$M3765='112'!$I$6))),"x",""))</f>
        <v/>
      </c>
      <c r="S3765" s="52" t="str">
        <f>IF(ISERROR(FIND('112'!$M$9,G3765,1)),"",IF((AND(LEFT(G3765,2)=LEFT('112'!$M$9,2),B3765&lt;'112'!$N$8,$L3765='112'!$I$6)),"x",""))</f>
        <v/>
      </c>
      <c r="T3765" s="52" t="str">
        <f>IF(ISERROR(FIND('112'!$M$9,G3765,1)),"",IF((AND(RIGHT(G3765,2)=RIGHT('112'!$M$9,2),B3765&lt;'112'!$N$8,$M3765='112'!$I$6)),"x",""))</f>
        <v/>
      </c>
      <c r="U3765" s="52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>154</v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/>
      </c>
      <c r="AA3765" s="826"/>
    </row>
    <row r="3766" spans="1:27" ht="15.75" customHeight="1">
      <c r="A3766" s="827" t="str">
        <f>IF(B3766&lt;&gt;"",IF(AND(B3766&gt;=_TM1,B3766&lt;=_TM2,OR(TH!L3766="1111",TH!M3766="1111")),TH!D3766,""),"")</f>
        <v/>
      </c>
      <c r="B3766" s="36">
        <f t="shared" si="490"/>
        <v>4</v>
      </c>
      <c r="C3766" s="856">
        <f t="shared" si="491"/>
        <v>42487</v>
      </c>
      <c r="D3766" s="856" t="s">
        <v>1664</v>
      </c>
      <c r="E3766" s="906">
        <v>42487</v>
      </c>
      <c r="F3766" s="857" t="s">
        <v>536</v>
      </c>
      <c r="G3766" s="831" t="s">
        <v>669</v>
      </c>
      <c r="H3766" s="859" t="s">
        <v>1312</v>
      </c>
      <c r="I3766" s="251">
        <v>50</v>
      </c>
      <c r="J3766" s="251">
        <v>57074</v>
      </c>
      <c r="K3766" s="860">
        <f t="shared" si="492"/>
        <v>2853700</v>
      </c>
      <c r="L3766" s="861" t="s">
        <v>160</v>
      </c>
      <c r="M3766" s="861" t="s">
        <v>857</v>
      </c>
      <c r="N3766" s="52" t="str">
        <f>IF(AND('331-CT'!$E$7=TH!H3766,OR(L3766="331",M3766="331")),"331",IF(AND(OR(L3766="131",M3766="131"),H3766='131-CT'!$E$7),"131",""))</f>
        <v/>
      </c>
      <c r="O3766" s="52" t="str">
        <f>IF(AND($B3766&gt;='111'!$N$11,$B3766&lt;='111'!$O$11,OR($L3766=$O$7,$M3766=$O$7)),"x","")</f>
        <v/>
      </c>
      <c r="P3766" s="52" t="str">
        <f>IF(AND($L3766=$O$7,$B3766&lt;'111'!$N$11),"x","")</f>
        <v/>
      </c>
      <c r="Q3766" s="52" t="str">
        <f>IF(AND($M3766=$O$7,$B3766&lt;'111'!$N$11),"x","")</f>
        <v/>
      </c>
      <c r="R3766" s="52" t="str">
        <f>IF(ISERROR(FIND('112'!$M$9,G3766,1)),"",IF((AND(FIND('112'!$M$9,G3766,1)&gt;=1,$B3766&gt;='112'!$N$8,$B3766&lt;='112'!$O$8,OR($L3766='112'!$I$6,$M3766='112'!$I$6))),"x",""))</f>
        <v/>
      </c>
      <c r="S3766" s="52" t="str">
        <f>IF(ISERROR(FIND('112'!$M$9,G3766,1)),"",IF((AND(LEFT(G3766,2)=LEFT('112'!$M$9,2),B3766&lt;'112'!$N$8,$L3766='112'!$I$6)),"x",""))</f>
        <v/>
      </c>
      <c r="T3766" s="52" t="str">
        <f>IF(ISERROR(FIND('112'!$M$9,G3766,1)),"",IF((AND(RIGHT(G3766,2)=RIGHT('112'!$M$9,2),B3766&lt;'112'!$N$8,$M3766='112'!$I$6)),"x",""))</f>
        <v/>
      </c>
      <c r="U3766" s="52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>154</v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/>
      </c>
      <c r="AA3766" s="826"/>
    </row>
    <row r="3767" spans="1:27" ht="15.75" customHeight="1">
      <c r="A3767" s="827" t="str">
        <f>IF(B3767&lt;&gt;"",IF(AND(B3767&gt;=_TM1,B3767&lt;=_TM2,OR(TH!L3767="1111",TH!M3767="1111")),TH!D3767,""),"")</f>
        <v/>
      </c>
      <c r="B3767" s="36">
        <f t="shared" si="490"/>
        <v>4</v>
      </c>
      <c r="C3767" s="856">
        <f t="shared" si="491"/>
        <v>42487</v>
      </c>
      <c r="D3767" s="856" t="s">
        <v>1664</v>
      </c>
      <c r="E3767" s="906">
        <v>42487</v>
      </c>
      <c r="F3767" s="857" t="s">
        <v>670</v>
      </c>
      <c r="G3767" s="831" t="s">
        <v>669</v>
      </c>
      <c r="H3767" s="859" t="s">
        <v>1312</v>
      </c>
      <c r="I3767" s="251">
        <v>23</v>
      </c>
      <c r="J3767" s="251">
        <v>105692</v>
      </c>
      <c r="K3767" s="860">
        <f t="shared" si="492"/>
        <v>2430916</v>
      </c>
      <c r="L3767" s="861" t="s">
        <v>160</v>
      </c>
      <c r="M3767" s="861" t="s">
        <v>857</v>
      </c>
      <c r="N3767" s="52" t="str">
        <f>IF(AND('331-CT'!$E$7=TH!H3767,OR(L3767="331",M3767="331")),"331",IF(AND(OR(L3767="131",M3767="131"),H3767='131-CT'!$E$7),"131",""))</f>
        <v/>
      </c>
      <c r="O3767" s="52" t="str">
        <f>IF(AND($B3767&gt;='111'!$N$11,$B3767&lt;='111'!$O$11,OR($L3767=$O$7,$M3767=$O$7)),"x","")</f>
        <v/>
      </c>
      <c r="P3767" s="52" t="str">
        <f>IF(AND($L3767=$O$7,$B3767&lt;'111'!$N$11),"x","")</f>
        <v/>
      </c>
      <c r="Q3767" s="52" t="str">
        <f>IF(AND($M3767=$O$7,$B3767&lt;'111'!$N$11),"x","")</f>
        <v/>
      </c>
      <c r="R3767" s="52" t="str">
        <f>IF(ISERROR(FIND('112'!$M$9,G3767,1)),"",IF((AND(FIND('112'!$M$9,G3767,1)&gt;=1,$B3767&gt;='112'!$N$8,$B3767&lt;='112'!$O$8,OR($L3767='112'!$I$6,$M3767='112'!$I$6))),"x",""))</f>
        <v/>
      </c>
      <c r="S3767" s="52" t="str">
        <f>IF(ISERROR(FIND('112'!$M$9,G3767,1)),"",IF((AND(LEFT(G3767,2)=LEFT('112'!$M$9,2),B3767&lt;'112'!$N$8,$L3767='112'!$I$6)),"x",""))</f>
        <v/>
      </c>
      <c r="T3767" s="52" t="str">
        <f>IF(ISERROR(FIND('112'!$M$9,G3767,1)),"",IF((AND(RIGHT(G3767,2)=RIGHT('112'!$M$9,2),B3767&lt;'112'!$N$8,$M3767='112'!$I$6)),"x",""))</f>
        <v/>
      </c>
      <c r="U3767" s="52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>154</v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/>
      </c>
      <c r="AA3767" s="826"/>
    </row>
    <row r="3768" spans="1:27" ht="15.75" customHeight="1">
      <c r="A3768" s="827" t="str">
        <f>IF(B3768&lt;&gt;"",IF(AND(B3768&gt;=_TM1,B3768&lt;=_TM2,OR(TH!L3768="1111",TH!M3768="1111")),TH!D3768,""),"")</f>
        <v/>
      </c>
      <c r="B3768" s="36">
        <f t="shared" si="490"/>
        <v>4</v>
      </c>
      <c r="C3768" s="856">
        <f t="shared" si="491"/>
        <v>42487</v>
      </c>
      <c r="D3768" s="856" t="s">
        <v>1664</v>
      </c>
      <c r="E3768" s="906">
        <v>42487</v>
      </c>
      <c r="F3768" s="857" t="s">
        <v>670</v>
      </c>
      <c r="G3768" s="831" t="s">
        <v>669</v>
      </c>
      <c r="H3768" s="859" t="s">
        <v>1312</v>
      </c>
      <c r="I3768" s="251">
        <v>8</v>
      </c>
      <c r="J3768" s="251">
        <v>104596</v>
      </c>
      <c r="K3768" s="860">
        <f t="shared" si="492"/>
        <v>836768</v>
      </c>
      <c r="L3768" s="861" t="s">
        <v>160</v>
      </c>
      <c r="M3768" s="861" t="s">
        <v>857</v>
      </c>
      <c r="N3768" s="52" t="str">
        <f>IF(AND('331-CT'!$E$7=TH!H3768,OR(L3768="331",M3768="331")),"331",IF(AND(OR(L3768="131",M3768="131"),H3768='131-CT'!$E$7),"131",""))</f>
        <v/>
      </c>
      <c r="O3768" s="52" t="str">
        <f>IF(AND($B3768&gt;='111'!$N$11,$B3768&lt;='111'!$O$11,OR($L3768=$O$7,$M3768=$O$7)),"x","")</f>
        <v/>
      </c>
      <c r="P3768" s="52" t="str">
        <f>IF(AND($L3768=$O$7,$B3768&lt;'111'!$N$11),"x","")</f>
        <v/>
      </c>
      <c r="Q3768" s="52" t="str">
        <f>IF(AND($M3768=$O$7,$B3768&lt;'111'!$N$11),"x","")</f>
        <v/>
      </c>
      <c r="R3768" s="52" t="str">
        <f>IF(ISERROR(FIND('112'!$M$9,G3768,1)),"",IF((AND(FIND('112'!$M$9,G3768,1)&gt;=1,$B3768&gt;='112'!$N$8,$B3768&lt;='112'!$O$8,OR($L3768='112'!$I$6,$M3768='112'!$I$6))),"x",""))</f>
        <v/>
      </c>
      <c r="S3768" s="52" t="str">
        <f>IF(ISERROR(FIND('112'!$M$9,G3768,1)),"",IF((AND(LEFT(G3768,2)=LEFT('112'!$M$9,2),B3768&lt;'112'!$N$8,$L3768='112'!$I$6)),"x",""))</f>
        <v/>
      </c>
      <c r="T3768" s="52" t="str">
        <f>IF(ISERROR(FIND('112'!$M$9,G3768,1)),"",IF((AND(RIGHT(G3768,2)=RIGHT('112'!$M$9,2),B3768&lt;'112'!$N$8,$M3768='112'!$I$6)),"x",""))</f>
        <v/>
      </c>
      <c r="U3768" s="52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>154</v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/>
      </c>
      <c r="AA3768" s="826"/>
    </row>
    <row r="3769" spans="1:27" ht="15.75" customHeight="1">
      <c r="A3769" s="827" t="str">
        <f>IF(B3769&lt;&gt;"",IF(AND(B3769&gt;=_TM1,B3769&lt;=_TM2,OR(TH!L3769="1111",TH!M3769="1111")),TH!D3769,""),"")</f>
        <v/>
      </c>
      <c r="B3769" s="36">
        <f t="shared" si="490"/>
        <v>4</v>
      </c>
      <c r="C3769" s="856">
        <f t="shared" si="491"/>
        <v>42487</v>
      </c>
      <c r="D3769" s="856" t="s">
        <v>1664</v>
      </c>
      <c r="E3769" s="906">
        <v>42487</v>
      </c>
      <c r="F3769" s="49" t="s">
        <v>542</v>
      </c>
      <c r="G3769" s="831" t="s">
        <v>669</v>
      </c>
      <c r="H3769" s="859" t="s">
        <v>1312</v>
      </c>
      <c r="I3769" s="251">
        <v>134</v>
      </c>
      <c r="J3769" s="251">
        <v>40107</v>
      </c>
      <c r="K3769" s="860">
        <f t="shared" si="492"/>
        <v>5374338</v>
      </c>
      <c r="L3769" s="861" t="s">
        <v>160</v>
      </c>
      <c r="M3769" s="861" t="s">
        <v>857</v>
      </c>
      <c r="N3769" s="52" t="str">
        <f>IF(AND('331-CT'!$E$7=TH!H3769,OR(L3769="331",M3769="331")),"331",IF(AND(OR(L3769="131",M3769="131"),H3769='131-CT'!$E$7),"131",""))</f>
        <v/>
      </c>
      <c r="O3769" s="52" t="str">
        <f>IF(AND($B3769&gt;='111'!$N$11,$B3769&lt;='111'!$O$11,OR($L3769=$O$7,$M3769=$O$7)),"x","")</f>
        <v/>
      </c>
      <c r="P3769" s="52" t="str">
        <f>IF(AND($L3769=$O$7,$B3769&lt;'111'!$N$11),"x","")</f>
        <v/>
      </c>
      <c r="Q3769" s="52" t="str">
        <f>IF(AND($M3769=$O$7,$B3769&lt;'111'!$N$11),"x","")</f>
        <v/>
      </c>
      <c r="R3769" s="52" t="str">
        <f>IF(ISERROR(FIND('112'!$M$9,G3769,1)),"",IF((AND(FIND('112'!$M$9,G3769,1)&gt;=1,$B3769&gt;='112'!$N$8,$B3769&lt;='112'!$O$8,OR($L3769='112'!$I$6,$M3769='112'!$I$6))),"x",""))</f>
        <v/>
      </c>
      <c r="S3769" s="52" t="str">
        <f>IF(ISERROR(FIND('112'!$M$9,G3769,1)),"",IF((AND(LEFT(G3769,2)=LEFT('112'!$M$9,2),B3769&lt;'112'!$N$8,$L3769='112'!$I$6)),"x",""))</f>
        <v/>
      </c>
      <c r="T3769" s="52" t="str">
        <f>IF(ISERROR(FIND('112'!$M$9,G3769,1)),"",IF((AND(RIGHT(G3769,2)=RIGHT('112'!$M$9,2),B3769&lt;'112'!$N$8,$M3769='112'!$I$6)),"x",""))</f>
        <v/>
      </c>
      <c r="U3769" s="52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>154</v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/>
      </c>
      <c r="AA3769" s="826"/>
    </row>
    <row r="3770" spans="1:27" ht="15.75" customHeight="1">
      <c r="A3770" s="827" t="str">
        <f>IF(B3770&lt;&gt;"",IF(AND(B3770&gt;=_TM1,B3770&lt;=_TM2,OR(TH!L3770="1111",TH!M3770="1111")),TH!D3770,""),"")</f>
        <v/>
      </c>
      <c r="B3770" s="36">
        <f t="shared" si="490"/>
        <v>4</v>
      </c>
      <c r="C3770" s="856">
        <f t="shared" si="491"/>
        <v>42487</v>
      </c>
      <c r="D3770" s="856" t="s">
        <v>1664</v>
      </c>
      <c r="E3770" s="906">
        <v>42487</v>
      </c>
      <c r="F3770" s="857" t="s">
        <v>463</v>
      </c>
      <c r="G3770" s="831" t="s">
        <v>669</v>
      </c>
      <c r="H3770" s="859" t="s">
        <v>1312</v>
      </c>
      <c r="I3770" s="251">
        <v>90</v>
      </c>
      <c r="J3770" s="251">
        <v>31393</v>
      </c>
      <c r="K3770" s="860">
        <f t="shared" si="492"/>
        <v>2825370</v>
      </c>
      <c r="L3770" s="861" t="s">
        <v>160</v>
      </c>
      <c r="M3770" s="861" t="s">
        <v>857</v>
      </c>
      <c r="N3770" s="52" t="str">
        <f>IF(AND('331-CT'!$E$7=TH!H3770,OR(L3770="331",M3770="331")),"331",IF(AND(OR(L3770="131",M3770="131"),H3770='131-CT'!$E$7),"131",""))</f>
        <v/>
      </c>
      <c r="O3770" s="52" t="str">
        <f>IF(AND($B3770&gt;='111'!$N$11,$B3770&lt;='111'!$O$11,OR($L3770=$O$7,$M3770=$O$7)),"x","")</f>
        <v/>
      </c>
      <c r="P3770" s="52" t="str">
        <f>IF(AND($L3770=$O$7,$B3770&lt;'111'!$N$11),"x","")</f>
        <v/>
      </c>
      <c r="Q3770" s="52" t="str">
        <f>IF(AND($M3770=$O$7,$B3770&lt;'111'!$N$11),"x","")</f>
        <v/>
      </c>
      <c r="R3770" s="52" t="str">
        <f>IF(ISERROR(FIND('112'!$M$9,G3770,1)),"",IF((AND(FIND('112'!$M$9,G3770,1)&gt;=1,$B3770&gt;='112'!$N$8,$B3770&lt;='112'!$O$8,OR($L3770='112'!$I$6,$M3770='112'!$I$6))),"x",""))</f>
        <v/>
      </c>
      <c r="S3770" s="52" t="str">
        <f>IF(ISERROR(FIND('112'!$M$9,G3770,1)),"",IF((AND(LEFT(G3770,2)=LEFT('112'!$M$9,2),B3770&lt;'112'!$N$8,$L3770='112'!$I$6)),"x",""))</f>
        <v/>
      </c>
      <c r="T3770" s="52" t="str">
        <f>IF(ISERROR(FIND('112'!$M$9,G3770,1)),"",IF((AND(RIGHT(G3770,2)=RIGHT('112'!$M$9,2),B3770&lt;'112'!$N$8,$M3770='112'!$I$6)),"x",""))</f>
        <v/>
      </c>
      <c r="U3770" s="52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>154</v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/>
      </c>
      <c r="AA3770" s="826"/>
    </row>
    <row r="3771" spans="1:27" ht="15.75" customHeight="1">
      <c r="A3771" s="827" t="str">
        <f>IF(B3771&lt;&gt;"",IF(AND(B3771&gt;=_TM1,B3771&lt;=_TM2,OR(TH!L3771="1111",TH!M3771="1111")),TH!D3771,""),"")</f>
        <v/>
      </c>
      <c r="B3771" s="36">
        <f t="shared" si="490"/>
        <v>4</v>
      </c>
      <c r="C3771" s="856">
        <f t="shared" si="491"/>
        <v>42487</v>
      </c>
      <c r="D3771" s="856" t="s">
        <v>1664</v>
      </c>
      <c r="E3771" s="906">
        <v>42487</v>
      </c>
      <c r="F3771" s="857" t="s">
        <v>673</v>
      </c>
      <c r="G3771" s="831" t="s">
        <v>669</v>
      </c>
      <c r="H3771" s="859" t="s">
        <v>1312</v>
      </c>
      <c r="I3771" s="251">
        <v>64</v>
      </c>
      <c r="J3771" s="251">
        <v>36031</v>
      </c>
      <c r="K3771" s="860">
        <f t="shared" si="492"/>
        <v>2305984</v>
      </c>
      <c r="L3771" s="861" t="s">
        <v>160</v>
      </c>
      <c r="M3771" s="861" t="s">
        <v>857</v>
      </c>
      <c r="N3771" s="52" t="str">
        <f>IF(AND('331-CT'!$E$7=TH!H3771,OR(L3771="331",M3771="331")),"331",IF(AND(OR(L3771="131",M3771="131"),H3771='131-CT'!$E$7),"131",""))</f>
        <v/>
      </c>
      <c r="O3771" s="52" t="str">
        <f>IF(AND($B3771&gt;='111'!$N$11,$B3771&lt;='111'!$O$11,OR($L3771=$O$7,$M3771=$O$7)),"x","")</f>
        <v/>
      </c>
      <c r="P3771" s="52" t="str">
        <f>IF(AND($L3771=$O$7,$B3771&lt;'111'!$N$11),"x","")</f>
        <v/>
      </c>
      <c r="Q3771" s="52" t="str">
        <f>IF(AND($M3771=$O$7,$B3771&lt;'111'!$N$11),"x","")</f>
        <v/>
      </c>
      <c r="R3771" s="52" t="str">
        <f>IF(ISERROR(FIND('112'!$M$9,G3771,1)),"",IF((AND(FIND('112'!$M$9,G3771,1)&gt;=1,$B3771&gt;='112'!$N$8,$B3771&lt;='112'!$O$8,OR($L3771='112'!$I$6,$M3771='112'!$I$6))),"x",""))</f>
        <v/>
      </c>
      <c r="S3771" s="52" t="str">
        <f>IF(ISERROR(FIND('112'!$M$9,G3771,1)),"",IF((AND(LEFT(G3771,2)=LEFT('112'!$M$9,2),B3771&lt;'112'!$N$8,$L3771='112'!$I$6)),"x",""))</f>
        <v/>
      </c>
      <c r="T3771" s="52" t="str">
        <f>IF(ISERROR(FIND('112'!$M$9,G3771,1)),"",IF((AND(RIGHT(G3771,2)=RIGHT('112'!$M$9,2),B3771&lt;'112'!$N$8,$M3771='112'!$I$6)),"x",""))</f>
        <v/>
      </c>
      <c r="U3771" s="52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>154</v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/>
      </c>
      <c r="AA3771" s="826"/>
    </row>
    <row r="3772" spans="1:27" ht="15.75" customHeight="1">
      <c r="A3772" s="827" t="str">
        <f>IF(B3772&lt;&gt;"",IF(AND(B3772&gt;=_TM1,B3772&lt;=_TM2,OR(TH!L3772="1111",TH!M3772="1111")),TH!D3772,""),"")</f>
        <v/>
      </c>
      <c r="B3772" s="36">
        <f t="shared" si="490"/>
        <v>4</v>
      </c>
      <c r="C3772" s="856">
        <f t="shared" si="491"/>
        <v>42487</v>
      </c>
      <c r="D3772" s="856" t="s">
        <v>1664</v>
      </c>
      <c r="E3772" s="906">
        <v>42487</v>
      </c>
      <c r="F3772" s="857" t="s">
        <v>462</v>
      </c>
      <c r="G3772" s="831" t="s">
        <v>669</v>
      </c>
      <c r="H3772" s="859" t="s">
        <v>1312</v>
      </c>
      <c r="I3772" s="251">
        <v>144</v>
      </c>
      <c r="J3772" s="251">
        <v>45872</v>
      </c>
      <c r="K3772" s="860">
        <f t="shared" si="492"/>
        <v>6605568</v>
      </c>
      <c r="L3772" s="861" t="s">
        <v>160</v>
      </c>
      <c r="M3772" s="861" t="s">
        <v>857</v>
      </c>
      <c r="N3772" s="52" t="str">
        <f>IF(AND('331-CT'!$E$7=TH!H3772,OR(L3772="331",M3772="331")),"331",IF(AND(OR(L3772="131",M3772="131"),H3772='131-CT'!$E$7),"131",""))</f>
        <v/>
      </c>
      <c r="O3772" s="52" t="str">
        <f>IF(AND($B3772&gt;='111'!$N$11,$B3772&lt;='111'!$O$11,OR($L3772=$O$7,$M3772=$O$7)),"x","")</f>
        <v/>
      </c>
      <c r="P3772" s="52" t="str">
        <f>IF(AND($L3772=$O$7,$B3772&lt;'111'!$N$11),"x","")</f>
        <v/>
      </c>
      <c r="Q3772" s="52" t="str">
        <f>IF(AND($M3772=$O$7,$B3772&lt;'111'!$N$11),"x","")</f>
        <v/>
      </c>
      <c r="R3772" s="52" t="str">
        <f>IF(ISERROR(FIND('112'!$M$9,G3772,1)),"",IF((AND(FIND('112'!$M$9,G3772,1)&gt;=1,$B3772&gt;='112'!$N$8,$B3772&lt;='112'!$O$8,OR($L3772='112'!$I$6,$M3772='112'!$I$6))),"x",""))</f>
        <v/>
      </c>
      <c r="S3772" s="52" t="str">
        <f>IF(ISERROR(FIND('112'!$M$9,G3772,1)),"",IF((AND(LEFT(G3772,2)=LEFT('112'!$M$9,2),B3772&lt;'112'!$N$8,$L3772='112'!$I$6)),"x",""))</f>
        <v/>
      </c>
      <c r="T3772" s="52" t="str">
        <f>IF(ISERROR(FIND('112'!$M$9,G3772,1)),"",IF((AND(RIGHT(G3772,2)=RIGHT('112'!$M$9,2),B3772&lt;'112'!$N$8,$M3772='112'!$I$6)),"x",""))</f>
        <v/>
      </c>
      <c r="U3772" s="52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>154</v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/>
      </c>
      <c r="AA3772" s="826"/>
    </row>
    <row r="3773" spans="1:27" ht="15.75" customHeight="1">
      <c r="A3773" s="827" t="str">
        <f>IF(B3773&lt;&gt;"",IF(AND(B3773&gt;=_TM1,B3773&lt;=_TM2,OR(TH!L3773="1111",TH!M3773="1111")),TH!D3773,""),"")</f>
        <v/>
      </c>
      <c r="B3773" s="36">
        <f t="shared" si="490"/>
        <v>4</v>
      </c>
      <c r="C3773" s="856">
        <f t="shared" si="491"/>
        <v>42487</v>
      </c>
      <c r="D3773" s="856" t="s">
        <v>1664</v>
      </c>
      <c r="E3773" s="906">
        <v>42487</v>
      </c>
      <c r="F3773" s="857" t="s">
        <v>477</v>
      </c>
      <c r="G3773" s="831" t="s">
        <v>669</v>
      </c>
      <c r="H3773" s="859" t="s">
        <v>1312</v>
      </c>
      <c r="I3773" s="251">
        <v>350</v>
      </c>
      <c r="J3773" s="251">
        <v>61738</v>
      </c>
      <c r="K3773" s="860">
        <f t="shared" si="492"/>
        <v>21608300</v>
      </c>
      <c r="L3773" s="861" t="s">
        <v>160</v>
      </c>
      <c r="M3773" s="861" t="s">
        <v>857</v>
      </c>
      <c r="N3773" s="52" t="str">
        <f>IF(AND('331-CT'!$E$7=TH!H3773,OR(L3773="331",M3773="331")),"331",IF(AND(OR(L3773="131",M3773="131"),H3773='131-CT'!$E$7),"131",""))</f>
        <v/>
      </c>
      <c r="O3773" s="52" t="str">
        <f>IF(AND($B3773&gt;='111'!$N$11,$B3773&lt;='111'!$O$11,OR($L3773=$O$7,$M3773=$O$7)),"x","")</f>
        <v/>
      </c>
      <c r="P3773" s="52" t="str">
        <f>IF(AND($L3773=$O$7,$B3773&lt;'111'!$N$11),"x","")</f>
        <v/>
      </c>
      <c r="Q3773" s="52" t="str">
        <f>IF(AND($M3773=$O$7,$B3773&lt;'111'!$N$11),"x","")</f>
        <v/>
      </c>
      <c r="R3773" s="52" t="str">
        <f>IF(ISERROR(FIND('112'!$M$9,G3773,1)),"",IF((AND(FIND('112'!$M$9,G3773,1)&gt;=1,$B3773&gt;='112'!$N$8,$B3773&lt;='112'!$O$8,OR($L3773='112'!$I$6,$M3773='112'!$I$6))),"x",""))</f>
        <v/>
      </c>
      <c r="S3773" s="52" t="str">
        <f>IF(ISERROR(FIND('112'!$M$9,G3773,1)),"",IF((AND(LEFT(G3773,2)=LEFT('112'!$M$9,2),B3773&lt;'112'!$N$8,$L3773='112'!$I$6)),"x",""))</f>
        <v/>
      </c>
      <c r="T3773" s="52" t="str">
        <f>IF(ISERROR(FIND('112'!$M$9,G3773,1)),"",IF((AND(RIGHT(G3773,2)=RIGHT('112'!$M$9,2),B3773&lt;'112'!$N$8,$M3773='112'!$I$6)),"x",""))</f>
        <v/>
      </c>
      <c r="U3773" s="52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>154</v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/>
      </c>
      <c r="AA3773" s="826"/>
    </row>
    <row r="3774" spans="1:27" ht="15.75" customHeight="1">
      <c r="A3774" s="827" t="str">
        <f>IF(B3774&lt;&gt;"",IF(AND(B3774&gt;=_TM1,B3774&lt;=_TM2,OR(TH!L3774="1111",TH!M3774="1111")),TH!D3774,""),"")</f>
        <v/>
      </c>
      <c r="B3774" s="36">
        <f t="shared" si="490"/>
        <v>4</v>
      </c>
      <c r="C3774" s="856">
        <f t="shared" si="491"/>
        <v>42487</v>
      </c>
      <c r="D3774" s="856" t="s">
        <v>1664</v>
      </c>
      <c r="E3774" s="906">
        <v>42487</v>
      </c>
      <c r="F3774" s="868" t="s">
        <v>538</v>
      </c>
      <c r="G3774" s="831" t="s">
        <v>669</v>
      </c>
      <c r="H3774" s="859" t="s">
        <v>1312</v>
      </c>
      <c r="I3774" s="251">
        <v>76</v>
      </c>
      <c r="J3774" s="251">
        <v>67731</v>
      </c>
      <c r="K3774" s="860">
        <f t="shared" si="492"/>
        <v>5147556</v>
      </c>
      <c r="L3774" s="861" t="s">
        <v>160</v>
      </c>
      <c r="M3774" s="861" t="s">
        <v>857</v>
      </c>
      <c r="N3774" s="52" t="str">
        <f>IF(AND('331-CT'!$E$7=TH!H3774,OR(L3774="331",M3774="331")),"331",IF(AND(OR(L3774="131",M3774="131"),H3774='131-CT'!$E$7),"131",""))</f>
        <v/>
      </c>
      <c r="O3774" s="52" t="str">
        <f>IF(AND($B3774&gt;='111'!$N$11,$B3774&lt;='111'!$O$11,OR($L3774=$O$7,$M3774=$O$7)),"x","")</f>
        <v/>
      </c>
      <c r="P3774" s="52" t="str">
        <f>IF(AND($L3774=$O$7,$B3774&lt;'111'!$N$11),"x","")</f>
        <v/>
      </c>
      <c r="Q3774" s="52" t="str">
        <f>IF(AND($M3774=$O$7,$B3774&lt;'111'!$N$11),"x","")</f>
        <v/>
      </c>
      <c r="R3774" s="52" t="str">
        <f>IF(ISERROR(FIND('112'!$M$9,G3774,1)),"",IF((AND(FIND('112'!$M$9,G3774,1)&gt;=1,$B3774&gt;='112'!$N$8,$B3774&lt;='112'!$O$8,OR($L3774='112'!$I$6,$M3774='112'!$I$6))),"x",""))</f>
        <v/>
      </c>
      <c r="S3774" s="52" t="str">
        <f>IF(ISERROR(FIND('112'!$M$9,G3774,1)),"",IF((AND(LEFT(G3774,2)=LEFT('112'!$M$9,2),B3774&lt;'112'!$N$8,$L3774='112'!$I$6)),"x",""))</f>
        <v/>
      </c>
      <c r="T3774" s="52" t="str">
        <f>IF(ISERROR(FIND('112'!$M$9,G3774,1)),"",IF((AND(RIGHT(G3774,2)=RIGHT('112'!$M$9,2),B3774&lt;'112'!$N$8,$M3774='112'!$I$6)),"x",""))</f>
        <v/>
      </c>
      <c r="U3774" s="52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>154</v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/>
      </c>
      <c r="AA3774" s="826"/>
    </row>
    <row r="3775" spans="1:27" ht="15.75" customHeight="1">
      <c r="A3775" s="827" t="str">
        <f>IF(B3775&lt;&gt;"",IF(AND(B3775&gt;=_TM1,B3775&lt;=_TM2,OR(TH!L3775="1111",TH!M3775="1111")),TH!D3775,""),"")</f>
        <v/>
      </c>
      <c r="B3775" s="36">
        <f t="shared" si="490"/>
        <v>4</v>
      </c>
      <c r="C3775" s="856">
        <f t="shared" si="491"/>
        <v>42487</v>
      </c>
      <c r="D3775" s="856" t="s">
        <v>1664</v>
      </c>
      <c r="E3775" s="906">
        <v>42487</v>
      </c>
      <c r="F3775" s="857" t="s">
        <v>671</v>
      </c>
      <c r="G3775" s="858" t="s">
        <v>669</v>
      </c>
      <c r="H3775" s="859" t="s">
        <v>1312</v>
      </c>
      <c r="I3775" s="251">
        <v>20</v>
      </c>
      <c r="J3775" s="251">
        <v>110639</v>
      </c>
      <c r="K3775" s="860">
        <f t="shared" ref="K3775:K3793" si="493">ROUND(I3775*J3775,0)</f>
        <v>2212780</v>
      </c>
      <c r="L3775" s="861" t="s">
        <v>160</v>
      </c>
      <c r="M3775" s="861" t="s">
        <v>857</v>
      </c>
      <c r="N3775" s="52" t="str">
        <f>IF(AND('331-CT'!$E$7=TH!H3775,OR(L3775="331",M3775="331")),"331",IF(AND(OR(L3775="131",M3775="131"),H3775='131-CT'!$E$7),"131",""))</f>
        <v/>
      </c>
      <c r="O3775" s="52" t="str">
        <f>IF(AND($B3775&gt;='111'!$N$11,$B3775&lt;='111'!$O$11,OR($L3775=$O$7,$M3775=$O$7)),"x","")</f>
        <v/>
      </c>
      <c r="P3775" s="52" t="str">
        <f>IF(AND($L3775=$O$7,$B3775&lt;'111'!$N$11),"x","")</f>
        <v/>
      </c>
      <c r="Q3775" s="52" t="str">
        <f>IF(AND($M3775=$O$7,$B3775&lt;'111'!$N$11),"x","")</f>
        <v/>
      </c>
      <c r="R3775" s="52" t="str">
        <f>IF(ISERROR(FIND('112'!$M$9,G3775,1)),"",IF((AND(FIND('112'!$M$9,G3775,1)&gt;=1,$B3775&gt;='112'!$N$8,$B3775&lt;='112'!$O$8,OR($L3775='112'!$I$6,$M3775='112'!$I$6))),"x",""))</f>
        <v/>
      </c>
      <c r="S3775" s="52" t="str">
        <f>IF(ISERROR(FIND('112'!$M$9,G3775,1)),"",IF((AND(LEFT(G3775,2)=LEFT('112'!$M$9,2),B3775&lt;'112'!$N$8,$L3775='112'!$I$6)),"x",""))</f>
        <v/>
      </c>
      <c r="T3775" s="52" t="str">
        <f>IF(ISERROR(FIND('112'!$M$9,G3775,1)),"",IF((AND(RIGHT(G3775,2)=RIGHT('112'!$M$9,2),B3775&lt;'112'!$N$8,$M3775='112'!$I$6)),"x",""))</f>
        <v/>
      </c>
      <c r="U3775" s="52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>154</v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/>
      </c>
      <c r="AA3775" s="826"/>
    </row>
    <row r="3776" spans="1:27" ht="15.75" customHeight="1">
      <c r="A3776" s="827" t="str">
        <f>IF(B3776&lt;&gt;"",IF(AND(B3776&gt;=_TM1,B3776&lt;=_TM2,OR(TH!L3776="1111",TH!M3776="1111")),TH!D3776,""),"")</f>
        <v/>
      </c>
      <c r="B3776" s="36">
        <f t="shared" si="490"/>
        <v>5</v>
      </c>
      <c r="C3776" s="856">
        <f t="shared" si="491"/>
        <v>42500</v>
      </c>
      <c r="D3776" s="856" t="s">
        <v>1664</v>
      </c>
      <c r="E3776" s="906">
        <v>42500</v>
      </c>
      <c r="F3776" s="868" t="s">
        <v>627</v>
      </c>
      <c r="G3776" s="858" t="s">
        <v>686</v>
      </c>
      <c r="H3776" s="859" t="s">
        <v>1312</v>
      </c>
      <c r="I3776" s="251">
        <v>1097</v>
      </c>
      <c r="J3776" s="251">
        <v>6209</v>
      </c>
      <c r="K3776" s="860">
        <f t="shared" si="493"/>
        <v>6811273</v>
      </c>
      <c r="L3776" s="861" t="s">
        <v>160</v>
      </c>
      <c r="M3776" s="861" t="s">
        <v>857</v>
      </c>
      <c r="N3776" s="52" t="str">
        <f>IF(AND('331-CT'!$E$7=TH!H3776,OR(L3776="331",M3776="331")),"331",IF(AND(OR(L3776="131",M3776="131"),H3776='131-CT'!$E$7),"131",""))</f>
        <v/>
      </c>
      <c r="O3776" s="52" t="str">
        <f>IF(AND($B3776&gt;='111'!$N$11,$B3776&lt;='111'!$O$11,OR($L3776=$O$7,$M3776=$O$7)),"x","")</f>
        <v/>
      </c>
      <c r="P3776" s="52" t="str">
        <f>IF(AND($L3776=$O$7,$B3776&lt;'111'!$N$11),"x","")</f>
        <v/>
      </c>
      <c r="Q3776" s="52" t="str">
        <f>IF(AND($M3776=$O$7,$B3776&lt;'111'!$N$11),"x","")</f>
        <v/>
      </c>
      <c r="R3776" s="52" t="str">
        <f>IF(ISERROR(FIND('112'!$M$9,G3776,1)),"",IF((AND(FIND('112'!$M$9,G3776,1)&gt;=1,$B3776&gt;='112'!$N$8,$B3776&lt;='112'!$O$8,OR($L3776='112'!$I$6,$M3776='112'!$I$6))),"x",""))</f>
        <v/>
      </c>
      <c r="S3776" s="52" t="str">
        <f>IF(ISERROR(FIND('112'!$M$9,G3776,1)),"",IF((AND(LEFT(G3776,2)=LEFT('112'!$M$9,2),B3776&lt;'112'!$N$8,$L3776='112'!$I$6)),"x",""))</f>
        <v/>
      </c>
      <c r="T3776" s="52" t="str">
        <f>IF(ISERROR(FIND('112'!$M$9,G3776,1)),"",IF((AND(RIGHT(G3776,2)=RIGHT('112'!$M$9,2),B3776&lt;'112'!$N$8,$M3776='112'!$I$6)),"x",""))</f>
        <v/>
      </c>
      <c r="U3776" s="52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>154</v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/>
      </c>
      <c r="AA3776" s="826"/>
    </row>
    <row r="3777" spans="1:27" ht="15.75" customHeight="1">
      <c r="A3777" s="827" t="str">
        <f>IF(B3777&lt;&gt;"",IF(AND(B3777&gt;=_TM1,B3777&lt;=_TM2,OR(TH!L3777="1111",TH!M3777="1111")),TH!D3777,""),"")</f>
        <v/>
      </c>
      <c r="B3777" s="36">
        <f t="shared" si="490"/>
        <v>5</v>
      </c>
      <c r="C3777" s="856">
        <f t="shared" si="491"/>
        <v>42514</v>
      </c>
      <c r="D3777" s="856" t="s">
        <v>1664</v>
      </c>
      <c r="E3777" s="906">
        <v>42514</v>
      </c>
      <c r="F3777" s="857" t="s">
        <v>627</v>
      </c>
      <c r="G3777" s="858" t="s">
        <v>691</v>
      </c>
      <c r="H3777" s="859" t="s">
        <v>1312</v>
      </c>
      <c r="I3777" s="251">
        <v>1392</v>
      </c>
      <c r="J3777" s="251">
        <v>6209</v>
      </c>
      <c r="K3777" s="860">
        <f t="shared" si="493"/>
        <v>8642928</v>
      </c>
      <c r="L3777" s="861" t="s">
        <v>160</v>
      </c>
      <c r="M3777" s="861" t="s">
        <v>857</v>
      </c>
      <c r="N3777" s="52" t="str">
        <f>IF(AND('331-CT'!$E$7=TH!H3777,OR(L3777="331",M3777="331")),"331",IF(AND(OR(L3777="131",M3777="131"),H3777='131-CT'!$E$7),"131",""))</f>
        <v/>
      </c>
      <c r="O3777" s="52" t="str">
        <f>IF(AND($B3777&gt;='111'!$N$11,$B3777&lt;='111'!$O$11,OR($L3777=$O$7,$M3777=$O$7)),"x","")</f>
        <v/>
      </c>
      <c r="P3777" s="52" t="str">
        <f>IF(AND($L3777=$O$7,$B3777&lt;'111'!$N$11),"x","")</f>
        <v/>
      </c>
      <c r="Q3777" s="52" t="str">
        <f>IF(AND($M3777=$O$7,$B3777&lt;'111'!$N$11),"x","")</f>
        <v/>
      </c>
      <c r="R3777" s="52" t="str">
        <f>IF(ISERROR(FIND('112'!$M$9,G3777,1)),"",IF((AND(FIND('112'!$M$9,G3777,1)&gt;=1,$B3777&gt;='112'!$N$8,$B3777&lt;='112'!$O$8,OR($L3777='112'!$I$6,$M3777='112'!$I$6))),"x",""))</f>
        <v/>
      </c>
      <c r="S3777" s="52" t="str">
        <f>IF(ISERROR(FIND('112'!$M$9,G3777,1)),"",IF((AND(LEFT(G3777,2)=LEFT('112'!$M$9,2),B3777&lt;'112'!$N$8,$L3777='112'!$I$6)),"x",""))</f>
        <v/>
      </c>
      <c r="T3777" s="52" t="str">
        <f>IF(ISERROR(FIND('112'!$M$9,G3777,1)),"",IF((AND(RIGHT(G3777,2)=RIGHT('112'!$M$9,2),B3777&lt;'112'!$N$8,$M3777='112'!$I$6)),"x",""))</f>
        <v/>
      </c>
      <c r="U3777" s="52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>154</v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/>
      </c>
      <c r="AA3777" s="826"/>
    </row>
    <row r="3778" spans="1:27" ht="15.75" customHeight="1">
      <c r="A3778" s="827" t="str">
        <f>IF(B3778&lt;&gt;"",IF(AND(B3778&gt;=_TM1,B3778&lt;=_TM2,OR(TH!L3778="1111",TH!M3778="1111")),TH!D3778,""),"")</f>
        <v/>
      </c>
      <c r="B3778" s="36">
        <f t="shared" si="490"/>
        <v>5</v>
      </c>
      <c r="C3778" s="856">
        <f t="shared" si="491"/>
        <v>42514</v>
      </c>
      <c r="D3778" s="856" t="s">
        <v>1664</v>
      </c>
      <c r="E3778" s="906">
        <v>42514</v>
      </c>
      <c r="F3778" s="857" t="s">
        <v>696</v>
      </c>
      <c r="G3778" s="858" t="s">
        <v>692</v>
      </c>
      <c r="H3778" s="859" t="s">
        <v>1312</v>
      </c>
      <c r="I3778" s="251">
        <v>1000</v>
      </c>
      <c r="J3778" s="251">
        <v>11115</v>
      </c>
      <c r="K3778" s="860">
        <f t="shared" si="493"/>
        <v>11115000</v>
      </c>
      <c r="L3778" s="861" t="s">
        <v>160</v>
      </c>
      <c r="M3778" s="861" t="s">
        <v>857</v>
      </c>
      <c r="N3778" s="52" t="str">
        <f>IF(AND('331-CT'!$E$7=TH!H3778,OR(L3778="331",M3778="331")),"331",IF(AND(OR(L3778="131",M3778="131"),H3778='131-CT'!$E$7),"131",""))</f>
        <v/>
      </c>
      <c r="O3778" s="52" t="str">
        <f>IF(AND($B3778&gt;='111'!$N$11,$B3778&lt;='111'!$O$11,OR($L3778=$O$7,$M3778=$O$7)),"x","")</f>
        <v/>
      </c>
      <c r="P3778" s="52" t="str">
        <f>IF(AND($L3778=$O$7,$B3778&lt;'111'!$N$11),"x","")</f>
        <v/>
      </c>
      <c r="Q3778" s="52" t="str">
        <f>IF(AND($M3778=$O$7,$B3778&lt;'111'!$N$11),"x","")</f>
        <v/>
      </c>
      <c r="R3778" s="52" t="str">
        <f>IF(ISERROR(FIND('112'!$M$9,G3778,1)),"",IF((AND(FIND('112'!$M$9,G3778,1)&gt;=1,$B3778&gt;='112'!$N$8,$B3778&lt;='112'!$O$8,OR($L3778='112'!$I$6,$M3778='112'!$I$6))),"x",""))</f>
        <v/>
      </c>
      <c r="S3778" s="52" t="str">
        <f>IF(ISERROR(FIND('112'!$M$9,G3778,1)),"",IF((AND(LEFT(G3778,2)=LEFT('112'!$M$9,2),B3778&lt;'112'!$N$8,$L3778='112'!$I$6)),"x",""))</f>
        <v/>
      </c>
      <c r="T3778" s="52" t="str">
        <f>IF(ISERROR(FIND('112'!$M$9,G3778,1)),"",IF((AND(RIGHT(G3778,2)=RIGHT('112'!$M$9,2),B3778&lt;'112'!$N$8,$M3778='112'!$I$6)),"x",""))</f>
        <v/>
      </c>
      <c r="U3778" s="52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>154</v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/>
      </c>
      <c r="AA3778" s="826"/>
    </row>
    <row r="3779" spans="1:27" ht="15.75" customHeight="1">
      <c r="A3779" s="827" t="str">
        <f>IF(B3779&lt;&gt;"",IF(AND(B3779&gt;=_TM1,B3779&lt;=_TM2,OR(TH!L3779="1111",TH!M3779="1111")),TH!D3779,""),"")</f>
        <v/>
      </c>
      <c r="B3779" s="36">
        <f t="shared" si="490"/>
        <v>5</v>
      </c>
      <c r="C3779" s="856">
        <f t="shared" si="491"/>
        <v>42514</v>
      </c>
      <c r="D3779" s="856" t="s">
        <v>1664</v>
      </c>
      <c r="E3779" s="906">
        <v>42514</v>
      </c>
      <c r="F3779" s="857" t="s">
        <v>1178</v>
      </c>
      <c r="G3779" s="858" t="s">
        <v>693</v>
      </c>
      <c r="H3779" s="859" t="s">
        <v>1312</v>
      </c>
      <c r="I3779" s="251">
        <v>1250</v>
      </c>
      <c r="J3779" s="251">
        <v>30875</v>
      </c>
      <c r="K3779" s="860">
        <f t="shared" si="493"/>
        <v>38593750</v>
      </c>
      <c r="L3779" s="861" t="s">
        <v>160</v>
      </c>
      <c r="M3779" s="861" t="s">
        <v>857</v>
      </c>
      <c r="N3779" s="52" t="str">
        <f>IF(AND('331-CT'!$E$7=TH!H3779,OR(L3779="331",M3779="331")),"331",IF(AND(OR(L3779="131",M3779="131"),H3779='131-CT'!$E$7),"131",""))</f>
        <v/>
      </c>
      <c r="O3779" s="52" t="str">
        <f>IF(AND($B3779&gt;='111'!$N$11,$B3779&lt;='111'!$O$11,OR($L3779=$O$7,$M3779=$O$7)),"x","")</f>
        <v/>
      </c>
      <c r="P3779" s="52" t="str">
        <f>IF(AND($L3779=$O$7,$B3779&lt;'111'!$N$11),"x","")</f>
        <v/>
      </c>
      <c r="Q3779" s="52" t="str">
        <f>IF(AND($M3779=$O$7,$B3779&lt;'111'!$N$11),"x","")</f>
        <v/>
      </c>
      <c r="R3779" s="52" t="str">
        <f>IF(ISERROR(FIND('112'!$M$9,G3779,1)),"",IF((AND(FIND('112'!$M$9,G3779,1)&gt;=1,$B3779&gt;='112'!$N$8,$B3779&lt;='112'!$O$8,OR($L3779='112'!$I$6,$M3779='112'!$I$6))),"x",""))</f>
        <v/>
      </c>
      <c r="S3779" s="52" t="str">
        <f>IF(ISERROR(FIND('112'!$M$9,G3779,1)),"",IF((AND(LEFT(G3779,2)=LEFT('112'!$M$9,2),B3779&lt;'112'!$N$8,$L3779='112'!$I$6)),"x",""))</f>
        <v/>
      </c>
      <c r="T3779" s="52" t="str">
        <f>IF(ISERROR(FIND('112'!$M$9,G3779,1)),"",IF((AND(RIGHT(G3779,2)=RIGHT('112'!$M$9,2),B3779&lt;'112'!$N$8,$M3779='112'!$I$6)),"x",""))</f>
        <v/>
      </c>
      <c r="U3779" s="52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>154</v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/>
      </c>
      <c r="AA3779" s="826"/>
    </row>
    <row r="3780" spans="1:27" ht="15.75" customHeight="1">
      <c r="A3780" s="827" t="str">
        <f>IF(B3780&lt;&gt;"",IF(AND(B3780&gt;=_TM1,B3780&lt;=_TM2,OR(TH!L3780="1111",TH!M3780="1111")),TH!D3780,""),"")</f>
        <v/>
      </c>
      <c r="B3780" s="36">
        <f t="shared" si="490"/>
        <v>5</v>
      </c>
      <c r="C3780" s="856">
        <f t="shared" si="491"/>
        <v>42514</v>
      </c>
      <c r="D3780" s="856" t="s">
        <v>1664</v>
      </c>
      <c r="E3780" s="906">
        <v>42514</v>
      </c>
      <c r="F3780" s="857" t="s">
        <v>1179</v>
      </c>
      <c r="G3780" s="858" t="s">
        <v>693</v>
      </c>
      <c r="H3780" s="859" t="s">
        <v>1312</v>
      </c>
      <c r="I3780" s="251">
        <v>1300</v>
      </c>
      <c r="J3780" s="251">
        <v>30115</v>
      </c>
      <c r="K3780" s="860">
        <f t="shared" si="493"/>
        <v>39149500</v>
      </c>
      <c r="L3780" s="861" t="s">
        <v>160</v>
      </c>
      <c r="M3780" s="861" t="s">
        <v>857</v>
      </c>
      <c r="N3780" s="52" t="str">
        <f>IF(AND('331-CT'!$E$7=TH!H3780,OR(L3780="331",M3780="331")),"331",IF(AND(OR(L3780="131",M3780="131"),H3780='131-CT'!$E$7),"131",""))</f>
        <v/>
      </c>
      <c r="O3780" s="52" t="str">
        <f>IF(AND($B3780&gt;='111'!$N$11,$B3780&lt;='111'!$O$11,OR($L3780=$O$7,$M3780=$O$7)),"x","")</f>
        <v/>
      </c>
      <c r="P3780" s="52" t="str">
        <f>IF(AND($L3780=$O$7,$B3780&lt;'111'!$N$11),"x","")</f>
        <v/>
      </c>
      <c r="Q3780" s="52" t="str">
        <f>IF(AND($M3780=$O$7,$B3780&lt;'111'!$N$11),"x","")</f>
        <v/>
      </c>
      <c r="R3780" s="52" t="str">
        <f>IF(ISERROR(FIND('112'!$M$9,G3780,1)),"",IF((AND(FIND('112'!$M$9,G3780,1)&gt;=1,$B3780&gt;='112'!$N$8,$B3780&lt;='112'!$O$8,OR($L3780='112'!$I$6,$M3780='112'!$I$6))),"x",""))</f>
        <v/>
      </c>
      <c r="S3780" s="52" t="str">
        <f>IF(ISERROR(FIND('112'!$M$9,G3780,1)),"",IF((AND(LEFT(G3780,2)=LEFT('112'!$M$9,2),B3780&lt;'112'!$N$8,$L3780='112'!$I$6)),"x",""))</f>
        <v/>
      </c>
      <c r="T3780" s="52" t="str">
        <f>IF(ISERROR(FIND('112'!$M$9,G3780,1)),"",IF((AND(RIGHT(G3780,2)=RIGHT('112'!$M$9,2),B3780&lt;'112'!$N$8,$M3780='112'!$I$6)),"x",""))</f>
        <v/>
      </c>
      <c r="U3780" s="52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>154</v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/>
      </c>
      <c r="AA3780" s="826"/>
    </row>
    <row r="3781" spans="1:27" ht="15.75" customHeight="1">
      <c r="A3781" s="827" t="str">
        <f>IF(B3781&lt;&gt;"",IF(AND(B3781&gt;=_TM1,B3781&lt;=_TM2,OR(TH!L3781="1111",TH!M3781="1111")),TH!D3781,""),"")</f>
        <v/>
      </c>
      <c r="B3781" s="36">
        <f t="shared" si="490"/>
        <v>5</v>
      </c>
      <c r="C3781" s="856">
        <f t="shared" si="491"/>
        <v>42515</v>
      </c>
      <c r="D3781" s="856" t="s">
        <v>1664</v>
      </c>
      <c r="E3781" s="906">
        <v>42515</v>
      </c>
      <c r="F3781" s="857" t="s">
        <v>627</v>
      </c>
      <c r="G3781" s="858" t="s">
        <v>694</v>
      </c>
      <c r="H3781" s="859" t="s">
        <v>1312</v>
      </c>
      <c r="I3781" s="251">
        <v>1516</v>
      </c>
      <c r="J3781" s="251">
        <v>6209</v>
      </c>
      <c r="K3781" s="860">
        <f t="shared" si="493"/>
        <v>9412844</v>
      </c>
      <c r="L3781" s="861" t="s">
        <v>160</v>
      </c>
      <c r="M3781" s="861" t="s">
        <v>857</v>
      </c>
      <c r="N3781" s="52" t="str">
        <f>IF(AND('331-CT'!$E$7=TH!H3781,OR(L3781="331",M3781="331")),"331",IF(AND(OR(L3781="131",M3781="131"),H3781='131-CT'!$E$7),"131",""))</f>
        <v/>
      </c>
      <c r="O3781" s="52" t="str">
        <f>IF(AND($B3781&gt;='111'!$N$11,$B3781&lt;='111'!$O$11,OR($L3781=$O$7,$M3781=$O$7)),"x","")</f>
        <v/>
      </c>
      <c r="P3781" s="52" t="str">
        <f>IF(AND($L3781=$O$7,$B3781&lt;'111'!$N$11),"x","")</f>
        <v/>
      </c>
      <c r="Q3781" s="52" t="str">
        <f>IF(AND($M3781=$O$7,$B3781&lt;'111'!$N$11),"x","")</f>
        <v/>
      </c>
      <c r="R3781" s="52" t="str">
        <f>IF(ISERROR(FIND('112'!$M$9,G3781,1)),"",IF((AND(FIND('112'!$M$9,G3781,1)&gt;=1,$B3781&gt;='112'!$N$8,$B3781&lt;='112'!$O$8,OR($L3781='112'!$I$6,$M3781='112'!$I$6))),"x",""))</f>
        <v/>
      </c>
      <c r="S3781" s="52" t="str">
        <f>IF(ISERROR(FIND('112'!$M$9,G3781,1)),"",IF((AND(LEFT(G3781,2)=LEFT('112'!$M$9,2),B3781&lt;'112'!$N$8,$L3781='112'!$I$6)),"x",""))</f>
        <v/>
      </c>
      <c r="T3781" s="52" t="str">
        <f>IF(ISERROR(FIND('112'!$M$9,G3781,1)),"",IF((AND(RIGHT(G3781,2)=RIGHT('112'!$M$9,2),B3781&lt;'112'!$N$8,$M3781='112'!$I$6)),"x",""))</f>
        <v/>
      </c>
      <c r="U3781" s="52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>154</v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/>
      </c>
      <c r="AA3781" s="826"/>
    </row>
    <row r="3782" spans="1:27" ht="15.75" customHeight="1">
      <c r="A3782" s="827" t="str">
        <f>IF(B3782&lt;&gt;"",IF(AND(B3782&gt;=_TM1,B3782&lt;=_TM2,OR(TH!L3782="1111",TH!M3782="1111")),TH!D3782,""),"")</f>
        <v/>
      </c>
      <c r="B3782" s="36">
        <f t="shared" si="490"/>
        <v>5</v>
      </c>
      <c r="C3782" s="856">
        <f t="shared" si="491"/>
        <v>42519</v>
      </c>
      <c r="D3782" s="856" t="s">
        <v>1664</v>
      </c>
      <c r="E3782" s="906">
        <v>42519</v>
      </c>
      <c r="F3782" s="857" t="s">
        <v>525</v>
      </c>
      <c r="G3782" s="858" t="s">
        <v>697</v>
      </c>
      <c r="H3782" s="859" t="s">
        <v>1312</v>
      </c>
      <c r="I3782" s="251">
        <v>534</v>
      </c>
      <c r="J3782" s="251">
        <v>16775</v>
      </c>
      <c r="K3782" s="860">
        <f t="shared" si="493"/>
        <v>8957850</v>
      </c>
      <c r="L3782" s="861" t="s">
        <v>160</v>
      </c>
      <c r="M3782" s="861" t="s">
        <v>857</v>
      </c>
      <c r="N3782" s="52" t="str">
        <f>IF(AND('331-CT'!$E$7=TH!H3782,OR(L3782="331",M3782="331")),"331",IF(AND(OR(L3782="131",M3782="131"),H3782='131-CT'!$E$7),"131",""))</f>
        <v/>
      </c>
      <c r="O3782" s="52" t="str">
        <f>IF(AND($B3782&gt;='111'!$N$11,$B3782&lt;='111'!$O$11,OR($L3782=$O$7,$M3782=$O$7)),"x","")</f>
        <v/>
      </c>
      <c r="P3782" s="52" t="str">
        <f>IF(AND($L3782=$O$7,$B3782&lt;'111'!$N$11),"x","")</f>
        <v/>
      </c>
      <c r="Q3782" s="52" t="str">
        <f>IF(AND($M3782=$O$7,$B3782&lt;'111'!$N$11),"x","")</f>
        <v/>
      </c>
      <c r="R3782" s="52" t="str">
        <f>IF(ISERROR(FIND('112'!$M$9,G3782,1)),"",IF((AND(FIND('112'!$M$9,G3782,1)&gt;=1,$B3782&gt;='112'!$N$8,$B3782&lt;='112'!$O$8,OR($L3782='112'!$I$6,$M3782='112'!$I$6))),"x",""))</f>
        <v/>
      </c>
      <c r="S3782" s="52" t="str">
        <f>IF(ISERROR(FIND('112'!$M$9,G3782,1)),"",IF((AND(LEFT(G3782,2)=LEFT('112'!$M$9,2),B3782&lt;'112'!$N$8,$L3782='112'!$I$6)),"x",""))</f>
        <v/>
      </c>
      <c r="T3782" s="52" t="str">
        <f>IF(ISERROR(FIND('112'!$M$9,G3782,1)),"",IF((AND(RIGHT(G3782,2)=RIGHT('112'!$M$9,2),B3782&lt;'112'!$N$8,$M3782='112'!$I$6)),"x",""))</f>
        <v/>
      </c>
      <c r="U3782" s="52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>154</v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/>
      </c>
      <c r="AA3782" s="826"/>
    </row>
    <row r="3783" spans="1:27" ht="15.75" customHeight="1">
      <c r="A3783" s="827" t="str">
        <f>IF(B3783&lt;&gt;"",IF(AND(B3783&gt;=_TM1,B3783&lt;=_TM2,OR(TH!L3783="1111",TH!M3783="1111")),TH!D3783,""),"")</f>
        <v/>
      </c>
      <c r="B3783" s="36">
        <f t="shared" si="490"/>
        <v>5</v>
      </c>
      <c r="C3783" s="856">
        <f t="shared" si="491"/>
        <v>42519</v>
      </c>
      <c r="D3783" s="856" t="s">
        <v>1664</v>
      </c>
      <c r="E3783" s="906">
        <v>42519</v>
      </c>
      <c r="F3783" s="857" t="s">
        <v>477</v>
      </c>
      <c r="G3783" s="858" t="s">
        <v>697</v>
      </c>
      <c r="H3783" s="859" t="s">
        <v>1312</v>
      </c>
      <c r="I3783" s="251">
        <v>170</v>
      </c>
      <c r="J3783" s="251">
        <v>62802.6</v>
      </c>
      <c r="K3783" s="860">
        <f t="shared" si="493"/>
        <v>10676442</v>
      </c>
      <c r="L3783" s="861" t="s">
        <v>160</v>
      </c>
      <c r="M3783" s="861" t="s">
        <v>857</v>
      </c>
      <c r="N3783" s="52" t="str">
        <f>IF(AND('331-CT'!$E$7=TH!H3783,OR(L3783="331",M3783="331")),"331",IF(AND(OR(L3783="131",M3783="131"),H3783='131-CT'!$E$7),"131",""))</f>
        <v/>
      </c>
      <c r="O3783" s="52" t="str">
        <f>IF(AND($B3783&gt;='111'!$N$11,$B3783&lt;='111'!$O$11,OR($L3783=$O$7,$M3783=$O$7)),"x","")</f>
        <v/>
      </c>
      <c r="P3783" s="52" t="str">
        <f>IF(AND($L3783=$O$7,$B3783&lt;'111'!$N$11),"x","")</f>
        <v/>
      </c>
      <c r="Q3783" s="52" t="str">
        <f>IF(AND($M3783=$O$7,$B3783&lt;'111'!$N$11),"x","")</f>
        <v/>
      </c>
      <c r="R3783" s="52" t="str">
        <f>IF(ISERROR(FIND('112'!$M$9,G3783,1)),"",IF((AND(FIND('112'!$M$9,G3783,1)&gt;=1,$B3783&gt;='112'!$N$8,$B3783&lt;='112'!$O$8,OR($L3783='112'!$I$6,$M3783='112'!$I$6))),"x",""))</f>
        <v/>
      </c>
      <c r="S3783" s="52" t="str">
        <f>IF(ISERROR(FIND('112'!$M$9,G3783,1)),"",IF((AND(LEFT(G3783,2)=LEFT('112'!$M$9,2),B3783&lt;'112'!$N$8,$L3783='112'!$I$6)),"x",""))</f>
        <v/>
      </c>
      <c r="T3783" s="52" t="str">
        <f>IF(ISERROR(FIND('112'!$M$9,G3783,1)),"",IF((AND(RIGHT(G3783,2)=RIGHT('112'!$M$9,2),B3783&lt;'112'!$N$8,$M3783='112'!$I$6)),"x",""))</f>
        <v/>
      </c>
      <c r="U3783" s="52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>154</v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/>
      </c>
      <c r="AA3783" s="826"/>
    </row>
    <row r="3784" spans="1:27" ht="15.75" customHeight="1">
      <c r="A3784" s="827" t="str">
        <f>IF(B3784&lt;&gt;"",IF(AND(B3784&gt;=_TM1,B3784&lt;=_TM2,OR(TH!L3784="1111",TH!M3784="1111")),TH!D3784,""),"")</f>
        <v/>
      </c>
      <c r="B3784" s="36">
        <f t="shared" si="490"/>
        <v>5</v>
      </c>
      <c r="C3784" s="856">
        <f t="shared" si="491"/>
        <v>42521</v>
      </c>
      <c r="D3784" s="856" t="s">
        <v>1664</v>
      </c>
      <c r="E3784" s="906">
        <v>42521</v>
      </c>
      <c r="F3784" s="857" t="s">
        <v>696</v>
      </c>
      <c r="G3784" s="858" t="s">
        <v>726</v>
      </c>
      <c r="H3784" s="859" t="s">
        <v>1312</v>
      </c>
      <c r="I3784" s="251">
        <v>1000</v>
      </c>
      <c r="J3784" s="251">
        <v>13029</v>
      </c>
      <c r="K3784" s="860">
        <f t="shared" si="493"/>
        <v>13029000</v>
      </c>
      <c r="L3784" s="861" t="s">
        <v>160</v>
      </c>
      <c r="M3784" s="861" t="s">
        <v>857</v>
      </c>
      <c r="N3784" s="52" t="str">
        <f>IF(AND('331-CT'!$E$7=TH!H3784,OR(L3784="331",M3784="331")),"331",IF(AND(OR(L3784="131",M3784="131"),H3784='131-CT'!$E$7),"131",""))</f>
        <v/>
      </c>
      <c r="O3784" s="52" t="str">
        <f>IF(AND($B3784&gt;='111'!$N$11,$B3784&lt;='111'!$O$11,OR($L3784=$O$7,$M3784=$O$7)),"x","")</f>
        <v/>
      </c>
      <c r="P3784" s="52" t="str">
        <f>IF(AND($L3784=$O$7,$B3784&lt;'111'!$N$11),"x","")</f>
        <v/>
      </c>
      <c r="Q3784" s="52" t="str">
        <f>IF(AND($M3784=$O$7,$B3784&lt;'111'!$N$11),"x","")</f>
        <v/>
      </c>
      <c r="R3784" s="52" t="str">
        <f>IF(ISERROR(FIND('112'!$M$9,G3784,1)),"",IF((AND(FIND('112'!$M$9,G3784,1)&gt;=1,$B3784&gt;='112'!$N$8,$B3784&lt;='112'!$O$8,OR($L3784='112'!$I$6,$M3784='112'!$I$6))),"x",""))</f>
        <v/>
      </c>
      <c r="S3784" s="52" t="str">
        <f>IF(ISERROR(FIND('112'!$M$9,G3784,1)),"",IF((AND(LEFT(G3784,2)=LEFT('112'!$M$9,2),B3784&lt;'112'!$N$8,$L3784='112'!$I$6)),"x",""))</f>
        <v/>
      </c>
      <c r="T3784" s="52" t="str">
        <f>IF(ISERROR(FIND('112'!$M$9,G3784,1)),"",IF((AND(RIGHT(G3784,2)=RIGHT('112'!$M$9,2),B3784&lt;'112'!$N$8,$M3784='112'!$I$6)),"x",""))</f>
        <v/>
      </c>
      <c r="U3784" s="52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>154</v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/>
      </c>
      <c r="AA3784" s="826"/>
    </row>
    <row r="3785" spans="1:27" ht="15.75" customHeight="1">
      <c r="A3785" s="827" t="str">
        <f>IF(B3785&lt;&gt;"",IF(AND(B3785&gt;=_TM1,B3785&lt;=_TM2,OR(TH!L3785="1111",TH!M3785="1111")),TH!D3785,""),"")</f>
        <v/>
      </c>
      <c r="B3785" s="36">
        <f t="shared" si="490"/>
        <v>6</v>
      </c>
      <c r="C3785" s="856">
        <f t="shared" si="491"/>
        <v>42525</v>
      </c>
      <c r="D3785" s="856" t="s">
        <v>1664</v>
      </c>
      <c r="E3785" s="906">
        <v>42525</v>
      </c>
      <c r="F3785" s="857" t="s">
        <v>921</v>
      </c>
      <c r="G3785" s="858" t="s">
        <v>733</v>
      </c>
      <c r="H3785" s="859" t="s">
        <v>1312</v>
      </c>
      <c r="I3785" s="251">
        <v>2000</v>
      </c>
      <c r="J3785" s="251">
        <v>6428</v>
      </c>
      <c r="K3785" s="860">
        <f t="shared" si="493"/>
        <v>12856000</v>
      </c>
      <c r="L3785" s="861" t="s">
        <v>160</v>
      </c>
      <c r="M3785" s="861" t="s">
        <v>857</v>
      </c>
      <c r="N3785" s="52" t="str">
        <f>IF(AND('331-CT'!$E$7=TH!H3785,OR(L3785="331",M3785="331")),"331",IF(AND(OR(L3785="131",M3785="131"),H3785='131-CT'!$E$7),"131",""))</f>
        <v/>
      </c>
      <c r="O3785" s="52" t="str">
        <f>IF(AND($B3785&gt;='111'!$N$11,$B3785&lt;='111'!$O$11,OR($L3785=$O$7,$M3785=$O$7)),"x","")</f>
        <v/>
      </c>
      <c r="P3785" s="52" t="str">
        <f>IF(AND($L3785=$O$7,$B3785&lt;'111'!$N$11),"x","")</f>
        <v/>
      </c>
      <c r="Q3785" s="52" t="str">
        <f>IF(AND($M3785=$O$7,$B3785&lt;'111'!$N$11),"x","")</f>
        <v/>
      </c>
      <c r="R3785" s="52" t="str">
        <f>IF(ISERROR(FIND('112'!$M$9,G3785,1)),"",IF((AND(FIND('112'!$M$9,G3785,1)&gt;=1,$B3785&gt;='112'!$N$8,$B3785&lt;='112'!$O$8,OR($L3785='112'!$I$6,$M3785='112'!$I$6))),"x",""))</f>
        <v/>
      </c>
      <c r="S3785" s="52" t="str">
        <f>IF(ISERROR(FIND('112'!$M$9,G3785,1)),"",IF((AND(LEFT(G3785,2)=LEFT('112'!$M$9,2),B3785&lt;'112'!$N$8,$L3785='112'!$I$6)),"x",""))</f>
        <v/>
      </c>
      <c r="T3785" s="52" t="str">
        <f>IF(ISERROR(FIND('112'!$M$9,G3785,1)),"",IF((AND(RIGHT(G3785,2)=RIGHT('112'!$M$9,2),B3785&lt;'112'!$N$8,$M3785='112'!$I$6)),"x",""))</f>
        <v/>
      </c>
      <c r="U3785" s="52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>154</v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/>
      </c>
      <c r="AA3785" s="826"/>
    </row>
    <row r="3786" spans="1:27" ht="15.75" customHeight="1">
      <c r="A3786" s="827" t="str">
        <f>IF(B3786&lt;&gt;"",IF(AND(B3786&gt;=_TM1,B3786&lt;=_TM2,OR(TH!L3786="1111",TH!M3786="1111")),TH!D3786,""),"")</f>
        <v/>
      </c>
      <c r="B3786" s="36">
        <f t="shared" si="490"/>
        <v>6</v>
      </c>
      <c r="C3786" s="856">
        <f t="shared" si="491"/>
        <v>42525</v>
      </c>
      <c r="D3786" s="856" t="s">
        <v>1664</v>
      </c>
      <c r="E3786" s="906">
        <v>42525</v>
      </c>
      <c r="F3786" s="857" t="s">
        <v>637</v>
      </c>
      <c r="G3786" s="858" t="s">
        <v>733</v>
      </c>
      <c r="H3786" s="859" t="s">
        <v>1312</v>
      </c>
      <c r="I3786" s="251">
        <v>2050</v>
      </c>
      <c r="J3786" s="251">
        <v>5639</v>
      </c>
      <c r="K3786" s="860">
        <f t="shared" si="493"/>
        <v>11559950</v>
      </c>
      <c r="L3786" s="861" t="s">
        <v>160</v>
      </c>
      <c r="M3786" s="861" t="s">
        <v>857</v>
      </c>
      <c r="N3786" s="52" t="str">
        <f>IF(AND('331-CT'!$E$7=TH!H3786,OR(L3786="331",M3786="331")),"331",IF(AND(OR(L3786="131",M3786="131"),H3786='131-CT'!$E$7),"131",""))</f>
        <v/>
      </c>
      <c r="O3786" s="52" t="str">
        <f>IF(AND($B3786&gt;='111'!$N$11,$B3786&lt;='111'!$O$11,OR($L3786=$O$7,$M3786=$O$7)),"x","")</f>
        <v/>
      </c>
      <c r="P3786" s="52" t="str">
        <f>IF(AND($L3786=$O$7,$B3786&lt;'111'!$N$11),"x","")</f>
        <v/>
      </c>
      <c r="Q3786" s="52" t="str">
        <f>IF(AND($M3786=$O$7,$B3786&lt;'111'!$N$11),"x","")</f>
        <v/>
      </c>
      <c r="R3786" s="52" t="str">
        <f>IF(ISERROR(FIND('112'!$M$9,G3786,1)),"",IF((AND(FIND('112'!$M$9,G3786,1)&gt;=1,$B3786&gt;='112'!$N$8,$B3786&lt;='112'!$O$8,OR($L3786='112'!$I$6,$M3786='112'!$I$6))),"x",""))</f>
        <v/>
      </c>
      <c r="S3786" s="52" t="str">
        <f>IF(ISERROR(FIND('112'!$M$9,G3786,1)),"",IF((AND(LEFT(G3786,2)=LEFT('112'!$M$9,2),B3786&lt;'112'!$N$8,$L3786='112'!$I$6)),"x",""))</f>
        <v/>
      </c>
      <c r="T3786" s="52" t="str">
        <f>IF(ISERROR(FIND('112'!$M$9,G3786,1)),"",IF((AND(RIGHT(G3786,2)=RIGHT('112'!$M$9,2),B3786&lt;'112'!$N$8,$M3786='112'!$I$6)),"x",""))</f>
        <v/>
      </c>
      <c r="U3786" s="52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>154</v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/>
      </c>
      <c r="AA3786" s="826"/>
    </row>
    <row r="3787" spans="1:27" ht="15.75" customHeight="1">
      <c r="A3787" s="827" t="str">
        <f>IF(B3787&lt;&gt;"",IF(AND(B3787&gt;=_TM1,B3787&lt;=_TM2,OR(TH!L3787="1111",TH!M3787="1111")),TH!D3787,""),"")</f>
        <v/>
      </c>
      <c r="B3787" s="36">
        <f t="shared" si="490"/>
        <v>6</v>
      </c>
      <c r="C3787" s="856">
        <f t="shared" si="491"/>
        <v>42530</v>
      </c>
      <c r="D3787" s="856" t="s">
        <v>1664</v>
      </c>
      <c r="E3787" s="906">
        <v>42530</v>
      </c>
      <c r="F3787" s="857" t="s">
        <v>656</v>
      </c>
      <c r="G3787" s="858" t="s">
        <v>751</v>
      </c>
      <c r="H3787" s="859" t="s">
        <v>1312</v>
      </c>
      <c r="I3787" s="251">
        <v>5000</v>
      </c>
      <c r="J3787" s="251">
        <v>4217</v>
      </c>
      <c r="K3787" s="860">
        <f t="shared" si="493"/>
        <v>21085000</v>
      </c>
      <c r="L3787" s="861" t="s">
        <v>160</v>
      </c>
      <c r="M3787" s="861" t="s">
        <v>857</v>
      </c>
      <c r="N3787" s="52" t="str">
        <f>IF(AND('331-CT'!$E$7=TH!H3787,OR(L3787="331",M3787="331")),"331",IF(AND(OR(L3787="131",M3787="131"),H3787='131-CT'!$E$7),"131",""))</f>
        <v/>
      </c>
      <c r="O3787" s="52" t="str">
        <f>IF(AND($B3787&gt;='111'!$N$11,$B3787&lt;='111'!$O$11,OR($L3787=$O$7,$M3787=$O$7)),"x","")</f>
        <v/>
      </c>
      <c r="P3787" s="52" t="str">
        <f>IF(AND($L3787=$O$7,$B3787&lt;'111'!$N$11),"x","")</f>
        <v/>
      </c>
      <c r="Q3787" s="52" t="str">
        <f>IF(AND($M3787=$O$7,$B3787&lt;'111'!$N$11),"x","")</f>
        <v/>
      </c>
      <c r="R3787" s="52" t="str">
        <f>IF(ISERROR(FIND('112'!$M$9,G3787,1)),"",IF((AND(FIND('112'!$M$9,G3787,1)&gt;=1,$B3787&gt;='112'!$N$8,$B3787&lt;='112'!$O$8,OR($L3787='112'!$I$6,$M3787='112'!$I$6))),"x",""))</f>
        <v/>
      </c>
      <c r="S3787" s="52" t="str">
        <f>IF(ISERROR(FIND('112'!$M$9,G3787,1)),"",IF((AND(LEFT(G3787,2)=LEFT('112'!$M$9,2),B3787&lt;'112'!$N$8,$L3787='112'!$I$6)),"x",""))</f>
        <v/>
      </c>
      <c r="T3787" s="52" t="str">
        <f>IF(ISERROR(FIND('112'!$M$9,G3787,1)),"",IF((AND(RIGHT(G3787,2)=RIGHT('112'!$M$9,2),B3787&lt;'112'!$N$8,$M3787='112'!$I$6)),"x",""))</f>
        <v/>
      </c>
      <c r="U3787" s="52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>154</v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/>
      </c>
      <c r="AA3787" s="826"/>
    </row>
    <row r="3788" spans="1:27" ht="15.75" customHeight="1">
      <c r="A3788" s="827" t="str">
        <f>IF(B3788&lt;&gt;"",IF(AND(B3788&gt;=_TM1,B3788&lt;=_TM2,OR(TH!L3788="1111",TH!M3788="1111")),TH!D3788,""),"")</f>
        <v/>
      </c>
      <c r="B3788" s="36">
        <f t="shared" si="490"/>
        <v>6</v>
      </c>
      <c r="C3788" s="856">
        <f t="shared" si="491"/>
        <v>42530</v>
      </c>
      <c r="D3788" s="856" t="s">
        <v>1664</v>
      </c>
      <c r="E3788" s="906">
        <v>42530</v>
      </c>
      <c r="F3788" s="857" t="s">
        <v>664</v>
      </c>
      <c r="G3788" s="858" t="s">
        <v>751</v>
      </c>
      <c r="H3788" s="859" t="s">
        <v>1312</v>
      </c>
      <c r="I3788" s="251">
        <v>210</v>
      </c>
      <c r="J3788" s="251">
        <v>83133</v>
      </c>
      <c r="K3788" s="860">
        <f t="shared" si="493"/>
        <v>17457930</v>
      </c>
      <c r="L3788" s="861" t="s">
        <v>160</v>
      </c>
      <c r="M3788" s="861" t="s">
        <v>857</v>
      </c>
      <c r="N3788" s="52" t="str">
        <f>IF(AND('331-CT'!$E$7=TH!H3788,OR(L3788="331",M3788="331")),"331",IF(AND(OR(L3788="131",M3788="131"),H3788='131-CT'!$E$7),"131",""))</f>
        <v/>
      </c>
      <c r="O3788" s="52" t="str">
        <f>IF(AND($B3788&gt;='111'!$N$11,$B3788&lt;='111'!$O$11,OR($L3788=$O$7,$M3788=$O$7)),"x","")</f>
        <v/>
      </c>
      <c r="P3788" s="52" t="str">
        <f>IF(AND($L3788=$O$7,$B3788&lt;'111'!$N$11),"x","")</f>
        <v/>
      </c>
      <c r="Q3788" s="52" t="str">
        <f>IF(AND($M3788=$O$7,$B3788&lt;'111'!$N$11),"x","")</f>
        <v/>
      </c>
      <c r="R3788" s="52" t="str">
        <f>IF(ISERROR(FIND('112'!$M$9,G3788,1)),"",IF((AND(FIND('112'!$M$9,G3788,1)&gt;=1,$B3788&gt;='112'!$N$8,$B3788&lt;='112'!$O$8,OR($L3788='112'!$I$6,$M3788='112'!$I$6))),"x",""))</f>
        <v/>
      </c>
      <c r="S3788" s="52" t="str">
        <f>IF(ISERROR(FIND('112'!$M$9,G3788,1)),"",IF((AND(LEFT(G3788,2)=LEFT('112'!$M$9,2),B3788&lt;'112'!$N$8,$L3788='112'!$I$6)),"x",""))</f>
        <v/>
      </c>
      <c r="T3788" s="52" t="str">
        <f>IF(ISERROR(FIND('112'!$M$9,G3788,1)),"",IF((AND(RIGHT(G3788,2)=RIGHT('112'!$M$9,2),B3788&lt;'112'!$N$8,$M3788='112'!$I$6)),"x",""))</f>
        <v/>
      </c>
      <c r="U3788" s="52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>154</v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/>
      </c>
      <c r="AA3788" s="826"/>
    </row>
    <row r="3789" spans="1:27" ht="15.75" customHeight="1">
      <c r="A3789" s="827" t="str">
        <f>IF(B3789&lt;&gt;"",IF(AND(B3789&gt;=_TM1,B3789&lt;=_TM2,OR(TH!L3789="1111",TH!M3789="1111")),TH!D3789,""),"")</f>
        <v/>
      </c>
      <c r="B3789" s="36">
        <f t="shared" si="490"/>
        <v>6</v>
      </c>
      <c r="C3789" s="856">
        <f t="shared" si="491"/>
        <v>42530</v>
      </c>
      <c r="D3789" s="856" t="s">
        <v>1664</v>
      </c>
      <c r="E3789" s="906">
        <v>42530</v>
      </c>
      <c r="F3789" s="857" t="s">
        <v>766</v>
      </c>
      <c r="G3789" s="858" t="s">
        <v>751</v>
      </c>
      <c r="H3789" s="859" t="s">
        <v>1312</v>
      </c>
      <c r="I3789" s="251">
        <v>600</v>
      </c>
      <c r="J3789" s="251">
        <v>12919</v>
      </c>
      <c r="K3789" s="860">
        <f t="shared" si="493"/>
        <v>7751400</v>
      </c>
      <c r="L3789" s="861" t="s">
        <v>160</v>
      </c>
      <c r="M3789" s="861" t="s">
        <v>857</v>
      </c>
      <c r="N3789" s="52" t="str">
        <f>IF(AND('331-CT'!$E$7=TH!H3789,OR(L3789="331",M3789="331")),"331",IF(AND(OR(L3789="131",M3789="131"),H3789='131-CT'!$E$7),"131",""))</f>
        <v/>
      </c>
      <c r="O3789" s="52" t="str">
        <f>IF(AND($B3789&gt;='111'!$N$11,$B3789&lt;='111'!$O$11,OR($L3789=$O$7,$M3789=$O$7)),"x","")</f>
        <v/>
      </c>
      <c r="P3789" s="52" t="str">
        <f>IF(AND($L3789=$O$7,$B3789&lt;'111'!$N$11),"x","")</f>
        <v/>
      </c>
      <c r="Q3789" s="52" t="str">
        <f>IF(AND($M3789=$O$7,$B3789&lt;'111'!$N$11),"x","")</f>
        <v/>
      </c>
      <c r="R3789" s="52" t="str">
        <f>IF(ISERROR(FIND('112'!$M$9,G3789,1)),"",IF((AND(FIND('112'!$M$9,G3789,1)&gt;=1,$B3789&gt;='112'!$N$8,$B3789&lt;='112'!$O$8,OR($L3789='112'!$I$6,$M3789='112'!$I$6))),"x",""))</f>
        <v/>
      </c>
      <c r="S3789" s="52" t="str">
        <f>IF(ISERROR(FIND('112'!$M$9,G3789,1)),"",IF((AND(LEFT(G3789,2)=LEFT('112'!$M$9,2),B3789&lt;'112'!$N$8,$L3789='112'!$I$6)),"x",""))</f>
        <v/>
      </c>
      <c r="T3789" s="52" t="str">
        <f>IF(ISERROR(FIND('112'!$M$9,G3789,1)),"",IF((AND(RIGHT(G3789,2)=RIGHT('112'!$M$9,2),B3789&lt;'112'!$N$8,$M3789='112'!$I$6)),"x",""))</f>
        <v/>
      </c>
      <c r="U3789" s="52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>154</v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/>
      </c>
      <c r="AA3789" s="826"/>
    </row>
    <row r="3790" spans="1:27" ht="15.75" customHeight="1">
      <c r="A3790" s="827" t="str">
        <f>IF(B3790&lt;&gt;"",IF(AND(B3790&gt;=_TM1,B3790&lt;=_TM2,OR(TH!L3790="1111",TH!M3790="1111")),TH!D3790,""),"")</f>
        <v/>
      </c>
      <c r="B3790" s="36">
        <f t="shared" si="490"/>
        <v>6</v>
      </c>
      <c r="C3790" s="856">
        <f t="shared" si="491"/>
        <v>42530</v>
      </c>
      <c r="D3790" s="856" t="s">
        <v>1664</v>
      </c>
      <c r="E3790" s="906">
        <v>42530</v>
      </c>
      <c r="F3790" s="857" t="s">
        <v>772</v>
      </c>
      <c r="G3790" s="858" t="s">
        <v>751</v>
      </c>
      <c r="H3790" s="859" t="s">
        <v>1312</v>
      </c>
      <c r="I3790" s="251">
        <v>150</v>
      </c>
      <c r="J3790" s="251">
        <v>6513</v>
      </c>
      <c r="K3790" s="860">
        <f t="shared" si="493"/>
        <v>976950</v>
      </c>
      <c r="L3790" s="861" t="s">
        <v>160</v>
      </c>
      <c r="M3790" s="861" t="s">
        <v>857</v>
      </c>
      <c r="N3790" s="52" t="str">
        <f>IF(AND('331-CT'!$E$7=TH!H3790,OR(L3790="331",M3790="331")),"331",IF(AND(OR(L3790="131",M3790="131"),H3790='131-CT'!$E$7),"131",""))</f>
        <v/>
      </c>
      <c r="O3790" s="52" t="str">
        <f>IF(AND($B3790&gt;='111'!$N$11,$B3790&lt;='111'!$O$11,OR($L3790=$O$7,$M3790=$O$7)),"x","")</f>
        <v/>
      </c>
      <c r="P3790" s="52" t="str">
        <f>IF(AND($L3790=$O$7,$B3790&lt;'111'!$N$11),"x","")</f>
        <v/>
      </c>
      <c r="Q3790" s="52" t="str">
        <f>IF(AND($M3790=$O$7,$B3790&lt;'111'!$N$11),"x","")</f>
        <v/>
      </c>
      <c r="R3790" s="52" t="str">
        <f>IF(ISERROR(FIND('112'!$M$9,G3790,1)),"",IF((AND(FIND('112'!$M$9,G3790,1)&gt;=1,$B3790&gt;='112'!$N$8,$B3790&lt;='112'!$O$8,OR($L3790='112'!$I$6,$M3790='112'!$I$6))),"x",""))</f>
        <v/>
      </c>
      <c r="S3790" s="52" t="str">
        <f>IF(ISERROR(FIND('112'!$M$9,G3790,1)),"",IF((AND(LEFT(G3790,2)=LEFT('112'!$M$9,2),B3790&lt;'112'!$N$8,$L3790='112'!$I$6)),"x",""))</f>
        <v/>
      </c>
      <c r="T3790" s="52" t="str">
        <f>IF(ISERROR(FIND('112'!$M$9,G3790,1)),"",IF((AND(RIGHT(G3790,2)=RIGHT('112'!$M$9,2),B3790&lt;'112'!$N$8,$M3790='112'!$I$6)),"x",""))</f>
        <v/>
      </c>
      <c r="U3790" s="52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>154</v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/>
      </c>
      <c r="AA3790" s="826"/>
    </row>
    <row r="3791" spans="1:27" ht="15.75" customHeight="1">
      <c r="A3791" s="827" t="str">
        <f>IF(B3791&lt;&gt;"",IF(AND(B3791&gt;=_TM1,B3791&lt;=_TM2,OR(TH!L3791="1111",TH!M3791="1111")),TH!D3791,""),"")</f>
        <v/>
      </c>
      <c r="B3791" s="36">
        <f t="shared" si="490"/>
        <v>6</v>
      </c>
      <c r="C3791" s="856">
        <f t="shared" si="491"/>
        <v>42533</v>
      </c>
      <c r="D3791" s="856" t="s">
        <v>1664</v>
      </c>
      <c r="E3791" s="906">
        <v>42533</v>
      </c>
      <c r="F3791" s="868" t="s">
        <v>1178</v>
      </c>
      <c r="G3791" s="831" t="s">
        <v>775</v>
      </c>
      <c r="H3791" s="859" t="s">
        <v>1312</v>
      </c>
      <c r="I3791" s="251">
        <v>1250</v>
      </c>
      <c r="J3791" s="251">
        <v>33600</v>
      </c>
      <c r="K3791" s="860">
        <f t="shared" si="493"/>
        <v>42000000</v>
      </c>
      <c r="L3791" s="861" t="s">
        <v>160</v>
      </c>
      <c r="M3791" s="861" t="s">
        <v>857</v>
      </c>
      <c r="N3791" s="52" t="str">
        <f>IF(AND('331-CT'!$E$7=TH!H3791,OR(L3791="331",M3791="331")),"331",IF(AND(OR(L3791="131",M3791="131"),H3791='131-CT'!$E$7),"131",""))</f>
        <v/>
      </c>
      <c r="O3791" s="52" t="str">
        <f>IF(AND($B3791&gt;='111'!$N$11,$B3791&lt;='111'!$O$11,OR($L3791=$O$7,$M3791=$O$7)),"x","")</f>
        <v/>
      </c>
      <c r="P3791" s="52" t="str">
        <f>IF(AND($L3791=$O$7,$B3791&lt;'111'!$N$11),"x","")</f>
        <v/>
      </c>
      <c r="Q3791" s="52" t="str">
        <f>IF(AND($M3791=$O$7,$B3791&lt;'111'!$N$11),"x","")</f>
        <v/>
      </c>
      <c r="R3791" s="52" t="str">
        <f>IF(ISERROR(FIND('112'!$M$9,G3791,1)),"",IF((AND(FIND('112'!$M$9,G3791,1)&gt;=1,$B3791&gt;='112'!$N$8,$B3791&lt;='112'!$O$8,OR($L3791='112'!$I$6,$M3791='112'!$I$6))),"x",""))</f>
        <v/>
      </c>
      <c r="S3791" s="52" t="str">
        <f>IF(ISERROR(FIND('112'!$M$9,G3791,1)),"",IF((AND(LEFT(G3791,2)=LEFT('112'!$M$9,2),B3791&lt;'112'!$N$8,$L3791='112'!$I$6)),"x",""))</f>
        <v/>
      </c>
      <c r="T3791" s="52" t="str">
        <f>IF(ISERROR(FIND('112'!$M$9,G3791,1)),"",IF((AND(RIGHT(G3791,2)=RIGHT('112'!$M$9,2),B3791&lt;'112'!$N$8,$M3791='112'!$I$6)),"x",""))</f>
        <v/>
      </c>
      <c r="U3791" s="52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>154</v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/>
      </c>
      <c r="AA3791" s="826"/>
    </row>
    <row r="3792" spans="1:27" ht="15.75" customHeight="1">
      <c r="A3792" s="827" t="str">
        <f>IF(B3792&lt;&gt;"",IF(AND(B3792&gt;=_TM1,B3792&lt;=_TM2,OR(TH!L3792="1111",TH!M3792="1111")),TH!D3792,""),"")</f>
        <v/>
      </c>
      <c r="B3792" s="36">
        <f t="shared" si="490"/>
        <v>6</v>
      </c>
      <c r="C3792" s="856">
        <f t="shared" si="491"/>
        <v>42533</v>
      </c>
      <c r="D3792" s="856" t="s">
        <v>1664</v>
      </c>
      <c r="E3792" s="906">
        <v>42533</v>
      </c>
      <c r="F3792" s="49" t="s">
        <v>1179</v>
      </c>
      <c r="G3792" s="831" t="s">
        <v>775</v>
      </c>
      <c r="H3792" s="859" t="s">
        <v>1312</v>
      </c>
      <c r="I3792" s="251">
        <v>1300</v>
      </c>
      <c r="J3792" s="251">
        <v>31200</v>
      </c>
      <c r="K3792" s="860">
        <f t="shared" si="493"/>
        <v>40560000</v>
      </c>
      <c r="L3792" s="861" t="s">
        <v>160</v>
      </c>
      <c r="M3792" s="861" t="s">
        <v>857</v>
      </c>
      <c r="N3792" s="52" t="str">
        <f>IF(AND('331-CT'!$E$7=TH!H3792,OR(L3792="331",M3792="331")),"331",IF(AND(OR(L3792="131",M3792="131"),H3792='131-CT'!$E$7),"131",""))</f>
        <v/>
      </c>
      <c r="O3792" s="52" t="str">
        <f>IF(AND($B3792&gt;='111'!$N$11,$B3792&lt;='111'!$O$11,OR($L3792=$O$7,$M3792=$O$7)),"x","")</f>
        <v/>
      </c>
      <c r="P3792" s="52" t="str">
        <f>IF(AND($L3792=$O$7,$B3792&lt;'111'!$N$11),"x","")</f>
        <v/>
      </c>
      <c r="Q3792" s="52" t="str">
        <f>IF(AND($M3792=$O$7,$B3792&lt;'111'!$N$11),"x","")</f>
        <v/>
      </c>
      <c r="R3792" s="52" t="str">
        <f>IF(ISERROR(FIND('112'!$M$9,G3792,1)),"",IF((AND(FIND('112'!$M$9,G3792,1)&gt;=1,$B3792&gt;='112'!$N$8,$B3792&lt;='112'!$O$8,OR($L3792='112'!$I$6,$M3792='112'!$I$6))),"x",""))</f>
        <v/>
      </c>
      <c r="S3792" s="52" t="str">
        <f>IF(ISERROR(FIND('112'!$M$9,G3792,1)),"",IF((AND(LEFT(G3792,2)=LEFT('112'!$M$9,2),B3792&lt;'112'!$N$8,$L3792='112'!$I$6)),"x",""))</f>
        <v/>
      </c>
      <c r="T3792" s="52" t="str">
        <f>IF(ISERROR(FIND('112'!$M$9,G3792,1)),"",IF((AND(RIGHT(G3792,2)=RIGHT('112'!$M$9,2),B3792&lt;'112'!$N$8,$M3792='112'!$I$6)),"x",""))</f>
        <v/>
      </c>
      <c r="U3792" s="52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>154</v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/>
      </c>
      <c r="AA3792" s="826"/>
    </row>
    <row r="3793" spans="1:27" ht="15.75" customHeight="1">
      <c r="A3793" s="827" t="str">
        <f>IF(B3793&lt;&gt;"",IF(AND(B3793&gt;=_TM1,B3793&lt;=_TM2,OR(TH!L3793="1111",TH!M3793="1111")),TH!D3793,""),"")</f>
        <v/>
      </c>
      <c r="B3793" s="36">
        <f t="shared" si="490"/>
        <v>6</v>
      </c>
      <c r="C3793" s="856">
        <f t="shared" si="491"/>
        <v>42534</v>
      </c>
      <c r="D3793" s="856" t="s">
        <v>1664</v>
      </c>
      <c r="E3793" s="906">
        <v>42534</v>
      </c>
      <c r="F3793" s="49" t="s">
        <v>659</v>
      </c>
      <c r="G3793" s="831" t="s">
        <v>778</v>
      </c>
      <c r="H3793" s="859" t="s">
        <v>1312</v>
      </c>
      <c r="I3793" s="251">
        <v>1000</v>
      </c>
      <c r="J3793" s="251">
        <v>8771</v>
      </c>
      <c r="K3793" s="860">
        <f t="shared" si="493"/>
        <v>8771000</v>
      </c>
      <c r="L3793" s="861" t="s">
        <v>160</v>
      </c>
      <c r="M3793" s="861" t="s">
        <v>857</v>
      </c>
      <c r="N3793" s="52" t="str">
        <f>IF(AND('331-CT'!$E$7=TH!H3793,OR(L3793="331",M3793="331")),"331",IF(AND(OR(L3793="131",M3793="131"),H3793='131-CT'!$E$7),"131",""))</f>
        <v/>
      </c>
      <c r="O3793" s="52" t="str">
        <f>IF(AND($B3793&gt;='111'!$N$11,$B3793&lt;='111'!$O$11,OR($L3793=$O$7,$M3793=$O$7)),"x","")</f>
        <v/>
      </c>
      <c r="P3793" s="52" t="str">
        <f>IF(AND($L3793=$O$7,$B3793&lt;'111'!$N$11),"x","")</f>
        <v/>
      </c>
      <c r="Q3793" s="52" t="str">
        <f>IF(AND($M3793=$O$7,$B3793&lt;'111'!$N$11),"x","")</f>
        <v/>
      </c>
      <c r="R3793" s="52" t="str">
        <f>IF(ISERROR(FIND('112'!$M$9,G3793,1)),"",IF((AND(FIND('112'!$M$9,G3793,1)&gt;=1,$B3793&gt;='112'!$N$8,$B3793&lt;='112'!$O$8,OR($L3793='112'!$I$6,$M3793='112'!$I$6))),"x",""))</f>
        <v/>
      </c>
      <c r="S3793" s="52" t="str">
        <f>IF(ISERROR(FIND('112'!$M$9,G3793,1)),"",IF((AND(LEFT(G3793,2)=LEFT('112'!$M$9,2),B3793&lt;'112'!$N$8,$L3793='112'!$I$6)),"x",""))</f>
        <v/>
      </c>
      <c r="T3793" s="52" t="str">
        <f>IF(ISERROR(FIND('112'!$M$9,G3793,1)),"",IF((AND(RIGHT(G3793,2)=RIGHT('112'!$M$9,2),B3793&lt;'112'!$N$8,$M3793='112'!$I$6)),"x",""))</f>
        <v/>
      </c>
      <c r="U3793" s="52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>154</v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/>
      </c>
      <c r="AA3793" s="826"/>
    </row>
    <row r="3794" spans="1:27" ht="15.75" customHeight="1">
      <c r="A3794" s="827" t="str">
        <f>IF(B3794&lt;&gt;"",IF(AND(B3794&gt;=_TM1,B3794&lt;=_TM2,OR(TH!L3794="1111",TH!M3794="1111")),TH!D3794,""),"")</f>
        <v/>
      </c>
      <c r="B3794" s="36">
        <f t="shared" si="490"/>
        <v>6</v>
      </c>
      <c r="C3794" s="856">
        <f t="shared" si="491"/>
        <v>42542</v>
      </c>
      <c r="D3794" s="856" t="s">
        <v>1664</v>
      </c>
      <c r="E3794" s="906">
        <v>42542</v>
      </c>
      <c r="F3794" s="908" t="s">
        <v>921</v>
      </c>
      <c r="G3794" s="831" t="s">
        <v>784</v>
      </c>
      <c r="H3794" s="859" t="s">
        <v>1312</v>
      </c>
      <c r="I3794" s="251">
        <v>2000</v>
      </c>
      <c r="J3794" s="251">
        <v>6479</v>
      </c>
      <c r="K3794" s="860">
        <f t="shared" ref="K3794:K3819" si="494">ROUND(I3794*J3794,0)</f>
        <v>12958000</v>
      </c>
      <c r="L3794" s="861" t="s">
        <v>160</v>
      </c>
      <c r="M3794" s="861" t="s">
        <v>857</v>
      </c>
      <c r="N3794" s="52" t="str">
        <f>IF(AND('331-CT'!$E$7=TH!H3794,OR(L3794="331",M3794="331")),"331",IF(AND(OR(L3794="131",M3794="131"),H3794='131-CT'!$E$7),"131",""))</f>
        <v/>
      </c>
      <c r="O3794" s="52" t="str">
        <f>IF(AND($B3794&gt;='111'!$N$11,$B3794&lt;='111'!$O$11,OR($L3794=$O$7,$M3794=$O$7)),"x","")</f>
        <v/>
      </c>
      <c r="P3794" s="52" t="str">
        <f>IF(AND($L3794=$O$7,$B3794&lt;'111'!$N$11),"x","")</f>
        <v/>
      </c>
      <c r="Q3794" s="52" t="str">
        <f>IF(AND($M3794=$O$7,$B3794&lt;'111'!$N$11),"x","")</f>
        <v/>
      </c>
      <c r="R3794" s="52" t="str">
        <f>IF(ISERROR(FIND('112'!$M$9,G3794,1)),"",IF((AND(FIND('112'!$M$9,G3794,1)&gt;=1,$B3794&gt;='112'!$N$8,$B3794&lt;='112'!$O$8,OR($L3794='112'!$I$6,$M3794='112'!$I$6))),"x",""))</f>
        <v/>
      </c>
      <c r="S3794" s="52" t="str">
        <f>IF(ISERROR(FIND('112'!$M$9,G3794,1)),"",IF((AND(LEFT(G3794,2)=LEFT('112'!$M$9,2),B3794&lt;'112'!$N$8,$L3794='112'!$I$6)),"x",""))</f>
        <v/>
      </c>
      <c r="T3794" s="52" t="str">
        <f>IF(ISERROR(FIND('112'!$M$9,G3794,1)),"",IF((AND(RIGHT(G3794,2)=RIGHT('112'!$M$9,2),B3794&lt;'112'!$N$8,$M3794='112'!$I$6)),"x",""))</f>
        <v/>
      </c>
      <c r="U3794" s="52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>154</v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/>
      </c>
      <c r="AA3794" s="826"/>
    </row>
    <row r="3795" spans="1:27" ht="15.75" customHeight="1">
      <c r="A3795" s="827" t="str">
        <f>IF(B3795&lt;&gt;"",IF(AND(B3795&gt;=_TM1,B3795&lt;=_TM2,OR(TH!L3795="1111",TH!M3795="1111")),TH!D3795,""),"")</f>
        <v/>
      </c>
      <c r="B3795" s="36">
        <f t="shared" si="490"/>
        <v>6</v>
      </c>
      <c r="C3795" s="856">
        <f t="shared" si="491"/>
        <v>42542</v>
      </c>
      <c r="D3795" s="856" t="s">
        <v>1664</v>
      </c>
      <c r="E3795" s="906">
        <v>42542</v>
      </c>
      <c r="F3795" s="49" t="s">
        <v>637</v>
      </c>
      <c r="G3795" s="831" t="s">
        <v>784</v>
      </c>
      <c r="H3795" s="859" t="s">
        <v>1312</v>
      </c>
      <c r="I3795" s="251">
        <v>2000</v>
      </c>
      <c r="J3795" s="251">
        <v>5676</v>
      </c>
      <c r="K3795" s="860">
        <f t="shared" si="494"/>
        <v>11352000</v>
      </c>
      <c r="L3795" s="861" t="s">
        <v>160</v>
      </c>
      <c r="M3795" s="861" t="s">
        <v>857</v>
      </c>
      <c r="N3795" s="52" t="str">
        <f>IF(AND('331-CT'!$E$7=TH!H3795,OR(L3795="331",M3795="331")),"331",IF(AND(OR(L3795="131",M3795="131"),H3795='131-CT'!$E$7),"131",""))</f>
        <v/>
      </c>
      <c r="O3795" s="52" t="str">
        <f>IF(AND($B3795&gt;='111'!$N$11,$B3795&lt;='111'!$O$11,OR($L3795=$O$7,$M3795=$O$7)),"x","")</f>
        <v/>
      </c>
      <c r="P3795" s="52" t="str">
        <f>IF(AND($L3795=$O$7,$B3795&lt;'111'!$N$11),"x","")</f>
        <v/>
      </c>
      <c r="Q3795" s="52" t="str">
        <f>IF(AND($M3795=$O$7,$B3795&lt;'111'!$N$11),"x","")</f>
        <v/>
      </c>
      <c r="R3795" s="52" t="str">
        <f>IF(ISERROR(FIND('112'!$M$9,G3795,1)),"",IF((AND(FIND('112'!$M$9,G3795,1)&gt;=1,$B3795&gt;='112'!$N$8,$B3795&lt;='112'!$O$8,OR($L3795='112'!$I$6,$M3795='112'!$I$6))),"x",""))</f>
        <v/>
      </c>
      <c r="S3795" s="52" t="str">
        <f>IF(ISERROR(FIND('112'!$M$9,G3795,1)),"",IF((AND(LEFT(G3795,2)=LEFT('112'!$M$9,2),B3795&lt;'112'!$N$8,$L3795='112'!$I$6)),"x",""))</f>
        <v/>
      </c>
      <c r="T3795" s="52" t="str">
        <f>IF(ISERROR(FIND('112'!$M$9,G3795,1)),"",IF((AND(RIGHT(G3795,2)=RIGHT('112'!$M$9,2),B3795&lt;'112'!$N$8,$M3795='112'!$I$6)),"x",""))</f>
        <v/>
      </c>
      <c r="U3795" s="52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>154</v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/>
      </c>
      <c r="AA3795" s="826"/>
    </row>
    <row r="3796" spans="1:27" ht="15.75" customHeight="1">
      <c r="A3796" s="827" t="str">
        <f>IF(B3796&lt;&gt;"",IF(AND(B3796&gt;=_TM1,B3796&lt;=_TM2,OR(TH!L3796="1111",TH!M3796="1111")),TH!D3796,""),"")</f>
        <v/>
      </c>
      <c r="B3796" s="36">
        <f t="shared" si="490"/>
        <v>6</v>
      </c>
      <c r="C3796" s="856">
        <f t="shared" si="491"/>
        <v>42546</v>
      </c>
      <c r="D3796" s="856" t="s">
        <v>1664</v>
      </c>
      <c r="E3796" s="906">
        <v>42546</v>
      </c>
      <c r="F3796" s="49" t="s">
        <v>1302</v>
      </c>
      <c r="G3796" s="831" t="s">
        <v>786</v>
      </c>
      <c r="H3796" s="859" t="s">
        <v>1312</v>
      </c>
      <c r="I3796" s="251">
        <v>57</v>
      </c>
      <c r="J3796" s="251">
        <v>20592</v>
      </c>
      <c r="K3796" s="860">
        <f t="shared" si="494"/>
        <v>1173744</v>
      </c>
      <c r="L3796" s="861" t="s">
        <v>160</v>
      </c>
      <c r="M3796" s="861" t="s">
        <v>857</v>
      </c>
      <c r="N3796" s="52" t="str">
        <f>IF(AND('331-CT'!$E$7=TH!H3796,OR(L3796="331",M3796="331")),"331",IF(AND(OR(L3796="131",M3796="131"),H3796='131-CT'!$E$7),"131",""))</f>
        <v/>
      </c>
      <c r="O3796" s="52" t="str">
        <f>IF(AND($B3796&gt;='111'!$N$11,$B3796&lt;='111'!$O$11,OR($L3796=$O$7,$M3796=$O$7)),"x","")</f>
        <v/>
      </c>
      <c r="P3796" s="52" t="str">
        <f>IF(AND($L3796=$O$7,$B3796&lt;'111'!$N$11),"x","")</f>
        <v/>
      </c>
      <c r="Q3796" s="52" t="str">
        <f>IF(AND($M3796=$O$7,$B3796&lt;'111'!$N$11),"x","")</f>
        <v/>
      </c>
      <c r="R3796" s="52" t="str">
        <f>IF(ISERROR(FIND('112'!$M$9,G3796,1)),"",IF((AND(FIND('112'!$M$9,G3796,1)&gt;=1,$B3796&gt;='112'!$N$8,$B3796&lt;='112'!$O$8,OR($L3796='112'!$I$6,$M3796='112'!$I$6))),"x",""))</f>
        <v/>
      </c>
      <c r="S3796" s="52" t="str">
        <f>IF(ISERROR(FIND('112'!$M$9,G3796,1)),"",IF((AND(LEFT(G3796,2)=LEFT('112'!$M$9,2),B3796&lt;'112'!$N$8,$L3796='112'!$I$6)),"x",""))</f>
        <v/>
      </c>
      <c r="T3796" s="52" t="str">
        <f>IF(ISERROR(FIND('112'!$M$9,G3796,1)),"",IF((AND(RIGHT(G3796,2)=RIGHT('112'!$M$9,2),B3796&lt;'112'!$N$8,$M3796='112'!$I$6)),"x",""))</f>
        <v/>
      </c>
      <c r="U3796" s="52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>154</v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/>
      </c>
      <c r="AA3796" s="826"/>
    </row>
    <row r="3797" spans="1:27" ht="15.75" customHeight="1">
      <c r="A3797" s="827" t="str">
        <f>IF(B3797&lt;&gt;"",IF(AND(B3797&gt;=_TM1,B3797&lt;=_TM2,OR(TH!L3797="1111",TH!M3797="1111")),TH!D3797,""),"")</f>
        <v/>
      </c>
      <c r="B3797" s="36">
        <f t="shared" si="490"/>
        <v>6</v>
      </c>
      <c r="C3797" s="856">
        <f t="shared" si="491"/>
        <v>42546</v>
      </c>
      <c r="D3797" s="856" t="s">
        <v>1664</v>
      </c>
      <c r="E3797" s="906">
        <v>42546</v>
      </c>
      <c r="F3797" s="49" t="s">
        <v>659</v>
      </c>
      <c r="G3797" s="831" t="s">
        <v>788</v>
      </c>
      <c r="H3797" s="859" t="s">
        <v>1312</v>
      </c>
      <c r="I3797" s="251">
        <v>984</v>
      </c>
      <c r="J3797" s="251">
        <v>8771</v>
      </c>
      <c r="K3797" s="860">
        <f t="shared" si="494"/>
        <v>8630664</v>
      </c>
      <c r="L3797" s="861" t="s">
        <v>160</v>
      </c>
      <c r="M3797" s="861" t="s">
        <v>857</v>
      </c>
      <c r="N3797" s="52" t="str">
        <f>IF(AND('331-CT'!$E$7=TH!H3797,OR(L3797="331",M3797="331")),"331",IF(AND(OR(L3797="131",M3797="131"),H3797='131-CT'!$E$7),"131",""))</f>
        <v/>
      </c>
      <c r="O3797" s="52" t="str">
        <f>IF(AND($B3797&gt;='111'!$N$11,$B3797&lt;='111'!$O$11,OR($L3797=$O$7,$M3797=$O$7)),"x","")</f>
        <v/>
      </c>
      <c r="P3797" s="52" t="str">
        <f>IF(AND($L3797=$O$7,$B3797&lt;'111'!$N$11),"x","")</f>
        <v/>
      </c>
      <c r="Q3797" s="52" t="str">
        <f>IF(AND($M3797=$O$7,$B3797&lt;'111'!$N$11),"x","")</f>
        <v/>
      </c>
      <c r="R3797" s="52" t="str">
        <f>IF(ISERROR(FIND('112'!$M$9,G3797,1)),"",IF((AND(FIND('112'!$M$9,G3797,1)&gt;=1,$B3797&gt;='112'!$N$8,$B3797&lt;='112'!$O$8,OR($L3797='112'!$I$6,$M3797='112'!$I$6))),"x",""))</f>
        <v/>
      </c>
      <c r="S3797" s="52" t="str">
        <f>IF(ISERROR(FIND('112'!$M$9,G3797,1)),"",IF((AND(LEFT(G3797,2)=LEFT('112'!$M$9,2),B3797&lt;'112'!$N$8,$L3797='112'!$I$6)),"x",""))</f>
        <v/>
      </c>
      <c r="T3797" s="52" t="str">
        <f>IF(ISERROR(FIND('112'!$M$9,G3797,1)),"",IF((AND(RIGHT(G3797,2)=RIGHT('112'!$M$9,2),B3797&lt;'112'!$N$8,$M3797='112'!$I$6)),"x",""))</f>
        <v/>
      </c>
      <c r="U3797" s="52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>154</v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/>
      </c>
      <c r="AA3797" s="826"/>
    </row>
    <row r="3798" spans="1:27" ht="15.75" customHeight="1">
      <c r="A3798" s="827" t="str">
        <f>IF(B3798&lt;&gt;"",IF(AND(B3798&gt;=_TM1,B3798&lt;=_TM2,OR(TH!L3798="1111",TH!M3798="1111")),TH!D3798,""),"")</f>
        <v/>
      </c>
      <c r="B3798" s="36">
        <f t="shared" si="490"/>
        <v>6</v>
      </c>
      <c r="C3798" s="856">
        <f t="shared" si="491"/>
        <v>42549</v>
      </c>
      <c r="D3798" s="856" t="s">
        <v>1664</v>
      </c>
      <c r="E3798" s="906">
        <v>42549</v>
      </c>
      <c r="F3798" s="866" t="s">
        <v>1178</v>
      </c>
      <c r="G3798" s="831" t="s">
        <v>803</v>
      </c>
      <c r="H3798" s="859" t="s">
        <v>1312</v>
      </c>
      <c r="I3798" s="251">
        <v>1275</v>
      </c>
      <c r="J3798" s="251">
        <v>29760</v>
      </c>
      <c r="K3798" s="860">
        <f t="shared" si="494"/>
        <v>37944000</v>
      </c>
      <c r="L3798" s="861" t="s">
        <v>160</v>
      </c>
      <c r="M3798" s="861" t="s">
        <v>857</v>
      </c>
      <c r="N3798" s="52" t="str">
        <f>IF(AND('331-CT'!$E$7=TH!H3798,OR(L3798="331",M3798="331")),"331",IF(AND(OR(L3798="131",M3798="131"),H3798='131-CT'!$E$7),"131",""))</f>
        <v/>
      </c>
      <c r="O3798" s="52" t="str">
        <f>IF(AND($B3798&gt;='111'!$N$11,$B3798&lt;='111'!$O$11,OR($L3798=$O$7,$M3798=$O$7)),"x","")</f>
        <v/>
      </c>
      <c r="P3798" s="52" t="str">
        <f>IF(AND($L3798=$O$7,$B3798&lt;'111'!$N$11),"x","")</f>
        <v/>
      </c>
      <c r="Q3798" s="52" t="str">
        <f>IF(AND($M3798=$O$7,$B3798&lt;'111'!$N$11),"x","")</f>
        <v/>
      </c>
      <c r="R3798" s="52" t="str">
        <f>IF(ISERROR(FIND('112'!$M$9,G3798,1)),"",IF((AND(FIND('112'!$M$9,G3798,1)&gt;=1,$B3798&gt;='112'!$N$8,$B3798&lt;='112'!$O$8,OR($L3798='112'!$I$6,$M3798='112'!$I$6))),"x",""))</f>
        <v/>
      </c>
      <c r="S3798" s="52" t="str">
        <f>IF(ISERROR(FIND('112'!$M$9,G3798,1)),"",IF((AND(LEFT(G3798,2)=LEFT('112'!$M$9,2),B3798&lt;'112'!$N$8,$L3798='112'!$I$6)),"x",""))</f>
        <v/>
      </c>
      <c r="T3798" s="52" t="str">
        <f>IF(ISERROR(FIND('112'!$M$9,G3798,1)),"",IF((AND(RIGHT(G3798,2)=RIGHT('112'!$M$9,2),B3798&lt;'112'!$N$8,$M3798='112'!$I$6)),"x",""))</f>
        <v/>
      </c>
      <c r="U3798" s="52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>154</v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/>
      </c>
      <c r="AA3798" s="826"/>
    </row>
    <row r="3799" spans="1:27" ht="15.75" customHeight="1">
      <c r="A3799" s="827" t="str">
        <f>IF(B3799&lt;&gt;"",IF(AND(B3799&gt;=_TM1,B3799&lt;=_TM2,OR(TH!L3799="1111",TH!M3799="1111")),TH!D3799,""),"")</f>
        <v/>
      </c>
      <c r="B3799" s="36">
        <f t="shared" si="490"/>
        <v>6</v>
      </c>
      <c r="C3799" s="856">
        <f t="shared" si="491"/>
        <v>42549</v>
      </c>
      <c r="D3799" s="856" t="s">
        <v>1664</v>
      </c>
      <c r="E3799" s="906">
        <v>42549</v>
      </c>
      <c r="F3799" s="868" t="s">
        <v>1302</v>
      </c>
      <c r="G3799" s="831" t="s">
        <v>803</v>
      </c>
      <c r="H3799" s="859" t="s">
        <v>1312</v>
      </c>
      <c r="I3799" s="867">
        <v>997</v>
      </c>
      <c r="J3799" s="251">
        <v>31488</v>
      </c>
      <c r="K3799" s="860">
        <f t="shared" si="494"/>
        <v>31393536</v>
      </c>
      <c r="L3799" s="861" t="s">
        <v>160</v>
      </c>
      <c r="M3799" s="861" t="s">
        <v>857</v>
      </c>
      <c r="N3799" s="52" t="str">
        <f>IF(AND('331-CT'!$E$7=TH!H3799,OR(L3799="331",M3799="331")),"331",IF(AND(OR(L3799="131",M3799="131"),H3799='131-CT'!$E$7),"131",""))</f>
        <v/>
      </c>
      <c r="O3799" s="52" t="str">
        <f>IF(AND($B3799&gt;='111'!$N$11,$B3799&lt;='111'!$O$11,OR($L3799=$O$7,$M3799=$O$7)),"x","")</f>
        <v/>
      </c>
      <c r="P3799" s="52" t="str">
        <f>IF(AND($L3799=$O$7,$B3799&lt;'111'!$N$11),"x","")</f>
        <v/>
      </c>
      <c r="Q3799" s="52" t="str">
        <f>IF(AND($M3799=$O$7,$B3799&lt;'111'!$N$11),"x","")</f>
        <v/>
      </c>
      <c r="R3799" s="52" t="str">
        <f>IF(ISERROR(FIND('112'!$M$9,G3799,1)),"",IF((AND(FIND('112'!$M$9,G3799,1)&gt;=1,$B3799&gt;='112'!$N$8,$B3799&lt;='112'!$O$8,OR($L3799='112'!$I$6,$M3799='112'!$I$6))),"x",""))</f>
        <v/>
      </c>
      <c r="S3799" s="52" t="str">
        <f>IF(ISERROR(FIND('112'!$M$9,G3799,1)),"",IF((AND(LEFT(G3799,2)=LEFT('112'!$M$9,2),B3799&lt;'112'!$N$8,$L3799='112'!$I$6)),"x",""))</f>
        <v/>
      </c>
      <c r="T3799" s="52" t="str">
        <f>IF(ISERROR(FIND('112'!$M$9,G3799,1)),"",IF((AND(RIGHT(G3799,2)=RIGHT('112'!$M$9,2),B3799&lt;'112'!$N$8,$M3799='112'!$I$6)),"x",""))</f>
        <v/>
      </c>
      <c r="U3799" s="52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>154</v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/>
      </c>
      <c r="AA3799" s="826"/>
    </row>
    <row r="3800" spans="1:27" ht="15.75" customHeight="1">
      <c r="A3800" s="827" t="str">
        <f>IF(B3800&lt;&gt;"",IF(AND(B3800&gt;=_TM1,B3800&lt;=_TM2,OR(TH!L3800="1111",TH!M3800="1111")),TH!D3800,""),"")</f>
        <v/>
      </c>
      <c r="B3800" s="36">
        <f t="shared" si="490"/>
        <v>6</v>
      </c>
      <c r="C3800" s="856">
        <f t="shared" si="491"/>
        <v>42549</v>
      </c>
      <c r="D3800" s="856" t="s">
        <v>1664</v>
      </c>
      <c r="E3800" s="856">
        <v>42549</v>
      </c>
      <c r="F3800" s="857" t="s">
        <v>477</v>
      </c>
      <c r="G3800" s="858" t="s">
        <v>804</v>
      </c>
      <c r="H3800" s="859" t="s">
        <v>1312</v>
      </c>
      <c r="I3800" s="251">
        <v>180</v>
      </c>
      <c r="J3800" s="251">
        <v>64140</v>
      </c>
      <c r="K3800" s="860">
        <f t="shared" si="494"/>
        <v>11545200</v>
      </c>
      <c r="L3800" s="861" t="s">
        <v>160</v>
      </c>
      <c r="M3800" s="861" t="s">
        <v>857</v>
      </c>
      <c r="N3800" s="52" t="str">
        <f>IF(AND('331-CT'!$E$7=TH!H3800,OR(L3800="331",M3800="331")),"331",IF(AND(OR(L3800="131",M3800="131"),H3800='131-CT'!$E$7),"131",""))</f>
        <v/>
      </c>
      <c r="O3800" s="52" t="str">
        <f>IF(AND($B3800&gt;='111'!$N$11,$B3800&lt;='111'!$O$11,OR($L3800=$O$7,$M3800=$O$7)),"x","")</f>
        <v/>
      </c>
      <c r="P3800" s="52" t="str">
        <f>IF(AND($L3800=$O$7,$B3800&lt;'111'!$N$11),"x","")</f>
        <v/>
      </c>
      <c r="Q3800" s="52" t="str">
        <f>IF(AND($M3800=$O$7,$B3800&lt;'111'!$N$11),"x","")</f>
        <v/>
      </c>
      <c r="R3800" s="52" t="str">
        <f>IF(ISERROR(FIND('112'!$M$9,G3800,1)),"",IF((AND(FIND('112'!$M$9,G3800,1)&gt;=1,$B3800&gt;='112'!$N$8,$B3800&lt;='112'!$O$8,OR($L3800='112'!$I$6,$M3800='112'!$I$6))),"x",""))</f>
        <v/>
      </c>
      <c r="S3800" s="52" t="str">
        <f>IF(ISERROR(FIND('112'!$M$9,G3800,1)),"",IF((AND(LEFT(G3800,2)=LEFT('112'!$M$9,2),B3800&lt;'112'!$N$8,$L3800='112'!$I$6)),"x",""))</f>
        <v/>
      </c>
      <c r="T3800" s="52" t="str">
        <f>IF(ISERROR(FIND('112'!$M$9,G3800,1)),"",IF((AND(RIGHT(G3800,2)=RIGHT('112'!$M$9,2),B3800&lt;'112'!$N$8,$M3800='112'!$I$6)),"x",""))</f>
        <v/>
      </c>
      <c r="U3800" s="52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>154</v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/>
      </c>
      <c r="AA3800" s="826"/>
    </row>
    <row r="3801" spans="1:27" s="887" customFormat="1" ht="15.75" customHeight="1">
      <c r="A3801" s="827" t="str">
        <f>IF(B3801&lt;&gt;"",IF(AND(B3801&gt;=_TM1,B3801&lt;=_TM2,OR(TH!L3801="1111",TH!M3801="1111")),TH!D3801,""),"")</f>
        <v/>
      </c>
      <c r="B3801" s="876">
        <f t="shared" si="490"/>
        <v>4</v>
      </c>
      <c r="C3801" s="877">
        <f t="shared" ref="C3801:C3819" si="495">E3801</f>
        <v>42470</v>
      </c>
      <c r="D3801" s="856" t="s">
        <v>1664</v>
      </c>
      <c r="E3801" s="877">
        <v>42470</v>
      </c>
      <c r="F3801" s="879" t="s">
        <v>1176</v>
      </c>
      <c r="G3801" s="880" t="s">
        <v>640</v>
      </c>
      <c r="H3801" s="881" t="s">
        <v>1312</v>
      </c>
      <c r="I3801" s="882">
        <v>240</v>
      </c>
      <c r="J3801" s="882">
        <v>19048</v>
      </c>
      <c r="K3801" s="883">
        <f t="shared" si="494"/>
        <v>4571520</v>
      </c>
      <c r="L3801" s="884" t="s">
        <v>160</v>
      </c>
      <c r="M3801" s="884" t="s">
        <v>857</v>
      </c>
      <c r="N3801" s="52" t="str">
        <f>IF(AND('331-CT'!$E$7=TH!H3801,OR(L3801="331",M3801="331")),"331",IF(AND(OR(L3801="131",M3801="131"),H3801='131-CT'!$E$7),"131",""))</f>
        <v/>
      </c>
      <c r="O3801" s="52" t="str">
        <f>IF(AND($B3801&gt;='111'!$N$11,$B3801&lt;='111'!$O$11,OR($L3801=$O$7,$M3801=$O$7)),"x","")</f>
        <v/>
      </c>
      <c r="P3801" s="52" t="str">
        <f>IF(AND($L3801=$O$7,$B3801&lt;'111'!$N$11),"x","")</f>
        <v/>
      </c>
      <c r="Q3801" s="52" t="str">
        <f>IF(AND($M3801=$O$7,$B3801&lt;'111'!$N$11),"x","")</f>
        <v/>
      </c>
      <c r="R3801" s="52" t="str">
        <f>IF(ISERROR(FIND('112'!$M$9,G3801,1)),"",IF((AND(FIND('112'!$M$9,G3801,1)&gt;=1,$B3801&gt;='112'!$N$8,$B3801&lt;='112'!$O$8,OR($L3801='112'!$I$6,$M3801='112'!$I$6))),"x",""))</f>
        <v/>
      </c>
      <c r="S3801" s="52" t="str">
        <f>IF(ISERROR(FIND('112'!$M$9,G3801,1)),"",IF((AND(LEFT(G3801,2)=LEFT('112'!$M$9,2),B3801&lt;'112'!$N$8,$L3801='112'!$I$6)),"x",""))</f>
        <v/>
      </c>
      <c r="T3801" s="52" t="str">
        <f>IF(ISERROR(FIND('112'!$M$9,G3801,1)),"",IF((AND(RIGHT(G3801,2)=RIGHT('112'!$M$9,2),B3801&lt;'112'!$N$8,$M3801='112'!$I$6)),"x",""))</f>
        <v/>
      </c>
      <c r="U3801" s="52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>154</v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/>
      </c>
      <c r="AA3801" s="885"/>
    </row>
    <row r="3802" spans="1:27" ht="15.75" customHeight="1">
      <c r="A3802" s="827" t="str">
        <f>IF(B3802&lt;&gt;"",IF(AND(B3802&gt;=_TM1,B3802&lt;=_TM2,OR(TH!L3802="1111",TH!M3802="1111")),TH!D3802,""),"")</f>
        <v/>
      </c>
      <c r="B3802" s="36">
        <f t="shared" ref="B3802:B3803" si="496">IF(C3802&lt;&gt;"",MONTH(C3802),"")</f>
        <v>4</v>
      </c>
      <c r="C3802" s="856">
        <f t="shared" ref="C3802:C3803" si="497">E3802</f>
        <v>42484</v>
      </c>
      <c r="D3802" s="856" t="s">
        <v>1664</v>
      </c>
      <c r="E3802" s="856">
        <v>42484</v>
      </c>
      <c r="F3802" s="857" t="s">
        <v>1279</v>
      </c>
      <c r="G3802" s="858" t="s">
        <v>663</v>
      </c>
      <c r="H3802" s="859" t="s">
        <v>1312</v>
      </c>
      <c r="I3802" s="251">
        <v>430</v>
      </c>
      <c r="J3802" s="251">
        <v>33053</v>
      </c>
      <c r="K3802" s="860">
        <f t="shared" ref="K3802:K3803" si="498">ROUND(I3802*J3802,0)</f>
        <v>14212790</v>
      </c>
      <c r="L3802" s="861" t="s">
        <v>160</v>
      </c>
      <c r="M3802" s="861" t="s">
        <v>857</v>
      </c>
      <c r="N3802" s="52" t="str">
        <f>IF(AND('331-CT'!$E$7=TH!H3802,OR(L3802="331",M3802="331")),"331",IF(AND(OR(L3802="131",M3802="131"),H3802='131-CT'!$E$7),"131",""))</f>
        <v/>
      </c>
      <c r="O3802" s="52" t="str">
        <f>IF(AND($B3802&gt;='111'!$N$11,$B3802&lt;='111'!$O$11,OR($L3802=$O$7,$M3802=$O$7)),"x","")</f>
        <v/>
      </c>
      <c r="P3802" s="52" t="str">
        <f>IF(AND($L3802=$O$7,$B3802&lt;'111'!$N$11),"x","")</f>
        <v/>
      </c>
      <c r="Q3802" s="52" t="str">
        <f>IF(AND($M3802=$O$7,$B3802&lt;'111'!$N$11),"x","")</f>
        <v/>
      </c>
      <c r="R3802" s="52" t="str">
        <f>IF(ISERROR(FIND('112'!$M$9,G3802,1)),"",IF((AND(FIND('112'!$M$9,G3802,1)&gt;=1,$B3802&gt;='112'!$N$8,$B3802&lt;='112'!$O$8,OR($L3802='112'!$I$6,$M3802='112'!$I$6))),"x",""))</f>
        <v/>
      </c>
      <c r="S3802" s="52" t="str">
        <f>IF(ISERROR(FIND('112'!$M$9,G3802,1)),"",IF((AND(LEFT(G3802,2)=LEFT('112'!$M$9,2),B3802&lt;'112'!$N$8,$L3802='112'!$I$6)),"x",""))</f>
        <v/>
      </c>
      <c r="T3802" s="52" t="str">
        <f>IF(ISERROR(FIND('112'!$M$9,G3802,1)),"",IF((AND(RIGHT(G3802,2)=RIGHT('112'!$M$9,2),B3802&lt;'112'!$N$8,$M3802='112'!$I$6)),"x",""))</f>
        <v/>
      </c>
      <c r="U3802" s="52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>154</v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/>
      </c>
      <c r="AA3802" s="826"/>
    </row>
    <row r="3803" spans="1:27" ht="15.75" customHeight="1">
      <c r="A3803" s="827" t="str">
        <f>IF(B3803&lt;&gt;"",IF(AND(B3803&gt;=_TM1,B3803&lt;=_TM2,OR(TH!L3803="1111",TH!M3803="1111")),TH!D3803,""),"")</f>
        <v/>
      </c>
      <c r="B3803" s="36">
        <f t="shared" si="496"/>
        <v>4</v>
      </c>
      <c r="C3803" s="856">
        <f t="shared" si="497"/>
        <v>42484</v>
      </c>
      <c r="D3803" s="856" t="s">
        <v>1664</v>
      </c>
      <c r="E3803" s="856">
        <v>42484</v>
      </c>
      <c r="F3803" s="857" t="s">
        <v>1260</v>
      </c>
      <c r="G3803" s="858" t="s">
        <v>663</v>
      </c>
      <c r="H3803" s="859" t="s">
        <v>1312</v>
      </c>
      <c r="I3803" s="251">
        <v>102</v>
      </c>
      <c r="J3803" s="251">
        <v>31237</v>
      </c>
      <c r="K3803" s="860">
        <f t="shared" si="498"/>
        <v>3186174</v>
      </c>
      <c r="L3803" s="861" t="s">
        <v>160</v>
      </c>
      <c r="M3803" s="861" t="s">
        <v>857</v>
      </c>
      <c r="N3803" s="52" t="str">
        <f>IF(AND('331-CT'!$E$7=TH!H3803,OR(L3803="331",M3803="331")),"331",IF(AND(OR(L3803="131",M3803="131"),H3803='131-CT'!$E$7),"131",""))</f>
        <v/>
      </c>
      <c r="O3803" s="52" t="str">
        <f>IF(AND($B3803&gt;='111'!$N$11,$B3803&lt;='111'!$O$11,OR($L3803=$O$7,$M3803=$O$7)),"x","")</f>
        <v/>
      </c>
      <c r="P3803" s="52" t="str">
        <f>IF(AND($L3803=$O$7,$B3803&lt;'111'!$N$11),"x","")</f>
        <v/>
      </c>
      <c r="Q3803" s="52" t="str">
        <f>IF(AND($M3803=$O$7,$B3803&lt;'111'!$N$11),"x","")</f>
        <v/>
      </c>
      <c r="R3803" s="52" t="str">
        <f>IF(ISERROR(FIND('112'!$M$9,G3803,1)),"",IF((AND(FIND('112'!$M$9,G3803,1)&gt;=1,$B3803&gt;='112'!$N$8,$B3803&lt;='112'!$O$8,OR($L3803='112'!$I$6,$M3803='112'!$I$6))),"x",""))</f>
        <v/>
      </c>
      <c r="S3803" s="52" t="str">
        <f>IF(ISERROR(FIND('112'!$M$9,G3803,1)),"",IF((AND(LEFT(G3803,2)=LEFT('112'!$M$9,2),B3803&lt;'112'!$N$8,$L3803='112'!$I$6)),"x",""))</f>
        <v/>
      </c>
      <c r="T3803" s="52" t="str">
        <f>IF(ISERROR(FIND('112'!$M$9,G3803,1)),"",IF((AND(RIGHT(G3803,2)=RIGHT('112'!$M$9,2),B3803&lt;'112'!$N$8,$M3803='112'!$I$6)),"x",""))</f>
        <v/>
      </c>
      <c r="U3803" s="52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>154</v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/>
      </c>
      <c r="AA3803" s="826"/>
    </row>
    <row r="3804" spans="1:27" ht="15.75" customHeight="1">
      <c r="A3804" s="827" t="str">
        <f>IF(B3804&lt;&gt;"",IF(AND(B3804&gt;=_TM1,B3804&lt;=_TM2,OR(TH!L3804="1111",TH!M3804="1111")),TH!D3804,""),"")</f>
        <v/>
      </c>
      <c r="B3804" s="36">
        <f t="shared" si="490"/>
        <v>4</v>
      </c>
      <c r="C3804" s="856">
        <f t="shared" si="495"/>
        <v>42486</v>
      </c>
      <c r="D3804" s="856" t="s">
        <v>1664</v>
      </c>
      <c r="E3804" s="856">
        <v>42486</v>
      </c>
      <c r="F3804" s="857" t="s">
        <v>1279</v>
      </c>
      <c r="G3804" s="858" t="s">
        <v>666</v>
      </c>
      <c r="H3804" s="859" t="s">
        <v>1312</v>
      </c>
      <c r="I3804" s="251">
        <v>320</v>
      </c>
      <c r="J3804" s="251">
        <v>33053</v>
      </c>
      <c r="K3804" s="860">
        <f t="shared" si="494"/>
        <v>10576960</v>
      </c>
      <c r="L3804" s="861" t="s">
        <v>160</v>
      </c>
      <c r="M3804" s="861" t="s">
        <v>857</v>
      </c>
      <c r="N3804" s="52" t="str">
        <f>IF(AND('331-CT'!$E$7=TH!H3804,OR(L3804="331",M3804="331")),"331",IF(AND(OR(L3804="131",M3804="131"),H3804='131-CT'!$E$7),"131",""))</f>
        <v/>
      </c>
      <c r="O3804" s="52" t="str">
        <f>IF(AND($B3804&gt;='111'!$N$11,$B3804&lt;='111'!$O$11,OR($L3804=$O$7,$M3804=$O$7)),"x","")</f>
        <v/>
      </c>
      <c r="P3804" s="52" t="str">
        <f>IF(AND($L3804=$O$7,$B3804&lt;'111'!$N$11),"x","")</f>
        <v/>
      </c>
      <c r="Q3804" s="52" t="str">
        <f>IF(AND($M3804=$O$7,$B3804&lt;'111'!$N$11),"x","")</f>
        <v/>
      </c>
      <c r="R3804" s="52" t="str">
        <f>IF(ISERROR(FIND('112'!$M$9,G3804,1)),"",IF((AND(FIND('112'!$M$9,G3804,1)&gt;=1,$B3804&gt;='112'!$N$8,$B3804&lt;='112'!$O$8,OR($L3804='112'!$I$6,$M3804='112'!$I$6))),"x",""))</f>
        <v/>
      </c>
      <c r="S3804" s="52" t="str">
        <f>IF(ISERROR(FIND('112'!$M$9,G3804,1)),"",IF((AND(LEFT(G3804,2)=LEFT('112'!$M$9,2),B3804&lt;'112'!$N$8,$L3804='112'!$I$6)),"x",""))</f>
        <v/>
      </c>
      <c r="T3804" s="52" t="str">
        <f>IF(ISERROR(FIND('112'!$M$9,G3804,1)),"",IF((AND(RIGHT(G3804,2)=RIGHT('112'!$M$9,2),B3804&lt;'112'!$N$8,$M3804='112'!$I$6)),"x",""))</f>
        <v/>
      </c>
      <c r="U3804" s="52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>154</v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/>
      </c>
      <c r="AA3804" s="826"/>
    </row>
    <row r="3805" spans="1:27" ht="15.75" customHeight="1">
      <c r="A3805" s="827" t="str">
        <f>IF(B3805&lt;&gt;"",IF(AND(B3805&gt;=_TM1,B3805&lt;=_TM2,OR(TH!L3805="1111",TH!M3805="1111")),TH!D3805,""),"")</f>
        <v/>
      </c>
      <c r="B3805" s="36">
        <f t="shared" si="490"/>
        <v>4</v>
      </c>
      <c r="C3805" s="856">
        <f t="shared" si="495"/>
        <v>42486</v>
      </c>
      <c r="D3805" s="856" t="s">
        <v>1664</v>
      </c>
      <c r="E3805" s="856">
        <v>42486</v>
      </c>
      <c r="F3805" s="857" t="s">
        <v>1266</v>
      </c>
      <c r="G3805" s="858" t="s">
        <v>666</v>
      </c>
      <c r="H3805" s="859" t="s">
        <v>1312</v>
      </c>
      <c r="I3805" s="251">
        <v>80</v>
      </c>
      <c r="J3805" s="251">
        <v>33882</v>
      </c>
      <c r="K3805" s="860">
        <f t="shared" si="494"/>
        <v>2710560</v>
      </c>
      <c r="L3805" s="861" t="s">
        <v>160</v>
      </c>
      <c r="M3805" s="861" t="s">
        <v>857</v>
      </c>
      <c r="N3805" s="52" t="str">
        <f>IF(AND('331-CT'!$E$7=TH!H3805,OR(L3805="331",M3805="331")),"331",IF(AND(OR(L3805="131",M3805="131"),H3805='131-CT'!$E$7),"131",""))</f>
        <v/>
      </c>
      <c r="O3805" s="52" t="str">
        <f>IF(AND($B3805&gt;='111'!$N$11,$B3805&lt;='111'!$O$11,OR($L3805=$O$7,$M3805=$O$7)),"x","")</f>
        <v/>
      </c>
      <c r="P3805" s="52" t="str">
        <f>IF(AND($L3805=$O$7,$B3805&lt;'111'!$N$11),"x","")</f>
        <v/>
      </c>
      <c r="Q3805" s="52" t="str">
        <f>IF(AND($M3805=$O$7,$B3805&lt;'111'!$N$11),"x","")</f>
        <v/>
      </c>
      <c r="R3805" s="52" t="str">
        <f>IF(ISERROR(FIND('112'!$M$9,G3805,1)),"",IF((AND(FIND('112'!$M$9,G3805,1)&gt;=1,$B3805&gt;='112'!$N$8,$B3805&lt;='112'!$O$8,OR($L3805='112'!$I$6,$M3805='112'!$I$6))),"x",""))</f>
        <v/>
      </c>
      <c r="S3805" s="52" t="str">
        <f>IF(ISERROR(FIND('112'!$M$9,G3805,1)),"",IF((AND(LEFT(G3805,2)=LEFT('112'!$M$9,2),B3805&lt;'112'!$N$8,$L3805='112'!$I$6)),"x",""))</f>
        <v/>
      </c>
      <c r="T3805" s="52" t="str">
        <f>IF(ISERROR(FIND('112'!$M$9,G3805,1)),"",IF((AND(RIGHT(G3805,2)=RIGHT('112'!$M$9,2),B3805&lt;'112'!$N$8,$M3805='112'!$I$6)),"x",""))</f>
        <v/>
      </c>
      <c r="U3805" s="52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>154</v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/>
      </c>
      <c r="AA3805" s="826"/>
    </row>
    <row r="3806" spans="1:27" ht="15.75" customHeight="1">
      <c r="A3806" s="827" t="str">
        <f>IF(B3806&lt;&gt;"",IF(AND(B3806&gt;=_TM1,B3806&lt;=_TM2,OR(TH!L3806="1111",TH!M3806="1111")),TH!D3806,""),"")</f>
        <v/>
      </c>
      <c r="B3806" s="36">
        <f t="shared" si="490"/>
        <v>4</v>
      </c>
      <c r="C3806" s="856">
        <f t="shared" si="495"/>
        <v>42487</v>
      </c>
      <c r="D3806" s="856" t="s">
        <v>1664</v>
      </c>
      <c r="E3806" s="856">
        <v>42487</v>
      </c>
      <c r="F3806" s="857" t="s">
        <v>926</v>
      </c>
      <c r="G3806" s="858" t="s">
        <v>669</v>
      </c>
      <c r="H3806" s="859" t="s">
        <v>1312</v>
      </c>
      <c r="I3806" s="251">
        <v>100</v>
      </c>
      <c r="J3806" s="251">
        <v>34590</v>
      </c>
      <c r="K3806" s="860">
        <f t="shared" si="494"/>
        <v>3459000</v>
      </c>
      <c r="L3806" s="861" t="s">
        <v>160</v>
      </c>
      <c r="M3806" s="861" t="s">
        <v>857</v>
      </c>
      <c r="N3806" s="52" t="str">
        <f>IF(AND('331-CT'!$E$7=TH!H3806,OR(L3806="331",M3806="331")),"331",IF(AND(OR(L3806="131",M3806="131"),H3806='131-CT'!$E$7),"131",""))</f>
        <v/>
      </c>
      <c r="O3806" s="52" t="str">
        <f>IF(AND($B3806&gt;='111'!$N$11,$B3806&lt;='111'!$O$11,OR($L3806=$O$7,$M3806=$O$7)),"x","")</f>
        <v/>
      </c>
      <c r="P3806" s="52" t="str">
        <f>IF(AND($L3806=$O$7,$B3806&lt;'111'!$N$11),"x","")</f>
        <v/>
      </c>
      <c r="Q3806" s="52" t="str">
        <f>IF(AND($M3806=$O$7,$B3806&lt;'111'!$N$11),"x","")</f>
        <v/>
      </c>
      <c r="R3806" s="52" t="str">
        <f>IF(ISERROR(FIND('112'!$M$9,G3806,1)),"",IF((AND(FIND('112'!$M$9,G3806,1)&gt;=1,$B3806&gt;='112'!$N$8,$B3806&lt;='112'!$O$8,OR($L3806='112'!$I$6,$M3806='112'!$I$6))),"x",""))</f>
        <v/>
      </c>
      <c r="S3806" s="52" t="str">
        <f>IF(ISERROR(FIND('112'!$M$9,G3806,1)),"",IF((AND(LEFT(G3806,2)=LEFT('112'!$M$9,2),B3806&lt;'112'!$N$8,$L3806='112'!$I$6)),"x",""))</f>
        <v/>
      </c>
      <c r="T3806" s="52" t="str">
        <f>IF(ISERROR(FIND('112'!$M$9,G3806,1)),"",IF((AND(RIGHT(G3806,2)=RIGHT('112'!$M$9,2),B3806&lt;'112'!$N$8,$M3806='112'!$I$6)),"x",""))</f>
        <v/>
      </c>
      <c r="U3806" s="52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>154</v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/>
      </c>
      <c r="AA3806" s="826"/>
    </row>
    <row r="3807" spans="1:27" ht="15.75" customHeight="1">
      <c r="A3807" s="827" t="str">
        <f>IF(B3807&lt;&gt;"",IF(AND(B3807&gt;=_TM1,B3807&lt;=_TM2,OR(TH!L3807="1111",TH!M3807="1111")),TH!D3807,""),"")</f>
        <v/>
      </c>
      <c r="B3807" s="36">
        <f t="shared" si="490"/>
        <v>5</v>
      </c>
      <c r="C3807" s="856">
        <f t="shared" si="495"/>
        <v>42519</v>
      </c>
      <c r="D3807" s="856" t="s">
        <v>1664</v>
      </c>
      <c r="E3807" s="856">
        <v>42519</v>
      </c>
      <c r="F3807" s="857" t="s">
        <v>1180</v>
      </c>
      <c r="G3807" s="858" t="s">
        <v>697</v>
      </c>
      <c r="H3807" s="859" t="s">
        <v>1312</v>
      </c>
      <c r="I3807" s="251">
        <v>36</v>
      </c>
      <c r="J3807" s="251">
        <v>12150</v>
      </c>
      <c r="K3807" s="860">
        <f t="shared" si="494"/>
        <v>437400</v>
      </c>
      <c r="L3807" s="861" t="s">
        <v>160</v>
      </c>
      <c r="M3807" s="861" t="s">
        <v>857</v>
      </c>
      <c r="N3807" s="52" t="str">
        <f>IF(AND('331-CT'!$E$7=TH!H3807,OR(L3807="331",M3807="331")),"331",IF(AND(OR(L3807="131",M3807="131"),H3807='131-CT'!$E$7),"131",""))</f>
        <v/>
      </c>
      <c r="O3807" s="52" t="str">
        <f>IF(AND($B3807&gt;='111'!$N$11,$B3807&lt;='111'!$O$11,OR($L3807=$O$7,$M3807=$O$7)),"x","")</f>
        <v/>
      </c>
      <c r="P3807" s="52" t="str">
        <f>IF(AND($L3807=$O$7,$B3807&lt;'111'!$N$11),"x","")</f>
        <v/>
      </c>
      <c r="Q3807" s="52" t="str">
        <f>IF(AND($M3807=$O$7,$B3807&lt;'111'!$N$11),"x","")</f>
        <v/>
      </c>
      <c r="R3807" s="52" t="str">
        <f>IF(ISERROR(FIND('112'!$M$9,G3807,1)),"",IF((AND(FIND('112'!$M$9,G3807,1)&gt;=1,$B3807&gt;='112'!$N$8,$B3807&lt;='112'!$O$8,OR($L3807='112'!$I$6,$M3807='112'!$I$6))),"x",""))</f>
        <v/>
      </c>
      <c r="S3807" s="52" t="str">
        <f>IF(ISERROR(FIND('112'!$M$9,G3807,1)),"",IF((AND(LEFT(G3807,2)=LEFT('112'!$M$9,2),B3807&lt;'112'!$N$8,$L3807='112'!$I$6)),"x",""))</f>
        <v/>
      </c>
      <c r="T3807" s="52" t="str">
        <f>IF(ISERROR(FIND('112'!$M$9,G3807,1)),"",IF((AND(RIGHT(G3807,2)=RIGHT('112'!$M$9,2),B3807&lt;'112'!$N$8,$M3807='112'!$I$6)),"x",""))</f>
        <v/>
      </c>
      <c r="U3807" s="52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>154</v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/>
      </c>
      <c r="AA3807" s="826"/>
    </row>
    <row r="3808" spans="1:27" ht="15.75" customHeight="1">
      <c r="A3808" s="827" t="str">
        <f>IF(B3808&lt;&gt;"",IF(AND(B3808&gt;=_TM1,B3808&lt;=_TM2,OR(TH!L3808="1111",TH!M3808="1111")),TH!D3808,""),"")</f>
        <v/>
      </c>
      <c r="B3808" s="36">
        <f t="shared" si="490"/>
        <v>5</v>
      </c>
      <c r="C3808" s="856">
        <f t="shared" si="495"/>
        <v>42519</v>
      </c>
      <c r="D3808" s="856" t="s">
        <v>1664</v>
      </c>
      <c r="E3808" s="856">
        <v>42519</v>
      </c>
      <c r="F3808" s="857" t="s">
        <v>1254</v>
      </c>
      <c r="G3808" s="858" t="s">
        <v>697</v>
      </c>
      <c r="H3808" s="859" t="s">
        <v>1312</v>
      </c>
      <c r="I3808" s="251">
        <v>15</v>
      </c>
      <c r="J3808" s="251">
        <v>29748</v>
      </c>
      <c r="K3808" s="860">
        <f t="shared" si="494"/>
        <v>446220</v>
      </c>
      <c r="L3808" s="861" t="s">
        <v>160</v>
      </c>
      <c r="M3808" s="861" t="s">
        <v>857</v>
      </c>
      <c r="N3808" s="52" t="str">
        <f>IF(AND('331-CT'!$E$7=TH!H3808,OR(L3808="331",M3808="331")),"331",IF(AND(OR(L3808="131",M3808="131"),H3808='131-CT'!$E$7),"131",""))</f>
        <v/>
      </c>
      <c r="O3808" s="52" t="str">
        <f>IF(AND($B3808&gt;='111'!$N$11,$B3808&lt;='111'!$O$11,OR($L3808=$O$7,$M3808=$O$7)),"x","")</f>
        <v/>
      </c>
      <c r="P3808" s="52" t="str">
        <f>IF(AND($L3808=$O$7,$B3808&lt;'111'!$N$11),"x","")</f>
        <v/>
      </c>
      <c r="Q3808" s="52" t="str">
        <f>IF(AND($M3808=$O$7,$B3808&lt;'111'!$N$11),"x","")</f>
        <v/>
      </c>
      <c r="R3808" s="52" t="str">
        <f>IF(ISERROR(FIND('112'!$M$9,G3808,1)),"",IF((AND(FIND('112'!$M$9,G3808,1)&gt;=1,$B3808&gt;='112'!$N$8,$B3808&lt;='112'!$O$8,OR($L3808='112'!$I$6,$M3808='112'!$I$6))),"x",""))</f>
        <v/>
      </c>
      <c r="S3808" s="52" t="str">
        <f>IF(ISERROR(FIND('112'!$M$9,G3808,1)),"",IF((AND(LEFT(G3808,2)=LEFT('112'!$M$9,2),B3808&lt;'112'!$N$8,$L3808='112'!$I$6)),"x",""))</f>
        <v/>
      </c>
      <c r="T3808" s="52" t="str">
        <f>IF(ISERROR(FIND('112'!$M$9,G3808,1)),"",IF((AND(RIGHT(G3808,2)=RIGHT('112'!$M$9,2),B3808&lt;'112'!$N$8,$M3808='112'!$I$6)),"x",""))</f>
        <v/>
      </c>
      <c r="U3808" s="52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>154</v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/>
      </c>
      <c r="AA3808" s="826"/>
    </row>
    <row r="3809" spans="1:27" ht="15.75" customHeight="1">
      <c r="A3809" s="827" t="str">
        <f>IF(B3809&lt;&gt;"",IF(AND(B3809&gt;=_TM1,B3809&lt;=_TM2,OR(TH!L3809="1111",TH!M3809="1111")),TH!D3809,""),"")</f>
        <v/>
      </c>
      <c r="B3809" s="36">
        <f t="shared" si="490"/>
        <v>6</v>
      </c>
      <c r="C3809" s="856">
        <f t="shared" si="495"/>
        <v>42525</v>
      </c>
      <c r="D3809" s="856" t="s">
        <v>1664</v>
      </c>
      <c r="E3809" s="856">
        <v>42525</v>
      </c>
      <c r="F3809" s="857" t="s">
        <v>1210</v>
      </c>
      <c r="G3809" s="858" t="s">
        <v>733</v>
      </c>
      <c r="H3809" s="859" t="s">
        <v>1312</v>
      </c>
      <c r="I3809" s="251">
        <v>205</v>
      </c>
      <c r="J3809" s="251">
        <v>19127</v>
      </c>
      <c r="K3809" s="860">
        <f t="shared" si="494"/>
        <v>3921035</v>
      </c>
      <c r="L3809" s="861" t="s">
        <v>160</v>
      </c>
      <c r="M3809" s="861" t="s">
        <v>857</v>
      </c>
      <c r="N3809" s="52" t="str">
        <f>IF(AND('331-CT'!$E$7=TH!H3809,OR(L3809="331",M3809="331")),"331",IF(AND(OR(L3809="131",M3809="131"),H3809='131-CT'!$E$7),"131",""))</f>
        <v/>
      </c>
      <c r="O3809" s="52" t="str">
        <f>IF(AND($B3809&gt;='111'!$N$11,$B3809&lt;='111'!$O$11,OR($L3809=$O$7,$M3809=$O$7)),"x","")</f>
        <v/>
      </c>
      <c r="P3809" s="52" t="str">
        <f>IF(AND($L3809=$O$7,$B3809&lt;'111'!$N$11),"x","")</f>
        <v/>
      </c>
      <c r="Q3809" s="52" t="str">
        <f>IF(AND($M3809=$O$7,$B3809&lt;'111'!$N$11),"x","")</f>
        <v/>
      </c>
      <c r="R3809" s="52" t="str">
        <f>IF(ISERROR(FIND('112'!$M$9,G3809,1)),"",IF((AND(FIND('112'!$M$9,G3809,1)&gt;=1,$B3809&gt;='112'!$N$8,$B3809&lt;='112'!$O$8,OR($L3809='112'!$I$6,$M3809='112'!$I$6))),"x",""))</f>
        <v/>
      </c>
      <c r="S3809" s="52" t="str">
        <f>IF(ISERROR(FIND('112'!$M$9,G3809,1)),"",IF((AND(LEFT(G3809,2)=LEFT('112'!$M$9,2),B3809&lt;'112'!$N$8,$L3809='112'!$I$6)),"x",""))</f>
        <v/>
      </c>
      <c r="T3809" s="52" t="str">
        <f>IF(ISERROR(FIND('112'!$M$9,G3809,1)),"",IF((AND(RIGHT(G3809,2)=RIGHT('112'!$M$9,2),B3809&lt;'112'!$N$8,$M3809='112'!$I$6)),"x",""))</f>
        <v/>
      </c>
      <c r="U3809" s="52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>154</v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826"/>
    </row>
    <row r="3810" spans="1:27" ht="15.75" customHeight="1">
      <c r="A3810" s="827" t="str">
        <f>IF(B3810&lt;&gt;"",IF(AND(B3810&gt;=_TM1,B3810&lt;=_TM2,OR(TH!L3810="1111",TH!M3810="1111")),TH!D3810,""),"")</f>
        <v/>
      </c>
      <c r="B3810" s="36">
        <f t="shared" si="490"/>
        <v>6</v>
      </c>
      <c r="C3810" s="856">
        <f t="shared" si="495"/>
        <v>42526</v>
      </c>
      <c r="D3810" s="856" t="s">
        <v>1664</v>
      </c>
      <c r="E3810" s="856">
        <v>42526</v>
      </c>
      <c r="F3810" s="857" t="s">
        <v>1214</v>
      </c>
      <c r="G3810" s="858" t="s">
        <v>737</v>
      </c>
      <c r="H3810" s="859" t="s">
        <v>1312</v>
      </c>
      <c r="I3810" s="251">
        <v>770</v>
      </c>
      <c r="J3810" s="251">
        <v>11220</v>
      </c>
      <c r="K3810" s="860">
        <f t="shared" si="494"/>
        <v>8639400</v>
      </c>
      <c r="L3810" s="861" t="s">
        <v>160</v>
      </c>
      <c r="M3810" s="861" t="s">
        <v>857</v>
      </c>
      <c r="N3810" s="52" t="str">
        <f>IF(AND('331-CT'!$E$7=TH!H3810,OR(L3810="331",M3810="331")),"331",IF(AND(OR(L3810="131",M3810="131"),H3810='131-CT'!$E$7),"131",""))</f>
        <v/>
      </c>
      <c r="O3810" s="52" t="str">
        <f>IF(AND($B3810&gt;='111'!$N$11,$B3810&lt;='111'!$O$11,OR($L3810=$O$7,$M3810=$O$7)),"x","")</f>
        <v/>
      </c>
      <c r="P3810" s="52" t="str">
        <f>IF(AND($L3810=$O$7,$B3810&lt;'111'!$N$11),"x","")</f>
        <v/>
      </c>
      <c r="Q3810" s="52" t="str">
        <f>IF(AND($M3810=$O$7,$B3810&lt;'111'!$N$11),"x","")</f>
        <v/>
      </c>
      <c r="R3810" s="52" t="str">
        <f>IF(ISERROR(FIND('112'!$M$9,G3810,1)),"",IF((AND(FIND('112'!$M$9,G3810,1)&gt;=1,$B3810&gt;='112'!$N$8,$B3810&lt;='112'!$O$8,OR($L3810='112'!$I$6,$M3810='112'!$I$6))),"x",""))</f>
        <v/>
      </c>
      <c r="S3810" s="52" t="str">
        <f>IF(ISERROR(FIND('112'!$M$9,G3810,1)),"",IF((AND(LEFT(G3810,2)=LEFT('112'!$M$9,2),B3810&lt;'112'!$N$8,$L3810='112'!$I$6)),"x",""))</f>
        <v/>
      </c>
      <c r="T3810" s="52" t="str">
        <f>IF(ISERROR(FIND('112'!$M$9,G3810,1)),"",IF((AND(RIGHT(G3810,2)=RIGHT('112'!$M$9,2),B3810&lt;'112'!$N$8,$M3810='112'!$I$6)),"x",""))</f>
        <v/>
      </c>
      <c r="U3810" s="52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>154</v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826"/>
    </row>
    <row r="3811" spans="1:27" ht="15.75" customHeight="1">
      <c r="A3811" s="827" t="str">
        <f>IF(B3811&lt;&gt;"",IF(AND(B3811&gt;=_TM1,B3811&lt;=_TM2,OR(TH!L3811="1111",TH!M3811="1111")),TH!D3811,""),"")</f>
        <v/>
      </c>
      <c r="B3811" s="36">
        <f t="shared" si="490"/>
        <v>6</v>
      </c>
      <c r="C3811" s="856">
        <f t="shared" si="495"/>
        <v>42530</v>
      </c>
      <c r="D3811" s="856" t="s">
        <v>1664</v>
      </c>
      <c r="E3811" s="856">
        <v>42530</v>
      </c>
      <c r="F3811" s="857" t="s">
        <v>1300</v>
      </c>
      <c r="G3811" s="858" t="s">
        <v>751</v>
      </c>
      <c r="H3811" s="859" t="s">
        <v>1312</v>
      </c>
      <c r="I3811" s="251">
        <v>15</v>
      </c>
      <c r="J3811" s="251">
        <v>48270.5</v>
      </c>
      <c r="K3811" s="860">
        <f t="shared" si="494"/>
        <v>724058</v>
      </c>
      <c r="L3811" s="861" t="s">
        <v>160</v>
      </c>
      <c r="M3811" s="861" t="s">
        <v>857</v>
      </c>
      <c r="N3811" s="52" t="str">
        <f>IF(AND('331-CT'!$E$7=TH!H3811,OR(L3811="331",M3811="331")),"331",IF(AND(OR(L3811="131",M3811="131"),H3811='131-CT'!$E$7),"131",""))</f>
        <v/>
      </c>
      <c r="O3811" s="52" t="str">
        <f>IF(AND($B3811&gt;='111'!$N$11,$B3811&lt;='111'!$O$11,OR($L3811=$O$7,$M3811=$O$7)),"x","")</f>
        <v/>
      </c>
      <c r="P3811" s="52" t="str">
        <f>IF(AND($L3811=$O$7,$B3811&lt;'111'!$N$11),"x","")</f>
        <v/>
      </c>
      <c r="Q3811" s="52" t="str">
        <f>IF(AND($M3811=$O$7,$B3811&lt;'111'!$N$11),"x","")</f>
        <v/>
      </c>
      <c r="R3811" s="52" t="str">
        <f>IF(ISERROR(FIND('112'!$M$9,G3811,1)),"",IF((AND(FIND('112'!$M$9,G3811,1)&gt;=1,$B3811&gt;='112'!$N$8,$B3811&lt;='112'!$O$8,OR($L3811='112'!$I$6,$M3811='112'!$I$6))),"x",""))</f>
        <v/>
      </c>
      <c r="S3811" s="52" t="str">
        <f>IF(ISERROR(FIND('112'!$M$9,G3811,1)),"",IF((AND(LEFT(G3811,2)=LEFT('112'!$M$9,2),B3811&lt;'112'!$N$8,$L3811='112'!$I$6)),"x",""))</f>
        <v/>
      </c>
      <c r="T3811" s="52" t="str">
        <f>IF(ISERROR(FIND('112'!$M$9,G3811,1)),"",IF((AND(RIGHT(G3811,2)=RIGHT('112'!$M$9,2),B3811&lt;'112'!$N$8,$M3811='112'!$I$6)),"x",""))</f>
        <v/>
      </c>
      <c r="U3811" s="52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>154</v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826"/>
    </row>
    <row r="3812" spans="1:27" ht="15.75" customHeight="1">
      <c r="A3812" s="827" t="str">
        <f>IF(B3812&lt;&gt;"",IF(AND(B3812&gt;=_TM1,B3812&lt;=_TM2,OR(TH!L3812="1111",TH!M3812="1111")),TH!D3812,""),"")</f>
        <v/>
      </c>
      <c r="B3812" s="36">
        <f t="shared" si="490"/>
        <v>6</v>
      </c>
      <c r="C3812" s="856">
        <f t="shared" si="495"/>
        <v>42530</v>
      </c>
      <c r="D3812" s="856" t="s">
        <v>1664</v>
      </c>
      <c r="E3812" s="856">
        <v>42530</v>
      </c>
      <c r="F3812" s="857" t="s">
        <v>1176</v>
      </c>
      <c r="G3812" s="858" t="s">
        <v>751</v>
      </c>
      <c r="H3812" s="859" t="s">
        <v>1312</v>
      </c>
      <c r="I3812" s="251">
        <v>9</v>
      </c>
      <c r="J3812" s="251">
        <v>19048</v>
      </c>
      <c r="K3812" s="860">
        <f t="shared" si="494"/>
        <v>171432</v>
      </c>
      <c r="L3812" s="861" t="s">
        <v>160</v>
      </c>
      <c r="M3812" s="861" t="s">
        <v>857</v>
      </c>
      <c r="N3812" s="52" t="str">
        <f>IF(AND('331-CT'!$E$7=TH!H3812,OR(L3812="331",M3812="331")),"331",IF(AND(OR(L3812="131",M3812="131"),H3812='131-CT'!$E$7),"131",""))</f>
        <v/>
      </c>
      <c r="O3812" s="52" t="str">
        <f>IF(AND($B3812&gt;='111'!$N$11,$B3812&lt;='111'!$O$11,OR($L3812=$O$7,$M3812=$O$7)),"x","")</f>
        <v/>
      </c>
      <c r="P3812" s="52" t="str">
        <f>IF(AND($L3812=$O$7,$B3812&lt;'111'!$N$11),"x","")</f>
        <v/>
      </c>
      <c r="Q3812" s="52" t="str">
        <f>IF(AND($M3812=$O$7,$B3812&lt;'111'!$N$11),"x","")</f>
        <v/>
      </c>
      <c r="R3812" s="52" t="str">
        <f>IF(ISERROR(FIND('112'!$M$9,G3812,1)),"",IF((AND(FIND('112'!$M$9,G3812,1)&gt;=1,$B3812&gt;='112'!$N$8,$B3812&lt;='112'!$O$8,OR($L3812='112'!$I$6,$M3812='112'!$I$6))),"x",""))</f>
        <v/>
      </c>
      <c r="S3812" s="52" t="str">
        <f>IF(ISERROR(FIND('112'!$M$9,G3812,1)),"",IF((AND(LEFT(G3812,2)=LEFT('112'!$M$9,2),B3812&lt;'112'!$N$8,$L3812='112'!$I$6)),"x",""))</f>
        <v/>
      </c>
      <c r="T3812" s="52" t="str">
        <f>IF(ISERROR(FIND('112'!$M$9,G3812,1)),"",IF((AND(RIGHT(G3812,2)=RIGHT('112'!$M$9,2),B3812&lt;'112'!$N$8,$M3812='112'!$I$6)),"x",""))</f>
        <v/>
      </c>
      <c r="U3812" s="52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>154</v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826"/>
    </row>
    <row r="3813" spans="1:27" ht="15.75" customHeight="1">
      <c r="A3813" s="827" t="str">
        <f>IF(B3813&lt;&gt;"",IF(AND(B3813&gt;=_TM1,B3813&lt;=_TM2,OR(TH!L3813="1111",TH!M3813="1111")),TH!D3813,""),"")</f>
        <v/>
      </c>
      <c r="B3813" s="36">
        <f t="shared" si="490"/>
        <v>6</v>
      </c>
      <c r="C3813" s="856">
        <f t="shared" si="495"/>
        <v>42534</v>
      </c>
      <c r="D3813" s="856" t="s">
        <v>1664</v>
      </c>
      <c r="E3813" s="856">
        <v>42534</v>
      </c>
      <c r="F3813" s="857" t="s">
        <v>1199</v>
      </c>
      <c r="G3813" s="858" t="s">
        <v>779</v>
      </c>
      <c r="H3813" s="859" t="s">
        <v>1312</v>
      </c>
      <c r="I3813" s="251">
        <v>75</v>
      </c>
      <c r="J3813" s="251">
        <v>15300</v>
      </c>
      <c r="K3813" s="860">
        <f t="shared" si="494"/>
        <v>1147500</v>
      </c>
      <c r="L3813" s="861" t="s">
        <v>160</v>
      </c>
      <c r="M3813" s="861" t="s">
        <v>857</v>
      </c>
      <c r="N3813" s="52" t="str">
        <f>IF(AND('331-CT'!$E$7=TH!H3813,OR(L3813="331",M3813="331")),"331",IF(AND(OR(L3813="131",M3813="131"),H3813='131-CT'!$E$7),"131",""))</f>
        <v/>
      </c>
      <c r="O3813" s="52" t="str">
        <f>IF(AND($B3813&gt;='111'!$N$11,$B3813&lt;='111'!$O$11,OR($L3813=$O$7,$M3813=$O$7)),"x","")</f>
        <v/>
      </c>
      <c r="P3813" s="52" t="str">
        <f>IF(AND($L3813=$O$7,$B3813&lt;'111'!$N$11),"x","")</f>
        <v/>
      </c>
      <c r="Q3813" s="52" t="str">
        <f>IF(AND($M3813=$O$7,$B3813&lt;'111'!$N$11),"x","")</f>
        <v/>
      </c>
      <c r="R3813" s="52" t="str">
        <f>IF(ISERROR(FIND('112'!$M$9,G3813,1)),"",IF((AND(FIND('112'!$M$9,G3813,1)&gt;=1,$B3813&gt;='112'!$N$8,$B3813&lt;='112'!$O$8,OR($L3813='112'!$I$6,$M3813='112'!$I$6))),"x",""))</f>
        <v/>
      </c>
      <c r="S3813" s="52" t="str">
        <f>IF(ISERROR(FIND('112'!$M$9,G3813,1)),"",IF((AND(LEFT(G3813,2)=LEFT('112'!$M$9,2),B3813&lt;'112'!$N$8,$L3813='112'!$I$6)),"x",""))</f>
        <v/>
      </c>
      <c r="T3813" s="52" t="str">
        <f>IF(ISERROR(FIND('112'!$M$9,G3813,1)),"",IF((AND(RIGHT(G3813,2)=RIGHT('112'!$M$9,2),B3813&lt;'112'!$N$8,$M3813='112'!$I$6)),"x",""))</f>
        <v/>
      </c>
      <c r="U3813" s="52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>154</v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826"/>
    </row>
    <row r="3814" spans="1:27" ht="15.75" customHeight="1">
      <c r="A3814" s="827" t="str">
        <f>IF(B3814&lt;&gt;"",IF(AND(B3814&gt;=_TM1,B3814&lt;=_TM2,OR(TH!L3814="1111",TH!M3814="1111")),TH!D3814,""),"")</f>
        <v/>
      </c>
      <c r="B3814" s="36">
        <f t="shared" si="490"/>
        <v>6</v>
      </c>
      <c r="C3814" s="856">
        <f t="shared" si="495"/>
        <v>42534</v>
      </c>
      <c r="D3814" s="856" t="s">
        <v>1664</v>
      </c>
      <c r="E3814" s="856">
        <v>42534</v>
      </c>
      <c r="F3814" s="857" t="s">
        <v>926</v>
      </c>
      <c r="G3814" s="858" t="s">
        <v>779</v>
      </c>
      <c r="H3814" s="859" t="s">
        <v>1312</v>
      </c>
      <c r="I3814" s="251">
        <v>40</v>
      </c>
      <c r="J3814" s="251">
        <v>34590</v>
      </c>
      <c r="K3814" s="860">
        <f t="shared" si="494"/>
        <v>1383600</v>
      </c>
      <c r="L3814" s="861" t="s">
        <v>160</v>
      </c>
      <c r="M3814" s="861" t="s">
        <v>857</v>
      </c>
      <c r="N3814" s="52" t="str">
        <f>IF(AND('331-CT'!$E$7=TH!H3814,OR(L3814="331",M3814="331")),"331",IF(AND(OR(L3814="131",M3814="131"),H3814='131-CT'!$E$7),"131",""))</f>
        <v/>
      </c>
      <c r="O3814" s="52" t="str">
        <f>IF(AND($B3814&gt;='111'!$N$11,$B3814&lt;='111'!$O$11,OR($L3814=$O$7,$M3814=$O$7)),"x","")</f>
        <v/>
      </c>
      <c r="P3814" s="52" t="str">
        <f>IF(AND($L3814=$O$7,$B3814&lt;'111'!$N$11),"x","")</f>
        <v/>
      </c>
      <c r="Q3814" s="52" t="str">
        <f>IF(AND($M3814=$O$7,$B3814&lt;'111'!$N$11),"x","")</f>
        <v/>
      </c>
      <c r="R3814" s="52" t="str">
        <f>IF(ISERROR(FIND('112'!$M$9,G3814,1)),"",IF((AND(FIND('112'!$M$9,G3814,1)&gt;=1,$B3814&gt;='112'!$N$8,$B3814&lt;='112'!$O$8,OR($L3814='112'!$I$6,$M3814='112'!$I$6))),"x",""))</f>
        <v/>
      </c>
      <c r="S3814" s="52" t="str">
        <f>IF(ISERROR(FIND('112'!$M$9,G3814,1)),"",IF((AND(LEFT(G3814,2)=LEFT('112'!$M$9,2),B3814&lt;'112'!$N$8,$L3814='112'!$I$6)),"x",""))</f>
        <v/>
      </c>
      <c r="T3814" s="52" t="str">
        <f>IF(ISERROR(FIND('112'!$M$9,G3814,1)),"",IF((AND(RIGHT(G3814,2)=RIGHT('112'!$M$9,2),B3814&lt;'112'!$N$8,$M3814='112'!$I$6)),"x",""))</f>
        <v/>
      </c>
      <c r="U3814" s="52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>154</v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826"/>
    </row>
    <row r="3815" spans="1:27" ht="15.75" customHeight="1">
      <c r="A3815" s="827" t="str">
        <f>IF(B3815&lt;&gt;"",IF(AND(B3815&gt;=_TM1,B3815&lt;=_TM2,OR(TH!L3815="1111",TH!M3815="1111")),TH!D3815,""),"")</f>
        <v/>
      </c>
      <c r="B3815" s="36">
        <f t="shared" ref="B3815:B3880" si="499">IF(C3815&lt;&gt;"",MONTH(C3815),"")</f>
        <v>6</v>
      </c>
      <c r="C3815" s="856">
        <f t="shared" si="495"/>
        <v>42546</v>
      </c>
      <c r="D3815" s="856" t="s">
        <v>1664</v>
      </c>
      <c r="E3815" s="856">
        <v>42546</v>
      </c>
      <c r="F3815" s="857" t="s">
        <v>1300</v>
      </c>
      <c r="G3815" s="858" t="s">
        <v>789</v>
      </c>
      <c r="H3815" s="859" t="s">
        <v>1312</v>
      </c>
      <c r="I3815" s="251">
        <v>17</v>
      </c>
      <c r="J3815" s="251">
        <v>48270.5</v>
      </c>
      <c r="K3815" s="860">
        <f t="shared" si="494"/>
        <v>820599</v>
      </c>
      <c r="L3815" s="861" t="s">
        <v>160</v>
      </c>
      <c r="M3815" s="861" t="s">
        <v>857</v>
      </c>
      <c r="N3815" s="52" t="str">
        <f>IF(AND('331-CT'!$E$7=TH!H3815,OR(L3815="331",M3815="331")),"331",IF(AND(OR(L3815="131",M3815="131"),H3815='131-CT'!$E$7),"131",""))</f>
        <v/>
      </c>
      <c r="O3815" s="52" t="str">
        <f>IF(AND($B3815&gt;='111'!$N$11,$B3815&lt;='111'!$O$11,OR($L3815=$O$7,$M3815=$O$7)),"x","")</f>
        <v/>
      </c>
      <c r="P3815" s="52" t="str">
        <f>IF(AND($L3815=$O$7,$B3815&lt;'111'!$N$11),"x","")</f>
        <v/>
      </c>
      <c r="Q3815" s="52" t="str">
        <f>IF(AND($M3815=$O$7,$B3815&lt;'111'!$N$11),"x","")</f>
        <v/>
      </c>
      <c r="R3815" s="52" t="str">
        <f>IF(ISERROR(FIND('112'!$M$9,G3815,1)),"",IF((AND(FIND('112'!$M$9,G3815,1)&gt;=1,$B3815&gt;='112'!$N$8,$B3815&lt;='112'!$O$8,OR($L3815='112'!$I$6,$M3815='112'!$I$6))),"x",""))</f>
        <v/>
      </c>
      <c r="S3815" s="52" t="str">
        <f>IF(ISERROR(FIND('112'!$M$9,G3815,1)),"",IF((AND(LEFT(G3815,2)=LEFT('112'!$M$9,2),B3815&lt;'112'!$N$8,$L3815='112'!$I$6)),"x",""))</f>
        <v/>
      </c>
      <c r="T3815" s="52" t="str">
        <f>IF(ISERROR(FIND('112'!$M$9,G3815,1)),"",IF((AND(RIGHT(G3815,2)=RIGHT('112'!$M$9,2),B3815&lt;'112'!$N$8,$M3815='112'!$I$6)),"x",""))</f>
        <v/>
      </c>
      <c r="U3815" s="52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>154</v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826"/>
    </row>
    <row r="3816" spans="1:27" ht="15.75" customHeight="1">
      <c r="A3816" s="827" t="str">
        <f>IF(B3816&lt;&gt;"",IF(AND(B3816&gt;=_TM1,B3816&lt;=_TM2,OR(TH!L3816="1111",TH!M3816="1111")),TH!D3816,""),"")</f>
        <v/>
      </c>
      <c r="B3816" s="36">
        <f t="shared" si="499"/>
        <v>6</v>
      </c>
      <c r="C3816" s="856">
        <f t="shared" si="495"/>
        <v>42546</v>
      </c>
      <c r="D3816" s="856" t="s">
        <v>1664</v>
      </c>
      <c r="E3816" s="856">
        <v>42546</v>
      </c>
      <c r="F3816" s="857" t="s">
        <v>1202</v>
      </c>
      <c r="G3816" s="858" t="s">
        <v>789</v>
      </c>
      <c r="H3816" s="859" t="s">
        <v>1312</v>
      </c>
      <c r="I3816" s="251">
        <v>15</v>
      </c>
      <c r="J3816" s="251">
        <v>22356</v>
      </c>
      <c r="K3816" s="860">
        <f t="shared" si="494"/>
        <v>335340</v>
      </c>
      <c r="L3816" s="861" t="s">
        <v>160</v>
      </c>
      <c r="M3816" s="861" t="s">
        <v>857</v>
      </c>
      <c r="N3816" s="52" t="str">
        <f>IF(AND('331-CT'!$E$7=TH!H3816,OR(L3816="331",M3816="331")),"331",IF(AND(OR(L3816="131",M3816="131"),H3816='131-CT'!$E$7),"131",""))</f>
        <v/>
      </c>
      <c r="O3816" s="52" t="str">
        <f>IF(AND($B3816&gt;='111'!$N$11,$B3816&lt;='111'!$O$11,OR($L3816=$O$7,$M3816=$O$7)),"x","")</f>
        <v/>
      </c>
      <c r="P3816" s="52" t="str">
        <f>IF(AND($L3816=$O$7,$B3816&lt;'111'!$N$11),"x","")</f>
        <v/>
      </c>
      <c r="Q3816" s="52" t="str">
        <f>IF(AND($M3816=$O$7,$B3816&lt;'111'!$N$11),"x","")</f>
        <v/>
      </c>
      <c r="R3816" s="52" t="str">
        <f>IF(ISERROR(FIND('112'!$M$9,G3816,1)),"",IF((AND(FIND('112'!$M$9,G3816,1)&gt;=1,$B3816&gt;='112'!$N$8,$B3816&lt;='112'!$O$8,OR($L3816='112'!$I$6,$M3816='112'!$I$6))),"x",""))</f>
        <v/>
      </c>
      <c r="S3816" s="52" t="str">
        <f>IF(ISERROR(FIND('112'!$M$9,G3816,1)),"",IF((AND(LEFT(G3816,2)=LEFT('112'!$M$9,2),B3816&lt;'112'!$N$8,$L3816='112'!$I$6)),"x",""))</f>
        <v/>
      </c>
      <c r="T3816" s="52" t="str">
        <f>IF(ISERROR(FIND('112'!$M$9,G3816,1)),"",IF((AND(RIGHT(G3816,2)=RIGHT('112'!$M$9,2),B3816&lt;'112'!$N$8,$M3816='112'!$I$6)),"x",""))</f>
        <v/>
      </c>
      <c r="U3816" s="52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>154</v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826"/>
    </row>
    <row r="3817" spans="1:27" ht="15.75" customHeight="1">
      <c r="A3817" s="827" t="str">
        <f>IF(B3817&lt;&gt;"",IF(AND(B3817&gt;=_TM1,B3817&lt;=_TM2,OR(TH!L3817="1111",TH!M3817="1111")),TH!D3817,""),"")</f>
        <v/>
      </c>
      <c r="B3817" s="36">
        <f t="shared" si="499"/>
        <v>6</v>
      </c>
      <c r="C3817" s="856">
        <f t="shared" si="495"/>
        <v>42546</v>
      </c>
      <c r="D3817" s="856" t="s">
        <v>1664</v>
      </c>
      <c r="E3817" s="856">
        <v>42546</v>
      </c>
      <c r="F3817" s="857" t="s">
        <v>1203</v>
      </c>
      <c r="G3817" s="858" t="s">
        <v>789</v>
      </c>
      <c r="H3817" s="859" t="s">
        <v>1312</v>
      </c>
      <c r="I3817" s="251">
        <v>450</v>
      </c>
      <c r="J3817" s="251">
        <v>16065</v>
      </c>
      <c r="K3817" s="860">
        <f t="shared" si="494"/>
        <v>7229250</v>
      </c>
      <c r="L3817" s="861" t="s">
        <v>160</v>
      </c>
      <c r="M3817" s="861" t="s">
        <v>857</v>
      </c>
      <c r="N3817" s="52" t="str">
        <f>IF(AND('331-CT'!$E$7=TH!H3817,OR(L3817="331",M3817="331")),"331",IF(AND(OR(L3817="131",M3817="131"),H3817='131-CT'!$E$7),"131",""))</f>
        <v/>
      </c>
      <c r="O3817" s="52" t="str">
        <f>IF(AND($B3817&gt;='111'!$N$11,$B3817&lt;='111'!$O$11,OR($L3817=$O$7,$M3817=$O$7)),"x","")</f>
        <v/>
      </c>
      <c r="P3817" s="52" t="str">
        <f>IF(AND($L3817=$O$7,$B3817&lt;'111'!$N$11),"x","")</f>
        <v/>
      </c>
      <c r="Q3817" s="52" t="str">
        <f>IF(AND($M3817=$O$7,$B3817&lt;'111'!$N$11),"x","")</f>
        <v/>
      </c>
      <c r="R3817" s="52" t="str">
        <f>IF(ISERROR(FIND('112'!$M$9,G3817,1)),"",IF((AND(FIND('112'!$M$9,G3817,1)&gt;=1,$B3817&gt;='112'!$N$8,$B3817&lt;='112'!$O$8,OR($L3817='112'!$I$6,$M3817='112'!$I$6))),"x",""))</f>
        <v/>
      </c>
      <c r="S3817" s="52" t="str">
        <f>IF(ISERROR(FIND('112'!$M$9,G3817,1)),"",IF((AND(LEFT(G3817,2)=LEFT('112'!$M$9,2),B3817&lt;'112'!$N$8,$L3817='112'!$I$6)),"x",""))</f>
        <v/>
      </c>
      <c r="T3817" s="52" t="str">
        <f>IF(ISERROR(FIND('112'!$M$9,G3817,1)),"",IF((AND(RIGHT(G3817,2)=RIGHT('112'!$M$9,2),B3817&lt;'112'!$N$8,$M3817='112'!$I$6)),"x",""))</f>
        <v/>
      </c>
      <c r="U3817" s="52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>154</v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826"/>
    </row>
    <row r="3818" spans="1:27" ht="15.75" customHeight="1">
      <c r="A3818" s="827" t="str">
        <f>IF(B3818&lt;&gt;"",IF(AND(B3818&gt;=_TM1,B3818&lt;=_TM2,OR(TH!L3818="1111",TH!M3818="1111")),TH!D3818,""),"")</f>
        <v/>
      </c>
      <c r="B3818" s="36">
        <f t="shared" ref="B3818" si="500">IF(C3818&lt;&gt;"",MONTH(C3818),"")</f>
        <v>6</v>
      </c>
      <c r="C3818" s="856">
        <f t="shared" ref="C3818" si="501">E3818</f>
        <v>42546</v>
      </c>
      <c r="D3818" s="856" t="s">
        <v>1664</v>
      </c>
      <c r="E3818" s="856">
        <v>42546</v>
      </c>
      <c r="F3818" s="857" t="s">
        <v>1281</v>
      </c>
      <c r="G3818" s="858" t="s">
        <v>789</v>
      </c>
      <c r="H3818" s="859" t="s">
        <v>1312</v>
      </c>
      <c r="I3818" s="251">
        <v>100</v>
      </c>
      <c r="J3818" s="251">
        <v>20844</v>
      </c>
      <c r="K3818" s="860">
        <f t="shared" ref="K3818" si="502">ROUND(I3818*J3818,0)</f>
        <v>2084400</v>
      </c>
      <c r="L3818" s="861" t="s">
        <v>160</v>
      </c>
      <c r="M3818" s="861" t="s">
        <v>857</v>
      </c>
      <c r="N3818" s="52" t="str">
        <f>IF(AND('331-CT'!$E$7=TH!H3818,OR(L3818="331",M3818="331")),"331",IF(AND(OR(L3818="131",M3818="131"),H3818='131-CT'!$E$7),"131",""))</f>
        <v/>
      </c>
      <c r="O3818" s="52" t="str">
        <f>IF(AND($B3818&gt;='111'!$N$11,$B3818&lt;='111'!$O$11,OR($L3818=$O$7,$M3818=$O$7)),"x","")</f>
        <v/>
      </c>
      <c r="P3818" s="52" t="str">
        <f>IF(AND($L3818=$O$7,$B3818&lt;'111'!$N$11),"x","")</f>
        <v/>
      </c>
      <c r="Q3818" s="52" t="str">
        <f>IF(AND($M3818=$O$7,$B3818&lt;'111'!$N$11),"x","")</f>
        <v/>
      </c>
      <c r="R3818" s="52" t="str">
        <f>IF(ISERROR(FIND('112'!$M$9,G3818,1)),"",IF((AND(FIND('112'!$M$9,G3818,1)&gt;=1,$B3818&gt;='112'!$N$8,$B3818&lt;='112'!$O$8,OR($L3818='112'!$I$6,$M3818='112'!$I$6))),"x",""))</f>
        <v/>
      </c>
      <c r="S3818" s="52" t="str">
        <f>IF(ISERROR(FIND('112'!$M$9,G3818,1)),"",IF((AND(LEFT(G3818,2)=LEFT('112'!$M$9,2),B3818&lt;'112'!$N$8,$L3818='112'!$I$6)),"x",""))</f>
        <v/>
      </c>
      <c r="T3818" s="52" t="str">
        <f>IF(ISERROR(FIND('112'!$M$9,G3818,1)),"",IF((AND(RIGHT(G3818,2)=RIGHT('112'!$M$9,2),B3818&lt;'112'!$N$8,$M3818='112'!$I$6)),"x",""))</f>
        <v/>
      </c>
      <c r="U3818" s="52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>154</v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826"/>
    </row>
    <row r="3819" spans="1:27" ht="15.75" customHeight="1">
      <c r="A3819" s="827" t="str">
        <f>IF(B3819&lt;&gt;"",IF(AND(B3819&gt;=_TM1,B3819&lt;=_TM2,OR(TH!L3819="1111",TH!M3819="1111")),TH!D3819,""),"")</f>
        <v/>
      </c>
      <c r="B3819" s="36">
        <f t="shared" si="499"/>
        <v>6</v>
      </c>
      <c r="C3819" s="856">
        <f t="shared" si="495"/>
        <v>42546</v>
      </c>
      <c r="D3819" s="856" t="s">
        <v>1664</v>
      </c>
      <c r="E3819" s="856">
        <v>42546</v>
      </c>
      <c r="F3819" s="857" t="s">
        <v>926</v>
      </c>
      <c r="G3819" s="858" t="s">
        <v>789</v>
      </c>
      <c r="H3819" s="859" t="s">
        <v>1312</v>
      </c>
      <c r="I3819" s="251">
        <v>60</v>
      </c>
      <c r="J3819" s="251">
        <v>34590</v>
      </c>
      <c r="K3819" s="860">
        <f t="shared" si="494"/>
        <v>2075400</v>
      </c>
      <c r="L3819" s="861" t="s">
        <v>160</v>
      </c>
      <c r="M3819" s="861" t="s">
        <v>857</v>
      </c>
      <c r="N3819" s="52" t="str">
        <f>IF(AND('331-CT'!$E$7=TH!H3819,OR(L3819="331",M3819="331")),"331",IF(AND(OR(L3819="131",M3819="131"),H3819='131-CT'!$E$7),"131",""))</f>
        <v/>
      </c>
      <c r="O3819" s="52" t="str">
        <f>IF(AND($B3819&gt;='111'!$N$11,$B3819&lt;='111'!$O$11,OR($L3819=$O$7,$M3819=$O$7)),"x","")</f>
        <v/>
      </c>
      <c r="P3819" s="52" t="str">
        <f>IF(AND($L3819=$O$7,$B3819&lt;'111'!$N$11),"x","")</f>
        <v/>
      </c>
      <c r="Q3819" s="52" t="str">
        <f>IF(AND($M3819=$O$7,$B3819&lt;'111'!$N$11),"x","")</f>
        <v/>
      </c>
      <c r="R3819" s="52" t="str">
        <f>IF(ISERROR(FIND('112'!$M$9,G3819,1)),"",IF((AND(FIND('112'!$M$9,G3819,1)&gt;=1,$B3819&gt;='112'!$N$8,$B3819&lt;='112'!$O$8,OR($L3819='112'!$I$6,$M3819='112'!$I$6))),"x",""))</f>
        <v/>
      </c>
      <c r="S3819" s="52" t="str">
        <f>IF(ISERROR(FIND('112'!$M$9,G3819,1)),"",IF((AND(LEFT(G3819,2)=LEFT('112'!$M$9,2),B3819&lt;'112'!$N$8,$L3819='112'!$I$6)),"x",""))</f>
        <v/>
      </c>
      <c r="T3819" s="52" t="str">
        <f>IF(ISERROR(FIND('112'!$M$9,G3819,1)),"",IF((AND(RIGHT(G3819,2)=RIGHT('112'!$M$9,2),B3819&lt;'112'!$N$8,$M3819='112'!$I$6)),"x",""))</f>
        <v/>
      </c>
      <c r="U3819" s="52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>154</v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826"/>
    </row>
    <row r="3820" spans="1:27" ht="15.75" customHeight="1">
      <c r="A3820" s="827" t="str">
        <f>IF(B3820&lt;&gt;"",IF(AND(B3820&gt;=_TM1,B3820&lt;=_TM2,OR(TH!L3820="1111",TH!M3820="1111")),TH!D3820,""),"")</f>
        <v/>
      </c>
      <c r="B3820" s="36">
        <f t="shared" si="499"/>
        <v>6</v>
      </c>
      <c r="C3820" s="856">
        <f t="shared" ref="C3820:C3884" si="503">E3820</f>
        <v>42548</v>
      </c>
      <c r="D3820" s="856" t="s">
        <v>1664</v>
      </c>
      <c r="E3820" s="856">
        <v>42548</v>
      </c>
      <c r="F3820" s="857" t="s">
        <v>1229</v>
      </c>
      <c r="G3820" s="858" t="s">
        <v>795</v>
      </c>
      <c r="H3820" s="859" t="s">
        <v>1312</v>
      </c>
      <c r="I3820" s="251">
        <v>2</v>
      </c>
      <c r="J3820" s="251">
        <v>16473</v>
      </c>
      <c r="K3820" s="860">
        <f t="shared" ref="K3820:K3884" si="504">ROUND(I3820*J3820,0)</f>
        <v>32946</v>
      </c>
      <c r="L3820" s="861" t="s">
        <v>160</v>
      </c>
      <c r="M3820" s="861" t="s">
        <v>857</v>
      </c>
      <c r="N3820" s="52" t="str">
        <f>IF(AND('331-CT'!$E$7=TH!H3820,OR(L3820="331",M3820="331")),"331",IF(AND(OR(L3820="131",M3820="131"),H3820='131-CT'!$E$7),"131",""))</f>
        <v/>
      </c>
      <c r="O3820" s="52" t="str">
        <f>IF(AND($B3820&gt;='111'!$N$11,$B3820&lt;='111'!$O$11,OR($L3820=$O$7,$M3820=$O$7)),"x","")</f>
        <v/>
      </c>
      <c r="P3820" s="52" t="str">
        <f>IF(AND($L3820=$O$7,$B3820&lt;'111'!$N$11),"x","")</f>
        <v/>
      </c>
      <c r="Q3820" s="52" t="str">
        <f>IF(AND($M3820=$O$7,$B3820&lt;'111'!$N$11),"x","")</f>
        <v/>
      </c>
      <c r="R3820" s="52" t="str">
        <f>IF(ISERROR(FIND('112'!$M$9,G3820,1)),"",IF((AND(FIND('112'!$M$9,G3820,1)&gt;=1,$B3820&gt;='112'!$N$8,$B3820&lt;='112'!$O$8,OR($L3820='112'!$I$6,$M3820='112'!$I$6))),"x",""))</f>
        <v/>
      </c>
      <c r="S3820" s="52" t="str">
        <f>IF(ISERROR(FIND('112'!$M$9,G3820,1)),"",IF((AND(LEFT(G3820,2)=LEFT('112'!$M$9,2),B3820&lt;'112'!$N$8,$L3820='112'!$I$6)),"x",""))</f>
        <v/>
      </c>
      <c r="T3820" s="52" t="str">
        <f>IF(ISERROR(FIND('112'!$M$9,G3820,1)),"",IF((AND(RIGHT(G3820,2)=RIGHT('112'!$M$9,2),B3820&lt;'112'!$N$8,$M3820='112'!$I$6)),"x",""))</f>
        <v/>
      </c>
      <c r="U3820" s="52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>154</v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826"/>
    </row>
    <row r="3821" spans="1:27" ht="15.75" customHeight="1">
      <c r="A3821" s="827" t="str">
        <f>IF(B3821&lt;&gt;"",IF(AND(B3821&gt;=_TM1,B3821&lt;=_TM2,OR(TH!L3821="1111",TH!M3821="1111")),TH!D3821,""),"")</f>
        <v/>
      </c>
      <c r="B3821" s="36">
        <f t="shared" si="499"/>
        <v>6</v>
      </c>
      <c r="C3821" s="856">
        <f t="shared" si="503"/>
        <v>42549</v>
      </c>
      <c r="D3821" s="856" t="s">
        <v>1664</v>
      </c>
      <c r="E3821" s="856">
        <v>42549</v>
      </c>
      <c r="F3821" s="857" t="s">
        <v>1176</v>
      </c>
      <c r="G3821" s="858" t="s">
        <v>798</v>
      </c>
      <c r="H3821" s="859" t="s">
        <v>1312</v>
      </c>
      <c r="I3821" s="251">
        <v>1</v>
      </c>
      <c r="J3821" s="251">
        <v>19048</v>
      </c>
      <c r="K3821" s="860">
        <f t="shared" si="504"/>
        <v>19048</v>
      </c>
      <c r="L3821" s="861" t="s">
        <v>160</v>
      </c>
      <c r="M3821" s="861" t="s">
        <v>857</v>
      </c>
      <c r="N3821" s="52" t="str">
        <f>IF(AND('331-CT'!$E$7=TH!H3821,OR(L3821="331",M3821="331")),"331",IF(AND(OR(L3821="131",M3821="131"),H3821='131-CT'!$E$7),"131",""))</f>
        <v/>
      </c>
      <c r="O3821" s="52" t="str">
        <f>IF(AND($B3821&gt;='111'!$N$11,$B3821&lt;='111'!$O$11,OR($L3821=$O$7,$M3821=$O$7)),"x","")</f>
        <v/>
      </c>
      <c r="P3821" s="52" t="str">
        <f>IF(AND($L3821=$O$7,$B3821&lt;'111'!$N$11),"x","")</f>
        <v/>
      </c>
      <c r="Q3821" s="52" t="str">
        <f>IF(AND($M3821=$O$7,$B3821&lt;'111'!$N$11),"x","")</f>
        <v/>
      </c>
      <c r="R3821" s="52" t="str">
        <f>IF(ISERROR(FIND('112'!$M$9,G3821,1)),"",IF((AND(FIND('112'!$M$9,G3821,1)&gt;=1,$B3821&gt;='112'!$N$8,$B3821&lt;='112'!$O$8,OR($L3821='112'!$I$6,$M3821='112'!$I$6))),"x",""))</f>
        <v/>
      </c>
      <c r="S3821" s="52" t="str">
        <f>IF(ISERROR(FIND('112'!$M$9,G3821,1)),"",IF((AND(LEFT(G3821,2)=LEFT('112'!$M$9,2),B3821&lt;'112'!$N$8,$L3821='112'!$I$6)),"x",""))</f>
        <v/>
      </c>
      <c r="T3821" s="52" t="str">
        <f>IF(ISERROR(FIND('112'!$M$9,G3821,1)),"",IF((AND(RIGHT(G3821,2)=RIGHT('112'!$M$9,2),B3821&lt;'112'!$N$8,$M3821='112'!$I$6)),"x",""))</f>
        <v/>
      </c>
      <c r="U3821" s="52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>154</v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826"/>
    </row>
    <row r="3822" spans="1:27" ht="15.75" customHeight="1">
      <c r="A3822" s="827" t="str">
        <f>IF(B3822&lt;&gt;"",IF(AND(B3822&gt;=_TM1,B3822&lt;=_TM2,OR(TH!L3822="1111",TH!M3822="1111")),TH!D3822,""),"")</f>
        <v/>
      </c>
      <c r="B3822" s="36">
        <f t="shared" si="499"/>
        <v>6</v>
      </c>
      <c r="C3822" s="856">
        <f t="shared" si="503"/>
        <v>42549</v>
      </c>
      <c r="D3822" s="856" t="s">
        <v>1664</v>
      </c>
      <c r="E3822" s="856">
        <v>42549</v>
      </c>
      <c r="F3822" s="857" t="s">
        <v>1240</v>
      </c>
      <c r="G3822" s="858" t="s">
        <v>798</v>
      </c>
      <c r="H3822" s="859" t="s">
        <v>1312</v>
      </c>
      <c r="I3822" s="251">
        <v>6</v>
      </c>
      <c r="J3822" s="251">
        <v>10710</v>
      </c>
      <c r="K3822" s="860">
        <f t="shared" si="504"/>
        <v>64260</v>
      </c>
      <c r="L3822" s="861" t="s">
        <v>160</v>
      </c>
      <c r="M3822" s="861" t="s">
        <v>857</v>
      </c>
      <c r="N3822" s="52" t="str">
        <f>IF(AND('331-CT'!$E$7=TH!H3822,OR(L3822="331",M3822="331")),"331",IF(AND(OR(L3822="131",M3822="131"),H3822='131-CT'!$E$7),"131",""))</f>
        <v/>
      </c>
      <c r="O3822" s="52" t="str">
        <f>IF(AND($B3822&gt;='111'!$N$11,$B3822&lt;='111'!$O$11,OR($L3822=$O$7,$M3822=$O$7)),"x","")</f>
        <v/>
      </c>
      <c r="P3822" s="52" t="str">
        <f>IF(AND($L3822=$O$7,$B3822&lt;'111'!$N$11),"x","")</f>
        <v/>
      </c>
      <c r="Q3822" s="52" t="str">
        <f>IF(AND($M3822=$O$7,$B3822&lt;'111'!$N$11),"x","")</f>
        <v/>
      </c>
      <c r="R3822" s="52" t="str">
        <f>IF(ISERROR(FIND('112'!$M$9,G3822,1)),"",IF((AND(FIND('112'!$M$9,G3822,1)&gt;=1,$B3822&gt;='112'!$N$8,$B3822&lt;='112'!$O$8,OR($L3822='112'!$I$6,$M3822='112'!$I$6))),"x",""))</f>
        <v/>
      </c>
      <c r="S3822" s="52" t="str">
        <f>IF(ISERROR(FIND('112'!$M$9,G3822,1)),"",IF((AND(LEFT(G3822,2)=LEFT('112'!$M$9,2),B3822&lt;'112'!$N$8,$L3822='112'!$I$6)),"x",""))</f>
        <v/>
      </c>
      <c r="T3822" s="52" t="str">
        <f>IF(ISERROR(FIND('112'!$M$9,G3822,1)),"",IF((AND(RIGHT(G3822,2)=RIGHT('112'!$M$9,2),B3822&lt;'112'!$N$8,$M3822='112'!$I$6)),"x",""))</f>
        <v/>
      </c>
      <c r="U3822" s="52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>154</v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826"/>
    </row>
    <row r="3823" spans="1:27" ht="15.75" customHeight="1">
      <c r="A3823" s="827" t="str">
        <f>IF(B3823&lt;&gt;"",IF(AND(B3823&gt;=_TM1,B3823&lt;=_TM2,OR(TH!L3823="1111",TH!M3823="1111")),TH!D3823,""),"")</f>
        <v/>
      </c>
      <c r="B3823" s="36">
        <f t="shared" si="499"/>
        <v>6</v>
      </c>
      <c r="C3823" s="856">
        <f t="shared" si="503"/>
        <v>42549</v>
      </c>
      <c r="D3823" s="856" t="s">
        <v>1664</v>
      </c>
      <c r="E3823" s="856">
        <v>42549</v>
      </c>
      <c r="F3823" s="857" t="s">
        <v>1300</v>
      </c>
      <c r="G3823" s="858" t="s">
        <v>798</v>
      </c>
      <c r="H3823" s="859" t="s">
        <v>1312</v>
      </c>
      <c r="I3823" s="251">
        <v>20</v>
      </c>
      <c r="J3823" s="251">
        <v>48270.5</v>
      </c>
      <c r="K3823" s="860">
        <f t="shared" si="504"/>
        <v>965410</v>
      </c>
      <c r="L3823" s="861" t="s">
        <v>160</v>
      </c>
      <c r="M3823" s="861" t="s">
        <v>857</v>
      </c>
      <c r="N3823" s="52" t="str">
        <f>IF(AND('331-CT'!$E$7=TH!H3823,OR(L3823="331",M3823="331")),"331",IF(AND(OR(L3823="131",M3823="131"),H3823='131-CT'!$E$7),"131",""))</f>
        <v/>
      </c>
      <c r="O3823" s="52" t="str">
        <f>IF(AND($B3823&gt;='111'!$N$11,$B3823&lt;='111'!$O$11,OR($L3823=$O$7,$M3823=$O$7)),"x","")</f>
        <v/>
      </c>
      <c r="P3823" s="52" t="str">
        <f>IF(AND($L3823=$O$7,$B3823&lt;'111'!$N$11),"x","")</f>
        <v/>
      </c>
      <c r="Q3823" s="52" t="str">
        <f>IF(AND($M3823=$O$7,$B3823&lt;'111'!$N$11),"x","")</f>
        <v/>
      </c>
      <c r="R3823" s="52" t="str">
        <f>IF(ISERROR(FIND('112'!$M$9,G3823,1)),"",IF((AND(FIND('112'!$M$9,G3823,1)&gt;=1,$B3823&gt;='112'!$N$8,$B3823&lt;='112'!$O$8,OR($L3823='112'!$I$6,$M3823='112'!$I$6))),"x",""))</f>
        <v/>
      </c>
      <c r="S3823" s="52" t="str">
        <f>IF(ISERROR(FIND('112'!$M$9,G3823,1)),"",IF((AND(LEFT(G3823,2)=LEFT('112'!$M$9,2),B3823&lt;'112'!$N$8,$L3823='112'!$I$6)),"x",""))</f>
        <v/>
      </c>
      <c r="T3823" s="52" t="str">
        <f>IF(ISERROR(FIND('112'!$M$9,G3823,1)),"",IF((AND(RIGHT(G3823,2)=RIGHT('112'!$M$9,2),B3823&lt;'112'!$N$8,$M3823='112'!$I$6)),"x",""))</f>
        <v/>
      </c>
      <c r="U3823" s="52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>154</v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826"/>
    </row>
    <row r="3824" spans="1:27" ht="15.75" customHeight="1">
      <c r="A3824" s="827" t="str">
        <f>IF(B3824&lt;&gt;"",IF(AND(B3824&gt;=_TM1,B3824&lt;=_TM2,OR(TH!L3824="1111",TH!M3824="1111")),TH!D3824,""),"")</f>
        <v/>
      </c>
      <c r="B3824" s="36">
        <f t="shared" si="499"/>
        <v>6</v>
      </c>
      <c r="C3824" s="856">
        <f t="shared" si="503"/>
        <v>42549</v>
      </c>
      <c r="D3824" s="856" t="s">
        <v>1664</v>
      </c>
      <c r="E3824" s="856">
        <v>42549</v>
      </c>
      <c r="F3824" s="857" t="s">
        <v>1195</v>
      </c>
      <c r="G3824" s="858" t="s">
        <v>798</v>
      </c>
      <c r="H3824" s="859" t="s">
        <v>1312</v>
      </c>
      <c r="I3824" s="251">
        <v>25</v>
      </c>
      <c r="J3824" s="251">
        <v>24748</v>
      </c>
      <c r="K3824" s="860">
        <f t="shared" si="504"/>
        <v>618700</v>
      </c>
      <c r="L3824" s="861" t="s">
        <v>160</v>
      </c>
      <c r="M3824" s="861" t="s">
        <v>857</v>
      </c>
      <c r="N3824" s="52" t="str">
        <f>IF(AND('331-CT'!$E$7=TH!H3824,OR(L3824="331",M3824="331")),"331",IF(AND(OR(L3824="131",M3824="131"),H3824='131-CT'!$E$7),"131",""))</f>
        <v/>
      </c>
      <c r="O3824" s="52" t="str">
        <f>IF(AND($B3824&gt;='111'!$N$11,$B3824&lt;='111'!$O$11,OR($L3824=$O$7,$M3824=$O$7)),"x","")</f>
        <v/>
      </c>
      <c r="P3824" s="52" t="str">
        <f>IF(AND($L3824=$O$7,$B3824&lt;'111'!$N$11),"x","")</f>
        <v/>
      </c>
      <c r="Q3824" s="52" t="str">
        <f>IF(AND($M3824=$O$7,$B3824&lt;'111'!$N$11),"x","")</f>
        <v/>
      </c>
      <c r="R3824" s="52" t="str">
        <f>IF(ISERROR(FIND('112'!$M$9,G3824,1)),"",IF((AND(FIND('112'!$M$9,G3824,1)&gt;=1,$B3824&gt;='112'!$N$8,$B3824&lt;='112'!$O$8,OR($L3824='112'!$I$6,$M3824='112'!$I$6))),"x",""))</f>
        <v/>
      </c>
      <c r="S3824" s="52" t="str">
        <f>IF(ISERROR(FIND('112'!$M$9,G3824,1)),"",IF((AND(LEFT(G3824,2)=LEFT('112'!$M$9,2),B3824&lt;'112'!$N$8,$L3824='112'!$I$6)),"x",""))</f>
        <v/>
      </c>
      <c r="T3824" s="52" t="str">
        <f>IF(ISERROR(FIND('112'!$M$9,G3824,1)),"",IF((AND(RIGHT(G3824,2)=RIGHT('112'!$M$9,2),B3824&lt;'112'!$N$8,$M3824='112'!$I$6)),"x",""))</f>
        <v/>
      </c>
      <c r="U3824" s="52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>154</v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826"/>
    </row>
    <row r="3825" spans="1:27" ht="15.75" customHeight="1">
      <c r="A3825" s="827" t="str">
        <f>IF(B3825&lt;&gt;"",IF(AND(B3825&gt;=_TM1,B3825&lt;=_TM2,OR(TH!L3825="1111",TH!M3825="1111")),TH!D3825,""),"")</f>
        <v/>
      </c>
      <c r="B3825" s="36">
        <f t="shared" si="499"/>
        <v>6</v>
      </c>
      <c r="C3825" s="856">
        <f t="shared" si="503"/>
        <v>42549</v>
      </c>
      <c r="D3825" s="856" t="s">
        <v>1664</v>
      </c>
      <c r="E3825" s="856">
        <v>42549</v>
      </c>
      <c r="F3825" s="857" t="s">
        <v>1173</v>
      </c>
      <c r="G3825" s="858" t="s">
        <v>798</v>
      </c>
      <c r="H3825" s="859" t="s">
        <v>1312</v>
      </c>
      <c r="I3825" s="251">
        <v>400</v>
      </c>
      <c r="J3825" s="251">
        <v>25000</v>
      </c>
      <c r="K3825" s="860">
        <f t="shared" si="504"/>
        <v>10000000</v>
      </c>
      <c r="L3825" s="861" t="s">
        <v>160</v>
      </c>
      <c r="M3825" s="861" t="s">
        <v>857</v>
      </c>
      <c r="N3825" s="52" t="str">
        <f>IF(AND('331-CT'!$E$7=TH!H3825,OR(L3825="331",M3825="331")),"331",IF(AND(OR(L3825="131",M3825="131"),H3825='131-CT'!$E$7),"131",""))</f>
        <v/>
      </c>
      <c r="O3825" s="52" t="str">
        <f>IF(AND($B3825&gt;='111'!$N$11,$B3825&lt;='111'!$O$11,OR($L3825=$O$7,$M3825=$O$7)),"x","")</f>
        <v/>
      </c>
      <c r="P3825" s="52" t="str">
        <f>IF(AND($L3825=$O$7,$B3825&lt;'111'!$N$11),"x","")</f>
        <v/>
      </c>
      <c r="Q3825" s="52" t="str">
        <f>IF(AND($M3825=$O$7,$B3825&lt;'111'!$N$11),"x","")</f>
        <v/>
      </c>
      <c r="R3825" s="52" t="str">
        <f>IF(ISERROR(FIND('112'!$M$9,G3825,1)),"",IF((AND(FIND('112'!$M$9,G3825,1)&gt;=1,$B3825&gt;='112'!$N$8,$B3825&lt;='112'!$O$8,OR($L3825='112'!$I$6,$M3825='112'!$I$6))),"x",""))</f>
        <v/>
      </c>
      <c r="S3825" s="52" t="str">
        <f>IF(ISERROR(FIND('112'!$M$9,G3825,1)),"",IF((AND(LEFT(G3825,2)=LEFT('112'!$M$9,2),B3825&lt;'112'!$N$8,$L3825='112'!$I$6)),"x",""))</f>
        <v/>
      </c>
      <c r="T3825" s="52" t="str">
        <f>IF(ISERROR(FIND('112'!$M$9,G3825,1)),"",IF((AND(RIGHT(G3825,2)=RIGHT('112'!$M$9,2),B3825&lt;'112'!$N$8,$M3825='112'!$I$6)),"x",""))</f>
        <v/>
      </c>
      <c r="U3825" s="52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>154</v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826"/>
    </row>
    <row r="3826" spans="1:27" ht="15.75" customHeight="1">
      <c r="A3826" s="827" t="str">
        <f>IF(B3826&lt;&gt;"",IF(AND(B3826&gt;=_TM1,B3826&lt;=_TM2,OR(TH!L3826="1111",TH!M3826="1111")),TH!D3826,""),"")</f>
        <v/>
      </c>
      <c r="B3826" s="36">
        <f t="shared" ref="B3826" si="505">IF(C3826&lt;&gt;"",MONTH(C3826),"")</f>
        <v>6</v>
      </c>
      <c r="C3826" s="856">
        <f t="shared" ref="C3826" si="506">E3826</f>
        <v>42549</v>
      </c>
      <c r="D3826" s="856" t="s">
        <v>1664</v>
      </c>
      <c r="E3826" s="856">
        <v>42549</v>
      </c>
      <c r="F3826" s="857" t="s">
        <v>1277</v>
      </c>
      <c r="G3826" s="858" t="s">
        <v>798</v>
      </c>
      <c r="H3826" s="859" t="s">
        <v>1312</v>
      </c>
      <c r="I3826" s="251">
        <v>102</v>
      </c>
      <c r="J3826" s="251">
        <v>22613</v>
      </c>
      <c r="K3826" s="860">
        <f t="shared" ref="K3826" si="507">ROUND(I3826*J3826,0)</f>
        <v>2306526</v>
      </c>
      <c r="L3826" s="861" t="s">
        <v>160</v>
      </c>
      <c r="M3826" s="861" t="s">
        <v>857</v>
      </c>
      <c r="N3826" s="52" t="str">
        <f>IF(AND('331-CT'!$E$7=TH!H3826,OR(L3826="331",M3826="331")),"331",IF(AND(OR(L3826="131",M3826="131"),H3826='131-CT'!$E$7),"131",""))</f>
        <v/>
      </c>
      <c r="O3826" s="52" t="str">
        <f>IF(AND($B3826&gt;='111'!$N$11,$B3826&lt;='111'!$O$11,OR($L3826=$O$7,$M3826=$O$7)),"x","")</f>
        <v/>
      </c>
      <c r="P3826" s="52" t="str">
        <f>IF(AND($L3826=$O$7,$B3826&lt;'111'!$N$11),"x","")</f>
        <v/>
      </c>
      <c r="Q3826" s="52" t="str">
        <f>IF(AND($M3826=$O$7,$B3826&lt;'111'!$N$11),"x","")</f>
        <v/>
      </c>
      <c r="R3826" s="52" t="str">
        <f>IF(ISERROR(FIND('112'!$M$9,G3826,1)),"",IF((AND(FIND('112'!$M$9,G3826,1)&gt;=1,$B3826&gt;='112'!$N$8,$B3826&lt;='112'!$O$8,OR($L3826='112'!$I$6,$M3826='112'!$I$6))),"x",""))</f>
        <v/>
      </c>
      <c r="S3826" s="52" t="str">
        <f>IF(ISERROR(FIND('112'!$M$9,G3826,1)),"",IF((AND(LEFT(G3826,2)=LEFT('112'!$M$9,2),B3826&lt;'112'!$N$8,$L3826='112'!$I$6)),"x",""))</f>
        <v/>
      </c>
      <c r="T3826" s="52" t="str">
        <f>IF(ISERROR(FIND('112'!$M$9,G3826,1)),"",IF((AND(RIGHT(G3826,2)=RIGHT('112'!$M$9,2),B3826&lt;'112'!$N$8,$M3826='112'!$I$6)),"x",""))</f>
        <v/>
      </c>
      <c r="U3826" s="52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>154</v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826"/>
    </row>
    <row r="3827" spans="1:27" ht="15.75" customHeight="1">
      <c r="A3827" s="827" t="str">
        <f>IF(B3827&lt;&gt;"",IF(AND(B3827&gt;=_TM1,B3827&lt;=_TM2,OR(TH!L3827="1111",TH!M3827="1111")),TH!D3827,""),"")</f>
        <v/>
      </c>
      <c r="B3827" s="36">
        <f t="shared" si="499"/>
        <v>6</v>
      </c>
      <c r="C3827" s="856">
        <f t="shared" si="503"/>
        <v>42549</v>
      </c>
      <c r="D3827" s="856" t="s">
        <v>1664</v>
      </c>
      <c r="E3827" s="856">
        <v>42549</v>
      </c>
      <c r="F3827" s="857" t="s">
        <v>1294</v>
      </c>
      <c r="G3827" s="858" t="s">
        <v>799</v>
      </c>
      <c r="H3827" s="859" t="s">
        <v>1312</v>
      </c>
      <c r="I3827" s="251">
        <v>50</v>
      </c>
      <c r="J3827" s="251">
        <v>21020</v>
      </c>
      <c r="K3827" s="860">
        <f t="shared" si="504"/>
        <v>1051000</v>
      </c>
      <c r="L3827" s="861" t="s">
        <v>160</v>
      </c>
      <c r="M3827" s="861" t="s">
        <v>857</v>
      </c>
      <c r="N3827" s="52" t="str">
        <f>IF(AND('331-CT'!$E$7=TH!H3827,OR(L3827="331",M3827="331")),"331",IF(AND(OR(L3827="131",M3827="131"),H3827='131-CT'!$E$7),"131",""))</f>
        <v/>
      </c>
      <c r="O3827" s="52" t="str">
        <f>IF(AND($B3827&gt;='111'!$N$11,$B3827&lt;='111'!$O$11,OR($L3827=$O$7,$M3827=$O$7)),"x","")</f>
        <v/>
      </c>
      <c r="P3827" s="52" t="str">
        <f>IF(AND($L3827=$O$7,$B3827&lt;'111'!$N$11),"x","")</f>
        <v/>
      </c>
      <c r="Q3827" s="52" t="str">
        <f>IF(AND($M3827=$O$7,$B3827&lt;'111'!$N$11),"x","")</f>
        <v/>
      </c>
      <c r="R3827" s="52" t="str">
        <f>IF(ISERROR(FIND('112'!$M$9,G3827,1)),"",IF((AND(FIND('112'!$M$9,G3827,1)&gt;=1,$B3827&gt;='112'!$N$8,$B3827&lt;='112'!$O$8,OR($L3827='112'!$I$6,$M3827='112'!$I$6))),"x",""))</f>
        <v/>
      </c>
      <c r="S3827" s="52" t="str">
        <f>IF(ISERROR(FIND('112'!$M$9,G3827,1)),"",IF((AND(LEFT(G3827,2)=LEFT('112'!$M$9,2),B3827&lt;'112'!$N$8,$L3827='112'!$I$6)),"x",""))</f>
        <v/>
      </c>
      <c r="T3827" s="52" t="str">
        <f>IF(ISERROR(FIND('112'!$M$9,G3827,1)),"",IF((AND(RIGHT(G3827,2)=RIGHT('112'!$M$9,2),B3827&lt;'112'!$N$8,$M3827='112'!$I$6)),"x",""))</f>
        <v/>
      </c>
      <c r="U3827" s="52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>154</v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826"/>
    </row>
    <row r="3828" spans="1:27" ht="15.75" customHeight="1">
      <c r="A3828" s="827" t="str">
        <f>IF(B3828&lt;&gt;"",IF(AND(B3828&gt;=_TM1,B3828&lt;=_TM2,OR(TH!L3828="1111",TH!M3828="1111")),TH!D3828,""),"")</f>
        <v/>
      </c>
      <c r="B3828" s="36">
        <f t="shared" si="499"/>
        <v>6</v>
      </c>
      <c r="C3828" s="856">
        <f t="shared" si="503"/>
        <v>42549</v>
      </c>
      <c r="D3828" s="856" t="s">
        <v>1664</v>
      </c>
      <c r="E3828" s="856">
        <v>42549</v>
      </c>
      <c r="F3828" s="857" t="s">
        <v>1300</v>
      </c>
      <c r="G3828" s="858" t="s">
        <v>804</v>
      </c>
      <c r="H3828" s="859" t="s">
        <v>1312</v>
      </c>
      <c r="I3828" s="251">
        <v>112</v>
      </c>
      <c r="J3828" s="251">
        <v>48270.491071428572</v>
      </c>
      <c r="K3828" s="860">
        <f t="shared" si="504"/>
        <v>5406295</v>
      </c>
      <c r="L3828" s="861" t="s">
        <v>160</v>
      </c>
      <c r="M3828" s="861" t="s">
        <v>857</v>
      </c>
      <c r="N3828" s="52" t="str">
        <f>IF(AND('331-CT'!$E$7=TH!H3828,OR(L3828="331",M3828="331")),"331",IF(AND(OR(L3828="131",M3828="131"),H3828='131-CT'!$E$7),"131",""))</f>
        <v/>
      </c>
      <c r="O3828" s="52" t="str">
        <f>IF(AND($B3828&gt;='111'!$N$11,$B3828&lt;='111'!$O$11,OR($L3828=$O$7,$M3828=$O$7)),"x","")</f>
        <v/>
      </c>
      <c r="P3828" s="52" t="str">
        <f>IF(AND($L3828=$O$7,$B3828&lt;'111'!$N$11),"x","")</f>
        <v/>
      </c>
      <c r="Q3828" s="52" t="str">
        <f>IF(AND($M3828=$O$7,$B3828&lt;'111'!$N$11),"x","")</f>
        <v/>
      </c>
      <c r="R3828" s="52" t="str">
        <f>IF(ISERROR(FIND('112'!$M$9,G3828,1)),"",IF((AND(FIND('112'!$M$9,G3828,1)&gt;=1,$B3828&gt;='112'!$N$8,$B3828&lt;='112'!$O$8,OR($L3828='112'!$I$6,$M3828='112'!$I$6))),"x",""))</f>
        <v/>
      </c>
      <c r="S3828" s="52" t="str">
        <f>IF(ISERROR(FIND('112'!$M$9,G3828,1)),"",IF((AND(LEFT(G3828,2)=LEFT('112'!$M$9,2),B3828&lt;'112'!$N$8,$L3828='112'!$I$6)),"x",""))</f>
        <v/>
      </c>
      <c r="T3828" s="52" t="str">
        <f>IF(ISERROR(FIND('112'!$M$9,G3828,1)),"",IF((AND(RIGHT(G3828,2)=RIGHT('112'!$M$9,2),B3828&lt;'112'!$N$8,$M3828='112'!$I$6)),"x",""))</f>
        <v/>
      </c>
      <c r="U3828" s="52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>154</v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826"/>
    </row>
    <row r="3829" spans="1:27" ht="15.75" customHeight="1">
      <c r="A3829" s="827" t="str">
        <f>IF(B3829&lt;&gt;"",IF(AND(B3829&gt;=_TM1,B3829&lt;=_TM2,OR(TH!L3829="1111",TH!M3829="1111")),TH!D3829,""),"")</f>
        <v/>
      </c>
      <c r="B3829" s="36">
        <f t="shared" si="499"/>
        <v>4</v>
      </c>
      <c r="C3829" s="856">
        <f t="shared" si="503"/>
        <v>42462</v>
      </c>
      <c r="D3829" s="856" t="s">
        <v>1664</v>
      </c>
      <c r="E3829" s="856">
        <v>42462</v>
      </c>
      <c r="F3829" s="857" t="s">
        <v>1288</v>
      </c>
      <c r="G3829" s="858" t="s">
        <v>629</v>
      </c>
      <c r="H3829" s="859" t="s">
        <v>1312</v>
      </c>
      <c r="I3829" s="251">
        <v>11</v>
      </c>
      <c r="J3829" s="251">
        <v>23745</v>
      </c>
      <c r="K3829" s="860">
        <f t="shared" si="504"/>
        <v>261195</v>
      </c>
      <c r="L3829" s="861" t="s">
        <v>160</v>
      </c>
      <c r="M3829" s="861" t="s">
        <v>857</v>
      </c>
      <c r="N3829" s="52" t="str">
        <f>IF(AND('331-CT'!$E$7=TH!H3829,OR(L3829="331",M3829="331")),"331",IF(AND(OR(L3829="131",M3829="131"),H3829='131-CT'!$E$7),"131",""))</f>
        <v/>
      </c>
      <c r="O3829" s="52" t="str">
        <f>IF(AND($B3829&gt;='111'!$N$11,$B3829&lt;='111'!$O$11,OR($L3829=$O$7,$M3829=$O$7)),"x","")</f>
        <v/>
      </c>
      <c r="P3829" s="52" t="str">
        <f>IF(AND($L3829=$O$7,$B3829&lt;'111'!$N$11),"x","")</f>
        <v/>
      </c>
      <c r="Q3829" s="52" t="str">
        <f>IF(AND($M3829=$O$7,$B3829&lt;'111'!$N$11),"x","")</f>
        <v/>
      </c>
      <c r="R3829" s="52" t="str">
        <f>IF(ISERROR(FIND('112'!$M$9,G3829,1)),"",IF((AND(FIND('112'!$M$9,G3829,1)&gt;=1,$B3829&gt;='112'!$N$8,$B3829&lt;='112'!$O$8,OR($L3829='112'!$I$6,$M3829='112'!$I$6))),"x",""))</f>
        <v/>
      </c>
      <c r="S3829" s="52" t="str">
        <f>IF(ISERROR(FIND('112'!$M$9,G3829,1)),"",IF((AND(LEFT(G3829,2)=LEFT('112'!$M$9,2),B3829&lt;'112'!$N$8,$L3829='112'!$I$6)),"x",""))</f>
        <v/>
      </c>
      <c r="T3829" s="52" t="str">
        <f>IF(ISERROR(FIND('112'!$M$9,G3829,1)),"",IF((AND(RIGHT(G3829,2)=RIGHT('112'!$M$9,2),B3829&lt;'112'!$N$8,$M3829='112'!$I$6)),"x",""))</f>
        <v/>
      </c>
      <c r="U3829" s="52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>154</v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826"/>
    </row>
    <row r="3830" spans="1:27" ht="15.75" customHeight="1">
      <c r="A3830" s="827" t="str">
        <f>IF(B3830&lt;&gt;"",IF(AND(B3830&gt;=_TM1,B3830&lt;=_TM2,OR(TH!L3830="1111",TH!M3830="1111")),TH!D3830,""),"")</f>
        <v/>
      </c>
      <c r="B3830" s="36">
        <f t="shared" si="499"/>
        <v>4</v>
      </c>
      <c r="C3830" s="856">
        <f t="shared" si="503"/>
        <v>42464</v>
      </c>
      <c r="D3830" s="856" t="s">
        <v>1664</v>
      </c>
      <c r="E3830" s="856">
        <v>42464</v>
      </c>
      <c r="F3830" s="857" t="s">
        <v>1242</v>
      </c>
      <c r="G3830" s="858" t="s">
        <v>635</v>
      </c>
      <c r="H3830" s="859" t="s">
        <v>1312</v>
      </c>
      <c r="I3830" s="251">
        <v>20</v>
      </c>
      <c r="J3830" s="251">
        <v>6503</v>
      </c>
      <c r="K3830" s="860">
        <f t="shared" si="504"/>
        <v>130060</v>
      </c>
      <c r="L3830" s="861" t="s">
        <v>160</v>
      </c>
      <c r="M3830" s="861" t="s">
        <v>857</v>
      </c>
      <c r="N3830" s="52" t="str">
        <f>IF(AND('331-CT'!$E$7=TH!H3830,OR(L3830="331",M3830="331")),"331",IF(AND(OR(L3830="131",M3830="131"),H3830='131-CT'!$E$7),"131",""))</f>
        <v/>
      </c>
      <c r="O3830" s="52" t="str">
        <f>IF(AND($B3830&gt;='111'!$N$11,$B3830&lt;='111'!$O$11,OR($L3830=$O$7,$M3830=$O$7)),"x","")</f>
        <v/>
      </c>
      <c r="P3830" s="52" t="str">
        <f>IF(AND($L3830=$O$7,$B3830&lt;'111'!$N$11),"x","")</f>
        <v/>
      </c>
      <c r="Q3830" s="52" t="str">
        <f>IF(AND($M3830=$O$7,$B3830&lt;'111'!$N$11),"x","")</f>
        <v/>
      </c>
      <c r="R3830" s="52" t="str">
        <f>IF(ISERROR(FIND('112'!$M$9,G3830,1)),"",IF((AND(FIND('112'!$M$9,G3830,1)&gt;=1,$B3830&gt;='112'!$N$8,$B3830&lt;='112'!$O$8,OR($L3830='112'!$I$6,$M3830='112'!$I$6))),"x",""))</f>
        <v/>
      </c>
      <c r="S3830" s="52" t="str">
        <f>IF(ISERROR(FIND('112'!$M$9,G3830,1)),"",IF((AND(LEFT(G3830,2)=LEFT('112'!$M$9,2),B3830&lt;'112'!$N$8,$L3830='112'!$I$6)),"x",""))</f>
        <v/>
      </c>
      <c r="T3830" s="52" t="str">
        <f>IF(ISERROR(FIND('112'!$M$9,G3830,1)),"",IF((AND(RIGHT(G3830,2)=RIGHT('112'!$M$9,2),B3830&lt;'112'!$N$8,$M3830='112'!$I$6)),"x",""))</f>
        <v/>
      </c>
      <c r="U3830" s="52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>154</v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826"/>
    </row>
    <row r="3831" spans="1:27" ht="15.75" customHeight="1">
      <c r="A3831" s="827" t="str">
        <f>IF(B3831&lt;&gt;"",IF(AND(B3831&gt;=_TM1,B3831&lt;=_TM2,OR(TH!L3831="1111",TH!M3831="1111")),TH!D3831,""),"")</f>
        <v/>
      </c>
      <c r="B3831" s="36">
        <f t="shared" si="499"/>
        <v>4</v>
      </c>
      <c r="C3831" s="856">
        <f t="shared" si="503"/>
        <v>42465</v>
      </c>
      <c r="D3831" s="856" t="s">
        <v>1664</v>
      </c>
      <c r="E3831" s="856">
        <v>42465</v>
      </c>
      <c r="F3831" s="857" t="s">
        <v>1237</v>
      </c>
      <c r="G3831" s="858" t="s">
        <v>638</v>
      </c>
      <c r="H3831" s="859" t="s">
        <v>1312</v>
      </c>
      <c r="I3831" s="251">
        <v>7</v>
      </c>
      <c r="J3831" s="251">
        <v>11362</v>
      </c>
      <c r="K3831" s="860">
        <f t="shared" si="504"/>
        <v>79534</v>
      </c>
      <c r="L3831" s="861" t="s">
        <v>160</v>
      </c>
      <c r="M3831" s="861" t="s">
        <v>857</v>
      </c>
      <c r="N3831" s="52" t="str">
        <f>IF(AND('331-CT'!$E$7=TH!H3831,OR(L3831="331",M3831="331")),"331",IF(AND(OR(L3831="131",M3831="131"),H3831='131-CT'!$E$7),"131",""))</f>
        <v/>
      </c>
      <c r="O3831" s="52" t="str">
        <f>IF(AND($B3831&gt;='111'!$N$11,$B3831&lt;='111'!$O$11,OR($L3831=$O$7,$M3831=$O$7)),"x","")</f>
        <v/>
      </c>
      <c r="P3831" s="52" t="str">
        <f>IF(AND($L3831=$O$7,$B3831&lt;'111'!$N$11),"x","")</f>
        <v/>
      </c>
      <c r="Q3831" s="52" t="str">
        <f>IF(AND($M3831=$O$7,$B3831&lt;'111'!$N$11),"x","")</f>
        <v/>
      </c>
      <c r="R3831" s="52" t="str">
        <f>IF(ISERROR(FIND('112'!$M$9,G3831,1)),"",IF((AND(FIND('112'!$M$9,G3831,1)&gt;=1,$B3831&gt;='112'!$N$8,$B3831&lt;='112'!$O$8,OR($L3831='112'!$I$6,$M3831='112'!$I$6))),"x",""))</f>
        <v/>
      </c>
      <c r="S3831" s="52" t="str">
        <f>IF(ISERROR(FIND('112'!$M$9,G3831,1)),"",IF((AND(LEFT(G3831,2)=LEFT('112'!$M$9,2),B3831&lt;'112'!$N$8,$L3831='112'!$I$6)),"x",""))</f>
        <v/>
      </c>
      <c r="T3831" s="52" t="str">
        <f>IF(ISERROR(FIND('112'!$M$9,G3831,1)),"",IF((AND(RIGHT(G3831,2)=RIGHT('112'!$M$9,2),B3831&lt;'112'!$N$8,$M3831='112'!$I$6)),"x",""))</f>
        <v/>
      </c>
      <c r="U3831" s="52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>154</v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826"/>
    </row>
    <row r="3832" spans="1:27" ht="15.75" customHeight="1">
      <c r="A3832" s="827" t="str">
        <f>IF(B3832&lt;&gt;"",IF(AND(B3832&gt;=_TM1,B3832&lt;=_TM2,OR(TH!L3832="1111",TH!M3832="1111")),TH!D3832,""),"")</f>
        <v/>
      </c>
      <c r="B3832" s="36">
        <f t="shared" si="499"/>
        <v>4</v>
      </c>
      <c r="C3832" s="856">
        <f t="shared" si="503"/>
        <v>42478</v>
      </c>
      <c r="D3832" s="856" t="s">
        <v>1664</v>
      </c>
      <c r="E3832" s="856">
        <v>42478</v>
      </c>
      <c r="F3832" s="857" t="s">
        <v>1235</v>
      </c>
      <c r="G3832" s="858" t="s">
        <v>650</v>
      </c>
      <c r="H3832" s="859" t="s">
        <v>1312</v>
      </c>
      <c r="I3832" s="251">
        <v>17</v>
      </c>
      <c r="J3832" s="251">
        <v>14683</v>
      </c>
      <c r="K3832" s="860">
        <f t="shared" si="504"/>
        <v>249611</v>
      </c>
      <c r="L3832" s="861" t="s">
        <v>160</v>
      </c>
      <c r="M3832" s="861" t="s">
        <v>857</v>
      </c>
      <c r="N3832" s="52" t="str">
        <f>IF(AND('331-CT'!$E$7=TH!H3832,OR(L3832="331",M3832="331")),"331",IF(AND(OR(L3832="131",M3832="131"),H3832='131-CT'!$E$7),"131",""))</f>
        <v/>
      </c>
      <c r="O3832" s="52" t="str">
        <f>IF(AND($B3832&gt;='111'!$N$11,$B3832&lt;='111'!$O$11,OR($L3832=$O$7,$M3832=$O$7)),"x","")</f>
        <v/>
      </c>
      <c r="P3832" s="52" t="str">
        <f>IF(AND($L3832=$O$7,$B3832&lt;'111'!$N$11),"x","")</f>
        <v/>
      </c>
      <c r="Q3832" s="52" t="str">
        <f>IF(AND($M3832=$O$7,$B3832&lt;'111'!$N$11),"x","")</f>
        <v/>
      </c>
      <c r="R3832" s="52" t="str">
        <f>IF(ISERROR(FIND('112'!$M$9,G3832,1)),"",IF((AND(FIND('112'!$M$9,G3832,1)&gt;=1,$B3832&gt;='112'!$N$8,$B3832&lt;='112'!$O$8,OR($L3832='112'!$I$6,$M3832='112'!$I$6))),"x",""))</f>
        <v/>
      </c>
      <c r="S3832" s="52" t="str">
        <f>IF(ISERROR(FIND('112'!$M$9,G3832,1)),"",IF((AND(LEFT(G3832,2)=LEFT('112'!$M$9,2),B3832&lt;'112'!$N$8,$L3832='112'!$I$6)),"x",""))</f>
        <v/>
      </c>
      <c r="T3832" s="52" t="str">
        <f>IF(ISERROR(FIND('112'!$M$9,G3832,1)),"",IF((AND(RIGHT(G3832,2)=RIGHT('112'!$M$9,2),B3832&lt;'112'!$N$8,$M3832='112'!$I$6)),"x",""))</f>
        <v/>
      </c>
      <c r="U3832" s="52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>154</v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826"/>
    </row>
    <row r="3833" spans="1:27" ht="15.75" customHeight="1">
      <c r="A3833" s="827" t="str">
        <f>IF(B3833&lt;&gt;"",IF(AND(B3833&gt;=_TM1,B3833&lt;=_TM2,OR(TH!L3833="1111",TH!M3833="1111")),TH!D3833,""),"")</f>
        <v/>
      </c>
      <c r="B3833" s="36">
        <f t="shared" si="499"/>
        <v>4</v>
      </c>
      <c r="C3833" s="856">
        <f t="shared" si="503"/>
        <v>42479</v>
      </c>
      <c r="D3833" s="856" t="s">
        <v>1664</v>
      </c>
      <c r="E3833" s="856">
        <v>42479</v>
      </c>
      <c r="F3833" s="857" t="s">
        <v>1243</v>
      </c>
      <c r="G3833" s="858" t="s">
        <v>657</v>
      </c>
      <c r="H3833" s="859" t="s">
        <v>1312</v>
      </c>
      <c r="I3833" s="251">
        <v>332</v>
      </c>
      <c r="J3833" s="251">
        <v>1913</v>
      </c>
      <c r="K3833" s="860">
        <f t="shared" si="504"/>
        <v>635116</v>
      </c>
      <c r="L3833" s="861" t="s">
        <v>160</v>
      </c>
      <c r="M3833" s="861" t="s">
        <v>857</v>
      </c>
      <c r="N3833" s="52" t="str">
        <f>IF(AND('331-CT'!$E$7=TH!H3833,OR(L3833="331",M3833="331")),"331",IF(AND(OR(L3833="131",M3833="131"),H3833='131-CT'!$E$7),"131",""))</f>
        <v/>
      </c>
      <c r="O3833" s="52" t="str">
        <f>IF(AND($B3833&gt;='111'!$N$11,$B3833&lt;='111'!$O$11,OR($L3833=$O$7,$M3833=$O$7)),"x","")</f>
        <v/>
      </c>
      <c r="P3833" s="52" t="str">
        <f>IF(AND($L3833=$O$7,$B3833&lt;'111'!$N$11),"x","")</f>
        <v/>
      </c>
      <c r="Q3833" s="52" t="str">
        <f>IF(AND($M3833=$O$7,$B3833&lt;'111'!$N$11),"x","")</f>
        <v/>
      </c>
      <c r="R3833" s="52" t="str">
        <f>IF(ISERROR(FIND('112'!$M$9,G3833,1)),"",IF((AND(FIND('112'!$M$9,G3833,1)&gt;=1,$B3833&gt;='112'!$N$8,$B3833&lt;='112'!$O$8,OR($L3833='112'!$I$6,$M3833='112'!$I$6))),"x",""))</f>
        <v/>
      </c>
      <c r="S3833" s="52" t="str">
        <f>IF(ISERROR(FIND('112'!$M$9,G3833,1)),"",IF((AND(LEFT(G3833,2)=LEFT('112'!$M$9,2),B3833&lt;'112'!$N$8,$L3833='112'!$I$6)),"x",""))</f>
        <v/>
      </c>
      <c r="T3833" s="52" t="str">
        <f>IF(ISERROR(FIND('112'!$M$9,G3833,1)),"",IF((AND(RIGHT(G3833,2)=RIGHT('112'!$M$9,2),B3833&lt;'112'!$N$8,$M3833='112'!$I$6)),"x",""))</f>
        <v/>
      </c>
      <c r="U3833" s="52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>154</v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826"/>
    </row>
    <row r="3834" spans="1:27" ht="15.75" customHeight="1">
      <c r="A3834" s="827" t="str">
        <f>IF(B3834&lt;&gt;"",IF(AND(B3834&gt;=_TM1,B3834&lt;=_TM2,OR(TH!L3834="1111",TH!M3834="1111")),TH!D3834,""),"")</f>
        <v/>
      </c>
      <c r="B3834" s="36">
        <f t="shared" si="499"/>
        <v>4</v>
      </c>
      <c r="C3834" s="856">
        <f t="shared" si="503"/>
        <v>42483</v>
      </c>
      <c r="D3834" s="856" t="s">
        <v>1664</v>
      </c>
      <c r="E3834" s="856">
        <v>42483</v>
      </c>
      <c r="F3834" s="857" t="s">
        <v>1234</v>
      </c>
      <c r="G3834" s="858" t="s">
        <v>661</v>
      </c>
      <c r="H3834" s="859" t="s">
        <v>1312</v>
      </c>
      <c r="I3834" s="251">
        <v>66</v>
      </c>
      <c r="J3834" s="251">
        <v>15994</v>
      </c>
      <c r="K3834" s="860">
        <f t="shared" si="504"/>
        <v>1055604</v>
      </c>
      <c r="L3834" s="861" t="s">
        <v>160</v>
      </c>
      <c r="M3834" s="861" t="s">
        <v>857</v>
      </c>
      <c r="N3834" s="52" t="str">
        <f>IF(AND('331-CT'!$E$7=TH!H3834,OR(L3834="331",M3834="331")),"331",IF(AND(OR(L3834="131",M3834="131"),H3834='131-CT'!$E$7),"131",""))</f>
        <v/>
      </c>
      <c r="O3834" s="52" t="str">
        <f>IF(AND($B3834&gt;='111'!$N$11,$B3834&lt;='111'!$O$11,OR($L3834=$O$7,$M3834=$O$7)),"x","")</f>
        <v/>
      </c>
      <c r="P3834" s="52" t="str">
        <f>IF(AND($L3834=$O$7,$B3834&lt;'111'!$N$11),"x","")</f>
        <v/>
      </c>
      <c r="Q3834" s="52" t="str">
        <f>IF(AND($M3834=$O$7,$B3834&lt;'111'!$N$11),"x","")</f>
        <v/>
      </c>
      <c r="R3834" s="52" t="str">
        <f>IF(ISERROR(FIND('112'!$M$9,G3834,1)),"",IF((AND(FIND('112'!$M$9,G3834,1)&gt;=1,$B3834&gt;='112'!$N$8,$B3834&lt;='112'!$O$8,OR($L3834='112'!$I$6,$M3834='112'!$I$6))),"x",""))</f>
        <v/>
      </c>
      <c r="S3834" s="52" t="str">
        <f>IF(ISERROR(FIND('112'!$M$9,G3834,1)),"",IF((AND(LEFT(G3834,2)=LEFT('112'!$M$9,2),B3834&lt;'112'!$N$8,$L3834='112'!$I$6)),"x",""))</f>
        <v/>
      </c>
      <c r="T3834" s="52" t="str">
        <f>IF(ISERROR(FIND('112'!$M$9,G3834,1)),"",IF((AND(RIGHT(G3834,2)=RIGHT('112'!$M$9,2),B3834&lt;'112'!$N$8,$M3834='112'!$I$6)),"x",""))</f>
        <v/>
      </c>
      <c r="U3834" s="52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>154</v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826"/>
    </row>
    <row r="3835" spans="1:27" ht="15.75" customHeight="1">
      <c r="A3835" s="827" t="str">
        <f>IF(B3835&lt;&gt;"",IF(AND(B3835&gt;=_TM1,B3835&lt;=_TM2,OR(TH!L3835="1111",TH!M3835="1111")),TH!D3835,""),"")</f>
        <v/>
      </c>
      <c r="B3835" s="36">
        <f t="shared" si="499"/>
        <v>4</v>
      </c>
      <c r="C3835" s="856">
        <f t="shared" si="503"/>
        <v>42483</v>
      </c>
      <c r="D3835" s="856" t="s">
        <v>1664</v>
      </c>
      <c r="E3835" s="856">
        <v>42483</v>
      </c>
      <c r="F3835" s="857" t="s">
        <v>1231</v>
      </c>
      <c r="G3835" s="858" t="s">
        <v>661</v>
      </c>
      <c r="H3835" s="859" t="s">
        <v>1312</v>
      </c>
      <c r="I3835" s="251">
        <v>24</v>
      </c>
      <c r="J3835" s="251">
        <v>17043</v>
      </c>
      <c r="K3835" s="860">
        <f t="shared" si="504"/>
        <v>409032</v>
      </c>
      <c r="L3835" s="861" t="s">
        <v>160</v>
      </c>
      <c r="M3835" s="861" t="s">
        <v>857</v>
      </c>
      <c r="N3835" s="52" t="str">
        <f>IF(AND('331-CT'!$E$7=TH!H3835,OR(L3835="331",M3835="331")),"331",IF(AND(OR(L3835="131",M3835="131"),H3835='131-CT'!$E$7),"131",""))</f>
        <v/>
      </c>
      <c r="O3835" s="52" t="str">
        <f>IF(AND($B3835&gt;='111'!$N$11,$B3835&lt;='111'!$O$11,OR($L3835=$O$7,$M3835=$O$7)),"x","")</f>
        <v/>
      </c>
      <c r="P3835" s="52" t="str">
        <f>IF(AND($L3835=$O$7,$B3835&lt;'111'!$N$11),"x","")</f>
        <v/>
      </c>
      <c r="Q3835" s="52" t="str">
        <f>IF(AND($M3835=$O$7,$B3835&lt;'111'!$N$11),"x","")</f>
        <v/>
      </c>
      <c r="R3835" s="52" t="str">
        <f>IF(ISERROR(FIND('112'!$M$9,G3835,1)),"",IF((AND(FIND('112'!$M$9,G3835,1)&gt;=1,$B3835&gt;='112'!$N$8,$B3835&lt;='112'!$O$8,OR($L3835='112'!$I$6,$M3835='112'!$I$6))),"x",""))</f>
        <v/>
      </c>
      <c r="S3835" s="52" t="str">
        <f>IF(ISERROR(FIND('112'!$M$9,G3835,1)),"",IF((AND(LEFT(G3835,2)=LEFT('112'!$M$9,2),B3835&lt;'112'!$N$8,$L3835='112'!$I$6)),"x",""))</f>
        <v/>
      </c>
      <c r="T3835" s="52" t="str">
        <f>IF(ISERROR(FIND('112'!$M$9,G3835,1)),"",IF((AND(RIGHT(G3835,2)=RIGHT('112'!$M$9,2),B3835&lt;'112'!$N$8,$M3835='112'!$I$6)),"x",""))</f>
        <v/>
      </c>
      <c r="U3835" s="52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>154</v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826"/>
    </row>
    <row r="3836" spans="1:27" ht="15.75" customHeight="1">
      <c r="A3836" s="827" t="str">
        <f>IF(B3836&lt;&gt;"",IF(AND(B3836&gt;=_TM1,B3836&lt;=_TM2,OR(TH!L3836="1111",TH!M3836="1111")),TH!D3836,""),"")</f>
        <v/>
      </c>
      <c r="B3836" s="36">
        <f t="shared" si="499"/>
        <v>4</v>
      </c>
      <c r="C3836" s="856">
        <f t="shared" si="503"/>
        <v>42487</v>
      </c>
      <c r="D3836" s="856" t="s">
        <v>1664</v>
      </c>
      <c r="E3836" s="856">
        <v>42487</v>
      </c>
      <c r="F3836" s="857" t="s">
        <v>1230</v>
      </c>
      <c r="G3836" s="858" t="s">
        <v>669</v>
      </c>
      <c r="H3836" s="859" t="s">
        <v>1312</v>
      </c>
      <c r="I3836" s="251">
        <v>7</v>
      </c>
      <c r="J3836" s="251">
        <v>17130</v>
      </c>
      <c r="K3836" s="860">
        <f t="shared" si="504"/>
        <v>119910</v>
      </c>
      <c r="L3836" s="861" t="s">
        <v>160</v>
      </c>
      <c r="M3836" s="861" t="s">
        <v>857</v>
      </c>
      <c r="N3836" s="52" t="str">
        <f>IF(AND('331-CT'!$E$7=TH!H3836,OR(L3836="331",M3836="331")),"331",IF(AND(OR(L3836="131",M3836="131"),H3836='131-CT'!$E$7),"131",""))</f>
        <v/>
      </c>
      <c r="O3836" s="52" t="str">
        <f>IF(AND($B3836&gt;='111'!$N$11,$B3836&lt;='111'!$O$11,OR($L3836=$O$7,$M3836=$O$7)),"x","")</f>
        <v/>
      </c>
      <c r="P3836" s="52" t="str">
        <f>IF(AND($L3836=$O$7,$B3836&lt;'111'!$N$11),"x","")</f>
        <v/>
      </c>
      <c r="Q3836" s="52" t="str">
        <f>IF(AND($M3836=$O$7,$B3836&lt;'111'!$N$11),"x","")</f>
        <v/>
      </c>
      <c r="R3836" s="52" t="str">
        <f>IF(ISERROR(FIND('112'!$M$9,G3836,1)),"",IF((AND(FIND('112'!$M$9,G3836,1)&gt;=1,$B3836&gt;='112'!$N$8,$B3836&lt;='112'!$O$8,OR($L3836='112'!$I$6,$M3836='112'!$I$6))),"x",""))</f>
        <v/>
      </c>
      <c r="S3836" s="52" t="str">
        <f>IF(ISERROR(FIND('112'!$M$9,G3836,1)),"",IF((AND(LEFT(G3836,2)=LEFT('112'!$M$9,2),B3836&lt;'112'!$N$8,$L3836='112'!$I$6)),"x",""))</f>
        <v/>
      </c>
      <c r="T3836" s="52" t="str">
        <f>IF(ISERROR(FIND('112'!$M$9,G3836,1)),"",IF((AND(RIGHT(G3836,2)=RIGHT('112'!$M$9,2),B3836&lt;'112'!$N$8,$M3836='112'!$I$6)),"x",""))</f>
        <v/>
      </c>
      <c r="U3836" s="52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>154</v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826"/>
    </row>
    <row r="3837" spans="1:27" ht="15.75" customHeight="1">
      <c r="A3837" s="827" t="str">
        <f>IF(B3837&lt;&gt;"",IF(AND(B3837&gt;=_TM1,B3837&lt;=_TM2,OR(TH!L3837="1111",TH!M3837="1111")),TH!D3837,""),"")</f>
        <v/>
      </c>
      <c r="B3837" s="36">
        <f t="shared" si="499"/>
        <v>4</v>
      </c>
      <c r="C3837" s="856">
        <f t="shared" si="503"/>
        <v>42487</v>
      </c>
      <c r="D3837" s="856" t="s">
        <v>1664</v>
      </c>
      <c r="E3837" s="856">
        <v>42487</v>
      </c>
      <c r="F3837" s="857" t="s">
        <v>1232</v>
      </c>
      <c r="G3837" s="858" t="s">
        <v>669</v>
      </c>
      <c r="H3837" s="859" t="s">
        <v>1312</v>
      </c>
      <c r="I3837" s="251">
        <v>33</v>
      </c>
      <c r="J3837" s="251">
        <v>15665.515151515152</v>
      </c>
      <c r="K3837" s="860">
        <f t="shared" si="504"/>
        <v>516962</v>
      </c>
      <c r="L3837" s="861" t="s">
        <v>160</v>
      </c>
      <c r="M3837" s="861" t="s">
        <v>857</v>
      </c>
      <c r="N3837" s="52" t="str">
        <f>IF(AND('331-CT'!$E$7=TH!H3837,OR(L3837="331",M3837="331")),"331",IF(AND(OR(L3837="131",M3837="131"),H3837='131-CT'!$E$7),"131",""))</f>
        <v/>
      </c>
      <c r="O3837" s="52" t="str">
        <f>IF(AND($B3837&gt;='111'!$N$11,$B3837&lt;='111'!$O$11,OR($L3837=$O$7,$M3837=$O$7)),"x","")</f>
        <v/>
      </c>
      <c r="P3837" s="52" t="str">
        <f>IF(AND($L3837=$O$7,$B3837&lt;'111'!$N$11),"x","")</f>
        <v/>
      </c>
      <c r="Q3837" s="52" t="str">
        <f>IF(AND($M3837=$O$7,$B3837&lt;'111'!$N$11),"x","")</f>
        <v/>
      </c>
      <c r="R3837" s="52" t="str">
        <f>IF(ISERROR(FIND('112'!$M$9,G3837,1)),"",IF((AND(FIND('112'!$M$9,G3837,1)&gt;=1,$B3837&gt;='112'!$N$8,$B3837&lt;='112'!$O$8,OR($L3837='112'!$I$6,$M3837='112'!$I$6))),"x",""))</f>
        <v/>
      </c>
      <c r="S3837" s="52" t="str">
        <f>IF(ISERROR(FIND('112'!$M$9,G3837,1)),"",IF((AND(LEFT(G3837,2)=LEFT('112'!$M$9,2),B3837&lt;'112'!$N$8,$L3837='112'!$I$6)),"x",""))</f>
        <v/>
      </c>
      <c r="T3837" s="52" t="str">
        <f>IF(ISERROR(FIND('112'!$M$9,G3837,1)),"",IF((AND(RIGHT(G3837,2)=RIGHT('112'!$M$9,2),B3837&lt;'112'!$N$8,$M3837='112'!$I$6)),"x",""))</f>
        <v/>
      </c>
      <c r="U3837" s="52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>154</v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826"/>
    </row>
    <row r="3838" spans="1:27" ht="15.75" customHeight="1">
      <c r="A3838" s="827" t="str">
        <f>IF(B3838&lt;&gt;"",IF(AND(B3838&gt;=_TM1,B3838&lt;=_TM2,OR(TH!L3838="1111",TH!M3838="1111")),TH!D3838,""),"")</f>
        <v/>
      </c>
      <c r="B3838" s="36">
        <f t="shared" si="499"/>
        <v>4</v>
      </c>
      <c r="C3838" s="856">
        <f t="shared" si="503"/>
        <v>42487</v>
      </c>
      <c r="D3838" s="856" t="s">
        <v>1664</v>
      </c>
      <c r="E3838" s="856">
        <v>42487</v>
      </c>
      <c r="F3838" s="857" t="s">
        <v>1236</v>
      </c>
      <c r="G3838" s="858" t="s">
        <v>669</v>
      </c>
      <c r="H3838" s="859" t="s">
        <v>1312</v>
      </c>
      <c r="I3838" s="251">
        <v>12</v>
      </c>
      <c r="J3838" s="251">
        <v>12236</v>
      </c>
      <c r="K3838" s="860">
        <f t="shared" si="504"/>
        <v>146832</v>
      </c>
      <c r="L3838" s="861" t="s">
        <v>160</v>
      </c>
      <c r="M3838" s="861" t="s">
        <v>857</v>
      </c>
      <c r="N3838" s="52" t="str">
        <f>IF(AND('331-CT'!$E$7=TH!H3838,OR(L3838="331",M3838="331")),"331",IF(AND(OR(L3838="131",M3838="131"),H3838='131-CT'!$E$7),"131",""))</f>
        <v/>
      </c>
      <c r="O3838" s="52" t="str">
        <f>IF(AND($B3838&gt;='111'!$N$11,$B3838&lt;='111'!$O$11,OR($L3838=$O$7,$M3838=$O$7)),"x","")</f>
        <v/>
      </c>
      <c r="P3838" s="52" t="str">
        <f>IF(AND($L3838=$O$7,$B3838&lt;'111'!$N$11),"x","")</f>
        <v/>
      </c>
      <c r="Q3838" s="52" t="str">
        <f>IF(AND($M3838=$O$7,$B3838&lt;'111'!$N$11),"x","")</f>
        <v/>
      </c>
      <c r="R3838" s="52" t="str">
        <f>IF(ISERROR(FIND('112'!$M$9,G3838,1)),"",IF((AND(FIND('112'!$M$9,G3838,1)&gt;=1,$B3838&gt;='112'!$N$8,$B3838&lt;='112'!$O$8,OR($L3838='112'!$I$6,$M3838='112'!$I$6))),"x",""))</f>
        <v/>
      </c>
      <c r="S3838" s="52" t="str">
        <f>IF(ISERROR(FIND('112'!$M$9,G3838,1)),"",IF((AND(LEFT(G3838,2)=LEFT('112'!$M$9,2),B3838&lt;'112'!$N$8,$L3838='112'!$I$6)),"x",""))</f>
        <v/>
      </c>
      <c r="T3838" s="52" t="str">
        <f>IF(ISERROR(FIND('112'!$M$9,G3838,1)),"",IF((AND(RIGHT(G3838,2)=RIGHT('112'!$M$9,2),B3838&lt;'112'!$N$8,$M3838='112'!$I$6)),"x",""))</f>
        <v/>
      </c>
      <c r="U3838" s="52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>154</v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826"/>
    </row>
    <row r="3839" spans="1:27" ht="15.75" customHeight="1">
      <c r="A3839" s="827" t="str">
        <f>IF(B3839&lt;&gt;"",IF(AND(B3839&gt;=_TM1,B3839&lt;=_TM2,OR(TH!L3839="1111",TH!M3839="1111")),TH!D3839,""),"")</f>
        <v/>
      </c>
      <c r="B3839" s="36">
        <f t="shared" si="499"/>
        <v>4</v>
      </c>
      <c r="C3839" s="856">
        <f t="shared" si="503"/>
        <v>42487</v>
      </c>
      <c r="D3839" s="856" t="s">
        <v>1664</v>
      </c>
      <c r="E3839" s="856">
        <v>42487</v>
      </c>
      <c r="F3839" s="857" t="s">
        <v>1239</v>
      </c>
      <c r="G3839" s="858" t="s">
        <v>669</v>
      </c>
      <c r="H3839" s="859" t="s">
        <v>1312</v>
      </c>
      <c r="I3839" s="251">
        <v>12</v>
      </c>
      <c r="J3839" s="251">
        <v>15300</v>
      </c>
      <c r="K3839" s="860">
        <f t="shared" si="504"/>
        <v>183600</v>
      </c>
      <c r="L3839" s="861" t="s">
        <v>160</v>
      </c>
      <c r="M3839" s="861" t="s">
        <v>857</v>
      </c>
      <c r="N3839" s="52" t="str">
        <f>IF(AND('331-CT'!$E$7=TH!H3839,OR(L3839="331",M3839="331")),"331",IF(AND(OR(L3839="131",M3839="131"),H3839='131-CT'!$E$7),"131",""))</f>
        <v/>
      </c>
      <c r="O3839" s="52" t="str">
        <f>IF(AND($B3839&gt;='111'!$N$11,$B3839&lt;='111'!$O$11,OR($L3839=$O$7,$M3839=$O$7)),"x","")</f>
        <v/>
      </c>
      <c r="P3839" s="52" t="str">
        <f>IF(AND($L3839=$O$7,$B3839&lt;'111'!$N$11),"x","")</f>
        <v/>
      </c>
      <c r="Q3839" s="52" t="str">
        <f>IF(AND($M3839=$O$7,$B3839&lt;'111'!$N$11),"x","")</f>
        <v/>
      </c>
      <c r="R3839" s="52" t="str">
        <f>IF(ISERROR(FIND('112'!$M$9,G3839,1)),"",IF((AND(FIND('112'!$M$9,G3839,1)&gt;=1,$B3839&gt;='112'!$N$8,$B3839&lt;='112'!$O$8,OR($L3839='112'!$I$6,$M3839='112'!$I$6))),"x",""))</f>
        <v/>
      </c>
      <c r="S3839" s="52" t="str">
        <f>IF(ISERROR(FIND('112'!$M$9,G3839,1)),"",IF((AND(LEFT(G3839,2)=LEFT('112'!$M$9,2),B3839&lt;'112'!$N$8,$L3839='112'!$I$6)),"x",""))</f>
        <v/>
      </c>
      <c r="T3839" s="52" t="str">
        <f>IF(ISERROR(FIND('112'!$M$9,G3839,1)),"",IF((AND(RIGHT(G3839,2)=RIGHT('112'!$M$9,2),B3839&lt;'112'!$N$8,$M3839='112'!$I$6)),"x",""))</f>
        <v/>
      </c>
      <c r="U3839" s="52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>154</v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826"/>
    </row>
    <row r="3840" spans="1:27" ht="15.75" customHeight="1">
      <c r="A3840" s="827" t="str">
        <f>IF(B3840&lt;&gt;"",IF(AND(B3840&gt;=_TM1,B3840&lt;=_TM2,OR(TH!L3840="1111",TH!M3840="1111")),TH!D3840,""),"")</f>
        <v/>
      </c>
      <c r="B3840" s="36">
        <f t="shared" si="499"/>
        <v>4</v>
      </c>
      <c r="C3840" s="856">
        <f t="shared" si="503"/>
        <v>42487</v>
      </c>
      <c r="D3840" s="856" t="s">
        <v>1664</v>
      </c>
      <c r="E3840" s="856">
        <v>42487</v>
      </c>
      <c r="F3840" s="857" t="s">
        <v>1245</v>
      </c>
      <c r="G3840" s="858" t="s">
        <v>669</v>
      </c>
      <c r="H3840" s="859" t="s">
        <v>1312</v>
      </c>
      <c r="I3840" s="251">
        <v>35</v>
      </c>
      <c r="J3840" s="251">
        <v>27788</v>
      </c>
      <c r="K3840" s="860">
        <f t="shared" si="504"/>
        <v>972580</v>
      </c>
      <c r="L3840" s="861" t="s">
        <v>160</v>
      </c>
      <c r="M3840" s="861" t="s">
        <v>857</v>
      </c>
      <c r="N3840" s="52" t="str">
        <f>IF(AND('331-CT'!$E$7=TH!H3840,OR(L3840="331",M3840="331")),"331",IF(AND(OR(L3840="131",M3840="131"),H3840='131-CT'!$E$7),"131",""))</f>
        <v/>
      </c>
      <c r="O3840" s="52" t="str">
        <f>IF(AND($B3840&gt;='111'!$N$11,$B3840&lt;='111'!$O$11,OR($L3840=$O$7,$M3840=$O$7)),"x","")</f>
        <v/>
      </c>
      <c r="P3840" s="52" t="str">
        <f>IF(AND($L3840=$O$7,$B3840&lt;'111'!$N$11),"x","")</f>
        <v/>
      </c>
      <c r="Q3840" s="52" t="str">
        <f>IF(AND($M3840=$O$7,$B3840&lt;'111'!$N$11),"x","")</f>
        <v/>
      </c>
      <c r="R3840" s="52" t="str">
        <f>IF(ISERROR(FIND('112'!$M$9,G3840,1)),"",IF((AND(FIND('112'!$M$9,G3840,1)&gt;=1,$B3840&gt;='112'!$N$8,$B3840&lt;='112'!$O$8,OR($L3840='112'!$I$6,$M3840='112'!$I$6))),"x",""))</f>
        <v/>
      </c>
      <c r="S3840" s="52" t="str">
        <f>IF(ISERROR(FIND('112'!$M$9,G3840,1)),"",IF((AND(LEFT(G3840,2)=LEFT('112'!$M$9,2),B3840&lt;'112'!$N$8,$L3840='112'!$I$6)),"x",""))</f>
        <v/>
      </c>
      <c r="T3840" s="52" t="str">
        <f>IF(ISERROR(FIND('112'!$M$9,G3840,1)),"",IF((AND(RIGHT(G3840,2)=RIGHT('112'!$M$9,2),B3840&lt;'112'!$N$8,$M3840='112'!$I$6)),"x",""))</f>
        <v/>
      </c>
      <c r="U3840" s="52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>154</v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826"/>
    </row>
    <row r="3841" spans="1:27" ht="15.75" customHeight="1">
      <c r="A3841" s="827" t="str">
        <f>IF(B3841&lt;&gt;"",IF(AND(B3841&gt;=_TM1,B3841&lt;=_TM2,OR(TH!L3841="1111",TH!M3841="1111")),TH!D3841,""),"")</f>
        <v/>
      </c>
      <c r="B3841" s="36">
        <f t="shared" si="499"/>
        <v>4</v>
      </c>
      <c r="C3841" s="856">
        <f t="shared" si="503"/>
        <v>42487</v>
      </c>
      <c r="D3841" s="856" t="s">
        <v>1664</v>
      </c>
      <c r="E3841" s="856">
        <v>42487</v>
      </c>
      <c r="F3841" s="857" t="s">
        <v>1219</v>
      </c>
      <c r="G3841" s="858" t="s">
        <v>669</v>
      </c>
      <c r="H3841" s="859" t="s">
        <v>1312</v>
      </c>
      <c r="I3841" s="251">
        <v>40</v>
      </c>
      <c r="J3841" s="251">
        <v>11930</v>
      </c>
      <c r="K3841" s="860">
        <f t="shared" si="504"/>
        <v>477200</v>
      </c>
      <c r="L3841" s="861" t="s">
        <v>160</v>
      </c>
      <c r="M3841" s="861" t="s">
        <v>857</v>
      </c>
      <c r="N3841" s="52" t="str">
        <f>IF(AND('331-CT'!$E$7=TH!H3841,OR(L3841="331",M3841="331")),"331",IF(AND(OR(L3841="131",M3841="131"),H3841='131-CT'!$E$7),"131",""))</f>
        <v/>
      </c>
      <c r="O3841" s="52" t="str">
        <f>IF(AND($B3841&gt;='111'!$N$11,$B3841&lt;='111'!$O$11,OR($L3841=$O$7,$M3841=$O$7)),"x","")</f>
        <v/>
      </c>
      <c r="P3841" s="52" t="str">
        <f>IF(AND($L3841=$O$7,$B3841&lt;'111'!$N$11),"x","")</f>
        <v/>
      </c>
      <c r="Q3841" s="52" t="str">
        <f>IF(AND($M3841=$O$7,$B3841&lt;'111'!$N$11),"x","")</f>
        <v/>
      </c>
      <c r="R3841" s="52" t="str">
        <f>IF(ISERROR(FIND('112'!$M$9,G3841,1)),"",IF((AND(FIND('112'!$M$9,G3841,1)&gt;=1,$B3841&gt;='112'!$N$8,$B3841&lt;='112'!$O$8,OR($L3841='112'!$I$6,$M3841='112'!$I$6))),"x",""))</f>
        <v/>
      </c>
      <c r="S3841" s="52" t="str">
        <f>IF(ISERROR(FIND('112'!$M$9,G3841,1)),"",IF((AND(LEFT(G3841,2)=LEFT('112'!$M$9,2),B3841&lt;'112'!$N$8,$L3841='112'!$I$6)),"x",""))</f>
        <v/>
      </c>
      <c r="T3841" s="52" t="str">
        <f>IF(ISERROR(FIND('112'!$M$9,G3841,1)),"",IF((AND(RIGHT(G3841,2)=RIGHT('112'!$M$9,2),B3841&lt;'112'!$N$8,$M3841='112'!$I$6)),"x",""))</f>
        <v/>
      </c>
      <c r="U3841" s="52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>154</v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826"/>
    </row>
    <row r="3842" spans="1:27" ht="15.75" customHeight="1">
      <c r="A3842" s="827" t="str">
        <f>IF(B3842&lt;&gt;"",IF(AND(B3842&gt;=_TM1,B3842&lt;=_TM2,OR(TH!L3842="1111",TH!M3842="1111")),TH!D3842,""),"")</f>
        <v/>
      </c>
      <c r="B3842" s="36">
        <f t="shared" si="499"/>
        <v>4</v>
      </c>
      <c r="C3842" s="856">
        <f t="shared" si="503"/>
        <v>42487</v>
      </c>
      <c r="D3842" s="856" t="s">
        <v>1664</v>
      </c>
      <c r="E3842" s="856">
        <v>42487</v>
      </c>
      <c r="F3842" s="857" t="s">
        <v>1241</v>
      </c>
      <c r="G3842" s="858" t="s">
        <v>669</v>
      </c>
      <c r="H3842" s="859" t="s">
        <v>1312</v>
      </c>
      <c r="I3842" s="251">
        <v>20</v>
      </c>
      <c r="J3842" s="251">
        <v>7290</v>
      </c>
      <c r="K3842" s="860">
        <f t="shared" si="504"/>
        <v>145800</v>
      </c>
      <c r="L3842" s="861" t="s">
        <v>160</v>
      </c>
      <c r="M3842" s="861" t="s">
        <v>857</v>
      </c>
      <c r="N3842" s="52" t="str">
        <f>IF(AND('331-CT'!$E$7=TH!H3842,OR(L3842="331",M3842="331")),"331",IF(AND(OR(L3842="131",M3842="131"),H3842='131-CT'!$E$7),"131",""))</f>
        <v/>
      </c>
      <c r="O3842" s="52" t="str">
        <f>IF(AND($B3842&gt;='111'!$N$11,$B3842&lt;='111'!$O$11,OR($L3842=$O$7,$M3842=$O$7)),"x","")</f>
        <v/>
      </c>
      <c r="P3842" s="52" t="str">
        <f>IF(AND($L3842=$O$7,$B3842&lt;'111'!$N$11),"x","")</f>
        <v/>
      </c>
      <c r="Q3842" s="52" t="str">
        <f>IF(AND($M3842=$O$7,$B3842&lt;'111'!$N$11),"x","")</f>
        <v/>
      </c>
      <c r="R3842" s="52" t="str">
        <f>IF(ISERROR(FIND('112'!$M$9,G3842,1)),"",IF((AND(FIND('112'!$M$9,G3842,1)&gt;=1,$B3842&gt;='112'!$N$8,$B3842&lt;='112'!$O$8,OR($L3842='112'!$I$6,$M3842='112'!$I$6))),"x",""))</f>
        <v/>
      </c>
      <c r="S3842" s="52" t="str">
        <f>IF(ISERROR(FIND('112'!$M$9,G3842,1)),"",IF((AND(LEFT(G3842,2)=LEFT('112'!$M$9,2),B3842&lt;'112'!$N$8,$L3842='112'!$I$6)),"x",""))</f>
        <v/>
      </c>
      <c r="T3842" s="52" t="str">
        <f>IF(ISERROR(FIND('112'!$M$9,G3842,1)),"",IF((AND(RIGHT(G3842,2)=RIGHT('112'!$M$9,2),B3842&lt;'112'!$N$8,$M3842='112'!$I$6)),"x",""))</f>
        <v/>
      </c>
      <c r="U3842" s="52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>154</v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826"/>
    </row>
    <row r="3843" spans="1:27" ht="15.75" customHeight="1">
      <c r="A3843" s="827" t="str">
        <f>IF(B3843&lt;&gt;"",IF(AND(B3843&gt;=_TM1,B3843&lt;=_TM2,OR(TH!L3843="1111",TH!M3843="1111")),TH!D3843,""),"")</f>
        <v/>
      </c>
      <c r="B3843" s="36">
        <f t="shared" si="499"/>
        <v>4</v>
      </c>
      <c r="C3843" s="856">
        <f t="shared" si="503"/>
        <v>42487</v>
      </c>
      <c r="D3843" s="856" t="s">
        <v>1664</v>
      </c>
      <c r="E3843" s="856">
        <v>42487</v>
      </c>
      <c r="F3843" s="857" t="s">
        <v>1185</v>
      </c>
      <c r="G3843" s="858" t="s">
        <v>669</v>
      </c>
      <c r="H3843" s="859" t="s">
        <v>1312</v>
      </c>
      <c r="I3843" s="251">
        <v>68</v>
      </c>
      <c r="J3843" s="251">
        <v>9206</v>
      </c>
      <c r="K3843" s="860">
        <f t="shared" si="504"/>
        <v>626008</v>
      </c>
      <c r="L3843" s="861" t="s">
        <v>160</v>
      </c>
      <c r="M3843" s="861" t="s">
        <v>857</v>
      </c>
      <c r="N3843" s="52" t="str">
        <f>IF(AND('331-CT'!$E$7=TH!H3843,OR(L3843="331",M3843="331")),"331",IF(AND(OR(L3843="131",M3843="131"),H3843='131-CT'!$E$7),"131",""))</f>
        <v/>
      </c>
      <c r="O3843" s="52" t="str">
        <f>IF(AND($B3843&gt;='111'!$N$11,$B3843&lt;='111'!$O$11,OR($L3843=$O$7,$M3843=$O$7)),"x","")</f>
        <v/>
      </c>
      <c r="P3843" s="52" t="str">
        <f>IF(AND($L3843=$O$7,$B3843&lt;'111'!$N$11),"x","")</f>
        <v/>
      </c>
      <c r="Q3843" s="52" t="str">
        <f>IF(AND($M3843=$O$7,$B3843&lt;'111'!$N$11),"x","")</f>
        <v/>
      </c>
      <c r="R3843" s="52" t="str">
        <f>IF(ISERROR(FIND('112'!$M$9,G3843,1)),"",IF((AND(FIND('112'!$M$9,G3843,1)&gt;=1,$B3843&gt;='112'!$N$8,$B3843&lt;='112'!$O$8,OR($L3843='112'!$I$6,$M3843='112'!$I$6))),"x",""))</f>
        <v/>
      </c>
      <c r="S3843" s="52" t="str">
        <f>IF(ISERROR(FIND('112'!$M$9,G3843,1)),"",IF((AND(LEFT(G3843,2)=LEFT('112'!$M$9,2),B3843&lt;'112'!$N$8,$L3843='112'!$I$6)),"x",""))</f>
        <v/>
      </c>
      <c r="T3843" s="52" t="str">
        <f>IF(ISERROR(FIND('112'!$M$9,G3843,1)),"",IF((AND(RIGHT(G3843,2)=RIGHT('112'!$M$9,2),B3843&lt;'112'!$N$8,$M3843='112'!$I$6)),"x",""))</f>
        <v/>
      </c>
      <c r="U3843" s="52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>154</v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826"/>
    </row>
    <row r="3844" spans="1:27" ht="15.75" customHeight="1">
      <c r="A3844" s="827" t="str">
        <f>IF(B3844&lt;&gt;"",IF(AND(B3844&gt;=_TM1,B3844&lt;=_TM2,OR(TH!L3844="1111",TH!M3844="1111")),TH!D3844,""),"")</f>
        <v/>
      </c>
      <c r="B3844" s="36">
        <f t="shared" si="499"/>
        <v>4</v>
      </c>
      <c r="C3844" s="856">
        <f t="shared" si="503"/>
        <v>42487</v>
      </c>
      <c r="D3844" s="856" t="s">
        <v>1664</v>
      </c>
      <c r="E3844" s="856">
        <v>42487</v>
      </c>
      <c r="F3844" s="857" t="s">
        <v>1189</v>
      </c>
      <c r="G3844" s="858" t="s">
        <v>669</v>
      </c>
      <c r="H3844" s="859" t="s">
        <v>1312</v>
      </c>
      <c r="I3844" s="251">
        <v>10</v>
      </c>
      <c r="J3844" s="251">
        <v>10557</v>
      </c>
      <c r="K3844" s="860">
        <f t="shared" si="504"/>
        <v>105570</v>
      </c>
      <c r="L3844" s="861" t="s">
        <v>160</v>
      </c>
      <c r="M3844" s="861" t="s">
        <v>857</v>
      </c>
      <c r="N3844" s="52" t="str">
        <f>IF(AND('331-CT'!$E$7=TH!H3844,OR(L3844="331",M3844="331")),"331",IF(AND(OR(L3844="131",M3844="131"),H3844='131-CT'!$E$7),"131",""))</f>
        <v/>
      </c>
      <c r="O3844" s="52" t="str">
        <f>IF(AND($B3844&gt;='111'!$N$11,$B3844&lt;='111'!$O$11,OR($L3844=$O$7,$M3844=$O$7)),"x","")</f>
        <v/>
      </c>
      <c r="P3844" s="52" t="str">
        <f>IF(AND($L3844=$O$7,$B3844&lt;'111'!$N$11),"x","")</f>
        <v/>
      </c>
      <c r="Q3844" s="52" t="str">
        <f>IF(AND($M3844=$O$7,$B3844&lt;'111'!$N$11),"x","")</f>
        <v/>
      </c>
      <c r="R3844" s="52" t="str">
        <f>IF(ISERROR(FIND('112'!$M$9,G3844,1)),"",IF((AND(FIND('112'!$M$9,G3844,1)&gt;=1,$B3844&gt;='112'!$N$8,$B3844&lt;='112'!$O$8,OR($L3844='112'!$I$6,$M3844='112'!$I$6))),"x",""))</f>
        <v/>
      </c>
      <c r="S3844" s="52" t="str">
        <f>IF(ISERROR(FIND('112'!$M$9,G3844,1)),"",IF((AND(LEFT(G3844,2)=LEFT('112'!$M$9,2),B3844&lt;'112'!$N$8,$L3844='112'!$I$6)),"x",""))</f>
        <v/>
      </c>
      <c r="T3844" s="52" t="str">
        <f>IF(ISERROR(FIND('112'!$M$9,G3844,1)),"",IF((AND(RIGHT(G3844,2)=RIGHT('112'!$M$9,2),B3844&lt;'112'!$N$8,$M3844='112'!$I$6)),"x",""))</f>
        <v/>
      </c>
      <c r="U3844" s="52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>154</v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826"/>
    </row>
    <row r="3845" spans="1:27" ht="15.75" customHeight="1">
      <c r="A3845" s="827" t="str">
        <f>IF(B3845&lt;&gt;"",IF(AND(B3845&gt;=_TM1,B3845&lt;=_TM2,OR(TH!L3845="1111",TH!M3845="1111")),TH!D3845,""),"")</f>
        <v/>
      </c>
      <c r="B3845" s="36">
        <f t="shared" si="499"/>
        <v>4</v>
      </c>
      <c r="C3845" s="856">
        <f t="shared" si="503"/>
        <v>42487</v>
      </c>
      <c r="D3845" s="856" t="s">
        <v>1664</v>
      </c>
      <c r="E3845" s="856">
        <v>42487</v>
      </c>
      <c r="F3845" s="857" t="s">
        <v>1289</v>
      </c>
      <c r="G3845" s="858" t="s">
        <v>669</v>
      </c>
      <c r="H3845" s="859" t="s">
        <v>1312</v>
      </c>
      <c r="I3845" s="251">
        <v>10</v>
      </c>
      <c r="J3845" s="251">
        <v>19116</v>
      </c>
      <c r="K3845" s="860">
        <f t="shared" si="504"/>
        <v>191160</v>
      </c>
      <c r="L3845" s="861" t="s">
        <v>160</v>
      </c>
      <c r="M3845" s="861" t="s">
        <v>857</v>
      </c>
      <c r="N3845" s="52" t="str">
        <f>IF(AND('331-CT'!$E$7=TH!H3845,OR(L3845="331",M3845="331")),"331",IF(AND(OR(L3845="131",M3845="131"),H3845='131-CT'!$E$7),"131",""))</f>
        <v/>
      </c>
      <c r="O3845" s="52" t="str">
        <f>IF(AND($B3845&gt;='111'!$N$11,$B3845&lt;='111'!$O$11,OR($L3845=$O$7,$M3845=$O$7)),"x","")</f>
        <v/>
      </c>
      <c r="P3845" s="52" t="str">
        <f>IF(AND($L3845=$O$7,$B3845&lt;'111'!$N$11),"x","")</f>
        <v/>
      </c>
      <c r="Q3845" s="52" t="str">
        <f>IF(AND($M3845=$O$7,$B3845&lt;'111'!$N$11),"x","")</f>
        <v/>
      </c>
      <c r="R3845" s="52" t="str">
        <f>IF(ISERROR(FIND('112'!$M$9,G3845,1)),"",IF((AND(FIND('112'!$M$9,G3845,1)&gt;=1,$B3845&gt;='112'!$N$8,$B3845&lt;='112'!$O$8,OR($L3845='112'!$I$6,$M3845='112'!$I$6))),"x",""))</f>
        <v/>
      </c>
      <c r="S3845" s="52" t="str">
        <f>IF(ISERROR(FIND('112'!$M$9,G3845,1)),"",IF((AND(LEFT(G3845,2)=LEFT('112'!$M$9,2),B3845&lt;'112'!$N$8,$L3845='112'!$I$6)),"x",""))</f>
        <v/>
      </c>
      <c r="T3845" s="52" t="str">
        <f>IF(ISERROR(FIND('112'!$M$9,G3845,1)),"",IF((AND(RIGHT(G3845,2)=RIGHT('112'!$M$9,2),B3845&lt;'112'!$N$8,$M3845='112'!$I$6)),"x",""))</f>
        <v/>
      </c>
      <c r="U3845" s="52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>154</v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826"/>
    </row>
    <row r="3846" spans="1:27" ht="15.75" customHeight="1">
      <c r="A3846" s="827" t="str">
        <f>IF(B3846&lt;&gt;"",IF(AND(B3846&gt;=_TM1,B3846&lt;=_TM2,OR(TH!L3846="1111",TH!M3846="1111")),TH!D3846,""),"")</f>
        <v/>
      </c>
      <c r="B3846" s="36">
        <f t="shared" si="499"/>
        <v>5</v>
      </c>
      <c r="C3846" s="856">
        <f t="shared" si="503"/>
        <v>42500</v>
      </c>
      <c r="D3846" s="856" t="s">
        <v>1664</v>
      </c>
      <c r="E3846" s="856">
        <v>42500</v>
      </c>
      <c r="F3846" s="857" t="s">
        <v>1258</v>
      </c>
      <c r="G3846" s="858" t="s">
        <v>686</v>
      </c>
      <c r="H3846" s="859" t="s">
        <v>1312</v>
      </c>
      <c r="I3846" s="251">
        <v>10</v>
      </c>
      <c r="J3846" s="251">
        <v>25740</v>
      </c>
      <c r="K3846" s="860">
        <f t="shared" si="504"/>
        <v>257400</v>
      </c>
      <c r="L3846" s="861" t="s">
        <v>160</v>
      </c>
      <c r="M3846" s="861" t="s">
        <v>857</v>
      </c>
      <c r="N3846" s="52" t="str">
        <f>IF(AND('331-CT'!$E$7=TH!H3846,OR(L3846="331",M3846="331")),"331",IF(AND(OR(L3846="131",M3846="131"),H3846='131-CT'!$E$7),"131",""))</f>
        <v/>
      </c>
      <c r="O3846" s="52" t="str">
        <f>IF(AND($B3846&gt;='111'!$N$11,$B3846&lt;='111'!$O$11,OR($L3846=$O$7,$M3846=$O$7)),"x","")</f>
        <v/>
      </c>
      <c r="P3846" s="52" t="str">
        <f>IF(AND($L3846=$O$7,$B3846&lt;'111'!$N$11),"x","")</f>
        <v/>
      </c>
      <c r="Q3846" s="52" t="str">
        <f>IF(AND($M3846=$O$7,$B3846&lt;'111'!$N$11),"x","")</f>
        <v/>
      </c>
      <c r="R3846" s="52" t="str">
        <f>IF(ISERROR(FIND('112'!$M$9,G3846,1)),"",IF((AND(FIND('112'!$M$9,G3846,1)&gt;=1,$B3846&gt;='112'!$N$8,$B3846&lt;='112'!$O$8,OR($L3846='112'!$I$6,$M3846='112'!$I$6))),"x",""))</f>
        <v/>
      </c>
      <c r="S3846" s="52" t="str">
        <f>IF(ISERROR(FIND('112'!$M$9,G3846,1)),"",IF((AND(LEFT(G3846,2)=LEFT('112'!$M$9,2),B3846&lt;'112'!$N$8,$L3846='112'!$I$6)),"x",""))</f>
        <v/>
      </c>
      <c r="T3846" s="52" t="str">
        <f>IF(ISERROR(FIND('112'!$M$9,G3846,1)),"",IF((AND(RIGHT(G3846,2)=RIGHT('112'!$M$9,2),B3846&lt;'112'!$N$8,$M3846='112'!$I$6)),"x",""))</f>
        <v/>
      </c>
      <c r="U3846" s="52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>154</v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826"/>
    </row>
    <row r="3847" spans="1:27" ht="15.75" customHeight="1">
      <c r="A3847" s="827" t="str">
        <f>IF(B3847&lt;&gt;"",IF(AND(B3847&gt;=_TM1,B3847&lt;=_TM2,OR(TH!L3847="1111",TH!M3847="1111")),TH!D3847,""),"")</f>
        <v/>
      </c>
      <c r="B3847" s="36">
        <f t="shared" si="499"/>
        <v>5</v>
      </c>
      <c r="C3847" s="856">
        <f t="shared" si="503"/>
        <v>42514</v>
      </c>
      <c r="D3847" s="856" t="s">
        <v>1664</v>
      </c>
      <c r="E3847" s="856">
        <v>42514</v>
      </c>
      <c r="F3847" s="857" t="s">
        <v>1285</v>
      </c>
      <c r="G3847" s="858" t="s">
        <v>691</v>
      </c>
      <c r="H3847" s="859" t="s">
        <v>1312</v>
      </c>
      <c r="I3847" s="251">
        <v>15</v>
      </c>
      <c r="J3847" s="251">
        <v>21375</v>
      </c>
      <c r="K3847" s="860">
        <f t="shared" si="504"/>
        <v>320625</v>
      </c>
      <c r="L3847" s="861" t="s">
        <v>160</v>
      </c>
      <c r="M3847" s="861" t="s">
        <v>857</v>
      </c>
      <c r="N3847" s="52" t="str">
        <f>IF(AND('331-CT'!$E$7=TH!H3847,OR(L3847="331",M3847="331")),"331",IF(AND(OR(L3847="131",M3847="131"),H3847='131-CT'!$E$7),"131",""))</f>
        <v/>
      </c>
      <c r="O3847" s="52" t="str">
        <f>IF(AND($B3847&gt;='111'!$N$11,$B3847&lt;='111'!$O$11,OR($L3847=$O$7,$M3847=$O$7)),"x","")</f>
        <v/>
      </c>
      <c r="P3847" s="52" t="str">
        <f>IF(AND($L3847=$O$7,$B3847&lt;'111'!$N$11),"x","")</f>
        <v/>
      </c>
      <c r="Q3847" s="52" t="str">
        <f>IF(AND($M3847=$O$7,$B3847&lt;'111'!$N$11),"x","")</f>
        <v/>
      </c>
      <c r="R3847" s="52" t="str">
        <f>IF(ISERROR(FIND('112'!$M$9,G3847,1)),"",IF((AND(FIND('112'!$M$9,G3847,1)&gt;=1,$B3847&gt;='112'!$N$8,$B3847&lt;='112'!$O$8,OR($L3847='112'!$I$6,$M3847='112'!$I$6))),"x",""))</f>
        <v/>
      </c>
      <c r="S3847" s="52" t="str">
        <f>IF(ISERROR(FIND('112'!$M$9,G3847,1)),"",IF((AND(LEFT(G3847,2)=LEFT('112'!$M$9,2),B3847&lt;'112'!$N$8,$L3847='112'!$I$6)),"x",""))</f>
        <v/>
      </c>
      <c r="T3847" s="52" t="str">
        <f>IF(ISERROR(FIND('112'!$M$9,G3847,1)),"",IF((AND(RIGHT(G3847,2)=RIGHT('112'!$M$9,2),B3847&lt;'112'!$N$8,$M3847='112'!$I$6)),"x",""))</f>
        <v/>
      </c>
      <c r="U3847" s="52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>154</v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826"/>
    </row>
    <row r="3848" spans="1:27" ht="15.75" customHeight="1">
      <c r="A3848" s="827" t="str">
        <f>IF(B3848&lt;&gt;"",IF(AND(B3848&gt;=_TM1,B3848&lt;=_TM2,OR(TH!L3848="1111",TH!M3848="1111")),TH!D3848,""),"")</f>
        <v/>
      </c>
      <c r="B3848" s="36">
        <f t="shared" si="499"/>
        <v>5</v>
      </c>
      <c r="C3848" s="856">
        <f t="shared" si="503"/>
        <v>42514</v>
      </c>
      <c r="D3848" s="856" t="s">
        <v>1664</v>
      </c>
      <c r="E3848" s="856">
        <v>42514</v>
      </c>
      <c r="F3848" s="857" t="s">
        <v>1225</v>
      </c>
      <c r="G3848" s="858" t="s">
        <v>692</v>
      </c>
      <c r="H3848" s="859" t="s">
        <v>1312</v>
      </c>
      <c r="I3848" s="251">
        <v>40</v>
      </c>
      <c r="J3848" s="251">
        <v>9340</v>
      </c>
      <c r="K3848" s="860">
        <f t="shared" si="504"/>
        <v>373600</v>
      </c>
      <c r="L3848" s="861" t="s">
        <v>160</v>
      </c>
      <c r="M3848" s="861" t="s">
        <v>857</v>
      </c>
      <c r="N3848" s="52" t="str">
        <f>IF(AND('331-CT'!$E$7=TH!H3848,OR(L3848="331",M3848="331")),"331",IF(AND(OR(L3848="131",M3848="131"),H3848='131-CT'!$E$7),"131",""))</f>
        <v/>
      </c>
      <c r="O3848" s="52" t="str">
        <f>IF(AND($B3848&gt;='111'!$N$11,$B3848&lt;='111'!$O$11,OR($L3848=$O$7,$M3848=$O$7)),"x","")</f>
        <v/>
      </c>
      <c r="P3848" s="52" t="str">
        <f>IF(AND($L3848=$O$7,$B3848&lt;'111'!$N$11),"x","")</f>
        <v/>
      </c>
      <c r="Q3848" s="52" t="str">
        <f>IF(AND($M3848=$O$7,$B3848&lt;'111'!$N$11),"x","")</f>
        <v/>
      </c>
      <c r="R3848" s="52" t="str">
        <f>IF(ISERROR(FIND('112'!$M$9,G3848,1)),"",IF((AND(FIND('112'!$M$9,G3848,1)&gt;=1,$B3848&gt;='112'!$N$8,$B3848&lt;='112'!$O$8,OR($L3848='112'!$I$6,$M3848='112'!$I$6))),"x",""))</f>
        <v/>
      </c>
      <c r="S3848" s="52" t="str">
        <f>IF(ISERROR(FIND('112'!$M$9,G3848,1)),"",IF((AND(LEFT(G3848,2)=LEFT('112'!$M$9,2),B3848&lt;'112'!$N$8,$L3848='112'!$I$6)),"x",""))</f>
        <v/>
      </c>
      <c r="T3848" s="52" t="str">
        <f>IF(ISERROR(FIND('112'!$M$9,G3848,1)),"",IF((AND(RIGHT(G3848,2)=RIGHT('112'!$M$9,2),B3848&lt;'112'!$N$8,$M3848='112'!$I$6)),"x",""))</f>
        <v/>
      </c>
      <c r="U3848" s="52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>154</v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826"/>
    </row>
    <row r="3849" spans="1:27" ht="15.75" customHeight="1">
      <c r="A3849" s="827" t="str">
        <f>IF(B3849&lt;&gt;"",IF(AND(B3849&gt;=_TM1,B3849&lt;=_TM2,OR(TH!L3849="1111",TH!M3849="1111")),TH!D3849,""),"")</f>
        <v/>
      </c>
      <c r="B3849" s="36">
        <f t="shared" si="499"/>
        <v>5</v>
      </c>
      <c r="C3849" s="856">
        <f t="shared" si="503"/>
        <v>42514</v>
      </c>
      <c r="D3849" s="856" t="s">
        <v>1664</v>
      </c>
      <c r="E3849" s="856">
        <v>42514</v>
      </c>
      <c r="F3849" s="857" t="s">
        <v>1146</v>
      </c>
      <c r="G3849" s="858" t="s">
        <v>693</v>
      </c>
      <c r="H3849" s="859" t="s">
        <v>1312</v>
      </c>
      <c r="I3849" s="251">
        <v>70</v>
      </c>
      <c r="J3849" s="251">
        <v>16380</v>
      </c>
      <c r="K3849" s="860">
        <f t="shared" si="504"/>
        <v>1146600</v>
      </c>
      <c r="L3849" s="861" t="s">
        <v>160</v>
      </c>
      <c r="M3849" s="861" t="s">
        <v>857</v>
      </c>
      <c r="N3849" s="52" t="str">
        <f>IF(AND('331-CT'!$E$7=TH!H3849,OR(L3849="331",M3849="331")),"331",IF(AND(OR(L3849="131",M3849="131"),H3849='131-CT'!$E$7),"131",""))</f>
        <v/>
      </c>
      <c r="O3849" s="52" t="str">
        <f>IF(AND($B3849&gt;='111'!$N$11,$B3849&lt;='111'!$O$11,OR($L3849=$O$7,$M3849=$O$7)),"x","")</f>
        <v/>
      </c>
      <c r="P3849" s="52" t="str">
        <f>IF(AND($L3849=$O$7,$B3849&lt;'111'!$N$11),"x","")</f>
        <v/>
      </c>
      <c r="Q3849" s="52" t="str">
        <f>IF(AND($M3849=$O$7,$B3849&lt;'111'!$N$11),"x","")</f>
        <v/>
      </c>
      <c r="R3849" s="52" t="str">
        <f>IF(ISERROR(FIND('112'!$M$9,G3849,1)),"",IF((AND(FIND('112'!$M$9,G3849,1)&gt;=1,$B3849&gt;='112'!$N$8,$B3849&lt;='112'!$O$8,OR($L3849='112'!$I$6,$M3849='112'!$I$6))),"x",""))</f>
        <v/>
      </c>
      <c r="S3849" s="52" t="str">
        <f>IF(ISERROR(FIND('112'!$M$9,G3849,1)),"",IF((AND(LEFT(G3849,2)=LEFT('112'!$M$9,2),B3849&lt;'112'!$N$8,$L3849='112'!$I$6)),"x",""))</f>
        <v/>
      </c>
      <c r="T3849" s="52" t="str">
        <f>IF(ISERROR(FIND('112'!$M$9,G3849,1)),"",IF((AND(RIGHT(G3849,2)=RIGHT('112'!$M$9,2),B3849&lt;'112'!$N$8,$M3849='112'!$I$6)),"x",""))</f>
        <v/>
      </c>
      <c r="U3849" s="52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>154</v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826"/>
    </row>
    <row r="3850" spans="1:27" ht="15.75" customHeight="1">
      <c r="A3850" s="827" t="str">
        <f>IF(B3850&lt;&gt;"",IF(AND(B3850&gt;=_TM1,B3850&lt;=_TM2,OR(TH!L3850="1111",TH!M3850="1111")),TH!D3850,""),"")</f>
        <v/>
      </c>
      <c r="B3850" s="36">
        <f t="shared" si="499"/>
        <v>5</v>
      </c>
      <c r="C3850" s="856">
        <f t="shared" si="503"/>
        <v>42514</v>
      </c>
      <c r="D3850" s="856" t="s">
        <v>1664</v>
      </c>
      <c r="E3850" s="856">
        <v>42514</v>
      </c>
      <c r="F3850" s="857" t="s">
        <v>1144</v>
      </c>
      <c r="G3850" s="858" t="s">
        <v>693</v>
      </c>
      <c r="H3850" s="859" t="s">
        <v>1312</v>
      </c>
      <c r="I3850" s="251">
        <v>96</v>
      </c>
      <c r="J3850" s="251">
        <v>15059</v>
      </c>
      <c r="K3850" s="860">
        <f t="shared" si="504"/>
        <v>1445664</v>
      </c>
      <c r="L3850" s="861" t="s">
        <v>160</v>
      </c>
      <c r="M3850" s="861" t="s">
        <v>857</v>
      </c>
      <c r="N3850" s="52" t="str">
        <f>IF(AND('331-CT'!$E$7=TH!H3850,OR(L3850="331",M3850="331")),"331",IF(AND(OR(L3850="131",M3850="131"),H3850='131-CT'!$E$7),"131",""))</f>
        <v/>
      </c>
      <c r="O3850" s="52" t="str">
        <f>IF(AND($B3850&gt;='111'!$N$11,$B3850&lt;='111'!$O$11,OR($L3850=$O$7,$M3850=$O$7)),"x","")</f>
        <v/>
      </c>
      <c r="P3850" s="52" t="str">
        <f>IF(AND($L3850=$O$7,$B3850&lt;'111'!$N$11),"x","")</f>
        <v/>
      </c>
      <c r="Q3850" s="52" t="str">
        <f>IF(AND($M3850=$O$7,$B3850&lt;'111'!$N$11),"x","")</f>
        <v/>
      </c>
      <c r="R3850" s="52" t="str">
        <f>IF(ISERROR(FIND('112'!$M$9,G3850,1)),"",IF((AND(FIND('112'!$M$9,G3850,1)&gt;=1,$B3850&gt;='112'!$N$8,$B3850&lt;='112'!$O$8,OR($L3850='112'!$I$6,$M3850='112'!$I$6))),"x",""))</f>
        <v/>
      </c>
      <c r="S3850" s="52" t="str">
        <f>IF(ISERROR(FIND('112'!$M$9,G3850,1)),"",IF((AND(LEFT(G3850,2)=LEFT('112'!$M$9,2),B3850&lt;'112'!$N$8,$L3850='112'!$I$6)),"x",""))</f>
        <v/>
      </c>
      <c r="T3850" s="52" t="str">
        <f>IF(ISERROR(FIND('112'!$M$9,G3850,1)),"",IF((AND(RIGHT(G3850,2)=RIGHT('112'!$M$9,2),B3850&lt;'112'!$N$8,$M3850='112'!$I$6)),"x",""))</f>
        <v/>
      </c>
      <c r="U3850" s="52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>154</v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826"/>
    </row>
    <row r="3851" spans="1:27" ht="15.75" customHeight="1">
      <c r="A3851" s="827" t="str">
        <f>IF(B3851&lt;&gt;"",IF(AND(B3851&gt;=_TM1,B3851&lt;=_TM2,OR(TH!L3851="1111",TH!M3851="1111")),TH!D3851,""),"")</f>
        <v/>
      </c>
      <c r="B3851" s="36">
        <f t="shared" si="499"/>
        <v>5</v>
      </c>
      <c r="C3851" s="856">
        <f t="shared" si="503"/>
        <v>42515</v>
      </c>
      <c r="D3851" s="856" t="s">
        <v>1664</v>
      </c>
      <c r="E3851" s="856">
        <v>42515</v>
      </c>
      <c r="F3851" s="857" t="s">
        <v>1224</v>
      </c>
      <c r="G3851" s="858" t="s">
        <v>694</v>
      </c>
      <c r="H3851" s="859" t="s">
        <v>1312</v>
      </c>
      <c r="I3851" s="251">
        <v>40</v>
      </c>
      <c r="J3851" s="251">
        <v>9443</v>
      </c>
      <c r="K3851" s="860">
        <f t="shared" si="504"/>
        <v>377720</v>
      </c>
      <c r="L3851" s="861" t="s">
        <v>160</v>
      </c>
      <c r="M3851" s="861" t="s">
        <v>857</v>
      </c>
      <c r="N3851" s="52" t="str">
        <f>IF(AND('331-CT'!$E$7=TH!H3851,OR(L3851="331",M3851="331")),"331",IF(AND(OR(L3851="131",M3851="131"),H3851='131-CT'!$E$7),"131",""))</f>
        <v/>
      </c>
      <c r="O3851" s="52" t="str">
        <f>IF(AND($B3851&gt;='111'!$N$11,$B3851&lt;='111'!$O$11,OR($L3851=$O$7,$M3851=$O$7)),"x","")</f>
        <v/>
      </c>
      <c r="P3851" s="52" t="str">
        <f>IF(AND($L3851=$O$7,$B3851&lt;'111'!$N$11),"x","")</f>
        <v/>
      </c>
      <c r="Q3851" s="52" t="str">
        <f>IF(AND($M3851=$O$7,$B3851&lt;'111'!$N$11),"x","")</f>
        <v/>
      </c>
      <c r="R3851" s="52" t="str">
        <f>IF(ISERROR(FIND('112'!$M$9,G3851,1)),"",IF((AND(FIND('112'!$M$9,G3851,1)&gt;=1,$B3851&gt;='112'!$N$8,$B3851&lt;='112'!$O$8,OR($L3851='112'!$I$6,$M3851='112'!$I$6))),"x",""))</f>
        <v/>
      </c>
      <c r="S3851" s="52" t="str">
        <f>IF(ISERROR(FIND('112'!$M$9,G3851,1)),"",IF((AND(LEFT(G3851,2)=LEFT('112'!$M$9,2),B3851&lt;'112'!$N$8,$L3851='112'!$I$6)),"x",""))</f>
        <v/>
      </c>
      <c r="T3851" s="52" t="str">
        <f>IF(ISERROR(FIND('112'!$M$9,G3851,1)),"",IF((AND(RIGHT(G3851,2)=RIGHT('112'!$M$9,2),B3851&lt;'112'!$N$8,$M3851='112'!$I$6)),"x",""))</f>
        <v/>
      </c>
      <c r="U3851" s="52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>154</v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826"/>
    </row>
    <row r="3852" spans="1:27" ht="15.75" customHeight="1">
      <c r="A3852" s="827" t="str">
        <f>IF(B3852&lt;&gt;"",IF(AND(B3852&gt;=_TM1,B3852&lt;=_TM2,OR(TH!L3852="1111",TH!M3852="1111")),TH!D3852,""),"")</f>
        <v/>
      </c>
      <c r="B3852" s="36">
        <f t="shared" si="499"/>
        <v>5</v>
      </c>
      <c r="C3852" s="856">
        <f t="shared" si="503"/>
        <v>42519</v>
      </c>
      <c r="D3852" s="856" t="s">
        <v>1664</v>
      </c>
      <c r="E3852" s="856">
        <v>42519</v>
      </c>
      <c r="F3852" s="857" t="s">
        <v>1226</v>
      </c>
      <c r="G3852" s="858" t="s">
        <v>697</v>
      </c>
      <c r="H3852" s="859" t="s">
        <v>1312</v>
      </c>
      <c r="I3852" s="251">
        <v>12</v>
      </c>
      <c r="J3852" s="251">
        <v>20102</v>
      </c>
      <c r="K3852" s="860">
        <f t="shared" si="504"/>
        <v>241224</v>
      </c>
      <c r="L3852" s="861" t="s">
        <v>160</v>
      </c>
      <c r="M3852" s="861" t="s">
        <v>857</v>
      </c>
      <c r="N3852" s="52" t="str">
        <f>IF(AND('331-CT'!$E$7=TH!H3852,OR(L3852="331",M3852="331")),"331",IF(AND(OR(L3852="131",M3852="131"),H3852='131-CT'!$E$7),"131",""))</f>
        <v/>
      </c>
      <c r="O3852" s="52" t="str">
        <f>IF(AND($B3852&gt;='111'!$N$11,$B3852&lt;='111'!$O$11,OR($L3852=$O$7,$M3852=$O$7)),"x","")</f>
        <v/>
      </c>
      <c r="P3852" s="52" t="str">
        <f>IF(AND($L3852=$O$7,$B3852&lt;'111'!$N$11),"x","")</f>
        <v/>
      </c>
      <c r="Q3852" s="52" t="str">
        <f>IF(AND($M3852=$O$7,$B3852&lt;'111'!$N$11),"x","")</f>
        <v/>
      </c>
      <c r="R3852" s="52" t="str">
        <f>IF(ISERROR(FIND('112'!$M$9,G3852,1)),"",IF((AND(FIND('112'!$M$9,G3852,1)&gt;=1,$B3852&gt;='112'!$N$8,$B3852&lt;='112'!$O$8,OR($L3852='112'!$I$6,$M3852='112'!$I$6))),"x",""))</f>
        <v/>
      </c>
      <c r="S3852" s="52" t="str">
        <f>IF(ISERROR(FIND('112'!$M$9,G3852,1)),"",IF((AND(LEFT(G3852,2)=LEFT('112'!$M$9,2),B3852&lt;'112'!$N$8,$L3852='112'!$I$6)),"x",""))</f>
        <v/>
      </c>
      <c r="T3852" s="52" t="str">
        <f>IF(ISERROR(FIND('112'!$M$9,G3852,1)),"",IF((AND(RIGHT(G3852,2)=RIGHT('112'!$M$9,2),B3852&lt;'112'!$N$8,$M3852='112'!$I$6)),"x",""))</f>
        <v/>
      </c>
      <c r="U3852" s="52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>154</v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826"/>
    </row>
    <row r="3853" spans="1:27" ht="15.75" customHeight="1">
      <c r="A3853" s="827" t="str">
        <f>IF(B3853&lt;&gt;"",IF(AND(B3853&gt;=_TM1,B3853&lt;=_TM2,OR(TH!L3853="1111",TH!M3853="1111")),TH!D3853,""),"")</f>
        <v/>
      </c>
      <c r="B3853" s="36">
        <f t="shared" si="499"/>
        <v>5</v>
      </c>
      <c r="C3853" s="856">
        <f t="shared" si="503"/>
        <v>42519</v>
      </c>
      <c r="D3853" s="856" t="s">
        <v>1664</v>
      </c>
      <c r="E3853" s="856">
        <v>42519</v>
      </c>
      <c r="F3853" s="857" t="s">
        <v>1223</v>
      </c>
      <c r="G3853" s="858" t="s">
        <v>697</v>
      </c>
      <c r="H3853" s="859" t="s">
        <v>1312</v>
      </c>
      <c r="I3853" s="251">
        <v>41</v>
      </c>
      <c r="J3853" s="251">
        <v>10687</v>
      </c>
      <c r="K3853" s="860">
        <f t="shared" si="504"/>
        <v>438167</v>
      </c>
      <c r="L3853" s="861" t="s">
        <v>160</v>
      </c>
      <c r="M3853" s="861" t="s">
        <v>857</v>
      </c>
      <c r="N3853" s="52" t="str">
        <f>IF(AND('331-CT'!$E$7=TH!H3853,OR(L3853="331",M3853="331")),"331",IF(AND(OR(L3853="131",M3853="131"),H3853='131-CT'!$E$7),"131",""))</f>
        <v/>
      </c>
      <c r="O3853" s="52" t="str">
        <f>IF(AND($B3853&gt;='111'!$N$11,$B3853&lt;='111'!$O$11,OR($L3853=$O$7,$M3853=$O$7)),"x","")</f>
        <v/>
      </c>
      <c r="P3853" s="52" t="str">
        <f>IF(AND($L3853=$O$7,$B3853&lt;'111'!$N$11),"x","")</f>
        <v/>
      </c>
      <c r="Q3853" s="52" t="str">
        <f>IF(AND($M3853=$O$7,$B3853&lt;'111'!$N$11),"x","")</f>
        <v/>
      </c>
      <c r="R3853" s="52" t="str">
        <f>IF(ISERROR(FIND('112'!$M$9,G3853,1)),"",IF((AND(FIND('112'!$M$9,G3853,1)&gt;=1,$B3853&gt;='112'!$N$8,$B3853&lt;='112'!$O$8,OR($L3853='112'!$I$6,$M3853='112'!$I$6))),"x",""))</f>
        <v/>
      </c>
      <c r="S3853" s="52" t="str">
        <f>IF(ISERROR(FIND('112'!$M$9,G3853,1)),"",IF((AND(LEFT(G3853,2)=LEFT('112'!$M$9,2),B3853&lt;'112'!$N$8,$L3853='112'!$I$6)),"x",""))</f>
        <v/>
      </c>
      <c r="T3853" s="52" t="str">
        <f>IF(ISERROR(FIND('112'!$M$9,G3853,1)),"",IF((AND(RIGHT(G3853,2)=RIGHT('112'!$M$9,2),B3853&lt;'112'!$N$8,$M3853='112'!$I$6)),"x",""))</f>
        <v/>
      </c>
      <c r="U3853" s="52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>154</v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826"/>
    </row>
    <row r="3854" spans="1:27" ht="15.75" customHeight="1">
      <c r="A3854" s="827" t="str">
        <f>IF(B3854&lt;&gt;"",IF(AND(B3854&gt;=_TM1,B3854&lt;=_TM2,OR(TH!L3854="1111",TH!M3854="1111")),TH!D3854,""),"")</f>
        <v/>
      </c>
      <c r="B3854" s="36">
        <f t="shared" si="499"/>
        <v>5</v>
      </c>
      <c r="C3854" s="856">
        <f t="shared" si="503"/>
        <v>42521</v>
      </c>
      <c r="D3854" s="856" t="s">
        <v>1664</v>
      </c>
      <c r="E3854" s="856">
        <v>42521</v>
      </c>
      <c r="F3854" s="857" t="s">
        <v>1227</v>
      </c>
      <c r="G3854" s="858" t="s">
        <v>726</v>
      </c>
      <c r="H3854" s="859" t="s">
        <v>1312</v>
      </c>
      <c r="I3854" s="251">
        <v>19</v>
      </c>
      <c r="J3854" s="251">
        <v>18354</v>
      </c>
      <c r="K3854" s="860">
        <f t="shared" si="504"/>
        <v>348726</v>
      </c>
      <c r="L3854" s="861" t="s">
        <v>160</v>
      </c>
      <c r="M3854" s="861" t="s">
        <v>857</v>
      </c>
      <c r="N3854" s="52" t="str">
        <f>IF(AND('331-CT'!$E$7=TH!H3854,OR(L3854="331",M3854="331")),"331",IF(AND(OR(L3854="131",M3854="131"),H3854='131-CT'!$E$7),"131",""))</f>
        <v/>
      </c>
      <c r="O3854" s="52" t="str">
        <f>IF(AND($B3854&gt;='111'!$N$11,$B3854&lt;='111'!$O$11,OR($L3854=$O$7,$M3854=$O$7)),"x","")</f>
        <v/>
      </c>
      <c r="P3854" s="52" t="str">
        <f>IF(AND($L3854=$O$7,$B3854&lt;'111'!$N$11),"x","")</f>
        <v/>
      </c>
      <c r="Q3854" s="52" t="str">
        <f>IF(AND($M3854=$O$7,$B3854&lt;'111'!$N$11),"x","")</f>
        <v/>
      </c>
      <c r="R3854" s="52" t="str">
        <f>IF(ISERROR(FIND('112'!$M$9,G3854,1)),"",IF((AND(FIND('112'!$M$9,G3854,1)&gt;=1,$B3854&gt;='112'!$N$8,$B3854&lt;='112'!$O$8,OR($L3854='112'!$I$6,$M3854='112'!$I$6))),"x",""))</f>
        <v/>
      </c>
      <c r="S3854" s="52" t="str">
        <f>IF(ISERROR(FIND('112'!$M$9,G3854,1)),"",IF((AND(LEFT(G3854,2)=LEFT('112'!$M$9,2),B3854&lt;'112'!$N$8,$L3854='112'!$I$6)),"x",""))</f>
        <v/>
      </c>
      <c r="T3854" s="52" t="str">
        <f>IF(ISERROR(FIND('112'!$M$9,G3854,1)),"",IF((AND(RIGHT(G3854,2)=RIGHT('112'!$M$9,2),B3854&lt;'112'!$N$8,$M3854='112'!$I$6)),"x",""))</f>
        <v/>
      </c>
      <c r="U3854" s="52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>154</v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826"/>
    </row>
    <row r="3855" spans="1:27" ht="15.75" customHeight="1">
      <c r="A3855" s="827" t="str">
        <f>IF(B3855&lt;&gt;"",IF(AND(B3855&gt;=_TM1,B3855&lt;=_TM2,OR(TH!L3855="1111",TH!M3855="1111")),TH!D3855,""),"")</f>
        <v/>
      </c>
      <c r="B3855" s="36">
        <f t="shared" si="499"/>
        <v>6</v>
      </c>
      <c r="C3855" s="856">
        <f t="shared" si="503"/>
        <v>42525</v>
      </c>
      <c r="D3855" s="856" t="s">
        <v>1664</v>
      </c>
      <c r="E3855" s="856">
        <v>42525</v>
      </c>
      <c r="F3855" s="857" t="s">
        <v>1228</v>
      </c>
      <c r="G3855" s="858" t="s">
        <v>733</v>
      </c>
      <c r="H3855" s="859" t="s">
        <v>1312</v>
      </c>
      <c r="I3855" s="251">
        <v>17</v>
      </c>
      <c r="J3855" s="251">
        <v>18267</v>
      </c>
      <c r="K3855" s="860">
        <f t="shared" si="504"/>
        <v>310539</v>
      </c>
      <c r="L3855" s="861" t="s">
        <v>160</v>
      </c>
      <c r="M3855" s="861" t="s">
        <v>857</v>
      </c>
      <c r="N3855" s="52" t="str">
        <f>IF(AND('331-CT'!$E$7=TH!H3855,OR(L3855="331",M3855="331")),"331",IF(AND(OR(L3855="131",M3855="131"),H3855='131-CT'!$E$7),"131",""))</f>
        <v/>
      </c>
      <c r="O3855" s="52" t="str">
        <f>IF(AND($B3855&gt;='111'!$N$11,$B3855&lt;='111'!$O$11,OR($L3855=$O$7,$M3855=$O$7)),"x","")</f>
        <v/>
      </c>
      <c r="P3855" s="52" t="str">
        <f>IF(AND($L3855=$O$7,$B3855&lt;'111'!$N$11),"x","")</f>
        <v/>
      </c>
      <c r="Q3855" s="52" t="str">
        <f>IF(AND($M3855=$O$7,$B3855&lt;'111'!$N$11),"x","")</f>
        <v/>
      </c>
      <c r="R3855" s="52" t="str">
        <f>IF(ISERROR(FIND('112'!$M$9,G3855,1)),"",IF((AND(FIND('112'!$M$9,G3855,1)&gt;=1,$B3855&gt;='112'!$N$8,$B3855&lt;='112'!$O$8,OR($L3855='112'!$I$6,$M3855='112'!$I$6))),"x",""))</f>
        <v/>
      </c>
      <c r="S3855" s="52" t="str">
        <f>IF(ISERROR(FIND('112'!$M$9,G3855,1)),"",IF((AND(LEFT(G3855,2)=LEFT('112'!$M$9,2),B3855&lt;'112'!$N$8,$L3855='112'!$I$6)),"x",""))</f>
        <v/>
      </c>
      <c r="T3855" s="52" t="str">
        <f>IF(ISERROR(FIND('112'!$M$9,G3855,1)),"",IF((AND(RIGHT(G3855,2)=RIGHT('112'!$M$9,2),B3855&lt;'112'!$N$8,$M3855='112'!$I$6)),"x",""))</f>
        <v/>
      </c>
      <c r="U3855" s="52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>154</v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826"/>
    </row>
    <row r="3856" spans="1:27" ht="15.75" customHeight="1">
      <c r="A3856" s="827" t="str">
        <f>IF(B3856&lt;&gt;"",IF(AND(B3856&gt;=_TM1,B3856&lt;=_TM2,OR(TH!L3856="1111",TH!M3856="1111")),TH!D3856,""),"")</f>
        <v/>
      </c>
      <c r="B3856" s="36">
        <f t="shared" si="499"/>
        <v>6</v>
      </c>
      <c r="C3856" s="856">
        <f t="shared" si="503"/>
        <v>42525</v>
      </c>
      <c r="D3856" s="856" t="s">
        <v>1664</v>
      </c>
      <c r="E3856" s="856">
        <v>42525</v>
      </c>
      <c r="F3856" s="857" t="s">
        <v>1238</v>
      </c>
      <c r="G3856" s="858" t="s">
        <v>733</v>
      </c>
      <c r="H3856" s="859" t="s">
        <v>1312</v>
      </c>
      <c r="I3856" s="251">
        <v>33</v>
      </c>
      <c r="J3856" s="251">
        <v>10663</v>
      </c>
      <c r="K3856" s="860">
        <f t="shared" si="504"/>
        <v>351879</v>
      </c>
      <c r="L3856" s="861" t="s">
        <v>160</v>
      </c>
      <c r="M3856" s="861" t="s">
        <v>857</v>
      </c>
      <c r="N3856" s="52" t="str">
        <f>IF(AND('331-CT'!$E$7=TH!H3856,OR(L3856="331",M3856="331")),"331",IF(AND(OR(L3856="131",M3856="131"),H3856='131-CT'!$E$7),"131",""))</f>
        <v/>
      </c>
      <c r="O3856" s="52" t="str">
        <f>IF(AND($B3856&gt;='111'!$N$11,$B3856&lt;='111'!$O$11,OR($L3856=$O$7,$M3856=$O$7)),"x","")</f>
        <v/>
      </c>
      <c r="P3856" s="52" t="str">
        <f>IF(AND($L3856=$O$7,$B3856&lt;'111'!$N$11),"x","")</f>
        <v/>
      </c>
      <c r="Q3856" s="52" t="str">
        <f>IF(AND($M3856=$O$7,$B3856&lt;'111'!$N$11),"x","")</f>
        <v/>
      </c>
      <c r="R3856" s="52" t="str">
        <f>IF(ISERROR(FIND('112'!$M$9,G3856,1)),"",IF((AND(FIND('112'!$M$9,G3856,1)&gt;=1,$B3856&gt;='112'!$N$8,$B3856&lt;='112'!$O$8,OR($L3856='112'!$I$6,$M3856='112'!$I$6))),"x",""))</f>
        <v/>
      </c>
      <c r="S3856" s="52" t="str">
        <f>IF(ISERROR(FIND('112'!$M$9,G3856,1)),"",IF((AND(LEFT(G3856,2)=LEFT('112'!$M$9,2),B3856&lt;'112'!$N$8,$L3856='112'!$I$6)),"x",""))</f>
        <v/>
      </c>
      <c r="T3856" s="52" t="str">
        <f>IF(ISERROR(FIND('112'!$M$9,G3856,1)),"",IF((AND(RIGHT(G3856,2)=RIGHT('112'!$M$9,2),B3856&lt;'112'!$N$8,$M3856='112'!$I$6)),"x",""))</f>
        <v/>
      </c>
      <c r="U3856" s="52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>154</v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826"/>
    </row>
    <row r="3857" spans="1:27" ht="15.75" customHeight="1">
      <c r="A3857" s="827" t="str">
        <f>IF(B3857&lt;&gt;"",IF(AND(B3857&gt;=_TM1,B3857&lt;=_TM2,OR(TH!L3857="1111",TH!M3857="1111")),TH!D3857,""),"")</f>
        <v/>
      </c>
      <c r="B3857" s="36">
        <f t="shared" si="499"/>
        <v>6</v>
      </c>
      <c r="C3857" s="856">
        <f t="shared" si="503"/>
        <v>42530</v>
      </c>
      <c r="D3857" s="856" t="s">
        <v>1664</v>
      </c>
      <c r="E3857" s="856">
        <v>42530</v>
      </c>
      <c r="F3857" s="857" t="s">
        <v>1262</v>
      </c>
      <c r="G3857" s="858" t="s">
        <v>751</v>
      </c>
      <c r="H3857" s="859" t="s">
        <v>1312</v>
      </c>
      <c r="I3857" s="251">
        <v>25</v>
      </c>
      <c r="J3857" s="251">
        <v>24188</v>
      </c>
      <c r="K3857" s="860">
        <f t="shared" si="504"/>
        <v>604700</v>
      </c>
      <c r="L3857" s="861" t="s">
        <v>160</v>
      </c>
      <c r="M3857" s="861" t="s">
        <v>857</v>
      </c>
      <c r="N3857" s="52" t="str">
        <f>IF(AND('331-CT'!$E$7=TH!H3857,OR(L3857="331",M3857="331")),"331",IF(AND(OR(L3857="131",M3857="131"),H3857='131-CT'!$E$7),"131",""))</f>
        <v/>
      </c>
      <c r="O3857" s="52" t="str">
        <f>IF(AND($B3857&gt;='111'!$N$11,$B3857&lt;='111'!$O$11,OR($L3857=$O$7,$M3857=$O$7)),"x","")</f>
        <v/>
      </c>
      <c r="P3857" s="52" t="str">
        <f>IF(AND($L3857=$O$7,$B3857&lt;'111'!$N$11),"x","")</f>
        <v/>
      </c>
      <c r="Q3857" s="52" t="str">
        <f>IF(AND($M3857=$O$7,$B3857&lt;'111'!$N$11),"x","")</f>
        <v/>
      </c>
      <c r="R3857" s="52" t="str">
        <f>IF(ISERROR(FIND('112'!$M$9,G3857,1)),"",IF((AND(FIND('112'!$M$9,G3857,1)&gt;=1,$B3857&gt;='112'!$N$8,$B3857&lt;='112'!$O$8,OR($L3857='112'!$I$6,$M3857='112'!$I$6))),"x",""))</f>
        <v/>
      </c>
      <c r="S3857" s="52" t="str">
        <f>IF(ISERROR(FIND('112'!$M$9,G3857,1)),"",IF((AND(LEFT(G3857,2)=LEFT('112'!$M$9,2),B3857&lt;'112'!$N$8,$L3857='112'!$I$6)),"x",""))</f>
        <v/>
      </c>
      <c r="T3857" s="52" t="str">
        <f>IF(ISERROR(FIND('112'!$M$9,G3857,1)),"",IF((AND(RIGHT(G3857,2)=RIGHT('112'!$M$9,2),B3857&lt;'112'!$N$8,$M3857='112'!$I$6)),"x",""))</f>
        <v/>
      </c>
      <c r="U3857" s="52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>154</v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826"/>
    </row>
    <row r="3858" spans="1:27" ht="15.75" customHeight="1">
      <c r="A3858" s="827" t="str">
        <f>IF(B3858&lt;&gt;"",IF(AND(B3858&gt;=_TM1,B3858&lt;=_TM2,OR(TH!L3858="1111",TH!M3858="1111")),TH!D3858,""),"")</f>
        <v/>
      </c>
      <c r="B3858" s="36">
        <f t="shared" si="499"/>
        <v>6</v>
      </c>
      <c r="C3858" s="856">
        <f t="shared" si="503"/>
        <v>42530</v>
      </c>
      <c r="D3858" s="856" t="s">
        <v>1664</v>
      </c>
      <c r="E3858" s="856">
        <v>42530</v>
      </c>
      <c r="F3858" s="857" t="s">
        <v>1218</v>
      </c>
      <c r="G3858" s="858" t="s">
        <v>751</v>
      </c>
      <c r="H3858" s="859" t="s">
        <v>1312</v>
      </c>
      <c r="I3858" s="251">
        <v>65</v>
      </c>
      <c r="J3858" s="251">
        <v>8918</v>
      </c>
      <c r="K3858" s="860">
        <f t="shared" si="504"/>
        <v>579670</v>
      </c>
      <c r="L3858" s="861" t="s">
        <v>160</v>
      </c>
      <c r="M3858" s="861" t="s">
        <v>857</v>
      </c>
      <c r="N3858" s="52" t="str">
        <f>IF(AND('331-CT'!$E$7=TH!H3858,OR(L3858="331",M3858="331")),"331",IF(AND(OR(L3858="131",M3858="131"),H3858='131-CT'!$E$7),"131",""))</f>
        <v/>
      </c>
      <c r="O3858" s="52" t="str">
        <f>IF(AND($B3858&gt;='111'!$N$11,$B3858&lt;='111'!$O$11,OR($L3858=$O$7,$M3858=$O$7)),"x","")</f>
        <v/>
      </c>
      <c r="P3858" s="52" t="str">
        <f>IF(AND($L3858=$O$7,$B3858&lt;'111'!$N$11),"x","")</f>
        <v/>
      </c>
      <c r="Q3858" s="52" t="str">
        <f>IF(AND($M3858=$O$7,$B3858&lt;'111'!$N$11),"x","")</f>
        <v/>
      </c>
      <c r="R3858" s="52" t="str">
        <f>IF(ISERROR(FIND('112'!$M$9,G3858,1)),"",IF((AND(FIND('112'!$M$9,G3858,1)&gt;=1,$B3858&gt;='112'!$N$8,$B3858&lt;='112'!$O$8,OR($L3858='112'!$I$6,$M3858='112'!$I$6))),"x",""))</f>
        <v/>
      </c>
      <c r="S3858" s="52" t="str">
        <f>IF(ISERROR(FIND('112'!$M$9,G3858,1)),"",IF((AND(LEFT(G3858,2)=LEFT('112'!$M$9,2),B3858&lt;'112'!$N$8,$L3858='112'!$I$6)),"x",""))</f>
        <v/>
      </c>
      <c r="T3858" s="52" t="str">
        <f>IF(ISERROR(FIND('112'!$M$9,G3858,1)),"",IF((AND(RIGHT(G3858,2)=RIGHT('112'!$M$9,2),B3858&lt;'112'!$N$8,$M3858='112'!$I$6)),"x",""))</f>
        <v/>
      </c>
      <c r="U3858" s="52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>154</v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826"/>
    </row>
    <row r="3859" spans="1:27" ht="15.75" customHeight="1">
      <c r="A3859" s="827" t="str">
        <f>IF(B3859&lt;&gt;"",IF(AND(B3859&gt;=_TM1,B3859&lt;=_TM2,OR(TH!L3859="1111",TH!M3859="1111")),TH!D3859,""),"")</f>
        <v/>
      </c>
      <c r="B3859" s="36">
        <f t="shared" si="499"/>
        <v>6</v>
      </c>
      <c r="C3859" s="856">
        <f t="shared" si="503"/>
        <v>42530</v>
      </c>
      <c r="D3859" s="856" t="s">
        <v>1664</v>
      </c>
      <c r="E3859" s="856">
        <v>42530</v>
      </c>
      <c r="F3859" s="857" t="s">
        <v>1233</v>
      </c>
      <c r="G3859" s="858" t="s">
        <v>751</v>
      </c>
      <c r="H3859" s="859" t="s">
        <v>1312</v>
      </c>
      <c r="I3859" s="251">
        <v>14</v>
      </c>
      <c r="J3859" s="251">
        <v>16606</v>
      </c>
      <c r="K3859" s="860">
        <f t="shared" si="504"/>
        <v>232484</v>
      </c>
      <c r="L3859" s="861" t="s">
        <v>160</v>
      </c>
      <c r="M3859" s="861" t="s">
        <v>857</v>
      </c>
      <c r="N3859" s="52" t="str">
        <f>IF(AND('331-CT'!$E$7=TH!H3859,OR(L3859="331",M3859="331")),"331",IF(AND(OR(L3859="131",M3859="131"),H3859='131-CT'!$E$7),"131",""))</f>
        <v/>
      </c>
      <c r="O3859" s="52" t="str">
        <f>IF(AND($B3859&gt;='111'!$N$11,$B3859&lt;='111'!$O$11,OR($L3859=$O$7,$M3859=$O$7)),"x","")</f>
        <v/>
      </c>
      <c r="P3859" s="52" t="str">
        <f>IF(AND($L3859=$O$7,$B3859&lt;'111'!$N$11),"x","")</f>
        <v/>
      </c>
      <c r="Q3859" s="52" t="str">
        <f>IF(AND($M3859=$O$7,$B3859&lt;'111'!$N$11),"x","")</f>
        <v/>
      </c>
      <c r="R3859" s="52" t="str">
        <f>IF(ISERROR(FIND('112'!$M$9,G3859,1)),"",IF((AND(FIND('112'!$M$9,G3859,1)&gt;=1,$B3859&gt;='112'!$N$8,$B3859&lt;='112'!$O$8,OR($L3859='112'!$I$6,$M3859='112'!$I$6))),"x",""))</f>
        <v/>
      </c>
      <c r="S3859" s="52" t="str">
        <f>IF(ISERROR(FIND('112'!$M$9,G3859,1)),"",IF((AND(LEFT(G3859,2)=LEFT('112'!$M$9,2),B3859&lt;'112'!$N$8,$L3859='112'!$I$6)),"x",""))</f>
        <v/>
      </c>
      <c r="T3859" s="52" t="str">
        <f>IF(ISERROR(FIND('112'!$M$9,G3859,1)),"",IF((AND(RIGHT(G3859,2)=RIGHT('112'!$M$9,2),B3859&lt;'112'!$N$8,$M3859='112'!$I$6)),"x",""))</f>
        <v/>
      </c>
      <c r="U3859" s="52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>154</v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826"/>
    </row>
    <row r="3860" spans="1:27" ht="15.75" customHeight="1">
      <c r="A3860" s="827" t="str">
        <f>IF(B3860&lt;&gt;"",IF(AND(B3860&gt;=_TM1,B3860&lt;=_TM2,OR(TH!L3860="1111",TH!M3860="1111")),TH!D3860,""),"")</f>
        <v/>
      </c>
      <c r="B3860" s="36">
        <f t="shared" si="499"/>
        <v>6</v>
      </c>
      <c r="C3860" s="856">
        <f t="shared" si="503"/>
        <v>42530</v>
      </c>
      <c r="D3860" s="856" t="s">
        <v>1664</v>
      </c>
      <c r="E3860" s="856">
        <v>42530</v>
      </c>
      <c r="F3860" s="857" t="s">
        <v>1252</v>
      </c>
      <c r="G3860" s="858" t="s">
        <v>751</v>
      </c>
      <c r="H3860" s="859" t="s">
        <v>1312</v>
      </c>
      <c r="I3860" s="251">
        <v>30</v>
      </c>
      <c r="J3860" s="251">
        <v>22972</v>
      </c>
      <c r="K3860" s="860">
        <f t="shared" si="504"/>
        <v>689160</v>
      </c>
      <c r="L3860" s="861" t="s">
        <v>160</v>
      </c>
      <c r="M3860" s="861" t="s">
        <v>857</v>
      </c>
      <c r="N3860" s="52" t="str">
        <f>IF(AND('331-CT'!$E$7=TH!H3860,OR(L3860="331",M3860="331")),"331",IF(AND(OR(L3860="131",M3860="131"),H3860='131-CT'!$E$7),"131",""))</f>
        <v/>
      </c>
      <c r="O3860" s="52" t="str">
        <f>IF(AND($B3860&gt;='111'!$N$11,$B3860&lt;='111'!$O$11,OR($L3860=$O$7,$M3860=$O$7)),"x","")</f>
        <v/>
      </c>
      <c r="P3860" s="52" t="str">
        <f>IF(AND($L3860=$O$7,$B3860&lt;'111'!$N$11),"x","")</f>
        <v/>
      </c>
      <c r="Q3860" s="52" t="str">
        <f>IF(AND($M3860=$O$7,$B3860&lt;'111'!$N$11),"x","")</f>
        <v/>
      </c>
      <c r="R3860" s="52" t="str">
        <f>IF(ISERROR(FIND('112'!$M$9,G3860,1)),"",IF((AND(FIND('112'!$M$9,G3860,1)&gt;=1,$B3860&gt;='112'!$N$8,$B3860&lt;='112'!$O$8,OR($L3860='112'!$I$6,$M3860='112'!$I$6))),"x",""))</f>
        <v/>
      </c>
      <c r="S3860" s="52" t="str">
        <f>IF(ISERROR(FIND('112'!$M$9,G3860,1)),"",IF((AND(LEFT(G3860,2)=LEFT('112'!$M$9,2),B3860&lt;'112'!$N$8,$L3860='112'!$I$6)),"x",""))</f>
        <v/>
      </c>
      <c r="T3860" s="52" t="str">
        <f>IF(ISERROR(FIND('112'!$M$9,G3860,1)),"",IF((AND(RIGHT(G3860,2)=RIGHT('112'!$M$9,2),B3860&lt;'112'!$N$8,$M3860='112'!$I$6)),"x",""))</f>
        <v/>
      </c>
      <c r="U3860" s="52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>154</v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826"/>
    </row>
    <row r="3861" spans="1:27" ht="15.75" customHeight="1">
      <c r="A3861" s="827" t="str">
        <f>IF(B3861&lt;&gt;"",IF(AND(B3861&gt;=_TM1,B3861&lt;=_TM2,OR(TH!L3861="1111",TH!M3861="1111")),TH!D3861,""),"")</f>
        <v/>
      </c>
      <c r="B3861" s="36">
        <f t="shared" si="499"/>
        <v>6</v>
      </c>
      <c r="C3861" s="856">
        <f t="shared" si="503"/>
        <v>42533</v>
      </c>
      <c r="D3861" s="856" t="s">
        <v>1664</v>
      </c>
      <c r="E3861" s="856">
        <v>42533</v>
      </c>
      <c r="F3861" s="857" t="s">
        <v>1170</v>
      </c>
      <c r="G3861" s="858" t="s">
        <v>775</v>
      </c>
      <c r="H3861" s="859" t="s">
        <v>1312</v>
      </c>
      <c r="I3861" s="251">
        <v>60</v>
      </c>
      <c r="J3861" s="251">
        <v>18338</v>
      </c>
      <c r="K3861" s="860">
        <f t="shared" si="504"/>
        <v>1100280</v>
      </c>
      <c r="L3861" s="861" t="s">
        <v>160</v>
      </c>
      <c r="M3861" s="861" t="s">
        <v>857</v>
      </c>
      <c r="N3861" s="52" t="str">
        <f>IF(AND('331-CT'!$E$7=TH!H3861,OR(L3861="331",M3861="331")),"331",IF(AND(OR(L3861="131",M3861="131"),H3861='131-CT'!$E$7),"131",""))</f>
        <v/>
      </c>
      <c r="O3861" s="52" t="str">
        <f>IF(AND($B3861&gt;='111'!$N$11,$B3861&lt;='111'!$O$11,OR($L3861=$O$7,$M3861=$O$7)),"x","")</f>
        <v/>
      </c>
      <c r="P3861" s="52" t="str">
        <f>IF(AND($L3861=$O$7,$B3861&lt;'111'!$N$11),"x","")</f>
        <v/>
      </c>
      <c r="Q3861" s="52" t="str">
        <f>IF(AND($M3861=$O$7,$B3861&lt;'111'!$N$11),"x","")</f>
        <v/>
      </c>
      <c r="R3861" s="52" t="str">
        <f>IF(ISERROR(FIND('112'!$M$9,G3861,1)),"",IF((AND(FIND('112'!$M$9,G3861,1)&gt;=1,$B3861&gt;='112'!$N$8,$B3861&lt;='112'!$O$8,OR($L3861='112'!$I$6,$M3861='112'!$I$6))),"x",""))</f>
        <v/>
      </c>
      <c r="S3861" s="52" t="str">
        <f>IF(ISERROR(FIND('112'!$M$9,G3861,1)),"",IF((AND(LEFT(G3861,2)=LEFT('112'!$M$9,2),B3861&lt;'112'!$N$8,$L3861='112'!$I$6)),"x",""))</f>
        <v/>
      </c>
      <c r="T3861" s="52" t="str">
        <f>IF(ISERROR(FIND('112'!$M$9,G3861,1)),"",IF((AND(RIGHT(G3861,2)=RIGHT('112'!$M$9,2),B3861&lt;'112'!$N$8,$M3861='112'!$I$6)),"x",""))</f>
        <v/>
      </c>
      <c r="U3861" s="52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>154</v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826"/>
    </row>
    <row r="3862" spans="1:27" ht="15.75" customHeight="1">
      <c r="A3862" s="827" t="str">
        <f>IF(B3862&lt;&gt;"",IF(AND(B3862&gt;=_TM1,B3862&lt;=_TM2,OR(TH!L3862="1111",TH!M3862="1111")),TH!D3862,""),"")</f>
        <v/>
      </c>
      <c r="B3862" s="36">
        <f t="shared" si="499"/>
        <v>6</v>
      </c>
      <c r="C3862" s="856">
        <f t="shared" si="503"/>
        <v>42533</v>
      </c>
      <c r="D3862" s="856" t="s">
        <v>1664</v>
      </c>
      <c r="E3862" s="856">
        <v>42533</v>
      </c>
      <c r="F3862" s="857" t="s">
        <v>1287</v>
      </c>
      <c r="G3862" s="858" t="s">
        <v>775</v>
      </c>
      <c r="H3862" s="859" t="s">
        <v>1312</v>
      </c>
      <c r="I3862" s="251">
        <v>72</v>
      </c>
      <c r="J3862" s="251">
        <v>15735.5</v>
      </c>
      <c r="K3862" s="860">
        <f t="shared" si="504"/>
        <v>1132956</v>
      </c>
      <c r="L3862" s="861" t="s">
        <v>160</v>
      </c>
      <c r="M3862" s="861" t="s">
        <v>857</v>
      </c>
      <c r="N3862" s="52" t="str">
        <f>IF(AND('331-CT'!$E$7=TH!H3862,OR(L3862="331",M3862="331")),"331",IF(AND(OR(L3862="131",M3862="131"),H3862='131-CT'!$E$7),"131",""))</f>
        <v/>
      </c>
      <c r="O3862" s="52" t="str">
        <f>IF(AND($B3862&gt;='111'!$N$11,$B3862&lt;='111'!$O$11,OR($L3862=$O$7,$M3862=$O$7)),"x","")</f>
        <v/>
      </c>
      <c r="P3862" s="52" t="str">
        <f>IF(AND($L3862=$O$7,$B3862&lt;'111'!$N$11),"x","")</f>
        <v/>
      </c>
      <c r="Q3862" s="52" t="str">
        <f>IF(AND($M3862=$O$7,$B3862&lt;'111'!$N$11),"x","")</f>
        <v/>
      </c>
      <c r="R3862" s="52" t="str">
        <f>IF(ISERROR(FIND('112'!$M$9,G3862,1)),"",IF((AND(FIND('112'!$M$9,G3862,1)&gt;=1,$B3862&gt;='112'!$N$8,$B3862&lt;='112'!$O$8,OR($L3862='112'!$I$6,$M3862='112'!$I$6))),"x",""))</f>
        <v/>
      </c>
      <c r="S3862" s="52" t="str">
        <f>IF(ISERROR(FIND('112'!$M$9,G3862,1)),"",IF((AND(LEFT(G3862,2)=LEFT('112'!$M$9,2),B3862&lt;'112'!$N$8,$L3862='112'!$I$6)),"x",""))</f>
        <v/>
      </c>
      <c r="T3862" s="52" t="str">
        <f>IF(ISERROR(FIND('112'!$M$9,G3862,1)),"",IF((AND(RIGHT(G3862,2)=RIGHT('112'!$M$9,2),B3862&lt;'112'!$N$8,$M3862='112'!$I$6)),"x",""))</f>
        <v/>
      </c>
      <c r="U3862" s="52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>154</v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826"/>
    </row>
    <row r="3863" spans="1:27" ht="15.75" customHeight="1">
      <c r="A3863" s="827" t="str">
        <f>IF(B3863&lt;&gt;"",IF(AND(B3863&gt;=_TM1,B3863&lt;=_TM2,OR(TH!L3863="1111",TH!M3863="1111")),TH!D3863,""),"")</f>
        <v/>
      </c>
      <c r="B3863" s="36">
        <f t="shared" si="499"/>
        <v>6</v>
      </c>
      <c r="C3863" s="856">
        <f t="shared" si="503"/>
        <v>42534</v>
      </c>
      <c r="D3863" s="856" t="s">
        <v>1664</v>
      </c>
      <c r="E3863" s="856">
        <v>42534</v>
      </c>
      <c r="F3863" s="857" t="s">
        <v>1292</v>
      </c>
      <c r="G3863" s="858" t="s">
        <v>778</v>
      </c>
      <c r="H3863" s="859" t="s">
        <v>1312</v>
      </c>
      <c r="I3863" s="251">
        <v>30</v>
      </c>
      <c r="J3863" s="251">
        <v>20358</v>
      </c>
      <c r="K3863" s="860">
        <f t="shared" si="504"/>
        <v>610740</v>
      </c>
      <c r="L3863" s="861" t="s">
        <v>160</v>
      </c>
      <c r="M3863" s="861" t="s">
        <v>857</v>
      </c>
      <c r="N3863" s="52" t="str">
        <f>IF(AND('331-CT'!$E$7=TH!H3863,OR(L3863="331",M3863="331")),"331",IF(AND(OR(L3863="131",M3863="131"),H3863='131-CT'!$E$7),"131",""))</f>
        <v/>
      </c>
      <c r="O3863" s="52" t="str">
        <f>IF(AND($B3863&gt;='111'!$N$11,$B3863&lt;='111'!$O$11,OR($L3863=$O$7,$M3863=$O$7)),"x","")</f>
        <v/>
      </c>
      <c r="P3863" s="52" t="str">
        <f>IF(AND($L3863=$O$7,$B3863&lt;'111'!$N$11),"x","")</f>
        <v/>
      </c>
      <c r="Q3863" s="52" t="str">
        <f>IF(AND($M3863=$O$7,$B3863&lt;'111'!$N$11),"x","")</f>
        <v/>
      </c>
      <c r="R3863" s="52" t="str">
        <f>IF(ISERROR(FIND('112'!$M$9,G3863,1)),"",IF((AND(FIND('112'!$M$9,G3863,1)&gt;=1,$B3863&gt;='112'!$N$8,$B3863&lt;='112'!$O$8,OR($L3863='112'!$I$6,$M3863='112'!$I$6))),"x",""))</f>
        <v/>
      </c>
      <c r="S3863" s="52" t="str">
        <f>IF(ISERROR(FIND('112'!$M$9,G3863,1)),"",IF((AND(LEFT(G3863,2)=LEFT('112'!$M$9,2),B3863&lt;'112'!$N$8,$L3863='112'!$I$6)),"x",""))</f>
        <v/>
      </c>
      <c r="T3863" s="52" t="str">
        <f>IF(ISERROR(FIND('112'!$M$9,G3863,1)),"",IF((AND(RIGHT(G3863,2)=RIGHT('112'!$M$9,2),B3863&lt;'112'!$N$8,$M3863='112'!$I$6)),"x",""))</f>
        <v/>
      </c>
      <c r="U3863" s="52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>154</v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826"/>
    </row>
    <row r="3864" spans="1:27" ht="15.75" customHeight="1">
      <c r="A3864" s="827" t="str">
        <f>IF(B3864&lt;&gt;"",IF(AND(B3864&gt;=_TM1,B3864&lt;=_TM2,OR(TH!L3864="1111",TH!M3864="1111")),TH!D3864,""),"")</f>
        <v/>
      </c>
      <c r="B3864" s="36">
        <f t="shared" si="499"/>
        <v>6</v>
      </c>
      <c r="C3864" s="856">
        <f t="shared" si="503"/>
        <v>42542</v>
      </c>
      <c r="D3864" s="856" t="s">
        <v>1664</v>
      </c>
      <c r="E3864" s="856">
        <v>42542</v>
      </c>
      <c r="F3864" s="857" t="s">
        <v>1221</v>
      </c>
      <c r="G3864" s="858" t="s">
        <v>784</v>
      </c>
      <c r="H3864" s="859" t="s">
        <v>1312</v>
      </c>
      <c r="I3864" s="251">
        <v>20</v>
      </c>
      <c r="J3864" s="251">
        <v>15379</v>
      </c>
      <c r="K3864" s="860">
        <f t="shared" si="504"/>
        <v>307580</v>
      </c>
      <c r="L3864" s="861" t="s">
        <v>160</v>
      </c>
      <c r="M3864" s="861" t="s">
        <v>857</v>
      </c>
      <c r="N3864" s="52" t="str">
        <f>IF(AND('331-CT'!$E$7=TH!H3864,OR(L3864="331",M3864="331")),"331",IF(AND(OR(L3864="131",M3864="131"),H3864='131-CT'!$E$7),"131",""))</f>
        <v/>
      </c>
      <c r="O3864" s="52" t="str">
        <f>IF(AND($B3864&gt;='111'!$N$11,$B3864&lt;='111'!$O$11,OR($L3864=$O$7,$M3864=$O$7)),"x","")</f>
        <v/>
      </c>
      <c r="P3864" s="52" t="str">
        <f>IF(AND($L3864=$O$7,$B3864&lt;'111'!$N$11),"x","")</f>
        <v/>
      </c>
      <c r="Q3864" s="52" t="str">
        <f>IF(AND($M3864=$O$7,$B3864&lt;'111'!$N$11),"x","")</f>
        <v/>
      </c>
      <c r="R3864" s="52" t="str">
        <f>IF(ISERROR(FIND('112'!$M$9,G3864,1)),"",IF((AND(FIND('112'!$M$9,G3864,1)&gt;=1,$B3864&gt;='112'!$N$8,$B3864&lt;='112'!$O$8,OR($L3864='112'!$I$6,$M3864='112'!$I$6))),"x",""))</f>
        <v/>
      </c>
      <c r="S3864" s="52" t="str">
        <f>IF(ISERROR(FIND('112'!$M$9,G3864,1)),"",IF((AND(LEFT(G3864,2)=LEFT('112'!$M$9,2),B3864&lt;'112'!$N$8,$L3864='112'!$I$6)),"x",""))</f>
        <v/>
      </c>
      <c r="T3864" s="52" t="str">
        <f>IF(ISERROR(FIND('112'!$M$9,G3864,1)),"",IF((AND(RIGHT(G3864,2)=RIGHT('112'!$M$9,2),B3864&lt;'112'!$N$8,$M3864='112'!$I$6)),"x",""))</f>
        <v/>
      </c>
      <c r="U3864" s="52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>154</v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826"/>
    </row>
    <row r="3865" spans="1:27" ht="15.75" customHeight="1">
      <c r="A3865" s="827" t="str">
        <f>IF(B3865&lt;&gt;"",IF(AND(B3865&gt;=_TM1,B3865&lt;=_TM2,OR(TH!L3865="1111",TH!M3865="1111")),TH!D3865,""),"")</f>
        <v/>
      </c>
      <c r="B3865" s="36">
        <f t="shared" si="499"/>
        <v>6</v>
      </c>
      <c r="C3865" s="856">
        <f t="shared" si="503"/>
        <v>42542</v>
      </c>
      <c r="D3865" s="856" t="s">
        <v>1664</v>
      </c>
      <c r="E3865" s="856">
        <v>42542</v>
      </c>
      <c r="F3865" s="857" t="s">
        <v>1248</v>
      </c>
      <c r="G3865" s="858" t="s">
        <v>784</v>
      </c>
      <c r="H3865" s="859" t="s">
        <v>1312</v>
      </c>
      <c r="I3865" s="251">
        <v>10</v>
      </c>
      <c r="J3865" s="251">
        <v>28553</v>
      </c>
      <c r="K3865" s="860">
        <f t="shared" si="504"/>
        <v>285530</v>
      </c>
      <c r="L3865" s="861" t="s">
        <v>160</v>
      </c>
      <c r="M3865" s="861" t="s">
        <v>857</v>
      </c>
      <c r="N3865" s="52" t="str">
        <f>IF(AND('331-CT'!$E$7=TH!H3865,OR(L3865="331",M3865="331")),"331",IF(AND(OR(L3865="131",M3865="131"),H3865='131-CT'!$E$7),"131",""))</f>
        <v/>
      </c>
      <c r="O3865" s="52" t="str">
        <f>IF(AND($B3865&gt;='111'!$N$11,$B3865&lt;='111'!$O$11,OR($L3865=$O$7,$M3865=$O$7)),"x","")</f>
        <v/>
      </c>
      <c r="P3865" s="52" t="str">
        <f>IF(AND($L3865=$O$7,$B3865&lt;'111'!$N$11),"x","")</f>
        <v/>
      </c>
      <c r="Q3865" s="52" t="str">
        <f>IF(AND($M3865=$O$7,$B3865&lt;'111'!$N$11),"x","")</f>
        <v/>
      </c>
      <c r="R3865" s="52" t="str">
        <f>IF(ISERROR(FIND('112'!$M$9,G3865,1)),"",IF((AND(FIND('112'!$M$9,G3865,1)&gt;=1,$B3865&gt;='112'!$N$8,$B3865&lt;='112'!$O$8,OR($L3865='112'!$I$6,$M3865='112'!$I$6))),"x",""))</f>
        <v/>
      </c>
      <c r="S3865" s="52" t="str">
        <f>IF(ISERROR(FIND('112'!$M$9,G3865,1)),"",IF((AND(LEFT(G3865,2)=LEFT('112'!$M$9,2),B3865&lt;'112'!$N$8,$L3865='112'!$I$6)),"x",""))</f>
        <v/>
      </c>
      <c r="T3865" s="52" t="str">
        <f>IF(ISERROR(FIND('112'!$M$9,G3865,1)),"",IF((AND(RIGHT(G3865,2)=RIGHT('112'!$M$9,2),B3865&lt;'112'!$N$8,$M3865='112'!$I$6)),"x",""))</f>
        <v/>
      </c>
      <c r="U3865" s="52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>154</v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826"/>
    </row>
    <row r="3866" spans="1:27" ht="15.75" customHeight="1">
      <c r="A3866" s="827" t="str">
        <f>IF(B3866&lt;&gt;"",IF(AND(B3866&gt;=_TM1,B3866&lt;=_TM2,OR(TH!L3866="1111",TH!M3866="1111")),TH!D3866,""),"")</f>
        <v/>
      </c>
      <c r="B3866" s="36">
        <f t="shared" si="499"/>
        <v>6</v>
      </c>
      <c r="C3866" s="856">
        <f t="shared" si="503"/>
        <v>42546</v>
      </c>
      <c r="D3866" s="856" t="s">
        <v>1664</v>
      </c>
      <c r="E3866" s="856">
        <v>42546</v>
      </c>
      <c r="F3866" s="857" t="s">
        <v>1255</v>
      </c>
      <c r="G3866" s="858" t="s">
        <v>786</v>
      </c>
      <c r="H3866" s="859" t="s">
        <v>1312</v>
      </c>
      <c r="I3866" s="251">
        <v>11</v>
      </c>
      <c r="J3866" s="251">
        <v>28722</v>
      </c>
      <c r="K3866" s="860">
        <f t="shared" si="504"/>
        <v>315942</v>
      </c>
      <c r="L3866" s="861" t="s">
        <v>160</v>
      </c>
      <c r="M3866" s="861" t="s">
        <v>857</v>
      </c>
      <c r="N3866" s="52" t="str">
        <f>IF(AND('331-CT'!$E$7=TH!H3866,OR(L3866="331",M3866="331")),"331",IF(AND(OR(L3866="131",M3866="131"),H3866='131-CT'!$E$7),"131",""))</f>
        <v/>
      </c>
      <c r="O3866" s="52" t="str">
        <f>IF(AND($B3866&gt;='111'!$N$11,$B3866&lt;='111'!$O$11,OR($L3866=$O$7,$M3866=$O$7)),"x","")</f>
        <v/>
      </c>
      <c r="P3866" s="52" t="str">
        <f>IF(AND($L3866=$O$7,$B3866&lt;'111'!$N$11),"x","")</f>
        <v/>
      </c>
      <c r="Q3866" s="52" t="str">
        <f>IF(AND($M3866=$O$7,$B3866&lt;'111'!$N$11),"x","")</f>
        <v/>
      </c>
      <c r="R3866" s="52" t="str">
        <f>IF(ISERROR(FIND('112'!$M$9,G3866,1)),"",IF((AND(FIND('112'!$M$9,G3866,1)&gt;=1,$B3866&gt;='112'!$N$8,$B3866&lt;='112'!$O$8,OR($L3866='112'!$I$6,$M3866='112'!$I$6))),"x",""))</f>
        <v/>
      </c>
      <c r="S3866" s="52" t="str">
        <f>IF(ISERROR(FIND('112'!$M$9,G3866,1)),"",IF((AND(LEFT(G3866,2)=LEFT('112'!$M$9,2),B3866&lt;'112'!$N$8,$L3866='112'!$I$6)),"x",""))</f>
        <v/>
      </c>
      <c r="T3866" s="52" t="str">
        <f>IF(ISERROR(FIND('112'!$M$9,G3866,1)),"",IF((AND(RIGHT(G3866,2)=RIGHT('112'!$M$9,2),B3866&lt;'112'!$N$8,$M3866='112'!$I$6)),"x",""))</f>
        <v/>
      </c>
      <c r="U3866" s="52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>154</v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826"/>
    </row>
    <row r="3867" spans="1:27" ht="15.75" customHeight="1">
      <c r="A3867" s="827" t="str">
        <f>IF(B3867&lt;&gt;"",IF(AND(B3867&gt;=_TM1,B3867&lt;=_TM2,OR(TH!L3867="1111",TH!M3867="1111")),TH!D3867,""),"")</f>
        <v/>
      </c>
      <c r="B3867" s="36">
        <f t="shared" si="499"/>
        <v>6</v>
      </c>
      <c r="C3867" s="856">
        <f t="shared" si="503"/>
        <v>42546</v>
      </c>
      <c r="D3867" s="856" t="s">
        <v>1664</v>
      </c>
      <c r="E3867" s="856">
        <v>42546</v>
      </c>
      <c r="F3867" s="857" t="s">
        <v>1190</v>
      </c>
      <c r="G3867" s="858" t="s">
        <v>788</v>
      </c>
      <c r="H3867" s="859" t="s">
        <v>1312</v>
      </c>
      <c r="I3867" s="251">
        <v>30</v>
      </c>
      <c r="J3867" s="251">
        <v>16126</v>
      </c>
      <c r="K3867" s="860">
        <f t="shared" si="504"/>
        <v>483780</v>
      </c>
      <c r="L3867" s="861" t="s">
        <v>160</v>
      </c>
      <c r="M3867" s="861" t="s">
        <v>857</v>
      </c>
      <c r="N3867" s="52" t="str">
        <f>IF(AND('331-CT'!$E$7=TH!H3867,OR(L3867="331",M3867="331")),"331",IF(AND(OR(L3867="131",M3867="131"),H3867='131-CT'!$E$7),"131",""))</f>
        <v/>
      </c>
      <c r="O3867" s="52" t="str">
        <f>IF(AND($B3867&gt;='111'!$N$11,$B3867&lt;='111'!$O$11,OR($L3867=$O$7,$M3867=$O$7)),"x","")</f>
        <v/>
      </c>
      <c r="P3867" s="52" t="str">
        <f>IF(AND($L3867=$O$7,$B3867&lt;'111'!$N$11),"x","")</f>
        <v/>
      </c>
      <c r="Q3867" s="52" t="str">
        <f>IF(AND($M3867=$O$7,$B3867&lt;'111'!$N$11),"x","")</f>
        <v/>
      </c>
      <c r="R3867" s="52" t="str">
        <f>IF(ISERROR(FIND('112'!$M$9,G3867,1)),"",IF((AND(FIND('112'!$M$9,G3867,1)&gt;=1,$B3867&gt;='112'!$N$8,$B3867&lt;='112'!$O$8,OR($L3867='112'!$I$6,$M3867='112'!$I$6))),"x",""))</f>
        <v/>
      </c>
      <c r="S3867" s="52" t="str">
        <f>IF(ISERROR(FIND('112'!$M$9,G3867,1)),"",IF((AND(LEFT(G3867,2)=LEFT('112'!$M$9,2),B3867&lt;'112'!$N$8,$L3867='112'!$I$6)),"x",""))</f>
        <v/>
      </c>
      <c r="T3867" s="52" t="str">
        <f>IF(ISERROR(FIND('112'!$M$9,G3867,1)),"",IF((AND(RIGHT(G3867,2)=RIGHT('112'!$M$9,2),B3867&lt;'112'!$N$8,$M3867='112'!$I$6)),"x",""))</f>
        <v/>
      </c>
      <c r="U3867" s="52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>154</v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826"/>
    </row>
    <row r="3868" spans="1:27" ht="15.75" customHeight="1">
      <c r="A3868" s="827" t="str">
        <f>IF(B3868&lt;&gt;"",IF(AND(B3868&gt;=_TM1,B3868&lt;=_TM2,OR(TH!L3868="1111",TH!M3868="1111")),TH!D3868,""),"")</f>
        <v/>
      </c>
      <c r="B3868" s="36">
        <f t="shared" si="499"/>
        <v>6</v>
      </c>
      <c r="C3868" s="856">
        <f t="shared" si="503"/>
        <v>42549</v>
      </c>
      <c r="D3868" s="856" t="s">
        <v>1664</v>
      </c>
      <c r="E3868" s="856">
        <v>42549</v>
      </c>
      <c r="F3868" s="857" t="s">
        <v>1204</v>
      </c>
      <c r="G3868" s="858" t="s">
        <v>803</v>
      </c>
      <c r="H3868" s="859" t="s">
        <v>1312</v>
      </c>
      <c r="I3868" s="251">
        <v>60</v>
      </c>
      <c r="J3868" s="251">
        <v>17664</v>
      </c>
      <c r="K3868" s="860">
        <f t="shared" si="504"/>
        <v>1059840</v>
      </c>
      <c r="L3868" s="861" t="s">
        <v>160</v>
      </c>
      <c r="M3868" s="861" t="s">
        <v>857</v>
      </c>
      <c r="N3868" s="52" t="str">
        <f>IF(AND('331-CT'!$E$7=TH!H3868,OR(L3868="331",M3868="331")),"331",IF(AND(OR(L3868="131",M3868="131"),H3868='131-CT'!$E$7),"131",""))</f>
        <v/>
      </c>
      <c r="O3868" s="52" t="str">
        <f>IF(AND($B3868&gt;='111'!$N$11,$B3868&lt;='111'!$O$11,OR($L3868=$O$7,$M3868=$O$7)),"x","")</f>
        <v/>
      </c>
      <c r="P3868" s="52" t="str">
        <f>IF(AND($L3868=$O$7,$B3868&lt;'111'!$N$11),"x","")</f>
        <v/>
      </c>
      <c r="Q3868" s="52" t="str">
        <f>IF(AND($M3868=$O$7,$B3868&lt;'111'!$N$11),"x","")</f>
        <v/>
      </c>
      <c r="R3868" s="52" t="str">
        <f>IF(ISERROR(FIND('112'!$M$9,G3868,1)),"",IF((AND(FIND('112'!$M$9,G3868,1)&gt;=1,$B3868&gt;='112'!$N$8,$B3868&lt;='112'!$O$8,OR($L3868='112'!$I$6,$M3868='112'!$I$6))),"x",""))</f>
        <v/>
      </c>
      <c r="S3868" s="52" t="str">
        <f>IF(ISERROR(FIND('112'!$M$9,G3868,1)),"",IF((AND(LEFT(G3868,2)=LEFT('112'!$M$9,2),B3868&lt;'112'!$N$8,$L3868='112'!$I$6)),"x",""))</f>
        <v/>
      </c>
      <c r="T3868" s="52" t="str">
        <f>IF(ISERROR(FIND('112'!$M$9,G3868,1)),"",IF((AND(RIGHT(G3868,2)=RIGHT('112'!$M$9,2),B3868&lt;'112'!$N$8,$M3868='112'!$I$6)),"x",""))</f>
        <v/>
      </c>
      <c r="U3868" s="52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>154</v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826"/>
    </row>
    <row r="3869" spans="1:27" ht="15.75" customHeight="1">
      <c r="A3869" s="827" t="str">
        <f>IF(B3869&lt;&gt;"",IF(AND(B3869&gt;=_TM1,B3869&lt;=_TM2,OR(TH!L3869="1111",TH!M3869="1111")),TH!D3869,""),"")</f>
        <v/>
      </c>
      <c r="B3869" s="36">
        <f t="shared" si="499"/>
        <v>6</v>
      </c>
      <c r="C3869" s="856">
        <f t="shared" si="503"/>
        <v>42549</v>
      </c>
      <c r="D3869" s="856" t="s">
        <v>1664</v>
      </c>
      <c r="E3869" s="856">
        <v>42549</v>
      </c>
      <c r="F3869" s="857" t="s">
        <v>1166</v>
      </c>
      <c r="G3869" s="858" t="s">
        <v>803</v>
      </c>
      <c r="H3869" s="859" t="s">
        <v>1312</v>
      </c>
      <c r="I3869" s="251">
        <v>30</v>
      </c>
      <c r="J3869" s="251">
        <v>22924.5</v>
      </c>
      <c r="K3869" s="860">
        <f t="shared" si="504"/>
        <v>687735</v>
      </c>
      <c r="L3869" s="861" t="s">
        <v>160</v>
      </c>
      <c r="M3869" s="861" t="s">
        <v>857</v>
      </c>
      <c r="N3869" s="52" t="str">
        <f>IF(AND('331-CT'!$E$7=TH!H3869,OR(L3869="331",M3869="331")),"331",IF(AND(OR(L3869="131",M3869="131"),H3869='131-CT'!$E$7),"131",""))</f>
        <v/>
      </c>
      <c r="O3869" s="52" t="str">
        <f>IF(AND($B3869&gt;='111'!$N$11,$B3869&lt;='111'!$O$11,OR($L3869=$O$7,$M3869=$O$7)),"x","")</f>
        <v/>
      </c>
      <c r="P3869" s="52" t="str">
        <f>IF(AND($L3869=$O$7,$B3869&lt;'111'!$N$11),"x","")</f>
        <v/>
      </c>
      <c r="Q3869" s="52" t="str">
        <f>IF(AND($M3869=$O$7,$B3869&lt;'111'!$N$11),"x","")</f>
        <v/>
      </c>
      <c r="R3869" s="52" t="str">
        <f>IF(ISERROR(FIND('112'!$M$9,G3869,1)),"",IF((AND(FIND('112'!$M$9,G3869,1)&gt;=1,$B3869&gt;='112'!$N$8,$B3869&lt;='112'!$O$8,OR($L3869='112'!$I$6,$M3869='112'!$I$6))),"x",""))</f>
        <v/>
      </c>
      <c r="S3869" s="52" t="str">
        <f>IF(ISERROR(FIND('112'!$M$9,G3869,1)),"",IF((AND(LEFT(G3869,2)=LEFT('112'!$M$9,2),B3869&lt;'112'!$N$8,$L3869='112'!$I$6)),"x",""))</f>
        <v/>
      </c>
      <c r="T3869" s="52" t="str">
        <f>IF(ISERROR(FIND('112'!$M$9,G3869,1)),"",IF((AND(RIGHT(G3869,2)=RIGHT('112'!$M$9,2),B3869&lt;'112'!$N$8,$M3869='112'!$I$6)),"x",""))</f>
        <v/>
      </c>
      <c r="U3869" s="52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>154</v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826"/>
    </row>
    <row r="3870" spans="1:27" ht="15.75" customHeight="1">
      <c r="A3870" s="827" t="str">
        <f>IF(B3870&lt;&gt;"",IF(AND(B3870&gt;=_TM1,B3870&lt;=_TM2,OR(TH!L3870="1111",TH!M3870="1111")),TH!D3870,""),"")</f>
        <v/>
      </c>
      <c r="B3870" s="36">
        <f t="shared" si="499"/>
        <v>6</v>
      </c>
      <c r="C3870" s="856">
        <f t="shared" si="503"/>
        <v>42549</v>
      </c>
      <c r="D3870" s="856" t="s">
        <v>1664</v>
      </c>
      <c r="E3870" s="856">
        <v>42549</v>
      </c>
      <c r="F3870" s="857" t="s">
        <v>1215</v>
      </c>
      <c r="G3870" s="858" t="s">
        <v>804</v>
      </c>
      <c r="H3870" s="859" t="s">
        <v>1312</v>
      </c>
      <c r="I3870" s="251">
        <v>25</v>
      </c>
      <c r="J3870" s="251">
        <v>11405</v>
      </c>
      <c r="K3870" s="860">
        <f t="shared" si="504"/>
        <v>285125</v>
      </c>
      <c r="L3870" s="861" t="s">
        <v>160</v>
      </c>
      <c r="M3870" s="861" t="s">
        <v>857</v>
      </c>
      <c r="N3870" s="52" t="str">
        <f>IF(AND('331-CT'!$E$7=TH!H3870,OR(L3870="331",M3870="331")),"331",IF(AND(OR(L3870="131",M3870="131"),H3870='131-CT'!$E$7),"131",""))</f>
        <v/>
      </c>
      <c r="O3870" s="52" t="str">
        <f>IF(AND($B3870&gt;='111'!$N$11,$B3870&lt;='111'!$O$11,OR($L3870=$O$7,$M3870=$O$7)),"x","")</f>
        <v/>
      </c>
      <c r="P3870" s="52" t="str">
        <f>IF(AND($L3870=$O$7,$B3870&lt;'111'!$N$11),"x","")</f>
        <v/>
      </c>
      <c r="Q3870" s="52" t="str">
        <f>IF(AND($M3870=$O$7,$B3870&lt;'111'!$N$11),"x","")</f>
        <v/>
      </c>
      <c r="R3870" s="52" t="str">
        <f>IF(ISERROR(FIND('112'!$M$9,G3870,1)),"",IF((AND(FIND('112'!$M$9,G3870,1)&gt;=1,$B3870&gt;='112'!$N$8,$B3870&lt;='112'!$O$8,OR($L3870='112'!$I$6,$M3870='112'!$I$6))),"x",""))</f>
        <v/>
      </c>
      <c r="S3870" s="52" t="str">
        <f>IF(ISERROR(FIND('112'!$M$9,G3870,1)),"",IF((AND(LEFT(G3870,2)=LEFT('112'!$M$9,2),B3870&lt;'112'!$N$8,$L3870='112'!$I$6)),"x",""))</f>
        <v/>
      </c>
      <c r="T3870" s="52" t="str">
        <f>IF(ISERROR(FIND('112'!$M$9,G3870,1)),"",IF((AND(RIGHT(G3870,2)=RIGHT('112'!$M$9,2),B3870&lt;'112'!$N$8,$M3870='112'!$I$6)),"x",""))</f>
        <v/>
      </c>
      <c r="U3870" s="52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>154</v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826"/>
    </row>
    <row r="3871" spans="1:27" s="887" customFormat="1" ht="15.75" customHeight="1">
      <c r="A3871" s="827" t="str">
        <f>IF(B3871&lt;&gt;"",IF(AND(B3871&gt;=_TM1,B3871&lt;=_TM2,OR(TH!L3871="1111",TH!M3871="1111")),TH!D3871,""),"")</f>
        <v/>
      </c>
      <c r="B3871" s="876">
        <f t="shared" si="499"/>
        <v>7</v>
      </c>
      <c r="C3871" s="877">
        <f t="shared" si="503"/>
        <v>42564</v>
      </c>
      <c r="D3871" s="877" t="s">
        <v>1664</v>
      </c>
      <c r="E3871" s="877">
        <v>42564</v>
      </c>
      <c r="F3871" s="879" t="s">
        <v>1440</v>
      </c>
      <c r="G3871" s="880" t="s">
        <v>1436</v>
      </c>
      <c r="H3871" s="881" t="s">
        <v>1312</v>
      </c>
      <c r="I3871" s="882">
        <v>81</v>
      </c>
      <c r="J3871" s="882">
        <v>110065</v>
      </c>
      <c r="K3871" s="883">
        <f t="shared" si="504"/>
        <v>8915265</v>
      </c>
      <c r="L3871" s="884" t="s">
        <v>160</v>
      </c>
      <c r="M3871" s="884" t="s">
        <v>857</v>
      </c>
      <c r="N3871" s="52" t="str">
        <f>IF(AND('331-CT'!$E$7=TH!H3871,OR(L3871="331",M3871="331")),"331",IF(AND(OR(L3871="131",M3871="131"),H3871='131-CT'!$E$7),"131",""))</f>
        <v/>
      </c>
      <c r="O3871" s="52" t="str">
        <f>IF(AND($B3871&gt;='111'!$N$11,$B3871&lt;='111'!$O$11,OR($L3871=$O$7,$M3871=$O$7)),"x","")</f>
        <v/>
      </c>
      <c r="P3871" s="52" t="str">
        <f>IF(AND($L3871=$O$7,$B3871&lt;'111'!$N$11),"x","")</f>
        <v/>
      </c>
      <c r="Q3871" s="52" t="str">
        <f>IF(AND($M3871=$O$7,$B3871&lt;'111'!$N$11),"x","")</f>
        <v/>
      </c>
      <c r="R3871" s="52" t="str">
        <f>IF(ISERROR(FIND('112'!$M$9,G3871,1)),"",IF((AND(FIND('112'!$M$9,G3871,1)&gt;=1,$B3871&gt;='112'!$N$8,$B3871&lt;='112'!$O$8,OR($L3871='112'!$I$6,$M3871='112'!$I$6))),"x",""))</f>
        <v/>
      </c>
      <c r="S3871" s="52" t="str">
        <f>IF(ISERROR(FIND('112'!$M$9,G3871,1)),"",IF((AND(LEFT(G3871,2)=LEFT('112'!$M$9,2),B3871&lt;'112'!$N$8,$L3871='112'!$I$6)),"x",""))</f>
        <v/>
      </c>
      <c r="T3871" s="52" t="str">
        <f>IF(ISERROR(FIND('112'!$M$9,G3871,1)),"",IF((AND(RIGHT(G3871,2)=RIGHT('112'!$M$9,2),B3871&lt;'112'!$N$8,$M3871='112'!$I$6)),"x",""))</f>
        <v/>
      </c>
      <c r="U3871" s="52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/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>x</v>
      </c>
      <c r="AA3871" s="885"/>
    </row>
    <row r="3872" spans="1:27" ht="15.75" customHeight="1">
      <c r="A3872" s="827" t="str">
        <f>IF(B3872&lt;&gt;"",IF(AND(B3872&gt;=_TM1,B3872&lt;=_TM2,OR(TH!L3872="1111",TH!M3872="1111")),TH!D3872,""),"")</f>
        <v/>
      </c>
      <c r="B3872" s="36">
        <f t="shared" si="499"/>
        <v>7</v>
      </c>
      <c r="C3872" s="856">
        <f t="shared" si="503"/>
        <v>42574</v>
      </c>
      <c r="D3872" s="856" t="s">
        <v>1664</v>
      </c>
      <c r="E3872" s="856">
        <v>42574</v>
      </c>
      <c r="F3872" s="857" t="s">
        <v>921</v>
      </c>
      <c r="G3872" s="858" t="s">
        <v>1445</v>
      </c>
      <c r="H3872" s="859" t="s">
        <v>1312</v>
      </c>
      <c r="I3872" s="251">
        <v>5000</v>
      </c>
      <c r="J3872" s="251">
        <v>8550</v>
      </c>
      <c r="K3872" s="860">
        <f t="shared" si="504"/>
        <v>42750000</v>
      </c>
      <c r="L3872" s="861" t="s">
        <v>160</v>
      </c>
      <c r="M3872" s="861" t="s">
        <v>857</v>
      </c>
      <c r="N3872" s="52" t="str">
        <f>IF(AND('331-CT'!$E$7=TH!H3872,OR(L3872="331",M3872="331")),"331",IF(AND(OR(L3872="131",M3872="131"),H3872='131-CT'!$E$7),"131",""))</f>
        <v/>
      </c>
      <c r="O3872" s="52" t="str">
        <f>IF(AND($B3872&gt;='111'!$N$11,$B3872&lt;='111'!$O$11,OR($L3872=$O$7,$M3872=$O$7)),"x","")</f>
        <v/>
      </c>
      <c r="P3872" s="52" t="str">
        <f>IF(AND($L3872=$O$7,$B3872&lt;'111'!$N$11),"x","")</f>
        <v/>
      </c>
      <c r="Q3872" s="52" t="str">
        <f>IF(AND($M3872=$O$7,$B3872&lt;'111'!$N$11),"x","")</f>
        <v/>
      </c>
      <c r="R3872" s="52" t="str">
        <f>IF(ISERROR(FIND('112'!$M$9,G3872,1)),"",IF((AND(FIND('112'!$M$9,G3872,1)&gt;=1,$B3872&gt;='112'!$N$8,$B3872&lt;='112'!$O$8,OR($L3872='112'!$I$6,$M3872='112'!$I$6))),"x",""))</f>
        <v/>
      </c>
      <c r="S3872" s="52" t="str">
        <f>IF(ISERROR(FIND('112'!$M$9,G3872,1)),"",IF((AND(LEFT(G3872,2)=LEFT('112'!$M$9,2),B3872&lt;'112'!$N$8,$L3872='112'!$I$6)),"x",""))</f>
        <v/>
      </c>
      <c r="T3872" s="52" t="str">
        <f>IF(ISERROR(FIND('112'!$M$9,G3872,1)),"",IF((AND(RIGHT(G3872,2)=RIGHT('112'!$M$9,2),B3872&lt;'112'!$N$8,$M3872='112'!$I$6)),"x",""))</f>
        <v/>
      </c>
      <c r="U3872" s="52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/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>x</v>
      </c>
      <c r="AA3872" s="826"/>
    </row>
    <row r="3873" spans="1:27" ht="15.75" customHeight="1">
      <c r="A3873" s="827" t="str">
        <f>IF(B3873&lt;&gt;"",IF(AND(B3873&gt;=_TM1,B3873&lt;=_TM2,OR(TH!L3873="1111",TH!M3873="1111")),TH!D3873,""),"")</f>
        <v/>
      </c>
      <c r="B3873" s="36">
        <f t="shared" si="499"/>
        <v>7</v>
      </c>
      <c r="C3873" s="856">
        <f t="shared" si="503"/>
        <v>42574</v>
      </c>
      <c r="D3873" s="856" t="s">
        <v>1664</v>
      </c>
      <c r="E3873" s="856">
        <v>42574</v>
      </c>
      <c r="F3873" s="857" t="s">
        <v>1447</v>
      </c>
      <c r="G3873" s="858" t="s">
        <v>1446</v>
      </c>
      <c r="H3873" s="859" t="s">
        <v>1312</v>
      </c>
      <c r="I3873" s="251">
        <v>500</v>
      </c>
      <c r="J3873" s="251">
        <v>19494</v>
      </c>
      <c r="K3873" s="860">
        <f t="shared" si="504"/>
        <v>9747000</v>
      </c>
      <c r="L3873" s="861" t="s">
        <v>160</v>
      </c>
      <c r="M3873" s="861" t="s">
        <v>857</v>
      </c>
      <c r="N3873" s="52" t="str">
        <f>IF(AND('331-CT'!$E$7=TH!H3873,OR(L3873="331",M3873="331")),"331",IF(AND(OR(L3873="131",M3873="131"),H3873='131-CT'!$E$7),"131",""))</f>
        <v/>
      </c>
      <c r="O3873" s="52" t="str">
        <f>IF(AND($B3873&gt;='111'!$N$11,$B3873&lt;='111'!$O$11,OR($L3873=$O$7,$M3873=$O$7)),"x","")</f>
        <v/>
      </c>
      <c r="P3873" s="52" t="str">
        <f>IF(AND($L3873=$O$7,$B3873&lt;'111'!$N$11),"x","")</f>
        <v/>
      </c>
      <c r="Q3873" s="52" t="str">
        <f>IF(AND($M3873=$O$7,$B3873&lt;'111'!$N$11),"x","")</f>
        <v/>
      </c>
      <c r="R3873" s="52" t="str">
        <f>IF(ISERROR(FIND('112'!$M$9,G3873,1)),"",IF((AND(FIND('112'!$M$9,G3873,1)&gt;=1,$B3873&gt;='112'!$N$8,$B3873&lt;='112'!$O$8,OR($L3873='112'!$I$6,$M3873='112'!$I$6))),"x",""))</f>
        <v/>
      </c>
      <c r="S3873" s="52" t="str">
        <f>IF(ISERROR(FIND('112'!$M$9,G3873,1)),"",IF((AND(LEFT(G3873,2)=LEFT('112'!$M$9,2),B3873&lt;'112'!$N$8,$L3873='112'!$I$6)),"x",""))</f>
        <v/>
      </c>
      <c r="T3873" s="52" t="str">
        <f>IF(ISERROR(FIND('112'!$M$9,G3873,1)),"",IF((AND(RIGHT(G3873,2)=RIGHT('112'!$M$9,2),B3873&lt;'112'!$N$8,$M3873='112'!$I$6)),"x",""))</f>
        <v/>
      </c>
      <c r="U3873" s="52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/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>x</v>
      </c>
      <c r="AA3873" s="826"/>
    </row>
    <row r="3874" spans="1:27" ht="15.75" customHeight="1">
      <c r="A3874" s="827" t="str">
        <f>IF(B3874&lt;&gt;"",IF(AND(B3874&gt;=_TM1,B3874&lt;=_TM2,OR(TH!L3874="1111",TH!M3874="1111")),TH!D3874,""),"")</f>
        <v/>
      </c>
      <c r="B3874" s="36">
        <f t="shared" si="499"/>
        <v>7</v>
      </c>
      <c r="C3874" s="856">
        <f t="shared" si="503"/>
        <v>42578</v>
      </c>
      <c r="D3874" s="856" t="s">
        <v>1664</v>
      </c>
      <c r="E3874" s="856">
        <v>42578</v>
      </c>
      <c r="F3874" s="857" t="s">
        <v>1178</v>
      </c>
      <c r="G3874" s="858" t="s">
        <v>1452</v>
      </c>
      <c r="H3874" s="859" t="s">
        <v>1312</v>
      </c>
      <c r="I3874" s="251">
        <v>1450</v>
      </c>
      <c r="J3874" s="251">
        <v>33491.379310344826</v>
      </c>
      <c r="K3874" s="860">
        <f t="shared" si="504"/>
        <v>48562500</v>
      </c>
      <c r="L3874" s="861" t="s">
        <v>160</v>
      </c>
      <c r="M3874" s="861" t="s">
        <v>857</v>
      </c>
      <c r="N3874" s="52" t="str">
        <f>IF(AND('331-CT'!$E$7=TH!H3874,OR(L3874="331",M3874="331")),"331",IF(AND(OR(L3874="131",M3874="131"),H3874='131-CT'!$E$7),"131",""))</f>
        <v/>
      </c>
      <c r="O3874" s="52" t="str">
        <f>IF(AND($B3874&gt;='111'!$N$11,$B3874&lt;='111'!$O$11,OR($L3874=$O$7,$M3874=$O$7)),"x","")</f>
        <v/>
      </c>
      <c r="P3874" s="52" t="str">
        <f>IF(AND($L3874=$O$7,$B3874&lt;'111'!$N$11),"x","")</f>
        <v/>
      </c>
      <c r="Q3874" s="52" t="str">
        <f>IF(AND($M3874=$O$7,$B3874&lt;'111'!$N$11),"x","")</f>
        <v/>
      </c>
      <c r="R3874" s="52" t="str">
        <f>IF(ISERROR(FIND('112'!$M$9,G3874,1)),"",IF((AND(FIND('112'!$M$9,G3874,1)&gt;=1,$B3874&gt;='112'!$N$8,$B3874&lt;='112'!$O$8,OR($L3874='112'!$I$6,$M3874='112'!$I$6))),"x",""))</f>
        <v/>
      </c>
      <c r="S3874" s="52" t="str">
        <f>IF(ISERROR(FIND('112'!$M$9,G3874,1)),"",IF((AND(LEFT(G3874,2)=LEFT('112'!$M$9,2),B3874&lt;'112'!$N$8,$L3874='112'!$I$6)),"x",""))</f>
        <v/>
      </c>
      <c r="T3874" s="52" t="str">
        <f>IF(ISERROR(FIND('112'!$M$9,G3874,1)),"",IF((AND(RIGHT(G3874,2)=RIGHT('112'!$M$9,2),B3874&lt;'112'!$N$8,$M3874='112'!$I$6)),"x",""))</f>
        <v/>
      </c>
      <c r="U3874" s="52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/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>x</v>
      </c>
      <c r="AA3874" s="826"/>
    </row>
    <row r="3875" spans="1:27" ht="15.75" customHeight="1">
      <c r="A3875" s="827" t="str">
        <f>IF(B3875&lt;&gt;"",IF(AND(B3875&gt;=_TM1,B3875&lt;=_TM2,OR(TH!L3875="1111",TH!M3875="1111")),TH!D3875,""),"")</f>
        <v/>
      </c>
      <c r="B3875" s="36">
        <f t="shared" si="499"/>
        <v>7</v>
      </c>
      <c r="C3875" s="856">
        <f t="shared" si="503"/>
        <v>42578</v>
      </c>
      <c r="D3875" s="856" t="s">
        <v>1664</v>
      </c>
      <c r="E3875" s="856">
        <v>42578</v>
      </c>
      <c r="F3875" s="857" t="s">
        <v>1179</v>
      </c>
      <c r="G3875" s="858" t="s">
        <v>1452</v>
      </c>
      <c r="H3875" s="859" t="s">
        <v>1312</v>
      </c>
      <c r="I3875" s="251">
        <v>1500</v>
      </c>
      <c r="J3875" s="251">
        <v>31070</v>
      </c>
      <c r="K3875" s="860">
        <f t="shared" si="504"/>
        <v>46605000</v>
      </c>
      <c r="L3875" s="861" t="s">
        <v>160</v>
      </c>
      <c r="M3875" s="861" t="s">
        <v>857</v>
      </c>
      <c r="N3875" s="52" t="str">
        <f>IF(AND('331-CT'!$E$7=TH!H3875,OR(L3875="331",M3875="331")),"331",IF(AND(OR(L3875="131",M3875="131"),H3875='131-CT'!$E$7),"131",""))</f>
        <v/>
      </c>
      <c r="O3875" s="52" t="str">
        <f>IF(AND($B3875&gt;='111'!$N$11,$B3875&lt;='111'!$O$11,OR($L3875=$O$7,$M3875=$O$7)),"x","")</f>
        <v/>
      </c>
      <c r="P3875" s="52" t="str">
        <f>IF(AND($L3875=$O$7,$B3875&lt;'111'!$N$11),"x","")</f>
        <v/>
      </c>
      <c r="Q3875" s="52" t="str">
        <f>IF(AND($M3875=$O$7,$B3875&lt;'111'!$N$11),"x","")</f>
        <v/>
      </c>
      <c r="R3875" s="52" t="str">
        <f>IF(ISERROR(FIND('112'!$M$9,G3875,1)),"",IF((AND(FIND('112'!$M$9,G3875,1)&gt;=1,$B3875&gt;='112'!$N$8,$B3875&lt;='112'!$O$8,OR($L3875='112'!$I$6,$M3875='112'!$I$6))),"x",""))</f>
        <v/>
      </c>
      <c r="S3875" s="52" t="str">
        <f>IF(ISERROR(FIND('112'!$M$9,G3875,1)),"",IF((AND(LEFT(G3875,2)=LEFT('112'!$M$9,2),B3875&lt;'112'!$N$8,$L3875='112'!$I$6)),"x",""))</f>
        <v/>
      </c>
      <c r="T3875" s="52" t="str">
        <f>IF(ISERROR(FIND('112'!$M$9,G3875,1)),"",IF((AND(RIGHT(G3875,2)=RIGHT('112'!$M$9,2),B3875&lt;'112'!$N$8,$M3875='112'!$I$6)),"x",""))</f>
        <v/>
      </c>
      <c r="U3875" s="52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/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>x</v>
      </c>
      <c r="AA3875" s="826"/>
    </row>
    <row r="3876" spans="1:27" ht="15.75" customHeight="1">
      <c r="A3876" s="827" t="str">
        <f>IF(B3876&lt;&gt;"",IF(AND(B3876&gt;=_TM1,B3876&lt;=_TM2,OR(TH!L3876="1111",TH!M3876="1111")),TH!D3876,""),"")</f>
        <v/>
      </c>
      <c r="B3876" s="36">
        <f t="shared" si="499"/>
        <v>7</v>
      </c>
      <c r="C3876" s="856">
        <f t="shared" si="503"/>
        <v>42579</v>
      </c>
      <c r="D3876" s="856" t="s">
        <v>1664</v>
      </c>
      <c r="E3876" s="856">
        <v>42579</v>
      </c>
      <c r="F3876" s="857" t="s">
        <v>820</v>
      </c>
      <c r="G3876" s="858" t="s">
        <v>1470</v>
      </c>
      <c r="H3876" s="859" t="s">
        <v>1312</v>
      </c>
      <c r="I3876" s="251">
        <v>6</v>
      </c>
      <c r="J3876" s="251">
        <v>10068</v>
      </c>
      <c r="K3876" s="860">
        <f t="shared" si="504"/>
        <v>60408</v>
      </c>
      <c r="L3876" s="861" t="s">
        <v>160</v>
      </c>
      <c r="M3876" s="861" t="s">
        <v>857</v>
      </c>
      <c r="N3876" s="52" t="str">
        <f>IF(AND('331-CT'!$E$7=TH!H3876,OR(L3876="331",M3876="331")),"331",IF(AND(OR(L3876="131",M3876="131"),H3876='131-CT'!$E$7),"131",""))</f>
        <v/>
      </c>
      <c r="O3876" s="52" t="str">
        <f>IF(AND($B3876&gt;='111'!$N$11,$B3876&lt;='111'!$O$11,OR($L3876=$O$7,$M3876=$O$7)),"x","")</f>
        <v/>
      </c>
      <c r="P3876" s="52" t="str">
        <f>IF(AND($L3876=$O$7,$B3876&lt;'111'!$N$11),"x","")</f>
        <v/>
      </c>
      <c r="Q3876" s="52" t="str">
        <f>IF(AND($M3876=$O$7,$B3876&lt;'111'!$N$11),"x","")</f>
        <v/>
      </c>
      <c r="R3876" s="52" t="str">
        <f>IF(ISERROR(FIND('112'!$M$9,G3876,1)),"",IF((AND(FIND('112'!$M$9,G3876,1)&gt;=1,$B3876&gt;='112'!$N$8,$B3876&lt;='112'!$O$8,OR($L3876='112'!$I$6,$M3876='112'!$I$6))),"x",""))</f>
        <v/>
      </c>
      <c r="S3876" s="52" t="str">
        <f>IF(ISERROR(FIND('112'!$M$9,G3876,1)),"",IF((AND(LEFT(G3876,2)=LEFT('112'!$M$9,2),B3876&lt;'112'!$N$8,$L3876='112'!$I$6)),"x",""))</f>
        <v/>
      </c>
      <c r="T3876" s="52" t="str">
        <f>IF(ISERROR(FIND('112'!$M$9,G3876,1)),"",IF((AND(RIGHT(G3876,2)=RIGHT('112'!$M$9,2),B3876&lt;'112'!$N$8,$M3876='112'!$I$6)),"x",""))</f>
        <v/>
      </c>
      <c r="U3876" s="52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/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>x</v>
      </c>
      <c r="AA3876" s="826"/>
    </row>
    <row r="3877" spans="1:27" ht="15.75" customHeight="1">
      <c r="A3877" s="827" t="str">
        <f>IF(B3877&lt;&gt;"",IF(AND(B3877&gt;=_TM1,B3877&lt;=_TM2,OR(TH!L3877="1111",TH!M3877="1111")),TH!D3877,""),"")</f>
        <v/>
      </c>
      <c r="B3877" s="36">
        <f t="shared" si="499"/>
        <v>8</v>
      </c>
      <c r="C3877" s="856">
        <f t="shared" si="503"/>
        <v>42585</v>
      </c>
      <c r="D3877" s="856" t="s">
        <v>1664</v>
      </c>
      <c r="E3877" s="856">
        <v>42585</v>
      </c>
      <c r="F3877" s="857" t="s">
        <v>1479</v>
      </c>
      <c r="G3877" s="858" t="s">
        <v>1488</v>
      </c>
      <c r="H3877" s="859" t="s">
        <v>1312</v>
      </c>
      <c r="I3877" s="251">
        <v>200</v>
      </c>
      <c r="J3877" s="251">
        <v>10976</v>
      </c>
      <c r="K3877" s="860">
        <f t="shared" si="504"/>
        <v>2195200</v>
      </c>
      <c r="L3877" s="861" t="s">
        <v>160</v>
      </c>
      <c r="M3877" s="861" t="s">
        <v>857</v>
      </c>
      <c r="N3877" s="52" t="str">
        <f>IF(AND('331-CT'!$E$7=TH!H3877,OR(L3877="331",M3877="331")),"331",IF(AND(OR(L3877="131",M3877="131"),H3877='131-CT'!$E$7),"131",""))</f>
        <v/>
      </c>
      <c r="O3877" s="52" t="str">
        <f>IF(AND($B3877&gt;='111'!$N$11,$B3877&lt;='111'!$O$11,OR($L3877=$O$7,$M3877=$O$7)),"x","")</f>
        <v/>
      </c>
      <c r="P3877" s="52" t="str">
        <f>IF(AND($L3877=$O$7,$B3877&lt;'111'!$N$11),"x","")</f>
        <v/>
      </c>
      <c r="Q3877" s="52" t="str">
        <f>IF(AND($M3877=$O$7,$B3877&lt;'111'!$N$11),"x","")</f>
        <v/>
      </c>
      <c r="R3877" s="52" t="str">
        <f>IF(ISERROR(FIND('112'!$M$9,G3877,1)),"",IF((AND(FIND('112'!$M$9,G3877,1)&gt;=1,$B3877&gt;='112'!$N$8,$B3877&lt;='112'!$O$8,OR($L3877='112'!$I$6,$M3877='112'!$I$6))),"x",""))</f>
        <v/>
      </c>
      <c r="S3877" s="52" t="str">
        <f>IF(ISERROR(FIND('112'!$M$9,G3877,1)),"",IF((AND(LEFT(G3877,2)=LEFT('112'!$M$9,2),B3877&lt;'112'!$N$8,$L3877='112'!$I$6)),"x",""))</f>
        <v/>
      </c>
      <c r="T3877" s="52" t="str">
        <f>IF(ISERROR(FIND('112'!$M$9,G3877,1)),"",IF((AND(RIGHT(G3877,2)=RIGHT('112'!$M$9,2),B3877&lt;'112'!$N$8,$M3877='112'!$I$6)),"x",""))</f>
        <v/>
      </c>
      <c r="U3877" s="52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/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>x</v>
      </c>
      <c r="AA3877" s="826"/>
    </row>
    <row r="3878" spans="1:27" ht="15.75" customHeight="1">
      <c r="A3878" s="827" t="str">
        <f>IF(B3878&lt;&gt;"",IF(AND(B3878&gt;=_TM1,B3878&lt;=_TM2,OR(TH!L3878="1111",TH!M3878="1111")),TH!D3878,""),"")</f>
        <v/>
      </c>
      <c r="B3878" s="36">
        <f t="shared" si="499"/>
        <v>8</v>
      </c>
      <c r="C3878" s="856">
        <f t="shared" si="503"/>
        <v>42596</v>
      </c>
      <c r="D3878" s="856" t="s">
        <v>1664</v>
      </c>
      <c r="E3878" s="856">
        <v>42596</v>
      </c>
      <c r="F3878" s="857" t="s">
        <v>1484</v>
      </c>
      <c r="G3878" s="858" t="s">
        <v>1514</v>
      </c>
      <c r="H3878" s="859" t="s">
        <v>1312</v>
      </c>
      <c r="I3878" s="251">
        <v>150</v>
      </c>
      <c r="J3878" s="251">
        <v>47500</v>
      </c>
      <c r="K3878" s="860">
        <f t="shared" si="504"/>
        <v>7125000</v>
      </c>
      <c r="L3878" s="861" t="s">
        <v>160</v>
      </c>
      <c r="M3878" s="861" t="s">
        <v>857</v>
      </c>
      <c r="N3878" s="52" t="str">
        <f>IF(AND('331-CT'!$E$7=TH!H3878,OR(L3878="331",M3878="331")),"331",IF(AND(OR(L3878="131",M3878="131"),H3878='131-CT'!$E$7),"131",""))</f>
        <v/>
      </c>
      <c r="O3878" s="52" t="str">
        <f>IF(AND($B3878&gt;='111'!$N$11,$B3878&lt;='111'!$O$11,OR($L3878=$O$7,$M3878=$O$7)),"x","")</f>
        <v/>
      </c>
      <c r="P3878" s="52" t="str">
        <f>IF(AND($L3878=$O$7,$B3878&lt;'111'!$N$11),"x","")</f>
        <v/>
      </c>
      <c r="Q3878" s="52" t="str">
        <f>IF(AND($M3878=$O$7,$B3878&lt;'111'!$N$11),"x","")</f>
        <v/>
      </c>
      <c r="R3878" s="52" t="str">
        <f>IF(ISERROR(FIND('112'!$M$9,G3878,1)),"",IF((AND(FIND('112'!$M$9,G3878,1)&gt;=1,$B3878&gt;='112'!$N$8,$B3878&lt;='112'!$O$8,OR($L3878='112'!$I$6,$M3878='112'!$I$6))),"x",""))</f>
        <v/>
      </c>
      <c r="S3878" s="52" t="str">
        <f>IF(ISERROR(FIND('112'!$M$9,G3878,1)),"",IF((AND(LEFT(G3878,2)=LEFT('112'!$M$9,2),B3878&lt;'112'!$N$8,$L3878='112'!$I$6)),"x",""))</f>
        <v/>
      </c>
      <c r="T3878" s="52" t="str">
        <f>IF(ISERROR(FIND('112'!$M$9,G3878,1)),"",IF((AND(RIGHT(G3878,2)=RIGHT('112'!$M$9,2),B3878&lt;'112'!$N$8,$M3878='112'!$I$6)),"x",""))</f>
        <v/>
      </c>
      <c r="U3878" s="52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/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>x</v>
      </c>
      <c r="AA3878" s="826"/>
    </row>
    <row r="3879" spans="1:27" ht="15.75" customHeight="1">
      <c r="A3879" s="827" t="str">
        <f>IF(B3879&lt;&gt;"",IF(AND(B3879&gt;=_TM1,B3879&lt;=_TM2,OR(TH!L3879="1111",TH!M3879="1111")),TH!D3879,""),"")</f>
        <v/>
      </c>
      <c r="B3879" s="36">
        <f t="shared" si="499"/>
        <v>8</v>
      </c>
      <c r="C3879" s="856">
        <f t="shared" si="503"/>
        <v>42596</v>
      </c>
      <c r="D3879" s="856" t="s">
        <v>1664</v>
      </c>
      <c r="E3879" s="856">
        <v>42596</v>
      </c>
      <c r="F3879" s="857" t="s">
        <v>1485</v>
      </c>
      <c r="G3879" s="858" t="s">
        <v>1514</v>
      </c>
      <c r="H3879" s="859" t="s">
        <v>1312</v>
      </c>
      <c r="I3879" s="251">
        <v>210</v>
      </c>
      <c r="J3879" s="251">
        <v>38000</v>
      </c>
      <c r="K3879" s="860">
        <f t="shared" si="504"/>
        <v>7980000</v>
      </c>
      <c r="L3879" s="861" t="s">
        <v>160</v>
      </c>
      <c r="M3879" s="861" t="s">
        <v>857</v>
      </c>
      <c r="N3879" s="52" t="str">
        <f>IF(AND('331-CT'!$E$7=TH!H3879,OR(L3879="331",M3879="331")),"331",IF(AND(OR(L3879="131",M3879="131"),H3879='131-CT'!$E$7),"131",""))</f>
        <v/>
      </c>
      <c r="O3879" s="52" t="str">
        <f>IF(AND($B3879&gt;='111'!$N$11,$B3879&lt;='111'!$O$11,OR($L3879=$O$7,$M3879=$O$7)),"x","")</f>
        <v/>
      </c>
      <c r="P3879" s="52" t="str">
        <f>IF(AND($L3879=$O$7,$B3879&lt;'111'!$N$11),"x","")</f>
        <v/>
      </c>
      <c r="Q3879" s="52" t="str">
        <f>IF(AND($M3879=$O$7,$B3879&lt;'111'!$N$11),"x","")</f>
        <v/>
      </c>
      <c r="R3879" s="52" t="str">
        <f>IF(ISERROR(FIND('112'!$M$9,G3879,1)),"",IF((AND(FIND('112'!$M$9,G3879,1)&gt;=1,$B3879&gt;='112'!$N$8,$B3879&lt;='112'!$O$8,OR($L3879='112'!$I$6,$M3879='112'!$I$6))),"x",""))</f>
        <v/>
      </c>
      <c r="S3879" s="52" t="str">
        <f>IF(ISERROR(FIND('112'!$M$9,G3879,1)),"",IF((AND(LEFT(G3879,2)=LEFT('112'!$M$9,2),B3879&lt;'112'!$N$8,$L3879='112'!$I$6)),"x",""))</f>
        <v/>
      </c>
      <c r="T3879" s="52" t="str">
        <f>IF(ISERROR(FIND('112'!$M$9,G3879,1)),"",IF((AND(RIGHT(G3879,2)=RIGHT('112'!$M$9,2),B3879&lt;'112'!$N$8,$M3879='112'!$I$6)),"x",""))</f>
        <v/>
      </c>
      <c r="U3879" s="52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/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>x</v>
      </c>
      <c r="AA3879" s="826"/>
    </row>
    <row r="3880" spans="1:27" ht="15.75" customHeight="1">
      <c r="A3880" s="827" t="str">
        <f>IF(B3880&lt;&gt;"",IF(AND(B3880&gt;=_TM1,B3880&lt;=_TM2,OR(TH!L3880="1111",TH!M3880="1111")),TH!D3880,""),"")</f>
        <v/>
      </c>
      <c r="B3880" s="36">
        <f t="shared" si="499"/>
        <v>8</v>
      </c>
      <c r="C3880" s="856">
        <f t="shared" si="503"/>
        <v>42596</v>
      </c>
      <c r="D3880" s="856" t="s">
        <v>1664</v>
      </c>
      <c r="E3880" s="856">
        <v>42596</v>
      </c>
      <c r="F3880" s="857" t="s">
        <v>1517</v>
      </c>
      <c r="G3880" s="858" t="s">
        <v>1516</v>
      </c>
      <c r="H3880" s="859" t="s">
        <v>1312</v>
      </c>
      <c r="I3880" s="251">
        <v>700</v>
      </c>
      <c r="J3880" s="251">
        <v>4100</v>
      </c>
      <c r="K3880" s="860">
        <f t="shared" si="504"/>
        <v>2870000</v>
      </c>
      <c r="L3880" s="861" t="s">
        <v>160</v>
      </c>
      <c r="M3880" s="861" t="s">
        <v>857</v>
      </c>
      <c r="N3880" s="52" t="str">
        <f>IF(AND('331-CT'!$E$7=TH!H3880,OR(L3880="331",M3880="331")),"331",IF(AND(OR(L3880="131",M3880="131"),H3880='131-CT'!$E$7),"131",""))</f>
        <v/>
      </c>
      <c r="O3880" s="52" t="str">
        <f>IF(AND($B3880&gt;='111'!$N$11,$B3880&lt;='111'!$O$11,OR($L3880=$O$7,$M3880=$O$7)),"x","")</f>
        <v/>
      </c>
      <c r="P3880" s="52" t="str">
        <f>IF(AND($L3880=$O$7,$B3880&lt;'111'!$N$11),"x","")</f>
        <v/>
      </c>
      <c r="Q3880" s="52" t="str">
        <f>IF(AND($M3880=$O$7,$B3880&lt;'111'!$N$11),"x","")</f>
        <v/>
      </c>
      <c r="R3880" s="52" t="str">
        <f>IF(ISERROR(FIND('112'!$M$9,G3880,1)),"",IF((AND(FIND('112'!$M$9,G3880,1)&gt;=1,$B3880&gt;='112'!$N$8,$B3880&lt;='112'!$O$8,OR($L3880='112'!$I$6,$M3880='112'!$I$6))),"x",""))</f>
        <v/>
      </c>
      <c r="S3880" s="52" t="str">
        <f>IF(ISERROR(FIND('112'!$M$9,G3880,1)),"",IF((AND(LEFT(G3880,2)=LEFT('112'!$M$9,2),B3880&lt;'112'!$N$8,$L3880='112'!$I$6)),"x",""))</f>
        <v/>
      </c>
      <c r="T3880" s="52" t="str">
        <f>IF(ISERROR(FIND('112'!$M$9,G3880,1)),"",IF((AND(RIGHT(G3880,2)=RIGHT('112'!$M$9,2),B3880&lt;'112'!$N$8,$M3880='112'!$I$6)),"x",""))</f>
        <v/>
      </c>
      <c r="U3880" s="52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/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>x</v>
      </c>
      <c r="AA3880" s="826"/>
    </row>
    <row r="3881" spans="1:27" ht="15.75" customHeight="1">
      <c r="A3881" s="827" t="str">
        <f>IF(B3881&lt;&gt;"",IF(AND(B3881&gt;=_TM1,B3881&lt;=_TM2,OR(TH!L3881="1111",TH!M3881="1111")),TH!D3881,""),"")</f>
        <v/>
      </c>
      <c r="B3881" s="36">
        <f t="shared" ref="B3881:B3944" si="508">IF(C3881&lt;&gt;"",MONTH(C3881),"")</f>
        <v>8</v>
      </c>
      <c r="C3881" s="856">
        <f t="shared" si="503"/>
        <v>42599</v>
      </c>
      <c r="D3881" s="856" t="s">
        <v>1664</v>
      </c>
      <c r="E3881" s="856">
        <v>42599</v>
      </c>
      <c r="F3881" s="857" t="s">
        <v>812</v>
      </c>
      <c r="G3881" s="858" t="s">
        <v>1522</v>
      </c>
      <c r="H3881" s="859" t="s">
        <v>1312</v>
      </c>
      <c r="I3881" s="251">
        <v>1990</v>
      </c>
      <c r="J3881" s="251">
        <v>24875.537688442211</v>
      </c>
      <c r="K3881" s="860">
        <f t="shared" si="504"/>
        <v>49502320</v>
      </c>
      <c r="L3881" s="861" t="s">
        <v>160</v>
      </c>
      <c r="M3881" s="861" t="s">
        <v>857</v>
      </c>
      <c r="N3881" s="52" t="str">
        <f>IF(AND('331-CT'!$E$7=TH!H3881,OR(L3881="331",M3881="331")),"331",IF(AND(OR(L3881="131",M3881="131"),H3881='131-CT'!$E$7),"131",""))</f>
        <v/>
      </c>
      <c r="O3881" s="52" t="str">
        <f>IF(AND($B3881&gt;='111'!$N$11,$B3881&lt;='111'!$O$11,OR($L3881=$O$7,$M3881=$O$7)),"x","")</f>
        <v/>
      </c>
      <c r="P3881" s="52" t="str">
        <f>IF(AND($L3881=$O$7,$B3881&lt;'111'!$N$11),"x","")</f>
        <v/>
      </c>
      <c r="Q3881" s="52" t="str">
        <f>IF(AND($M3881=$O$7,$B3881&lt;'111'!$N$11),"x","")</f>
        <v/>
      </c>
      <c r="R3881" s="52" t="str">
        <f>IF(ISERROR(FIND('112'!$M$9,G3881,1)),"",IF((AND(FIND('112'!$M$9,G3881,1)&gt;=1,$B3881&gt;='112'!$N$8,$B3881&lt;='112'!$O$8,OR($L3881='112'!$I$6,$M3881='112'!$I$6))),"x",""))</f>
        <v/>
      </c>
      <c r="S3881" s="52" t="str">
        <f>IF(ISERROR(FIND('112'!$M$9,G3881,1)),"",IF((AND(LEFT(G3881,2)=LEFT('112'!$M$9,2),B3881&lt;'112'!$N$8,$L3881='112'!$I$6)),"x",""))</f>
        <v/>
      </c>
      <c r="T3881" s="52" t="str">
        <f>IF(ISERROR(FIND('112'!$M$9,G3881,1)),"",IF((AND(RIGHT(G3881,2)=RIGHT('112'!$M$9,2),B3881&lt;'112'!$N$8,$M3881='112'!$I$6)),"x",""))</f>
        <v/>
      </c>
      <c r="U3881" s="52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/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>x</v>
      </c>
      <c r="AA3881" s="826"/>
    </row>
    <row r="3882" spans="1:27" ht="15.75" customHeight="1">
      <c r="A3882" s="827" t="str">
        <f>IF(B3882&lt;&gt;"",IF(AND(B3882&gt;=_TM1,B3882&lt;=_TM2,OR(TH!L3882="1111",TH!M3882="1111")),TH!D3882,""),"")</f>
        <v/>
      </c>
      <c r="B3882" s="36">
        <f t="shared" si="508"/>
        <v>8</v>
      </c>
      <c r="C3882" s="856">
        <f t="shared" si="503"/>
        <v>42600</v>
      </c>
      <c r="D3882" s="856" t="s">
        <v>1664</v>
      </c>
      <c r="E3882" s="856">
        <v>42600</v>
      </c>
      <c r="F3882" s="857" t="s">
        <v>1481</v>
      </c>
      <c r="G3882" s="858" t="s">
        <v>1525</v>
      </c>
      <c r="H3882" s="859" t="s">
        <v>1312</v>
      </c>
      <c r="I3882" s="251">
        <v>5000</v>
      </c>
      <c r="J3882" s="251">
        <v>8550</v>
      </c>
      <c r="K3882" s="860">
        <f t="shared" si="504"/>
        <v>42750000</v>
      </c>
      <c r="L3882" s="861" t="s">
        <v>160</v>
      </c>
      <c r="M3882" s="861" t="s">
        <v>857</v>
      </c>
      <c r="N3882" s="52" t="str">
        <f>IF(AND('331-CT'!$E$7=TH!H3882,OR(L3882="331",M3882="331")),"331",IF(AND(OR(L3882="131",M3882="131"),H3882='131-CT'!$E$7),"131",""))</f>
        <v/>
      </c>
      <c r="O3882" s="52" t="str">
        <f>IF(AND($B3882&gt;='111'!$N$11,$B3882&lt;='111'!$O$11,OR($L3882=$O$7,$M3882=$O$7)),"x","")</f>
        <v/>
      </c>
      <c r="P3882" s="52" t="str">
        <f>IF(AND($L3882=$O$7,$B3882&lt;'111'!$N$11),"x","")</f>
        <v/>
      </c>
      <c r="Q3882" s="52" t="str">
        <f>IF(AND($M3882=$O$7,$B3882&lt;'111'!$N$11),"x","")</f>
        <v/>
      </c>
      <c r="R3882" s="52" t="str">
        <f>IF(ISERROR(FIND('112'!$M$9,G3882,1)),"",IF((AND(FIND('112'!$M$9,G3882,1)&gt;=1,$B3882&gt;='112'!$N$8,$B3882&lt;='112'!$O$8,OR($L3882='112'!$I$6,$M3882='112'!$I$6))),"x",""))</f>
        <v/>
      </c>
      <c r="S3882" s="52" t="str">
        <f>IF(ISERROR(FIND('112'!$M$9,G3882,1)),"",IF((AND(LEFT(G3882,2)=LEFT('112'!$M$9,2),B3882&lt;'112'!$N$8,$L3882='112'!$I$6)),"x",""))</f>
        <v/>
      </c>
      <c r="T3882" s="52" t="str">
        <f>IF(ISERROR(FIND('112'!$M$9,G3882,1)),"",IF((AND(RIGHT(G3882,2)=RIGHT('112'!$M$9,2),B3882&lt;'112'!$N$8,$M3882='112'!$I$6)),"x",""))</f>
        <v/>
      </c>
      <c r="U3882" s="52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/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>x</v>
      </c>
      <c r="AA3882" s="826"/>
    </row>
    <row r="3883" spans="1:27" ht="15.75" customHeight="1">
      <c r="A3883" s="827" t="str">
        <f>IF(B3883&lt;&gt;"",IF(AND(B3883&gt;=_TM1,B3883&lt;=_TM2,OR(TH!L3883="1111",TH!M3883="1111")),TH!D3883,""),"")</f>
        <v/>
      </c>
      <c r="B3883" s="36">
        <f t="shared" si="508"/>
        <v>8</v>
      </c>
      <c r="C3883" s="856">
        <f t="shared" si="503"/>
        <v>42602</v>
      </c>
      <c r="D3883" s="856" t="s">
        <v>1664</v>
      </c>
      <c r="E3883" s="856">
        <v>42602</v>
      </c>
      <c r="F3883" s="857" t="s">
        <v>1178</v>
      </c>
      <c r="G3883" s="858" t="s">
        <v>1526</v>
      </c>
      <c r="H3883" s="859" t="s">
        <v>1312</v>
      </c>
      <c r="I3883" s="251">
        <v>1500</v>
      </c>
      <c r="J3883" s="251">
        <v>33250</v>
      </c>
      <c r="K3883" s="860">
        <f t="shared" si="504"/>
        <v>49875000</v>
      </c>
      <c r="L3883" s="861" t="s">
        <v>160</v>
      </c>
      <c r="M3883" s="861" t="s">
        <v>857</v>
      </c>
      <c r="N3883" s="52" t="str">
        <f>IF(AND('331-CT'!$E$7=TH!H3883,OR(L3883="331",M3883="331")),"331",IF(AND(OR(L3883="131",M3883="131"),H3883='131-CT'!$E$7),"131",""))</f>
        <v/>
      </c>
      <c r="O3883" s="52" t="str">
        <f>IF(AND($B3883&gt;='111'!$N$11,$B3883&lt;='111'!$O$11,OR($L3883=$O$7,$M3883=$O$7)),"x","")</f>
        <v/>
      </c>
      <c r="P3883" s="52" t="str">
        <f>IF(AND($L3883=$O$7,$B3883&lt;'111'!$N$11),"x","")</f>
        <v/>
      </c>
      <c r="Q3883" s="52" t="str">
        <f>IF(AND($M3883=$O$7,$B3883&lt;'111'!$N$11),"x","")</f>
        <v/>
      </c>
      <c r="R3883" s="52" t="str">
        <f>IF(ISERROR(FIND('112'!$M$9,G3883,1)),"",IF((AND(FIND('112'!$M$9,G3883,1)&gt;=1,$B3883&gt;='112'!$N$8,$B3883&lt;='112'!$O$8,OR($L3883='112'!$I$6,$M3883='112'!$I$6))),"x",""))</f>
        <v/>
      </c>
      <c r="S3883" s="52" t="str">
        <f>IF(ISERROR(FIND('112'!$M$9,G3883,1)),"",IF((AND(LEFT(G3883,2)=LEFT('112'!$M$9,2),B3883&lt;'112'!$N$8,$L3883='112'!$I$6)),"x",""))</f>
        <v/>
      </c>
      <c r="T3883" s="52" t="str">
        <f>IF(ISERROR(FIND('112'!$M$9,G3883,1)),"",IF((AND(RIGHT(G3883,2)=RIGHT('112'!$M$9,2),B3883&lt;'112'!$N$8,$M3883='112'!$I$6)),"x",""))</f>
        <v/>
      </c>
      <c r="U3883" s="52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/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>x</v>
      </c>
      <c r="AA3883" s="826"/>
    </row>
    <row r="3884" spans="1:27" ht="15.75" customHeight="1">
      <c r="A3884" s="827" t="str">
        <f>IF(B3884&lt;&gt;"",IF(AND(B3884&gt;=_TM1,B3884&lt;=_TM2,OR(TH!L3884="1111",TH!M3884="1111")),TH!D3884,""),"")</f>
        <v/>
      </c>
      <c r="B3884" s="36">
        <f t="shared" si="508"/>
        <v>8</v>
      </c>
      <c r="C3884" s="856">
        <f t="shared" si="503"/>
        <v>42602</v>
      </c>
      <c r="D3884" s="856" t="s">
        <v>1664</v>
      </c>
      <c r="E3884" s="856">
        <v>42602</v>
      </c>
      <c r="F3884" s="857" t="s">
        <v>1179</v>
      </c>
      <c r="G3884" s="858" t="s">
        <v>1526</v>
      </c>
      <c r="H3884" s="859" t="s">
        <v>1312</v>
      </c>
      <c r="I3884" s="251">
        <v>1500</v>
      </c>
      <c r="J3884" s="251">
        <v>30875</v>
      </c>
      <c r="K3884" s="860">
        <f t="shared" si="504"/>
        <v>46312500</v>
      </c>
      <c r="L3884" s="861" t="s">
        <v>160</v>
      </c>
      <c r="M3884" s="861" t="s">
        <v>857</v>
      </c>
      <c r="N3884" s="52" t="str">
        <f>IF(AND('331-CT'!$E$7=TH!H3884,OR(L3884="331",M3884="331")),"331",IF(AND(OR(L3884="131",M3884="131"),H3884='131-CT'!$E$7),"131",""))</f>
        <v/>
      </c>
      <c r="O3884" s="52" t="str">
        <f>IF(AND($B3884&gt;='111'!$N$11,$B3884&lt;='111'!$O$11,OR($L3884=$O$7,$M3884=$O$7)),"x","")</f>
        <v/>
      </c>
      <c r="P3884" s="52" t="str">
        <f>IF(AND($L3884=$O$7,$B3884&lt;'111'!$N$11),"x","")</f>
        <v/>
      </c>
      <c r="Q3884" s="52" t="str">
        <f>IF(AND($M3884=$O$7,$B3884&lt;'111'!$N$11),"x","")</f>
        <v/>
      </c>
      <c r="R3884" s="52" t="str">
        <f>IF(ISERROR(FIND('112'!$M$9,G3884,1)),"",IF((AND(FIND('112'!$M$9,G3884,1)&gt;=1,$B3884&gt;='112'!$N$8,$B3884&lt;='112'!$O$8,OR($L3884='112'!$I$6,$M3884='112'!$I$6))),"x",""))</f>
        <v/>
      </c>
      <c r="S3884" s="52" t="str">
        <f>IF(ISERROR(FIND('112'!$M$9,G3884,1)),"",IF((AND(LEFT(G3884,2)=LEFT('112'!$M$9,2),B3884&lt;'112'!$N$8,$L3884='112'!$I$6)),"x",""))</f>
        <v/>
      </c>
      <c r="T3884" s="52" t="str">
        <f>IF(ISERROR(FIND('112'!$M$9,G3884,1)),"",IF((AND(RIGHT(G3884,2)=RIGHT('112'!$M$9,2),B3884&lt;'112'!$N$8,$M3884='112'!$I$6)),"x",""))</f>
        <v/>
      </c>
      <c r="U3884" s="52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/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>x</v>
      </c>
      <c r="AA3884" s="826"/>
    </row>
    <row r="3885" spans="1:27" ht="15.75" customHeight="1">
      <c r="A3885" s="827" t="str">
        <f>IF(B3885&lt;&gt;"",IF(AND(B3885&gt;=_TM1,B3885&lt;=_TM2,OR(TH!L3885="1111",TH!M3885="1111")),TH!D3885,""),"")</f>
        <v/>
      </c>
      <c r="B3885" s="36">
        <f t="shared" si="508"/>
        <v>8</v>
      </c>
      <c r="C3885" s="856">
        <f t="shared" ref="C3885:C3948" si="509">E3885</f>
        <v>42610</v>
      </c>
      <c r="D3885" s="856" t="s">
        <v>1664</v>
      </c>
      <c r="E3885" s="856">
        <v>42610</v>
      </c>
      <c r="F3885" s="857" t="s">
        <v>552</v>
      </c>
      <c r="G3885" s="858" t="s">
        <v>1537</v>
      </c>
      <c r="H3885" s="859" t="s">
        <v>1312</v>
      </c>
      <c r="I3885" s="251">
        <v>24</v>
      </c>
      <c r="J3885" s="251">
        <v>26000</v>
      </c>
      <c r="K3885" s="860">
        <f t="shared" ref="K3885:K3948" si="510">ROUND(I3885*J3885,0)</f>
        <v>624000</v>
      </c>
      <c r="L3885" s="861" t="s">
        <v>160</v>
      </c>
      <c r="M3885" s="861" t="s">
        <v>857</v>
      </c>
      <c r="N3885" s="52" t="str">
        <f>IF(AND('331-CT'!$E$7=TH!H3885,OR(L3885="331",M3885="331")),"331",IF(AND(OR(L3885="131",M3885="131"),H3885='131-CT'!$E$7),"131",""))</f>
        <v/>
      </c>
      <c r="O3885" s="52" t="str">
        <f>IF(AND($B3885&gt;='111'!$N$11,$B3885&lt;='111'!$O$11,OR($L3885=$O$7,$M3885=$O$7)),"x","")</f>
        <v/>
      </c>
      <c r="P3885" s="52" t="str">
        <f>IF(AND($L3885=$O$7,$B3885&lt;'111'!$N$11),"x","")</f>
        <v/>
      </c>
      <c r="Q3885" s="52" t="str">
        <f>IF(AND($M3885=$O$7,$B3885&lt;'111'!$N$11),"x","")</f>
        <v/>
      </c>
      <c r="R3885" s="52" t="str">
        <f>IF(ISERROR(FIND('112'!$M$9,G3885,1)),"",IF((AND(FIND('112'!$M$9,G3885,1)&gt;=1,$B3885&gt;='112'!$N$8,$B3885&lt;='112'!$O$8,OR($L3885='112'!$I$6,$M3885='112'!$I$6))),"x",""))</f>
        <v/>
      </c>
      <c r="S3885" s="52" t="str">
        <f>IF(ISERROR(FIND('112'!$M$9,G3885,1)),"",IF((AND(LEFT(G3885,2)=LEFT('112'!$M$9,2),B3885&lt;'112'!$N$8,$L3885='112'!$I$6)),"x",""))</f>
        <v/>
      </c>
      <c r="T3885" s="52" t="str">
        <f>IF(ISERROR(FIND('112'!$M$9,G3885,1)),"",IF((AND(RIGHT(G3885,2)=RIGHT('112'!$M$9,2),B3885&lt;'112'!$N$8,$M3885='112'!$I$6)),"x",""))</f>
        <v/>
      </c>
      <c r="U3885" s="52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/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>x</v>
      </c>
      <c r="AA3885" s="826"/>
    </row>
    <row r="3886" spans="1:27" ht="15.75" customHeight="1">
      <c r="A3886" s="827" t="str">
        <f>IF(B3886&lt;&gt;"",IF(AND(B3886&gt;=_TM1,B3886&lt;=_TM2,OR(TH!L3886="1111",TH!M3886="1111")),TH!D3886,""),"")</f>
        <v/>
      </c>
      <c r="B3886" s="36">
        <f t="shared" si="508"/>
        <v>7</v>
      </c>
      <c r="C3886" s="856">
        <f t="shared" si="509"/>
        <v>42564</v>
      </c>
      <c r="D3886" s="856" t="s">
        <v>1664</v>
      </c>
      <c r="E3886" s="877">
        <v>42564</v>
      </c>
      <c r="F3886" s="857" t="s">
        <v>1276</v>
      </c>
      <c r="G3886" s="880" t="s">
        <v>1436</v>
      </c>
      <c r="H3886" s="859" t="s">
        <v>1312</v>
      </c>
      <c r="I3886" s="251">
        <v>15</v>
      </c>
      <c r="J3886" s="251">
        <v>23517</v>
      </c>
      <c r="K3886" s="860">
        <f t="shared" si="510"/>
        <v>352755</v>
      </c>
      <c r="L3886" s="861" t="s">
        <v>160</v>
      </c>
      <c r="M3886" s="861" t="s">
        <v>857</v>
      </c>
      <c r="N3886" s="52" t="str">
        <f>IF(AND('331-CT'!$E$7=TH!H3886,OR(L3886="331",M3886="331")),"331",IF(AND(OR(L3886="131",M3886="131"),H3886='131-CT'!$E$7),"131",""))</f>
        <v/>
      </c>
      <c r="O3886" s="52" t="str">
        <f>IF(AND($B3886&gt;='111'!$N$11,$B3886&lt;='111'!$O$11,OR($L3886=$O$7,$M3886=$O$7)),"x","")</f>
        <v/>
      </c>
      <c r="P3886" s="52" t="str">
        <f>IF(AND($L3886=$O$7,$B3886&lt;'111'!$N$11),"x","")</f>
        <v/>
      </c>
      <c r="Q3886" s="52" t="str">
        <f>IF(AND($M3886=$O$7,$B3886&lt;'111'!$N$11),"x","")</f>
        <v/>
      </c>
      <c r="R3886" s="52" t="str">
        <f>IF(ISERROR(FIND('112'!$M$9,G3886,1)),"",IF((AND(FIND('112'!$M$9,G3886,1)&gt;=1,$B3886&gt;='112'!$N$8,$B3886&lt;='112'!$O$8,OR($L3886='112'!$I$6,$M3886='112'!$I$6))),"x",""))</f>
        <v/>
      </c>
      <c r="S3886" s="52" t="str">
        <f>IF(ISERROR(FIND('112'!$M$9,G3886,1)),"",IF((AND(LEFT(G3886,2)=LEFT('112'!$M$9,2),B3886&lt;'112'!$N$8,$L3886='112'!$I$6)),"x",""))</f>
        <v/>
      </c>
      <c r="T3886" s="52" t="str">
        <f>IF(ISERROR(FIND('112'!$M$9,G3886,1)),"",IF((AND(RIGHT(G3886,2)=RIGHT('112'!$M$9,2),B3886&lt;'112'!$N$8,$M3886='112'!$I$6)),"x",""))</f>
        <v/>
      </c>
      <c r="U3886" s="52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/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>x</v>
      </c>
      <c r="AA3886" s="826"/>
    </row>
    <row r="3887" spans="1:27" ht="15.75" customHeight="1">
      <c r="A3887" s="827" t="str">
        <f>IF(B3887&lt;&gt;"",IF(AND(B3887&gt;=_TM1,B3887&lt;=_TM2,OR(TH!L3887="1111",TH!M3887="1111")),TH!D3887,""),"")</f>
        <v/>
      </c>
      <c r="B3887" s="36">
        <f t="shared" si="508"/>
        <v>7</v>
      </c>
      <c r="C3887" s="856">
        <f t="shared" si="509"/>
        <v>42574</v>
      </c>
      <c r="D3887" s="856" t="s">
        <v>1664</v>
      </c>
      <c r="E3887" s="856">
        <v>42574</v>
      </c>
      <c r="F3887" s="857" t="s">
        <v>1115</v>
      </c>
      <c r="G3887" s="858" t="s">
        <v>1445</v>
      </c>
      <c r="H3887" s="859" t="s">
        <v>1312</v>
      </c>
      <c r="I3887" s="251">
        <v>180</v>
      </c>
      <c r="J3887" s="251">
        <v>10597</v>
      </c>
      <c r="K3887" s="860">
        <f t="shared" si="510"/>
        <v>1907460</v>
      </c>
      <c r="L3887" s="861" t="s">
        <v>160</v>
      </c>
      <c r="M3887" s="861" t="s">
        <v>857</v>
      </c>
      <c r="N3887" s="52" t="str">
        <f>IF(AND('331-CT'!$E$7=TH!H3887,OR(L3887="331",M3887="331")),"331",IF(AND(OR(L3887="131",M3887="131"),H3887='131-CT'!$E$7),"131",""))</f>
        <v/>
      </c>
      <c r="O3887" s="52" t="str">
        <f>IF(AND($B3887&gt;='111'!$N$11,$B3887&lt;='111'!$O$11,OR($L3887=$O$7,$M3887=$O$7)),"x","")</f>
        <v/>
      </c>
      <c r="P3887" s="52" t="str">
        <f>IF(AND($L3887=$O$7,$B3887&lt;'111'!$N$11),"x","")</f>
        <v/>
      </c>
      <c r="Q3887" s="52" t="str">
        <f>IF(AND($M3887=$O$7,$B3887&lt;'111'!$N$11),"x","")</f>
        <v/>
      </c>
      <c r="R3887" s="52" t="str">
        <f>IF(ISERROR(FIND('112'!$M$9,G3887,1)),"",IF((AND(FIND('112'!$M$9,G3887,1)&gt;=1,$B3887&gt;='112'!$N$8,$B3887&lt;='112'!$O$8,OR($L3887='112'!$I$6,$M3887='112'!$I$6))),"x",""))</f>
        <v/>
      </c>
      <c r="S3887" s="52" t="str">
        <f>IF(ISERROR(FIND('112'!$M$9,G3887,1)),"",IF((AND(LEFT(G3887,2)=LEFT('112'!$M$9,2),B3887&lt;'112'!$N$8,$L3887='112'!$I$6)),"x",""))</f>
        <v/>
      </c>
      <c r="T3887" s="52" t="str">
        <f>IF(ISERROR(FIND('112'!$M$9,G3887,1)),"",IF((AND(RIGHT(G3887,2)=RIGHT('112'!$M$9,2),B3887&lt;'112'!$N$8,$M3887='112'!$I$6)),"x",""))</f>
        <v/>
      </c>
      <c r="U3887" s="52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/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>x</v>
      </c>
      <c r="AA3887" s="826"/>
    </row>
    <row r="3888" spans="1:27" ht="15.75" customHeight="1">
      <c r="A3888" s="827" t="str">
        <f>IF(B3888&lt;&gt;"",IF(AND(B3888&gt;=_TM1,B3888&lt;=_TM2,OR(TH!L3888="1111",TH!M3888="1111")),TH!D3888,""),"")</f>
        <v/>
      </c>
      <c r="B3888" s="36">
        <f t="shared" si="508"/>
        <v>7</v>
      </c>
      <c r="C3888" s="856">
        <f t="shared" si="509"/>
        <v>42574</v>
      </c>
      <c r="D3888" s="856" t="s">
        <v>1664</v>
      </c>
      <c r="E3888" s="856">
        <v>42574</v>
      </c>
      <c r="F3888" s="857" t="s">
        <v>1220</v>
      </c>
      <c r="G3888" s="858" t="s">
        <v>1446</v>
      </c>
      <c r="H3888" s="859" t="s">
        <v>1312</v>
      </c>
      <c r="I3888" s="251">
        <v>40</v>
      </c>
      <c r="J3888" s="251">
        <v>7623</v>
      </c>
      <c r="K3888" s="860">
        <f t="shared" si="510"/>
        <v>304920</v>
      </c>
      <c r="L3888" s="861" t="s">
        <v>160</v>
      </c>
      <c r="M3888" s="861" t="s">
        <v>857</v>
      </c>
      <c r="N3888" s="52" t="str">
        <f>IF(AND('331-CT'!$E$7=TH!H3888,OR(L3888="331",M3888="331")),"331",IF(AND(OR(L3888="131",M3888="131"),H3888='131-CT'!$E$7),"131",""))</f>
        <v/>
      </c>
      <c r="O3888" s="52" t="str">
        <f>IF(AND($B3888&gt;='111'!$N$11,$B3888&lt;='111'!$O$11,OR($L3888=$O$7,$M3888=$O$7)),"x","")</f>
        <v/>
      </c>
      <c r="P3888" s="52" t="str">
        <f>IF(AND($L3888=$O$7,$B3888&lt;'111'!$N$11),"x","")</f>
        <v/>
      </c>
      <c r="Q3888" s="52" t="str">
        <f>IF(AND($M3888=$O$7,$B3888&lt;'111'!$N$11),"x","")</f>
        <v/>
      </c>
      <c r="R3888" s="52" t="str">
        <f>IF(ISERROR(FIND('112'!$M$9,G3888,1)),"",IF((AND(FIND('112'!$M$9,G3888,1)&gt;=1,$B3888&gt;='112'!$N$8,$B3888&lt;='112'!$O$8,OR($L3888='112'!$I$6,$M3888='112'!$I$6))),"x",""))</f>
        <v/>
      </c>
      <c r="S3888" s="52" t="str">
        <f>IF(ISERROR(FIND('112'!$M$9,G3888,1)),"",IF((AND(LEFT(G3888,2)=LEFT('112'!$M$9,2),B3888&lt;'112'!$N$8,$L3888='112'!$I$6)),"x",""))</f>
        <v/>
      </c>
      <c r="T3888" s="52" t="str">
        <f>IF(ISERROR(FIND('112'!$M$9,G3888,1)),"",IF((AND(RIGHT(G3888,2)=RIGHT('112'!$M$9,2),B3888&lt;'112'!$N$8,$M3888='112'!$I$6)),"x",""))</f>
        <v/>
      </c>
      <c r="U3888" s="52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/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>x</v>
      </c>
      <c r="AA3888" s="826"/>
    </row>
    <row r="3889" spans="1:27" ht="15.75" customHeight="1">
      <c r="A3889" s="827" t="str">
        <f>IF(B3889&lt;&gt;"",IF(AND(B3889&gt;=_TM1,B3889&lt;=_TM2,OR(TH!L3889="1111",TH!M3889="1111")),TH!D3889,""),"")</f>
        <v/>
      </c>
      <c r="B3889" s="36">
        <f t="shared" si="508"/>
        <v>7</v>
      </c>
      <c r="C3889" s="856">
        <f t="shared" si="509"/>
        <v>42578</v>
      </c>
      <c r="D3889" s="856" t="s">
        <v>1664</v>
      </c>
      <c r="E3889" s="856">
        <v>42578</v>
      </c>
      <c r="F3889" s="857" t="s">
        <v>1114</v>
      </c>
      <c r="G3889" s="858" t="s">
        <v>1452</v>
      </c>
      <c r="H3889" s="859" t="s">
        <v>1312</v>
      </c>
      <c r="I3889" s="251">
        <v>200</v>
      </c>
      <c r="J3889" s="251">
        <v>9916</v>
      </c>
      <c r="K3889" s="860">
        <f t="shared" si="510"/>
        <v>1983200</v>
      </c>
      <c r="L3889" s="861" t="s">
        <v>160</v>
      </c>
      <c r="M3889" s="861" t="s">
        <v>857</v>
      </c>
      <c r="N3889" s="52" t="str">
        <f>IF(AND('331-CT'!$E$7=TH!H3889,OR(L3889="331",M3889="331")),"331",IF(AND(OR(L3889="131",M3889="131"),H3889='131-CT'!$E$7),"131",""))</f>
        <v/>
      </c>
      <c r="O3889" s="52" t="str">
        <f>IF(AND($B3889&gt;='111'!$N$11,$B3889&lt;='111'!$O$11,OR($L3889=$O$7,$M3889=$O$7)),"x","")</f>
        <v/>
      </c>
      <c r="P3889" s="52" t="str">
        <f>IF(AND($L3889=$O$7,$B3889&lt;'111'!$N$11),"x","")</f>
        <v/>
      </c>
      <c r="Q3889" s="52" t="str">
        <f>IF(AND($M3889=$O$7,$B3889&lt;'111'!$N$11),"x","")</f>
        <v/>
      </c>
      <c r="R3889" s="52" t="str">
        <f>IF(ISERROR(FIND('112'!$M$9,G3889,1)),"",IF((AND(FIND('112'!$M$9,G3889,1)&gt;=1,$B3889&gt;='112'!$N$8,$B3889&lt;='112'!$O$8,OR($L3889='112'!$I$6,$M3889='112'!$I$6))),"x",""))</f>
        <v/>
      </c>
      <c r="S3889" s="52" t="str">
        <f>IF(ISERROR(FIND('112'!$M$9,G3889,1)),"",IF((AND(LEFT(G3889,2)=LEFT('112'!$M$9,2),B3889&lt;'112'!$N$8,$L3889='112'!$I$6)),"x",""))</f>
        <v/>
      </c>
      <c r="T3889" s="52" t="str">
        <f>IF(ISERROR(FIND('112'!$M$9,G3889,1)),"",IF((AND(RIGHT(G3889,2)=RIGHT('112'!$M$9,2),B3889&lt;'112'!$N$8,$M3889='112'!$I$6)),"x",""))</f>
        <v/>
      </c>
      <c r="U3889" s="52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/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>x</v>
      </c>
      <c r="AA3889" s="826"/>
    </row>
    <row r="3890" spans="1:27" ht="15.75" customHeight="1">
      <c r="A3890" s="827" t="str">
        <f>IF(B3890&lt;&gt;"",IF(AND(B3890&gt;=_TM1,B3890&lt;=_TM2,OR(TH!L3890="1111",TH!M3890="1111")),TH!D3890,""),"")</f>
        <v/>
      </c>
      <c r="B3890" s="36">
        <f t="shared" si="508"/>
        <v>7</v>
      </c>
      <c r="C3890" s="856">
        <f t="shared" si="509"/>
        <v>42578</v>
      </c>
      <c r="D3890" s="856" t="s">
        <v>1664</v>
      </c>
      <c r="E3890" s="856">
        <v>42578</v>
      </c>
      <c r="F3890" s="857" t="s">
        <v>1272</v>
      </c>
      <c r="G3890" s="858" t="s">
        <v>1452</v>
      </c>
      <c r="H3890" s="859" t="s">
        <v>1312</v>
      </c>
      <c r="I3890" s="251">
        <v>100</v>
      </c>
      <c r="J3890" s="251">
        <v>19735.599999999999</v>
      </c>
      <c r="K3890" s="860">
        <f t="shared" si="510"/>
        <v>1973560</v>
      </c>
      <c r="L3890" s="861" t="s">
        <v>160</v>
      </c>
      <c r="M3890" s="861" t="s">
        <v>857</v>
      </c>
      <c r="N3890" s="52" t="str">
        <f>IF(AND('331-CT'!$E$7=TH!H3890,OR(L3890="331",M3890="331")),"331",IF(AND(OR(L3890="131",M3890="131"),H3890='131-CT'!$E$7),"131",""))</f>
        <v/>
      </c>
      <c r="O3890" s="52" t="str">
        <f>IF(AND($B3890&gt;='111'!$N$11,$B3890&lt;='111'!$O$11,OR($L3890=$O$7,$M3890=$O$7)),"x","")</f>
        <v/>
      </c>
      <c r="P3890" s="52" t="str">
        <f>IF(AND($L3890=$O$7,$B3890&lt;'111'!$N$11),"x","")</f>
        <v/>
      </c>
      <c r="Q3890" s="52" t="str">
        <f>IF(AND($M3890=$O$7,$B3890&lt;'111'!$N$11),"x","")</f>
        <v/>
      </c>
      <c r="R3890" s="52" t="str">
        <f>IF(ISERROR(FIND('112'!$M$9,G3890,1)),"",IF((AND(FIND('112'!$M$9,G3890,1)&gt;=1,$B3890&gt;='112'!$N$8,$B3890&lt;='112'!$O$8,OR($L3890='112'!$I$6,$M3890='112'!$I$6))),"x",""))</f>
        <v/>
      </c>
      <c r="S3890" s="52" t="str">
        <f>IF(ISERROR(FIND('112'!$M$9,G3890,1)),"",IF((AND(LEFT(G3890,2)=LEFT('112'!$M$9,2),B3890&lt;'112'!$N$8,$L3890='112'!$I$6)),"x",""))</f>
        <v/>
      </c>
      <c r="T3890" s="52" t="str">
        <f>IF(ISERROR(FIND('112'!$M$9,G3890,1)),"",IF((AND(RIGHT(G3890,2)=RIGHT('112'!$M$9,2),B3890&lt;'112'!$N$8,$M3890='112'!$I$6)),"x",""))</f>
        <v/>
      </c>
      <c r="U3890" s="52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/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>x</v>
      </c>
      <c r="AA3890" s="826"/>
    </row>
    <row r="3891" spans="1:27" ht="15.75" customHeight="1">
      <c r="A3891" s="827" t="str">
        <f>IF(B3891&lt;&gt;"",IF(AND(B3891&gt;=_TM1,B3891&lt;=_TM2,OR(TH!L3891="1111",TH!M3891="1111")),TH!D3891,""),"")</f>
        <v/>
      </c>
      <c r="B3891" s="36">
        <f t="shared" si="508"/>
        <v>7</v>
      </c>
      <c r="C3891" s="856">
        <f t="shared" si="509"/>
        <v>42579</v>
      </c>
      <c r="D3891" s="856" t="s">
        <v>1664</v>
      </c>
      <c r="E3891" s="856">
        <v>42579</v>
      </c>
      <c r="F3891" s="857" t="s">
        <v>1264</v>
      </c>
      <c r="G3891" s="858" t="s">
        <v>1470</v>
      </c>
      <c r="H3891" s="859" t="s">
        <v>1312</v>
      </c>
      <c r="I3891" s="251">
        <v>22</v>
      </c>
      <c r="J3891" s="251">
        <v>21657</v>
      </c>
      <c r="K3891" s="860">
        <f t="shared" si="510"/>
        <v>476454</v>
      </c>
      <c r="L3891" s="861" t="s">
        <v>160</v>
      </c>
      <c r="M3891" s="861" t="s">
        <v>857</v>
      </c>
      <c r="N3891" s="52" t="str">
        <f>IF(AND('331-CT'!$E$7=TH!H3891,OR(L3891="331",M3891="331")),"331",IF(AND(OR(L3891="131",M3891="131"),H3891='131-CT'!$E$7),"131",""))</f>
        <v/>
      </c>
      <c r="O3891" s="52" t="str">
        <f>IF(AND($B3891&gt;='111'!$N$11,$B3891&lt;='111'!$O$11,OR($L3891=$O$7,$M3891=$O$7)),"x","")</f>
        <v/>
      </c>
      <c r="P3891" s="52" t="str">
        <f>IF(AND($L3891=$O$7,$B3891&lt;'111'!$N$11),"x","")</f>
        <v/>
      </c>
      <c r="Q3891" s="52" t="str">
        <f>IF(AND($M3891=$O$7,$B3891&lt;'111'!$N$11),"x","")</f>
        <v/>
      </c>
      <c r="R3891" s="52" t="str">
        <f>IF(ISERROR(FIND('112'!$M$9,G3891,1)),"",IF((AND(FIND('112'!$M$9,G3891,1)&gt;=1,$B3891&gt;='112'!$N$8,$B3891&lt;='112'!$O$8,OR($L3891='112'!$I$6,$M3891='112'!$I$6))),"x",""))</f>
        <v/>
      </c>
      <c r="S3891" s="52" t="str">
        <f>IF(ISERROR(FIND('112'!$M$9,G3891,1)),"",IF((AND(LEFT(G3891,2)=LEFT('112'!$M$9,2),B3891&lt;'112'!$N$8,$L3891='112'!$I$6)),"x",""))</f>
        <v/>
      </c>
      <c r="T3891" s="52" t="str">
        <f>IF(ISERROR(FIND('112'!$M$9,G3891,1)),"",IF((AND(RIGHT(G3891,2)=RIGHT('112'!$M$9,2),B3891&lt;'112'!$N$8,$M3891='112'!$I$6)),"x",""))</f>
        <v/>
      </c>
      <c r="U3891" s="52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/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>x</v>
      </c>
      <c r="AA3891" s="826"/>
    </row>
    <row r="3892" spans="1:27" ht="15.75" customHeight="1">
      <c r="A3892" s="827" t="str">
        <f>IF(B3892&lt;&gt;"",IF(AND(B3892&gt;=_TM1,B3892&lt;=_TM2,OR(TH!L3892="1111",TH!M3892="1111")),TH!D3892,""),"")</f>
        <v/>
      </c>
      <c r="B3892" s="36">
        <f t="shared" si="508"/>
        <v>8</v>
      </c>
      <c r="C3892" s="856">
        <f t="shared" si="509"/>
        <v>42585</v>
      </c>
      <c r="D3892" s="856" t="s">
        <v>1664</v>
      </c>
      <c r="E3892" s="856">
        <v>42585</v>
      </c>
      <c r="F3892" s="857" t="s">
        <v>1201</v>
      </c>
      <c r="G3892" s="858" t="s">
        <v>1488</v>
      </c>
      <c r="H3892" s="859" t="s">
        <v>1312</v>
      </c>
      <c r="I3892" s="251">
        <v>10</v>
      </c>
      <c r="J3892" s="251">
        <v>26703</v>
      </c>
      <c r="K3892" s="860">
        <f t="shared" si="510"/>
        <v>267030</v>
      </c>
      <c r="L3892" s="861" t="s">
        <v>160</v>
      </c>
      <c r="M3892" s="861" t="s">
        <v>857</v>
      </c>
      <c r="N3892" s="52" t="str">
        <f>IF(AND('331-CT'!$E$7=TH!H3892,OR(L3892="331",M3892="331")),"331",IF(AND(OR(L3892="131",M3892="131"),H3892='131-CT'!$E$7),"131",""))</f>
        <v/>
      </c>
      <c r="O3892" s="52" t="str">
        <f>IF(AND($B3892&gt;='111'!$N$11,$B3892&lt;='111'!$O$11,OR($L3892=$O$7,$M3892=$O$7)),"x","")</f>
        <v/>
      </c>
      <c r="P3892" s="52" t="str">
        <f>IF(AND($L3892=$O$7,$B3892&lt;'111'!$N$11),"x","")</f>
        <v/>
      </c>
      <c r="Q3892" s="52" t="str">
        <f>IF(AND($M3892=$O$7,$B3892&lt;'111'!$N$11),"x","")</f>
        <v/>
      </c>
      <c r="R3892" s="52" t="str">
        <f>IF(ISERROR(FIND('112'!$M$9,G3892,1)),"",IF((AND(FIND('112'!$M$9,G3892,1)&gt;=1,$B3892&gt;='112'!$N$8,$B3892&lt;='112'!$O$8,OR($L3892='112'!$I$6,$M3892='112'!$I$6))),"x",""))</f>
        <v/>
      </c>
      <c r="S3892" s="52" t="str">
        <f>IF(ISERROR(FIND('112'!$M$9,G3892,1)),"",IF((AND(LEFT(G3892,2)=LEFT('112'!$M$9,2),B3892&lt;'112'!$N$8,$L3892='112'!$I$6)),"x",""))</f>
        <v/>
      </c>
      <c r="T3892" s="52" t="str">
        <f>IF(ISERROR(FIND('112'!$M$9,G3892,1)),"",IF((AND(RIGHT(G3892,2)=RIGHT('112'!$M$9,2),B3892&lt;'112'!$N$8,$M3892='112'!$I$6)),"x",""))</f>
        <v/>
      </c>
      <c r="U3892" s="52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/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>x</v>
      </c>
      <c r="AA3892" s="826"/>
    </row>
    <row r="3893" spans="1:27" ht="15.75" customHeight="1">
      <c r="A3893" s="827" t="str">
        <f>IF(B3893&lt;&gt;"",IF(AND(B3893&gt;=_TM1,B3893&lt;=_TM2,OR(TH!L3893="1111",TH!M3893="1111")),TH!D3893,""),"")</f>
        <v/>
      </c>
      <c r="B3893" s="36">
        <f t="shared" si="508"/>
        <v>8</v>
      </c>
      <c r="C3893" s="856">
        <f t="shared" si="509"/>
        <v>42596</v>
      </c>
      <c r="D3893" s="856" t="s">
        <v>1664</v>
      </c>
      <c r="E3893" s="856">
        <v>42596</v>
      </c>
      <c r="F3893" s="857" t="s">
        <v>1246</v>
      </c>
      <c r="G3893" s="858" t="s">
        <v>1514</v>
      </c>
      <c r="H3893" s="859" t="s">
        <v>1312</v>
      </c>
      <c r="I3893" s="251">
        <v>10</v>
      </c>
      <c r="J3893" s="251">
        <v>29435</v>
      </c>
      <c r="K3893" s="860">
        <f t="shared" si="510"/>
        <v>294350</v>
      </c>
      <c r="L3893" s="861" t="s">
        <v>160</v>
      </c>
      <c r="M3893" s="861" t="s">
        <v>857</v>
      </c>
      <c r="N3893" s="52" t="str">
        <f>IF(AND('331-CT'!$E$7=TH!H3893,OR(L3893="331",M3893="331")),"331",IF(AND(OR(L3893="131",M3893="131"),H3893='131-CT'!$E$7),"131",""))</f>
        <v/>
      </c>
      <c r="O3893" s="52" t="str">
        <f>IF(AND($B3893&gt;='111'!$N$11,$B3893&lt;='111'!$O$11,OR($L3893=$O$7,$M3893=$O$7)),"x","")</f>
        <v/>
      </c>
      <c r="P3893" s="52" t="str">
        <f>IF(AND($L3893=$O$7,$B3893&lt;'111'!$N$11),"x","")</f>
        <v/>
      </c>
      <c r="Q3893" s="52" t="str">
        <f>IF(AND($M3893=$O$7,$B3893&lt;'111'!$N$11),"x","")</f>
        <v/>
      </c>
      <c r="R3893" s="52" t="str">
        <f>IF(ISERROR(FIND('112'!$M$9,G3893,1)),"",IF((AND(FIND('112'!$M$9,G3893,1)&gt;=1,$B3893&gt;='112'!$N$8,$B3893&lt;='112'!$O$8,OR($L3893='112'!$I$6,$M3893='112'!$I$6))),"x",""))</f>
        <v/>
      </c>
      <c r="S3893" s="52" t="str">
        <f>IF(ISERROR(FIND('112'!$M$9,G3893,1)),"",IF((AND(LEFT(G3893,2)=LEFT('112'!$M$9,2),B3893&lt;'112'!$N$8,$L3893='112'!$I$6)),"x",""))</f>
        <v/>
      </c>
      <c r="T3893" s="52" t="str">
        <f>IF(ISERROR(FIND('112'!$M$9,G3893,1)),"",IF((AND(RIGHT(G3893,2)=RIGHT('112'!$M$9,2),B3893&lt;'112'!$N$8,$M3893='112'!$I$6)),"x",""))</f>
        <v/>
      </c>
      <c r="U3893" s="52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/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>x</v>
      </c>
      <c r="AA3893" s="826"/>
    </row>
    <row r="3894" spans="1:27" ht="15.75" customHeight="1">
      <c r="A3894" s="827" t="str">
        <f>IF(B3894&lt;&gt;"",IF(AND(B3894&gt;=_TM1,B3894&lt;=_TM2,OR(TH!L3894="1111",TH!M3894="1111")),TH!D3894,""),"")</f>
        <v/>
      </c>
      <c r="B3894" s="36">
        <f t="shared" si="508"/>
        <v>8</v>
      </c>
      <c r="C3894" s="856">
        <f t="shared" si="509"/>
        <v>42596</v>
      </c>
      <c r="D3894" s="856" t="s">
        <v>1664</v>
      </c>
      <c r="E3894" s="856">
        <v>42596</v>
      </c>
      <c r="F3894" s="857" t="s">
        <v>1168</v>
      </c>
      <c r="G3894" s="858" t="s">
        <v>1514</v>
      </c>
      <c r="H3894" s="859" t="s">
        <v>1312</v>
      </c>
      <c r="I3894" s="251">
        <v>10</v>
      </c>
      <c r="J3894" s="251">
        <v>25999</v>
      </c>
      <c r="K3894" s="860">
        <f t="shared" si="510"/>
        <v>259990</v>
      </c>
      <c r="L3894" s="861" t="s">
        <v>160</v>
      </c>
      <c r="M3894" s="861" t="s">
        <v>857</v>
      </c>
      <c r="N3894" s="52" t="str">
        <f>IF(AND('331-CT'!$E$7=TH!H3894,OR(L3894="331",M3894="331")),"331",IF(AND(OR(L3894="131",M3894="131"),H3894='131-CT'!$E$7),"131",""))</f>
        <v/>
      </c>
      <c r="O3894" s="52" t="str">
        <f>IF(AND($B3894&gt;='111'!$N$11,$B3894&lt;='111'!$O$11,OR($L3894=$O$7,$M3894=$O$7)),"x","")</f>
        <v/>
      </c>
      <c r="P3894" s="52" t="str">
        <f>IF(AND($L3894=$O$7,$B3894&lt;'111'!$N$11),"x","")</f>
        <v/>
      </c>
      <c r="Q3894" s="52" t="str">
        <f>IF(AND($M3894=$O$7,$B3894&lt;'111'!$N$11),"x","")</f>
        <v/>
      </c>
      <c r="R3894" s="52" t="str">
        <f>IF(ISERROR(FIND('112'!$M$9,G3894,1)),"",IF((AND(FIND('112'!$M$9,G3894,1)&gt;=1,$B3894&gt;='112'!$N$8,$B3894&lt;='112'!$O$8,OR($L3894='112'!$I$6,$M3894='112'!$I$6))),"x",""))</f>
        <v/>
      </c>
      <c r="S3894" s="52" t="str">
        <f>IF(ISERROR(FIND('112'!$M$9,G3894,1)),"",IF((AND(LEFT(G3894,2)=LEFT('112'!$M$9,2),B3894&lt;'112'!$N$8,$L3894='112'!$I$6)),"x",""))</f>
        <v/>
      </c>
      <c r="T3894" s="52" t="str">
        <f>IF(ISERROR(FIND('112'!$M$9,G3894,1)),"",IF((AND(RIGHT(G3894,2)=RIGHT('112'!$M$9,2),B3894&lt;'112'!$N$8,$M3894='112'!$I$6)),"x",""))</f>
        <v/>
      </c>
      <c r="U3894" s="52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/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>x</v>
      </c>
      <c r="AA3894" s="826"/>
    </row>
    <row r="3895" spans="1:27" ht="15.75" customHeight="1">
      <c r="A3895" s="827" t="str">
        <f>IF(B3895&lt;&gt;"",IF(AND(B3895&gt;=_TM1,B3895&lt;=_TM2,OR(TH!L3895="1111",TH!M3895="1111")),TH!D3895,""),"")</f>
        <v/>
      </c>
      <c r="B3895" s="36">
        <f t="shared" si="508"/>
        <v>8</v>
      </c>
      <c r="C3895" s="856">
        <f t="shared" si="509"/>
        <v>42596</v>
      </c>
      <c r="D3895" s="856" t="s">
        <v>1664</v>
      </c>
      <c r="E3895" s="856">
        <v>42596</v>
      </c>
      <c r="F3895" s="857" t="s">
        <v>1168</v>
      </c>
      <c r="G3895" s="858" t="s">
        <v>1516</v>
      </c>
      <c r="H3895" s="859" t="s">
        <v>1312</v>
      </c>
      <c r="I3895" s="251">
        <v>10</v>
      </c>
      <c r="J3895" s="251">
        <v>25999</v>
      </c>
      <c r="K3895" s="860">
        <f t="shared" si="510"/>
        <v>259990</v>
      </c>
      <c r="L3895" s="861" t="s">
        <v>160</v>
      </c>
      <c r="M3895" s="861" t="s">
        <v>857</v>
      </c>
      <c r="N3895" s="52" t="str">
        <f>IF(AND('331-CT'!$E$7=TH!H3895,OR(L3895="331",M3895="331")),"331",IF(AND(OR(L3895="131",M3895="131"),H3895='131-CT'!$E$7),"131",""))</f>
        <v/>
      </c>
      <c r="O3895" s="52" t="str">
        <f>IF(AND($B3895&gt;='111'!$N$11,$B3895&lt;='111'!$O$11,OR($L3895=$O$7,$M3895=$O$7)),"x","")</f>
        <v/>
      </c>
      <c r="P3895" s="52" t="str">
        <f>IF(AND($L3895=$O$7,$B3895&lt;'111'!$N$11),"x","")</f>
        <v/>
      </c>
      <c r="Q3895" s="52" t="str">
        <f>IF(AND($M3895=$O$7,$B3895&lt;'111'!$N$11),"x","")</f>
        <v/>
      </c>
      <c r="R3895" s="52" t="str">
        <f>IF(ISERROR(FIND('112'!$M$9,G3895,1)),"",IF((AND(FIND('112'!$M$9,G3895,1)&gt;=1,$B3895&gt;='112'!$N$8,$B3895&lt;='112'!$O$8,OR($L3895='112'!$I$6,$M3895='112'!$I$6))),"x",""))</f>
        <v/>
      </c>
      <c r="S3895" s="52" t="str">
        <f>IF(ISERROR(FIND('112'!$M$9,G3895,1)),"",IF((AND(LEFT(G3895,2)=LEFT('112'!$M$9,2),B3895&lt;'112'!$N$8,$L3895='112'!$I$6)),"x",""))</f>
        <v/>
      </c>
      <c r="T3895" s="52" t="str">
        <f>IF(ISERROR(FIND('112'!$M$9,G3895,1)),"",IF((AND(RIGHT(G3895,2)=RIGHT('112'!$M$9,2),B3895&lt;'112'!$N$8,$M3895='112'!$I$6)),"x",""))</f>
        <v/>
      </c>
      <c r="U3895" s="52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/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>x</v>
      </c>
      <c r="AA3895" s="826"/>
    </row>
    <row r="3896" spans="1:27" ht="15.75" customHeight="1">
      <c r="A3896" s="827" t="str">
        <f>IF(B3896&lt;&gt;"",IF(AND(B3896&gt;=_TM1,B3896&lt;=_TM2,OR(TH!L3896="1111",TH!M3896="1111")),TH!D3896,""),"")</f>
        <v/>
      </c>
      <c r="B3896" s="36">
        <f t="shared" si="508"/>
        <v>8</v>
      </c>
      <c r="C3896" s="856">
        <f t="shared" si="509"/>
        <v>42599</v>
      </c>
      <c r="D3896" s="856" t="s">
        <v>1664</v>
      </c>
      <c r="E3896" s="856">
        <v>42599</v>
      </c>
      <c r="F3896" s="857" t="s">
        <v>1168</v>
      </c>
      <c r="G3896" s="858" t="s">
        <v>1522</v>
      </c>
      <c r="H3896" s="859" t="s">
        <v>1312</v>
      </c>
      <c r="I3896" s="251">
        <v>10</v>
      </c>
      <c r="J3896" s="251">
        <v>25999</v>
      </c>
      <c r="K3896" s="860">
        <f t="shared" si="510"/>
        <v>259990</v>
      </c>
      <c r="L3896" s="861" t="s">
        <v>160</v>
      </c>
      <c r="M3896" s="861" t="s">
        <v>857</v>
      </c>
      <c r="N3896" s="52" t="str">
        <f>IF(AND('331-CT'!$E$7=TH!H3896,OR(L3896="331",M3896="331")),"331",IF(AND(OR(L3896="131",M3896="131"),H3896='131-CT'!$E$7),"131",""))</f>
        <v/>
      </c>
      <c r="O3896" s="52" t="str">
        <f>IF(AND($B3896&gt;='111'!$N$11,$B3896&lt;='111'!$O$11,OR($L3896=$O$7,$M3896=$O$7)),"x","")</f>
        <v/>
      </c>
      <c r="P3896" s="52" t="str">
        <f>IF(AND($L3896=$O$7,$B3896&lt;'111'!$N$11),"x","")</f>
        <v/>
      </c>
      <c r="Q3896" s="52" t="str">
        <f>IF(AND($M3896=$O$7,$B3896&lt;'111'!$N$11),"x","")</f>
        <v/>
      </c>
      <c r="R3896" s="52" t="str">
        <f>IF(ISERROR(FIND('112'!$M$9,G3896,1)),"",IF((AND(FIND('112'!$M$9,G3896,1)&gt;=1,$B3896&gt;='112'!$N$8,$B3896&lt;='112'!$O$8,OR($L3896='112'!$I$6,$M3896='112'!$I$6))),"x",""))</f>
        <v/>
      </c>
      <c r="S3896" s="52" t="str">
        <f>IF(ISERROR(FIND('112'!$M$9,G3896,1)),"",IF((AND(LEFT(G3896,2)=LEFT('112'!$M$9,2),B3896&lt;'112'!$N$8,$L3896='112'!$I$6)),"x",""))</f>
        <v/>
      </c>
      <c r="T3896" s="52" t="str">
        <f>IF(ISERROR(FIND('112'!$M$9,G3896,1)),"",IF((AND(RIGHT(G3896,2)=RIGHT('112'!$M$9,2),B3896&lt;'112'!$N$8,$M3896='112'!$I$6)),"x",""))</f>
        <v/>
      </c>
      <c r="U3896" s="52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/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>x</v>
      </c>
      <c r="AA3896" s="826"/>
    </row>
    <row r="3897" spans="1:27" ht="15.75" customHeight="1">
      <c r="A3897" s="827" t="str">
        <f>IF(B3897&lt;&gt;"",IF(AND(B3897&gt;=_TM1,B3897&lt;=_TM2,OR(TH!L3897="1111",TH!M3897="1111")),TH!D3897,""),"")</f>
        <v/>
      </c>
      <c r="B3897" s="36">
        <f t="shared" si="508"/>
        <v>8</v>
      </c>
      <c r="C3897" s="856">
        <f t="shared" si="509"/>
        <v>42600</v>
      </c>
      <c r="D3897" s="856" t="s">
        <v>1664</v>
      </c>
      <c r="E3897" s="856">
        <v>42600</v>
      </c>
      <c r="F3897" s="857" t="s">
        <v>1213</v>
      </c>
      <c r="G3897" s="858" t="s">
        <v>1525</v>
      </c>
      <c r="H3897" s="859" t="s">
        <v>1312</v>
      </c>
      <c r="I3897" s="251">
        <v>50</v>
      </c>
      <c r="J3897" s="251">
        <v>22429</v>
      </c>
      <c r="K3897" s="860">
        <f t="shared" si="510"/>
        <v>1121450</v>
      </c>
      <c r="L3897" s="861" t="s">
        <v>160</v>
      </c>
      <c r="M3897" s="861" t="s">
        <v>857</v>
      </c>
      <c r="N3897" s="52" t="str">
        <f>IF(AND('331-CT'!$E$7=TH!H3897,OR(L3897="331",M3897="331")),"331",IF(AND(OR(L3897="131",M3897="131"),H3897='131-CT'!$E$7),"131",""))</f>
        <v/>
      </c>
      <c r="O3897" s="52" t="str">
        <f>IF(AND($B3897&gt;='111'!$N$11,$B3897&lt;='111'!$O$11,OR($L3897=$O$7,$M3897=$O$7)),"x","")</f>
        <v/>
      </c>
      <c r="P3897" s="52" t="str">
        <f>IF(AND($L3897=$O$7,$B3897&lt;'111'!$N$11),"x","")</f>
        <v/>
      </c>
      <c r="Q3897" s="52" t="str">
        <f>IF(AND($M3897=$O$7,$B3897&lt;'111'!$N$11),"x","")</f>
        <v/>
      </c>
      <c r="R3897" s="52" t="str">
        <f>IF(ISERROR(FIND('112'!$M$9,G3897,1)),"",IF((AND(FIND('112'!$M$9,G3897,1)&gt;=1,$B3897&gt;='112'!$N$8,$B3897&lt;='112'!$O$8,OR($L3897='112'!$I$6,$M3897='112'!$I$6))),"x",""))</f>
        <v/>
      </c>
      <c r="S3897" s="52" t="str">
        <f>IF(ISERROR(FIND('112'!$M$9,G3897,1)),"",IF((AND(LEFT(G3897,2)=LEFT('112'!$M$9,2),B3897&lt;'112'!$N$8,$L3897='112'!$I$6)),"x",""))</f>
        <v/>
      </c>
      <c r="T3897" s="52" t="str">
        <f>IF(ISERROR(FIND('112'!$M$9,G3897,1)),"",IF((AND(RIGHT(G3897,2)=RIGHT('112'!$M$9,2),B3897&lt;'112'!$N$8,$M3897='112'!$I$6)),"x",""))</f>
        <v/>
      </c>
      <c r="U3897" s="52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/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>x</v>
      </c>
      <c r="AA3897" s="826"/>
    </row>
    <row r="3898" spans="1:27" ht="15.75" customHeight="1">
      <c r="A3898" s="827" t="str">
        <f>IF(B3898&lt;&gt;"",IF(AND(B3898&gt;=_TM1,B3898&lt;=_TM2,OR(TH!L3898="1111",TH!M3898="1111")),TH!D3898,""),"")</f>
        <v/>
      </c>
      <c r="B3898" s="36">
        <f t="shared" si="508"/>
        <v>8</v>
      </c>
      <c r="C3898" s="856">
        <f t="shared" si="509"/>
        <v>42602</v>
      </c>
      <c r="D3898" s="856" t="s">
        <v>1664</v>
      </c>
      <c r="E3898" s="856">
        <v>42602</v>
      </c>
      <c r="F3898" s="857" t="s">
        <v>1191</v>
      </c>
      <c r="G3898" s="858" t="s">
        <v>1526</v>
      </c>
      <c r="H3898" s="859" t="s">
        <v>1312</v>
      </c>
      <c r="I3898" s="251">
        <v>61</v>
      </c>
      <c r="J3898" s="251">
        <v>27141</v>
      </c>
      <c r="K3898" s="860">
        <f t="shared" si="510"/>
        <v>1655601</v>
      </c>
      <c r="L3898" s="861" t="s">
        <v>160</v>
      </c>
      <c r="M3898" s="861" t="s">
        <v>857</v>
      </c>
      <c r="N3898" s="52" t="str">
        <f>IF(AND('331-CT'!$E$7=TH!H3898,OR(L3898="331",M3898="331")),"331",IF(AND(OR(L3898="131",M3898="131"),H3898='131-CT'!$E$7),"131",""))</f>
        <v/>
      </c>
      <c r="O3898" s="52" t="str">
        <f>IF(AND($B3898&gt;='111'!$N$11,$B3898&lt;='111'!$O$11,OR($L3898=$O$7,$M3898=$O$7)),"x","")</f>
        <v/>
      </c>
      <c r="P3898" s="52" t="str">
        <f>IF(AND($L3898=$O$7,$B3898&lt;'111'!$N$11),"x","")</f>
        <v/>
      </c>
      <c r="Q3898" s="52" t="str">
        <f>IF(AND($M3898=$O$7,$B3898&lt;'111'!$N$11),"x","")</f>
        <v/>
      </c>
      <c r="R3898" s="52" t="str">
        <f>IF(ISERROR(FIND('112'!$M$9,G3898,1)),"",IF((AND(FIND('112'!$M$9,G3898,1)&gt;=1,$B3898&gt;='112'!$N$8,$B3898&lt;='112'!$O$8,OR($L3898='112'!$I$6,$M3898='112'!$I$6))),"x",""))</f>
        <v/>
      </c>
      <c r="S3898" s="52" t="str">
        <f>IF(ISERROR(FIND('112'!$M$9,G3898,1)),"",IF((AND(LEFT(G3898,2)=LEFT('112'!$M$9,2),B3898&lt;'112'!$N$8,$L3898='112'!$I$6)),"x",""))</f>
        <v/>
      </c>
      <c r="T3898" s="52" t="str">
        <f>IF(ISERROR(FIND('112'!$M$9,G3898,1)),"",IF((AND(RIGHT(G3898,2)=RIGHT('112'!$M$9,2),B3898&lt;'112'!$N$8,$M3898='112'!$I$6)),"x",""))</f>
        <v/>
      </c>
      <c r="U3898" s="52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/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>x</v>
      </c>
      <c r="AA3898" s="826"/>
    </row>
    <row r="3899" spans="1:27" ht="15.75" customHeight="1">
      <c r="A3899" s="827" t="str">
        <f>IF(B3899&lt;&gt;"",IF(AND(B3899&gt;=_TM1,B3899&lt;=_TM2,OR(TH!L3899="1111",TH!M3899="1111")),TH!D3899,""),"")</f>
        <v/>
      </c>
      <c r="B3899" s="36">
        <f t="shared" si="508"/>
        <v>8</v>
      </c>
      <c r="C3899" s="856">
        <f t="shared" si="509"/>
        <v>42602</v>
      </c>
      <c r="D3899" s="856" t="s">
        <v>1664</v>
      </c>
      <c r="E3899" s="856">
        <v>42602</v>
      </c>
      <c r="F3899" s="857" t="s">
        <v>1198</v>
      </c>
      <c r="G3899" s="858" t="s">
        <v>1526</v>
      </c>
      <c r="H3899" s="859" t="s">
        <v>1312</v>
      </c>
      <c r="I3899" s="251">
        <v>68</v>
      </c>
      <c r="J3899" s="251">
        <v>18870</v>
      </c>
      <c r="K3899" s="860">
        <f t="shared" si="510"/>
        <v>1283160</v>
      </c>
      <c r="L3899" s="861" t="s">
        <v>160</v>
      </c>
      <c r="M3899" s="861" t="s">
        <v>857</v>
      </c>
      <c r="N3899" s="52" t="str">
        <f>IF(AND('331-CT'!$E$7=TH!H3899,OR(L3899="331",M3899="331")),"331",IF(AND(OR(L3899="131",M3899="131"),H3899='131-CT'!$E$7),"131",""))</f>
        <v/>
      </c>
      <c r="O3899" s="52" t="str">
        <f>IF(AND($B3899&gt;='111'!$N$11,$B3899&lt;='111'!$O$11,OR($L3899=$O$7,$M3899=$O$7)),"x","")</f>
        <v/>
      </c>
      <c r="P3899" s="52" t="str">
        <f>IF(AND($L3899=$O$7,$B3899&lt;'111'!$N$11),"x","")</f>
        <v/>
      </c>
      <c r="Q3899" s="52" t="str">
        <f>IF(AND($M3899=$O$7,$B3899&lt;'111'!$N$11),"x","")</f>
        <v/>
      </c>
      <c r="R3899" s="52" t="str">
        <f>IF(ISERROR(FIND('112'!$M$9,G3899,1)),"",IF((AND(FIND('112'!$M$9,G3899,1)&gt;=1,$B3899&gt;='112'!$N$8,$B3899&lt;='112'!$O$8,OR($L3899='112'!$I$6,$M3899='112'!$I$6))),"x",""))</f>
        <v/>
      </c>
      <c r="S3899" s="52" t="str">
        <f>IF(ISERROR(FIND('112'!$M$9,G3899,1)),"",IF((AND(LEFT(G3899,2)=LEFT('112'!$M$9,2),B3899&lt;'112'!$N$8,$L3899='112'!$I$6)),"x",""))</f>
        <v/>
      </c>
      <c r="T3899" s="52" t="str">
        <f>IF(ISERROR(FIND('112'!$M$9,G3899,1)),"",IF((AND(RIGHT(G3899,2)=RIGHT('112'!$M$9,2),B3899&lt;'112'!$N$8,$M3899='112'!$I$6)),"x",""))</f>
        <v/>
      </c>
      <c r="U3899" s="52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/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>x</v>
      </c>
      <c r="AA3899" s="826"/>
    </row>
    <row r="3900" spans="1:27" ht="15.75" customHeight="1">
      <c r="A3900" s="827" t="str">
        <f>IF(B3900&lt;&gt;"",IF(AND(B3900&gt;=_TM1,B3900&lt;=_TM2,OR(TH!L3900="1111",TH!M3900="1111")),TH!D3900,""),"")</f>
        <v/>
      </c>
      <c r="B3900" s="36">
        <f t="shared" si="508"/>
        <v>8</v>
      </c>
      <c r="C3900" s="856">
        <f t="shared" si="509"/>
        <v>42610</v>
      </c>
      <c r="D3900" s="856" t="s">
        <v>1664</v>
      </c>
      <c r="E3900" s="856">
        <v>42610</v>
      </c>
      <c r="F3900" s="857" t="s">
        <v>1193</v>
      </c>
      <c r="G3900" s="858" t="s">
        <v>1537</v>
      </c>
      <c r="H3900" s="859" t="s">
        <v>1312</v>
      </c>
      <c r="I3900" s="251">
        <v>20</v>
      </c>
      <c r="J3900" s="251">
        <v>12110</v>
      </c>
      <c r="K3900" s="860">
        <f t="shared" si="510"/>
        <v>242200</v>
      </c>
      <c r="L3900" s="861" t="s">
        <v>160</v>
      </c>
      <c r="M3900" s="861" t="s">
        <v>857</v>
      </c>
      <c r="N3900" s="52" t="str">
        <f>IF(AND('331-CT'!$E$7=TH!H3900,OR(L3900="331",M3900="331")),"331",IF(AND(OR(L3900="131",M3900="131"),H3900='131-CT'!$E$7),"131",""))</f>
        <v/>
      </c>
      <c r="O3900" s="52" t="str">
        <f>IF(AND($B3900&gt;='111'!$N$11,$B3900&lt;='111'!$O$11,OR($L3900=$O$7,$M3900=$O$7)),"x","")</f>
        <v/>
      </c>
      <c r="P3900" s="52" t="str">
        <f>IF(AND($L3900=$O$7,$B3900&lt;'111'!$N$11),"x","")</f>
        <v/>
      </c>
      <c r="Q3900" s="52" t="str">
        <f>IF(AND($M3900=$O$7,$B3900&lt;'111'!$N$11),"x","")</f>
        <v/>
      </c>
      <c r="R3900" s="52" t="str">
        <f>IF(ISERROR(FIND('112'!$M$9,G3900,1)),"",IF((AND(FIND('112'!$M$9,G3900,1)&gt;=1,$B3900&gt;='112'!$N$8,$B3900&lt;='112'!$O$8,OR($L3900='112'!$I$6,$M3900='112'!$I$6))),"x",""))</f>
        <v/>
      </c>
      <c r="S3900" s="52" t="str">
        <f>IF(ISERROR(FIND('112'!$M$9,G3900,1)),"",IF((AND(LEFT(G3900,2)=LEFT('112'!$M$9,2),B3900&lt;'112'!$N$8,$L3900='112'!$I$6)),"x",""))</f>
        <v/>
      </c>
      <c r="T3900" s="52" t="str">
        <f>IF(ISERROR(FIND('112'!$M$9,G3900,1)),"",IF((AND(RIGHT(G3900,2)=RIGHT('112'!$M$9,2),B3900&lt;'112'!$N$8,$M3900='112'!$I$6)),"x",""))</f>
        <v/>
      </c>
      <c r="U3900" s="52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/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>x</v>
      </c>
      <c r="AA3900" s="826"/>
    </row>
    <row r="3901" spans="1:27" ht="15.75" customHeight="1">
      <c r="A3901" s="827" t="str">
        <f>IF(B3901&lt;&gt;"",IF(AND(B3901&gt;=_TM1,B3901&lt;=_TM2,OR(TH!L3901="1111",TH!M3901="1111")),TH!D3901,""),"")</f>
        <v/>
      </c>
      <c r="B3901" s="36">
        <f t="shared" si="508"/>
        <v>9</v>
      </c>
      <c r="C3901" s="856">
        <f t="shared" si="509"/>
        <v>42621</v>
      </c>
      <c r="D3901" s="856" t="s">
        <v>1664</v>
      </c>
      <c r="E3901" s="856">
        <v>42621</v>
      </c>
      <c r="F3901" s="857" t="s">
        <v>1675</v>
      </c>
      <c r="G3901" s="858" t="s">
        <v>1674</v>
      </c>
      <c r="H3901" s="859" t="s">
        <v>1312</v>
      </c>
      <c r="I3901" s="251">
        <v>980</v>
      </c>
      <c r="J3901" s="251">
        <v>11827</v>
      </c>
      <c r="K3901" s="860">
        <f t="shared" si="510"/>
        <v>11590460</v>
      </c>
      <c r="L3901" s="861" t="s">
        <v>160</v>
      </c>
      <c r="M3901" s="861" t="s">
        <v>857</v>
      </c>
      <c r="N3901" s="52" t="str">
        <f>IF(AND('331-CT'!$E$7=TH!H3901,OR(L3901="331",M3901="331")),"331",IF(AND(OR(L3901="131",M3901="131"),H3901='131-CT'!$E$7),"131",""))</f>
        <v/>
      </c>
      <c r="O3901" s="52" t="str">
        <f>IF(AND($B3901&gt;='111'!$N$11,$B3901&lt;='111'!$O$11,OR($L3901=$O$7,$M3901=$O$7)),"x","")</f>
        <v/>
      </c>
      <c r="P3901" s="52" t="str">
        <f>IF(AND($L3901=$O$7,$B3901&lt;'111'!$N$11),"x","")</f>
        <v/>
      </c>
      <c r="Q3901" s="52" t="str">
        <f>IF(AND($M3901=$O$7,$B3901&lt;'111'!$N$11),"x","")</f>
        <v/>
      </c>
      <c r="R3901" s="52" t="str">
        <f>IF(ISERROR(FIND('112'!$M$9,G3901,1)),"",IF((AND(FIND('112'!$M$9,G3901,1)&gt;=1,$B3901&gt;='112'!$N$8,$B3901&lt;='112'!$O$8,OR($L3901='112'!$I$6,$M3901='112'!$I$6))),"x",""))</f>
        <v/>
      </c>
      <c r="S3901" s="52" t="str">
        <f>IF(ISERROR(FIND('112'!$M$9,G3901,1)),"",IF((AND(LEFT(G3901,2)=LEFT('112'!$M$9,2),B3901&lt;'112'!$N$8,$L3901='112'!$I$6)),"x",""))</f>
        <v/>
      </c>
      <c r="T3901" s="52" t="str">
        <f>IF(ISERROR(FIND('112'!$M$9,G3901,1)),"",IF((AND(RIGHT(G3901,2)=RIGHT('112'!$M$9,2),B3901&lt;'112'!$N$8,$M3901='112'!$I$6)),"x",""))</f>
        <v/>
      </c>
      <c r="U3901" s="52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/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>x</v>
      </c>
      <c r="AA3901" s="826"/>
    </row>
    <row r="3902" spans="1:27" ht="15.75" customHeight="1">
      <c r="A3902" s="827" t="str">
        <f>IF(B3902&lt;&gt;"",IF(AND(B3902&gt;=_TM1,B3902&lt;=_TM2,OR(TH!L3902="1111",TH!M3902="1111")),TH!D3902,""),"")</f>
        <v/>
      </c>
      <c r="B3902" s="36">
        <f t="shared" si="508"/>
        <v>9</v>
      </c>
      <c r="C3902" s="856">
        <f t="shared" si="509"/>
        <v>42628</v>
      </c>
      <c r="D3902" s="856" t="s">
        <v>1664</v>
      </c>
      <c r="E3902" s="856">
        <v>42628</v>
      </c>
      <c r="F3902" s="857" t="s">
        <v>1681</v>
      </c>
      <c r="G3902" s="858" t="s">
        <v>1680</v>
      </c>
      <c r="H3902" s="859" t="s">
        <v>1312</v>
      </c>
      <c r="I3902" s="251">
        <v>570</v>
      </c>
      <c r="J3902" s="251">
        <v>10500</v>
      </c>
      <c r="K3902" s="860">
        <f t="shared" si="510"/>
        <v>5985000</v>
      </c>
      <c r="L3902" s="861" t="s">
        <v>160</v>
      </c>
      <c r="M3902" s="861" t="s">
        <v>857</v>
      </c>
      <c r="N3902" s="52" t="str">
        <f>IF(AND('331-CT'!$E$7=TH!H3902,OR(L3902="331",M3902="331")),"331",IF(AND(OR(L3902="131",M3902="131"),H3902='131-CT'!$E$7),"131",""))</f>
        <v/>
      </c>
      <c r="O3902" s="52" t="str">
        <f>IF(AND($B3902&gt;='111'!$N$11,$B3902&lt;='111'!$O$11,OR($L3902=$O$7,$M3902=$O$7)),"x","")</f>
        <v/>
      </c>
      <c r="P3902" s="52" t="str">
        <f>IF(AND($L3902=$O$7,$B3902&lt;'111'!$N$11),"x","")</f>
        <v/>
      </c>
      <c r="Q3902" s="52" t="str">
        <f>IF(AND($M3902=$O$7,$B3902&lt;'111'!$N$11),"x","")</f>
        <v/>
      </c>
      <c r="R3902" s="52" t="str">
        <f>IF(ISERROR(FIND('112'!$M$9,G3902,1)),"",IF((AND(FIND('112'!$M$9,G3902,1)&gt;=1,$B3902&gt;='112'!$N$8,$B3902&lt;='112'!$O$8,OR($L3902='112'!$I$6,$M3902='112'!$I$6))),"x",""))</f>
        <v/>
      </c>
      <c r="S3902" s="52" t="str">
        <f>IF(ISERROR(FIND('112'!$M$9,G3902,1)),"",IF((AND(LEFT(G3902,2)=LEFT('112'!$M$9,2),B3902&lt;'112'!$N$8,$L3902='112'!$I$6)),"x",""))</f>
        <v/>
      </c>
      <c r="T3902" s="52" t="str">
        <f>IF(ISERROR(FIND('112'!$M$9,G3902,1)),"",IF((AND(RIGHT(G3902,2)=RIGHT('112'!$M$9,2),B3902&lt;'112'!$N$8,$M3902='112'!$I$6)),"x",""))</f>
        <v/>
      </c>
      <c r="U3902" s="52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/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>x</v>
      </c>
      <c r="AA3902" s="826"/>
    </row>
    <row r="3903" spans="1:27" ht="15.75" customHeight="1">
      <c r="A3903" s="827" t="str">
        <f>IF(B3903&lt;&gt;"",IF(AND(B3903&gt;=_TM1,B3903&lt;=_TM2,OR(TH!L3903="1111",TH!M3903="1111")),TH!D3903,""),"")</f>
        <v/>
      </c>
      <c r="B3903" s="36">
        <f t="shared" si="508"/>
        <v>9</v>
      </c>
      <c r="C3903" s="856">
        <f t="shared" si="509"/>
        <v>42631</v>
      </c>
      <c r="D3903" s="856" t="s">
        <v>1664</v>
      </c>
      <c r="E3903" s="856">
        <v>42631</v>
      </c>
      <c r="F3903" s="857" t="s">
        <v>1687</v>
      </c>
      <c r="G3903" s="858" t="s">
        <v>1686</v>
      </c>
      <c r="H3903" s="859" t="s">
        <v>1312</v>
      </c>
      <c r="I3903" s="251">
        <v>4950</v>
      </c>
      <c r="J3903" s="251">
        <v>8550</v>
      </c>
      <c r="K3903" s="860">
        <f t="shared" si="510"/>
        <v>42322500</v>
      </c>
      <c r="L3903" s="861" t="s">
        <v>160</v>
      </c>
      <c r="M3903" s="861" t="s">
        <v>857</v>
      </c>
      <c r="N3903" s="52" t="str">
        <f>IF(AND('331-CT'!$E$7=TH!H3903,OR(L3903="331",M3903="331")),"331",IF(AND(OR(L3903="131",M3903="131"),H3903='131-CT'!$E$7),"131",""))</f>
        <v/>
      </c>
      <c r="O3903" s="52" t="str">
        <f>IF(AND($B3903&gt;='111'!$N$11,$B3903&lt;='111'!$O$11,OR($L3903=$O$7,$M3903=$O$7)),"x","")</f>
        <v/>
      </c>
      <c r="P3903" s="52" t="str">
        <f>IF(AND($L3903=$O$7,$B3903&lt;'111'!$N$11),"x","")</f>
        <v/>
      </c>
      <c r="Q3903" s="52" t="str">
        <f>IF(AND($M3903=$O$7,$B3903&lt;'111'!$N$11),"x","")</f>
        <v/>
      </c>
      <c r="R3903" s="52" t="str">
        <f>IF(ISERROR(FIND('112'!$M$9,G3903,1)),"",IF((AND(FIND('112'!$M$9,G3903,1)&gt;=1,$B3903&gt;='112'!$N$8,$B3903&lt;='112'!$O$8,OR($L3903='112'!$I$6,$M3903='112'!$I$6))),"x",""))</f>
        <v/>
      </c>
      <c r="S3903" s="52" t="str">
        <f>IF(ISERROR(FIND('112'!$M$9,G3903,1)),"",IF((AND(LEFT(G3903,2)=LEFT('112'!$M$9,2),B3903&lt;'112'!$N$8,$L3903='112'!$I$6)),"x",""))</f>
        <v/>
      </c>
      <c r="T3903" s="52" t="str">
        <f>IF(ISERROR(FIND('112'!$M$9,G3903,1)),"",IF((AND(RIGHT(G3903,2)=RIGHT('112'!$M$9,2),B3903&lt;'112'!$N$8,$M3903='112'!$I$6)),"x",""))</f>
        <v/>
      </c>
      <c r="U3903" s="52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/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>x</v>
      </c>
      <c r="AA3903" s="826"/>
    </row>
    <row r="3904" spans="1:27" ht="15.75" customHeight="1">
      <c r="A3904" s="827" t="str">
        <f>IF(B3904&lt;&gt;"",IF(AND(B3904&gt;=_TM1,B3904&lt;=_TM2,OR(TH!L3904="1111",TH!M3904="1111")),TH!D3904,""),"")</f>
        <v/>
      </c>
      <c r="B3904" s="36">
        <f t="shared" si="508"/>
        <v>9</v>
      </c>
      <c r="C3904" s="856">
        <f t="shared" si="509"/>
        <v>42632</v>
      </c>
      <c r="D3904" s="856" t="s">
        <v>1664</v>
      </c>
      <c r="E3904" s="856">
        <v>42632</v>
      </c>
      <c r="F3904" s="857" t="s">
        <v>1178</v>
      </c>
      <c r="G3904" s="858" t="s">
        <v>1688</v>
      </c>
      <c r="H3904" s="859" t="s">
        <v>1312</v>
      </c>
      <c r="I3904" s="251">
        <v>1550</v>
      </c>
      <c r="J3904" s="251">
        <v>33756.345177664974</v>
      </c>
      <c r="K3904" s="860">
        <f t="shared" si="510"/>
        <v>52322335</v>
      </c>
      <c r="L3904" s="861" t="s">
        <v>160</v>
      </c>
      <c r="M3904" s="861" t="s">
        <v>857</v>
      </c>
      <c r="N3904" s="52" t="str">
        <f>IF(AND('331-CT'!$E$7=TH!H3904,OR(L3904="331",M3904="331")),"331",IF(AND(OR(L3904="131",M3904="131"),H3904='131-CT'!$E$7),"131",""))</f>
        <v/>
      </c>
      <c r="O3904" s="52" t="str">
        <f>IF(AND($B3904&gt;='111'!$N$11,$B3904&lt;='111'!$O$11,OR($L3904=$O$7,$M3904=$O$7)),"x","")</f>
        <v/>
      </c>
      <c r="P3904" s="52" t="str">
        <f>IF(AND($L3904=$O$7,$B3904&lt;'111'!$N$11),"x","")</f>
        <v/>
      </c>
      <c r="Q3904" s="52" t="str">
        <f>IF(AND($M3904=$O$7,$B3904&lt;'111'!$N$11),"x","")</f>
        <v/>
      </c>
      <c r="R3904" s="52" t="str">
        <f>IF(ISERROR(FIND('112'!$M$9,G3904,1)),"",IF((AND(FIND('112'!$M$9,G3904,1)&gt;=1,$B3904&gt;='112'!$N$8,$B3904&lt;='112'!$O$8,OR($L3904='112'!$I$6,$M3904='112'!$I$6))),"x",""))</f>
        <v/>
      </c>
      <c r="S3904" s="52" t="str">
        <f>IF(ISERROR(FIND('112'!$M$9,G3904,1)),"",IF((AND(LEFT(G3904,2)=LEFT('112'!$M$9,2),B3904&lt;'112'!$N$8,$L3904='112'!$I$6)),"x",""))</f>
        <v/>
      </c>
      <c r="T3904" s="52" t="str">
        <f>IF(ISERROR(FIND('112'!$M$9,G3904,1)),"",IF((AND(RIGHT(G3904,2)=RIGHT('112'!$M$9,2),B3904&lt;'112'!$N$8,$M3904='112'!$I$6)),"x",""))</f>
        <v/>
      </c>
      <c r="U3904" s="52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/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>x</v>
      </c>
      <c r="AA3904" s="826"/>
    </row>
    <row r="3905" spans="1:27" ht="15.75" customHeight="1">
      <c r="A3905" s="827" t="str">
        <f>IF(B3905&lt;&gt;"",IF(AND(B3905&gt;=_TM1,B3905&lt;=_TM2,OR(TH!L3905="1111",TH!M3905="1111")),TH!D3905,""),"")</f>
        <v/>
      </c>
      <c r="B3905" s="36">
        <f t="shared" si="508"/>
        <v>9</v>
      </c>
      <c r="C3905" s="856">
        <f t="shared" si="509"/>
        <v>42632</v>
      </c>
      <c r="D3905" s="856" t="s">
        <v>1664</v>
      </c>
      <c r="E3905" s="856">
        <v>42632</v>
      </c>
      <c r="F3905" s="857" t="s">
        <v>1179</v>
      </c>
      <c r="G3905" s="858" t="s">
        <v>1688</v>
      </c>
      <c r="H3905" s="859" t="s">
        <v>1312</v>
      </c>
      <c r="I3905" s="251">
        <v>1500</v>
      </c>
      <c r="J3905" s="251">
        <v>30875</v>
      </c>
      <c r="K3905" s="860">
        <f t="shared" si="510"/>
        <v>46312500</v>
      </c>
      <c r="L3905" s="861" t="s">
        <v>160</v>
      </c>
      <c r="M3905" s="861" t="s">
        <v>857</v>
      </c>
      <c r="N3905" s="52" t="str">
        <f>IF(AND('331-CT'!$E$7=TH!H3905,OR(L3905="331",M3905="331")),"331",IF(AND(OR(L3905="131",M3905="131"),H3905='131-CT'!$E$7),"131",""))</f>
        <v/>
      </c>
      <c r="O3905" s="52" t="str">
        <f>IF(AND($B3905&gt;='111'!$N$11,$B3905&lt;='111'!$O$11,OR($L3905=$O$7,$M3905=$O$7)),"x","")</f>
        <v/>
      </c>
      <c r="P3905" s="52" t="str">
        <f>IF(AND($L3905=$O$7,$B3905&lt;'111'!$N$11),"x","")</f>
        <v/>
      </c>
      <c r="Q3905" s="52" t="str">
        <f>IF(AND($M3905=$O$7,$B3905&lt;'111'!$N$11),"x","")</f>
        <v/>
      </c>
      <c r="R3905" s="52" t="str">
        <f>IF(ISERROR(FIND('112'!$M$9,G3905,1)),"",IF((AND(FIND('112'!$M$9,G3905,1)&gt;=1,$B3905&gt;='112'!$N$8,$B3905&lt;='112'!$O$8,OR($L3905='112'!$I$6,$M3905='112'!$I$6))),"x",""))</f>
        <v/>
      </c>
      <c r="S3905" s="52" t="str">
        <f>IF(ISERROR(FIND('112'!$M$9,G3905,1)),"",IF((AND(LEFT(G3905,2)=LEFT('112'!$M$9,2),B3905&lt;'112'!$N$8,$L3905='112'!$I$6)),"x",""))</f>
        <v/>
      </c>
      <c r="T3905" s="52" t="str">
        <f>IF(ISERROR(FIND('112'!$M$9,G3905,1)),"",IF((AND(RIGHT(G3905,2)=RIGHT('112'!$M$9,2),B3905&lt;'112'!$N$8,$M3905='112'!$I$6)),"x",""))</f>
        <v/>
      </c>
      <c r="U3905" s="52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/>
      </c>
      <c r="V3905" s="52" t="str">
        <f>IF(OR(TH!L3905=TH!$V$7,M3905=TH!$V$7),"x","")</f>
        <v/>
      </c>
      <c r="W3905" s="52" t="str">
        <f>IF(AND(B3905&gt;='IN-NX'!$P$3,B3905&lt;='IN-NX'!$Q$3,'IN-NX'!$D$7=D3905,OR(LEFT(L3905,2)="15",AND(LEFT(M3905,2)&lt;&gt;"15",LEFT(M3905,2)&lt;&gt;"33"))),"x","")</f>
        <v/>
      </c>
      <c r="X3905" s="52" t="str">
        <f>IF(AND(OR(LEFT(TH!L3905,2)="15",LEFT(TH!M3905,2)="15"),'152-CT'!$J$8=TH!F3905),"x","")</f>
        <v/>
      </c>
      <c r="Y3905" s="52" t="str">
        <f>IF(AND(OR(LEFT(TH!L3905,2)="15",LEFT(TH!M3905,2)="15"),TK!$E$7=TH!F3905),"x","")</f>
        <v/>
      </c>
      <c r="Z3905" s="52" t="str">
        <f>IF(AND(B3905&lt;=NKC!$N$8,B3905&gt;=NKC!$M$8),"x","")</f>
        <v>x</v>
      </c>
      <c r="AA3905" s="826"/>
    </row>
    <row r="3906" spans="1:27" ht="15.75" customHeight="1">
      <c r="A3906" s="827" t="str">
        <f>IF(B3906&lt;&gt;"",IF(AND(B3906&gt;=_TM1,B3906&lt;=_TM2,OR(TH!L3906="1111",TH!M3906="1111")),TH!D3906,""),"")</f>
        <v/>
      </c>
      <c r="B3906" s="36">
        <f t="shared" si="508"/>
        <v>9</v>
      </c>
      <c r="C3906" s="856">
        <f t="shared" si="509"/>
        <v>42640</v>
      </c>
      <c r="D3906" s="856" t="s">
        <v>1664</v>
      </c>
      <c r="E3906" s="856">
        <v>42640</v>
      </c>
      <c r="F3906" s="857" t="s">
        <v>1178</v>
      </c>
      <c r="G3906" s="858" t="s">
        <v>1692</v>
      </c>
      <c r="H3906" s="859" t="s">
        <v>1312</v>
      </c>
      <c r="I3906" s="251">
        <v>420</v>
      </c>
      <c r="J3906" s="251">
        <v>33756.345177664974</v>
      </c>
      <c r="K3906" s="860">
        <f t="shared" si="510"/>
        <v>14177665</v>
      </c>
      <c r="L3906" s="861" t="s">
        <v>160</v>
      </c>
      <c r="M3906" s="861" t="s">
        <v>857</v>
      </c>
      <c r="N3906" s="52" t="str">
        <f>IF(AND('331-CT'!$E$7=TH!H3906,OR(L3906="331",M3906="331")),"331",IF(AND(OR(L3906="131",M3906="131"),H3906='131-CT'!$E$7),"131",""))</f>
        <v/>
      </c>
      <c r="O3906" s="52" t="str">
        <f>IF(AND($B3906&gt;='111'!$N$11,$B3906&lt;='111'!$O$11,OR($L3906=$O$7,$M3906=$O$7)),"x","")</f>
        <v/>
      </c>
      <c r="P3906" s="52" t="str">
        <f>IF(AND($L3906=$O$7,$B3906&lt;'111'!$N$11),"x","")</f>
        <v/>
      </c>
      <c r="Q3906" s="52" t="str">
        <f>IF(AND($M3906=$O$7,$B3906&lt;'111'!$N$11),"x","")</f>
        <v/>
      </c>
      <c r="R3906" s="52" t="str">
        <f>IF(ISERROR(FIND('112'!$M$9,G3906,1)),"",IF((AND(FIND('112'!$M$9,G3906,1)&gt;=1,$B3906&gt;='112'!$N$8,$B3906&lt;='112'!$O$8,OR($L3906='112'!$I$6,$M3906='112'!$I$6))),"x",""))</f>
        <v/>
      </c>
      <c r="S3906" s="52" t="str">
        <f>IF(ISERROR(FIND('112'!$M$9,G3906,1)),"",IF((AND(LEFT(G3906,2)=LEFT('112'!$M$9,2),B3906&lt;'112'!$N$8,$L3906='112'!$I$6)),"x",""))</f>
        <v/>
      </c>
      <c r="T3906" s="52" t="str">
        <f>IF(ISERROR(FIND('112'!$M$9,G3906,1)),"",IF((AND(RIGHT(G3906,2)=RIGHT('112'!$M$9,2),B3906&lt;'112'!$N$8,$M3906='112'!$I$6)),"x",""))</f>
        <v/>
      </c>
      <c r="U3906" s="52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/>
      </c>
      <c r="V3906" s="52" t="str">
        <f>IF(OR(TH!L3906=TH!$V$7,M3906=TH!$V$7),"x","")</f>
        <v/>
      </c>
      <c r="W3906" s="52" t="str">
        <f>IF(AND(B3906&gt;='IN-NX'!$P$3,B3906&lt;='IN-NX'!$Q$3,'IN-NX'!$D$7=D3906,OR(LEFT(L3906,2)="15",AND(LEFT(M3906,2)&lt;&gt;"15",LEFT(M3906,2)&lt;&gt;"33"))),"x","")</f>
        <v/>
      </c>
      <c r="X3906" s="52" t="str">
        <f>IF(AND(OR(LEFT(TH!L3906,2)="15",LEFT(TH!M3906,2)="15"),'152-CT'!$J$8=TH!F3906),"x","")</f>
        <v/>
      </c>
      <c r="Y3906" s="52" t="str">
        <f>IF(AND(OR(LEFT(TH!L3906,2)="15",LEFT(TH!M3906,2)="15"),TK!$E$7=TH!F3906),"x","")</f>
        <v/>
      </c>
      <c r="Z3906" s="52" t="str">
        <f>IF(AND(B3906&lt;=NKC!$N$8,B3906&gt;=NKC!$M$8),"x","")</f>
        <v>x</v>
      </c>
      <c r="AA3906" s="826"/>
    </row>
    <row r="3907" spans="1:27" ht="15.75" customHeight="1">
      <c r="A3907" s="827" t="str">
        <f>IF(B3907&lt;&gt;"",IF(AND(B3907&gt;=_TM1,B3907&lt;=_TM2,OR(TH!L3907="1111",TH!M3907="1111")),TH!D3907,""),"")</f>
        <v/>
      </c>
      <c r="B3907" s="36">
        <f t="shared" si="508"/>
        <v>9</v>
      </c>
      <c r="C3907" s="856">
        <f t="shared" si="509"/>
        <v>42640</v>
      </c>
      <c r="D3907" s="856" t="s">
        <v>1664</v>
      </c>
      <c r="E3907" s="856">
        <v>42640</v>
      </c>
      <c r="F3907" s="857" t="s">
        <v>1696</v>
      </c>
      <c r="G3907" s="858" t="s">
        <v>1695</v>
      </c>
      <c r="H3907" s="859" t="s">
        <v>1312</v>
      </c>
      <c r="I3907" s="251">
        <v>5000</v>
      </c>
      <c r="J3907" s="251">
        <v>7220</v>
      </c>
      <c r="K3907" s="860">
        <f t="shared" si="510"/>
        <v>36100000</v>
      </c>
      <c r="L3907" s="861" t="s">
        <v>160</v>
      </c>
      <c r="M3907" s="861" t="s">
        <v>857</v>
      </c>
      <c r="N3907" s="52" t="str">
        <f>IF(AND('331-CT'!$E$7=TH!H3907,OR(L3907="331",M3907="331")),"331",IF(AND(OR(L3907="131",M3907="131"),H3907='131-CT'!$E$7),"131",""))</f>
        <v/>
      </c>
      <c r="O3907" s="52" t="str">
        <f>IF(AND($B3907&gt;='111'!$N$11,$B3907&lt;='111'!$O$11,OR($L3907=$O$7,$M3907=$O$7)),"x","")</f>
        <v/>
      </c>
      <c r="P3907" s="52" t="str">
        <f>IF(AND($L3907=$O$7,$B3907&lt;'111'!$N$11),"x","")</f>
        <v/>
      </c>
      <c r="Q3907" s="52" t="str">
        <f>IF(AND($M3907=$O$7,$B3907&lt;'111'!$N$11),"x","")</f>
        <v/>
      </c>
      <c r="R3907" s="52" t="str">
        <f>IF(ISERROR(FIND('112'!$M$9,G3907,1)),"",IF((AND(FIND('112'!$M$9,G3907,1)&gt;=1,$B3907&gt;='112'!$N$8,$B3907&lt;='112'!$O$8,OR($L3907='112'!$I$6,$M3907='112'!$I$6))),"x",""))</f>
        <v/>
      </c>
      <c r="S3907" s="52" t="str">
        <f>IF(ISERROR(FIND('112'!$M$9,G3907,1)),"",IF((AND(LEFT(G3907,2)=LEFT('112'!$M$9,2),B3907&lt;'112'!$N$8,$L3907='112'!$I$6)),"x",""))</f>
        <v/>
      </c>
      <c r="T3907" s="52" t="str">
        <f>IF(ISERROR(FIND('112'!$M$9,G3907,1)),"",IF((AND(RIGHT(G3907,2)=RIGHT('112'!$M$9,2),B3907&lt;'112'!$N$8,$M3907='112'!$I$6)),"x",""))</f>
        <v/>
      </c>
      <c r="U3907" s="52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/>
      </c>
      <c r="V3907" s="52" t="str">
        <f>IF(OR(TH!L3907=TH!$V$7,M3907=TH!$V$7),"x","")</f>
        <v/>
      </c>
      <c r="W3907" s="52" t="str">
        <f>IF(AND(B3907&gt;='IN-NX'!$P$3,B3907&lt;='IN-NX'!$Q$3,'IN-NX'!$D$7=D3907,OR(LEFT(L3907,2)="15",AND(LEFT(M3907,2)&lt;&gt;"15",LEFT(M3907,2)&lt;&gt;"33"))),"x","")</f>
        <v/>
      </c>
      <c r="X3907" s="52" t="str">
        <f>IF(AND(OR(LEFT(TH!L3907,2)="15",LEFT(TH!M3907,2)="15"),'152-CT'!$J$8=TH!F3907),"x","")</f>
        <v/>
      </c>
      <c r="Y3907" s="52" t="str">
        <f>IF(AND(OR(LEFT(TH!L3907,2)="15",LEFT(TH!M3907,2)="15"),TK!$E$7=TH!F3907),"x","")</f>
        <v/>
      </c>
      <c r="Z3907" s="52" t="str">
        <f>IF(AND(B3907&lt;=NKC!$N$8,B3907&gt;=NKC!$M$8),"x","")</f>
        <v>x</v>
      </c>
      <c r="AA3907" s="826"/>
    </row>
    <row r="3908" spans="1:27" ht="15.75" customHeight="1">
      <c r="A3908" s="827" t="str">
        <f>IF(B3908&lt;&gt;"",IF(AND(B3908&gt;=_TM1,B3908&lt;=_TM2,OR(TH!L3908="1111",TH!M3908="1111")),TH!D3908,""),"")</f>
        <v/>
      </c>
      <c r="B3908" s="36">
        <f t="shared" si="508"/>
        <v>9</v>
      </c>
      <c r="C3908" s="856">
        <f t="shared" si="509"/>
        <v>42640</v>
      </c>
      <c r="D3908" s="856" t="s">
        <v>1664</v>
      </c>
      <c r="E3908" s="856">
        <v>42640</v>
      </c>
      <c r="F3908" s="857" t="s">
        <v>1698</v>
      </c>
      <c r="G3908" s="858" t="s">
        <v>1695</v>
      </c>
      <c r="H3908" s="859" t="s">
        <v>1312</v>
      </c>
      <c r="I3908" s="251">
        <v>3000</v>
      </c>
      <c r="J3908" s="251">
        <v>12400</v>
      </c>
      <c r="K3908" s="860">
        <f t="shared" si="510"/>
        <v>37200000</v>
      </c>
      <c r="L3908" s="861" t="s">
        <v>160</v>
      </c>
      <c r="M3908" s="861" t="s">
        <v>857</v>
      </c>
      <c r="N3908" s="52" t="str">
        <f>IF(AND('331-CT'!$E$7=TH!H3908,OR(L3908="331",M3908="331")),"331",IF(AND(OR(L3908="131",M3908="131"),H3908='131-CT'!$E$7),"131",""))</f>
        <v/>
      </c>
      <c r="O3908" s="52" t="str">
        <f>IF(AND($B3908&gt;='111'!$N$11,$B3908&lt;='111'!$O$11,OR($L3908=$O$7,$M3908=$O$7)),"x","")</f>
        <v/>
      </c>
      <c r="P3908" s="52" t="str">
        <f>IF(AND($L3908=$O$7,$B3908&lt;'111'!$N$11),"x","")</f>
        <v/>
      </c>
      <c r="Q3908" s="52" t="str">
        <f>IF(AND($M3908=$O$7,$B3908&lt;'111'!$N$11),"x","")</f>
        <v/>
      </c>
      <c r="R3908" s="52" t="str">
        <f>IF(ISERROR(FIND('112'!$M$9,G3908,1)),"",IF((AND(FIND('112'!$M$9,G3908,1)&gt;=1,$B3908&gt;='112'!$N$8,$B3908&lt;='112'!$O$8,OR($L3908='112'!$I$6,$M3908='112'!$I$6))),"x",""))</f>
        <v/>
      </c>
      <c r="S3908" s="52" t="str">
        <f>IF(ISERROR(FIND('112'!$M$9,G3908,1)),"",IF((AND(LEFT(G3908,2)=LEFT('112'!$M$9,2),B3908&lt;'112'!$N$8,$L3908='112'!$I$6)),"x",""))</f>
        <v/>
      </c>
      <c r="T3908" s="52" t="str">
        <f>IF(ISERROR(FIND('112'!$M$9,G3908,1)),"",IF((AND(RIGHT(G3908,2)=RIGHT('112'!$M$9,2),B3908&lt;'112'!$N$8,$M3908='112'!$I$6)),"x",""))</f>
        <v/>
      </c>
      <c r="U3908" s="52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/>
      </c>
      <c r="V3908" s="52" t="str">
        <f>IF(OR(TH!L3908=TH!$V$7,M3908=TH!$V$7),"x","")</f>
        <v/>
      </c>
      <c r="W3908" s="52" t="str">
        <f>IF(AND(B3908&gt;='IN-NX'!$P$3,B3908&lt;='IN-NX'!$Q$3,'IN-NX'!$D$7=D3908,OR(LEFT(L3908,2)="15",AND(LEFT(M3908,2)&lt;&gt;"15",LEFT(M3908,2)&lt;&gt;"33"))),"x","")</f>
        <v/>
      </c>
      <c r="X3908" s="52" t="str">
        <f>IF(AND(OR(LEFT(TH!L3908,2)="15",LEFT(TH!M3908,2)="15"),'152-CT'!$J$8=TH!F3908),"x","")</f>
        <v/>
      </c>
      <c r="Y3908" s="52" t="str">
        <f>IF(AND(OR(LEFT(TH!L3908,2)="15",LEFT(TH!M3908,2)="15"),TK!$E$7=TH!F3908),"x","")</f>
        <v/>
      </c>
      <c r="Z3908" s="52" t="str">
        <f>IF(AND(B3908&lt;=NKC!$N$8,B3908&gt;=NKC!$M$8),"x","")</f>
        <v>x</v>
      </c>
      <c r="AA3908" s="826"/>
    </row>
    <row r="3909" spans="1:27" ht="15.75" customHeight="1">
      <c r="A3909" s="827" t="str">
        <f>IF(B3909&lt;&gt;"",IF(AND(B3909&gt;=_TM1,B3909&lt;=_TM2,OR(TH!L3909="1111",TH!M3909="1111")),TH!D3909,""),"")</f>
        <v/>
      </c>
      <c r="B3909" s="36">
        <f t="shared" si="508"/>
        <v>9</v>
      </c>
      <c r="C3909" s="856">
        <f t="shared" si="509"/>
        <v>42641</v>
      </c>
      <c r="D3909" s="856" t="s">
        <v>1664</v>
      </c>
      <c r="E3909" s="856">
        <v>42641</v>
      </c>
      <c r="F3909" s="857" t="s">
        <v>1698</v>
      </c>
      <c r="G3909" s="858" t="s">
        <v>1704</v>
      </c>
      <c r="H3909" s="859" t="s">
        <v>1312</v>
      </c>
      <c r="I3909" s="251">
        <v>3200</v>
      </c>
      <c r="J3909" s="251">
        <v>12400</v>
      </c>
      <c r="K3909" s="860">
        <f t="shared" si="510"/>
        <v>39680000</v>
      </c>
      <c r="L3909" s="861" t="s">
        <v>160</v>
      </c>
      <c r="M3909" s="861" t="s">
        <v>857</v>
      </c>
      <c r="N3909" s="52" t="str">
        <f>IF(AND('331-CT'!$E$7=TH!H3909,OR(L3909="331",M3909="331")),"331",IF(AND(OR(L3909="131",M3909="131"),H3909='131-CT'!$E$7),"131",""))</f>
        <v/>
      </c>
      <c r="O3909" s="52" t="str">
        <f>IF(AND($B3909&gt;='111'!$N$11,$B3909&lt;='111'!$O$11,OR($L3909=$O$7,$M3909=$O$7)),"x","")</f>
        <v/>
      </c>
      <c r="P3909" s="52" t="str">
        <f>IF(AND($L3909=$O$7,$B3909&lt;'111'!$N$11),"x","")</f>
        <v/>
      </c>
      <c r="Q3909" s="52" t="str">
        <f>IF(AND($M3909=$O$7,$B3909&lt;'111'!$N$11),"x","")</f>
        <v/>
      </c>
      <c r="R3909" s="52" t="str">
        <f>IF(ISERROR(FIND('112'!$M$9,G3909,1)),"",IF((AND(FIND('112'!$M$9,G3909,1)&gt;=1,$B3909&gt;='112'!$N$8,$B3909&lt;='112'!$O$8,OR($L3909='112'!$I$6,$M3909='112'!$I$6))),"x",""))</f>
        <v/>
      </c>
      <c r="S3909" s="52" t="str">
        <f>IF(ISERROR(FIND('112'!$M$9,G3909,1)),"",IF((AND(LEFT(G3909,2)=LEFT('112'!$M$9,2),B3909&lt;'112'!$N$8,$L3909='112'!$I$6)),"x",""))</f>
        <v/>
      </c>
      <c r="T3909" s="52" t="str">
        <f>IF(ISERROR(FIND('112'!$M$9,G3909,1)),"",IF((AND(RIGHT(G3909,2)=RIGHT('112'!$M$9,2),B3909&lt;'112'!$N$8,$M3909='112'!$I$6)),"x",""))</f>
        <v/>
      </c>
      <c r="U3909" s="52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/>
      </c>
      <c r="V3909" s="52" t="str">
        <f>IF(OR(TH!L3909=TH!$V$7,M3909=TH!$V$7),"x","")</f>
        <v/>
      </c>
      <c r="W3909" s="52" t="str">
        <f>IF(AND(B3909&gt;='IN-NX'!$P$3,B3909&lt;='IN-NX'!$Q$3,'IN-NX'!$D$7=D3909,OR(LEFT(L3909,2)="15",AND(LEFT(M3909,2)&lt;&gt;"15",LEFT(M3909,2)&lt;&gt;"33"))),"x","")</f>
        <v/>
      </c>
      <c r="X3909" s="52" t="str">
        <f>IF(AND(OR(LEFT(TH!L3909,2)="15",LEFT(TH!M3909,2)="15"),'152-CT'!$J$8=TH!F3909),"x","")</f>
        <v/>
      </c>
      <c r="Y3909" s="52" t="str">
        <f>IF(AND(OR(LEFT(TH!L3909,2)="15",LEFT(TH!M3909,2)="15"),TK!$E$7=TH!F3909),"x","")</f>
        <v/>
      </c>
      <c r="Z3909" s="52" t="str">
        <f>IF(AND(B3909&lt;=NKC!$N$8,B3909&gt;=NKC!$M$8),"x","")</f>
        <v>x</v>
      </c>
      <c r="AA3909" s="826"/>
    </row>
    <row r="3910" spans="1:27" ht="15.75" customHeight="1">
      <c r="A3910" s="827" t="str">
        <f>IF(B3910&lt;&gt;"",IF(AND(B3910&gt;=_TM1,B3910&lt;=_TM2,OR(TH!L3910="1111",TH!M3910="1111")),TH!D3910,""),"")</f>
        <v/>
      </c>
      <c r="B3910" s="36">
        <f t="shared" si="508"/>
        <v>9</v>
      </c>
      <c r="C3910" s="856">
        <f t="shared" si="509"/>
        <v>42621</v>
      </c>
      <c r="D3910" s="856" t="s">
        <v>1664</v>
      </c>
      <c r="E3910" s="856">
        <v>42621</v>
      </c>
      <c r="F3910" s="857" t="s">
        <v>1200</v>
      </c>
      <c r="G3910" s="858" t="s">
        <v>1674</v>
      </c>
      <c r="H3910" s="859" t="s">
        <v>1312</v>
      </c>
      <c r="I3910" s="251">
        <v>25</v>
      </c>
      <c r="J3910" s="251">
        <v>21023</v>
      </c>
      <c r="K3910" s="860">
        <f t="shared" si="510"/>
        <v>525575</v>
      </c>
      <c r="L3910" s="861" t="s">
        <v>160</v>
      </c>
      <c r="M3910" s="861" t="s">
        <v>857</v>
      </c>
      <c r="N3910" s="52" t="str">
        <f>IF(AND('331-CT'!$E$7=TH!H3910,OR(L3910="331",M3910="331")),"331",IF(AND(OR(L3910="131",M3910="131"),H3910='131-CT'!$E$7),"131",""))</f>
        <v/>
      </c>
      <c r="O3910" s="52" t="str">
        <f>IF(AND($B3910&gt;='111'!$N$11,$B3910&lt;='111'!$O$11,OR($L3910=$O$7,$M3910=$O$7)),"x","")</f>
        <v/>
      </c>
      <c r="P3910" s="52" t="str">
        <f>IF(AND($L3910=$O$7,$B3910&lt;'111'!$N$11),"x","")</f>
        <v/>
      </c>
      <c r="Q3910" s="52" t="str">
        <f>IF(AND($M3910=$O$7,$B3910&lt;'111'!$N$11),"x","")</f>
        <v/>
      </c>
      <c r="R3910" s="52" t="str">
        <f>IF(ISERROR(FIND('112'!$M$9,G3910,1)),"",IF((AND(FIND('112'!$M$9,G3910,1)&gt;=1,$B3910&gt;='112'!$N$8,$B3910&lt;='112'!$O$8,OR($L3910='112'!$I$6,$M3910='112'!$I$6))),"x",""))</f>
        <v/>
      </c>
      <c r="S3910" s="52" t="str">
        <f>IF(ISERROR(FIND('112'!$M$9,G3910,1)),"",IF((AND(LEFT(G3910,2)=LEFT('112'!$M$9,2),B3910&lt;'112'!$N$8,$L3910='112'!$I$6)),"x",""))</f>
        <v/>
      </c>
      <c r="T3910" s="52" t="str">
        <f>IF(ISERROR(FIND('112'!$M$9,G3910,1)),"",IF((AND(RIGHT(G3910,2)=RIGHT('112'!$M$9,2),B3910&lt;'112'!$N$8,$M3910='112'!$I$6)),"x",""))</f>
        <v/>
      </c>
      <c r="U3910" s="52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/>
      </c>
      <c r="V3910" s="52" t="str">
        <f>IF(OR(TH!L3910=TH!$V$7,M3910=TH!$V$7),"x","")</f>
        <v/>
      </c>
      <c r="W3910" s="52" t="str">
        <f>IF(AND(B3910&gt;='IN-NX'!$P$3,B3910&lt;='IN-NX'!$Q$3,'IN-NX'!$D$7=D3910,OR(LEFT(L3910,2)="15",AND(LEFT(M3910,2)&lt;&gt;"15",LEFT(M3910,2)&lt;&gt;"33"))),"x","")</f>
        <v/>
      </c>
      <c r="X3910" s="52" t="str">
        <f>IF(AND(OR(LEFT(TH!L3910,2)="15",LEFT(TH!M3910,2)="15"),'152-CT'!$J$8=TH!F3910),"x","")</f>
        <v/>
      </c>
      <c r="Y3910" s="52" t="str">
        <f>IF(AND(OR(LEFT(TH!L3910,2)="15",LEFT(TH!M3910,2)="15"),TK!$E$7=TH!F3910),"x","")</f>
        <v/>
      </c>
      <c r="Z3910" s="52" t="str">
        <f>IF(AND(B3910&lt;=NKC!$N$8,B3910&gt;=NKC!$M$8),"x","")</f>
        <v>x</v>
      </c>
      <c r="AA3910" s="826"/>
    </row>
    <row r="3911" spans="1:27" ht="15.75" customHeight="1">
      <c r="A3911" s="827" t="str">
        <f>IF(B3911&lt;&gt;"",IF(AND(B3911&gt;=_TM1,B3911&lt;=_TM2,OR(TH!L3911="1111",TH!M3911="1111")),TH!D3911,""),"")</f>
        <v/>
      </c>
      <c r="B3911" s="36">
        <f t="shared" si="508"/>
        <v>9</v>
      </c>
      <c r="C3911" s="856">
        <f t="shared" si="509"/>
        <v>42628</v>
      </c>
      <c r="D3911" s="856" t="s">
        <v>1664</v>
      </c>
      <c r="E3911" s="856">
        <v>42628</v>
      </c>
      <c r="F3911" s="857" t="s">
        <v>1273</v>
      </c>
      <c r="G3911" s="858" t="s">
        <v>1680</v>
      </c>
      <c r="H3911" s="859" t="s">
        <v>1312</v>
      </c>
      <c r="I3911" s="251">
        <v>181</v>
      </c>
      <c r="J3911" s="251">
        <v>28932</v>
      </c>
      <c r="K3911" s="860">
        <f t="shared" si="510"/>
        <v>5236692</v>
      </c>
      <c r="L3911" s="861" t="s">
        <v>160</v>
      </c>
      <c r="M3911" s="861" t="s">
        <v>857</v>
      </c>
      <c r="N3911" s="52" t="str">
        <f>IF(AND('331-CT'!$E$7=TH!H3911,OR(L3911="331",M3911="331")),"331",IF(AND(OR(L3911="131",M3911="131"),H3911='131-CT'!$E$7),"131",""))</f>
        <v/>
      </c>
      <c r="O3911" s="52" t="str">
        <f>IF(AND($B3911&gt;='111'!$N$11,$B3911&lt;='111'!$O$11,OR($L3911=$O$7,$M3911=$O$7)),"x","")</f>
        <v/>
      </c>
      <c r="P3911" s="52" t="str">
        <f>IF(AND($L3911=$O$7,$B3911&lt;'111'!$N$11),"x","")</f>
        <v/>
      </c>
      <c r="Q3911" s="52" t="str">
        <f>IF(AND($M3911=$O$7,$B3911&lt;'111'!$N$11),"x","")</f>
        <v/>
      </c>
      <c r="R3911" s="52" t="str">
        <f>IF(ISERROR(FIND('112'!$M$9,G3911,1)),"",IF((AND(FIND('112'!$M$9,G3911,1)&gt;=1,$B3911&gt;='112'!$N$8,$B3911&lt;='112'!$O$8,OR($L3911='112'!$I$6,$M3911='112'!$I$6))),"x",""))</f>
        <v/>
      </c>
      <c r="S3911" s="52" t="str">
        <f>IF(ISERROR(FIND('112'!$M$9,G3911,1)),"",IF((AND(LEFT(G3911,2)=LEFT('112'!$M$9,2),B3911&lt;'112'!$N$8,$L3911='112'!$I$6)),"x",""))</f>
        <v/>
      </c>
      <c r="T3911" s="52" t="str">
        <f>IF(ISERROR(FIND('112'!$M$9,G3911,1)),"",IF((AND(RIGHT(G3911,2)=RIGHT('112'!$M$9,2),B3911&lt;'112'!$N$8,$M3911='112'!$I$6)),"x",""))</f>
        <v/>
      </c>
      <c r="U3911" s="52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/>
      </c>
      <c r="V3911" s="52" t="str">
        <f>IF(OR(TH!L3911=TH!$V$7,M3911=TH!$V$7),"x","")</f>
        <v/>
      </c>
      <c r="W3911" s="52" t="str">
        <f>IF(AND(B3911&gt;='IN-NX'!$P$3,B3911&lt;='IN-NX'!$Q$3,'IN-NX'!$D$7=D3911,OR(LEFT(L3911,2)="15",AND(LEFT(M3911,2)&lt;&gt;"15",LEFT(M3911,2)&lt;&gt;"33"))),"x","")</f>
        <v/>
      </c>
      <c r="X3911" s="52" t="str">
        <f>IF(AND(OR(LEFT(TH!L3911,2)="15",LEFT(TH!M3911,2)="15"),'152-CT'!$J$8=TH!F3911),"x","")</f>
        <v/>
      </c>
      <c r="Y3911" s="52" t="str">
        <f>IF(AND(OR(LEFT(TH!L3911,2)="15",LEFT(TH!M3911,2)="15"),TK!$E$7=TH!F3911),"x","")</f>
        <v/>
      </c>
      <c r="Z3911" s="52" t="str">
        <f>IF(AND(B3911&lt;=NKC!$N$8,B3911&gt;=NKC!$M$8),"x","")</f>
        <v>x</v>
      </c>
      <c r="AA3911" s="826"/>
    </row>
    <row r="3912" spans="1:27" ht="15.75" customHeight="1">
      <c r="A3912" s="827" t="str">
        <f>IF(B3912&lt;&gt;"",IF(AND(B3912&gt;=_TM1,B3912&lt;=_TM2,OR(TH!L3912="1111",TH!M3912="1111")),TH!D3912,""),"")</f>
        <v/>
      </c>
      <c r="B3912" s="36">
        <f t="shared" si="508"/>
        <v>9</v>
      </c>
      <c r="C3912" s="856">
        <f t="shared" si="509"/>
        <v>42631</v>
      </c>
      <c r="D3912" s="856" t="s">
        <v>1664</v>
      </c>
      <c r="E3912" s="856">
        <v>42631</v>
      </c>
      <c r="F3912" s="857" t="s">
        <v>1256</v>
      </c>
      <c r="G3912" s="858" t="s">
        <v>1686</v>
      </c>
      <c r="H3912" s="859" t="s">
        <v>1312</v>
      </c>
      <c r="I3912" s="251">
        <v>70</v>
      </c>
      <c r="J3912" s="251">
        <v>20636.5</v>
      </c>
      <c r="K3912" s="860">
        <f t="shared" si="510"/>
        <v>1444555</v>
      </c>
      <c r="L3912" s="861" t="s">
        <v>160</v>
      </c>
      <c r="M3912" s="861" t="s">
        <v>857</v>
      </c>
      <c r="N3912" s="52" t="str">
        <f>IF(AND('331-CT'!$E$7=TH!H3912,OR(L3912="331",M3912="331")),"331",IF(AND(OR(L3912="131",M3912="131"),H3912='131-CT'!$E$7),"131",""))</f>
        <v/>
      </c>
      <c r="O3912" s="52" t="str">
        <f>IF(AND($B3912&gt;='111'!$N$11,$B3912&lt;='111'!$O$11,OR($L3912=$O$7,$M3912=$O$7)),"x","")</f>
        <v/>
      </c>
      <c r="P3912" s="52" t="str">
        <f>IF(AND($L3912=$O$7,$B3912&lt;'111'!$N$11),"x","")</f>
        <v/>
      </c>
      <c r="Q3912" s="52" t="str">
        <f>IF(AND($M3912=$O$7,$B3912&lt;'111'!$N$11),"x","")</f>
        <v/>
      </c>
      <c r="R3912" s="52" t="str">
        <f>IF(ISERROR(FIND('112'!$M$9,G3912,1)),"",IF((AND(FIND('112'!$M$9,G3912,1)&gt;=1,$B3912&gt;='112'!$N$8,$B3912&lt;='112'!$O$8,OR($L3912='112'!$I$6,$M3912='112'!$I$6))),"x",""))</f>
        <v/>
      </c>
      <c r="S3912" s="52" t="str">
        <f>IF(ISERROR(FIND('112'!$M$9,G3912,1)),"",IF((AND(LEFT(G3912,2)=LEFT('112'!$M$9,2),B3912&lt;'112'!$N$8,$L3912='112'!$I$6)),"x",""))</f>
        <v/>
      </c>
      <c r="T3912" s="52" t="str">
        <f>IF(ISERROR(FIND('112'!$M$9,G3912,1)),"",IF((AND(RIGHT(G3912,2)=RIGHT('112'!$M$9,2),B3912&lt;'112'!$N$8,$M3912='112'!$I$6)),"x",""))</f>
        <v/>
      </c>
      <c r="U3912" s="52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/>
      </c>
      <c r="V3912" s="52" t="str">
        <f>IF(OR(TH!L3912=TH!$V$7,M3912=TH!$V$7),"x","")</f>
        <v/>
      </c>
      <c r="W3912" s="52" t="str">
        <f>IF(AND(B3912&gt;='IN-NX'!$P$3,B3912&lt;='IN-NX'!$Q$3,'IN-NX'!$D$7=D3912,OR(LEFT(L3912,2)="15",AND(LEFT(M3912,2)&lt;&gt;"15",LEFT(M3912,2)&lt;&gt;"33"))),"x","")</f>
        <v/>
      </c>
      <c r="X3912" s="52" t="str">
        <f>IF(AND(OR(LEFT(TH!L3912,2)="15",LEFT(TH!M3912,2)="15"),'152-CT'!$J$8=TH!F3912),"x","")</f>
        <v/>
      </c>
      <c r="Y3912" s="52" t="str">
        <f>IF(AND(OR(LEFT(TH!L3912,2)="15",LEFT(TH!M3912,2)="15"),TK!$E$7=TH!F3912),"x","")</f>
        <v/>
      </c>
      <c r="Z3912" s="52" t="str">
        <f>IF(AND(B3912&lt;=NKC!$N$8,B3912&gt;=NKC!$M$8),"x","")</f>
        <v>x</v>
      </c>
      <c r="AA3912" s="826"/>
    </row>
    <row r="3913" spans="1:27" ht="15.75" customHeight="1">
      <c r="A3913" s="827" t="str">
        <f>IF(B3913&lt;&gt;"",IF(AND(B3913&gt;=_TM1,B3913&lt;=_TM2,OR(TH!L3913="1111",TH!M3913="1111")),TH!D3913,""),"")</f>
        <v/>
      </c>
      <c r="B3913" s="36">
        <f t="shared" si="508"/>
        <v>9</v>
      </c>
      <c r="C3913" s="856">
        <f t="shared" si="509"/>
        <v>42632</v>
      </c>
      <c r="D3913" s="856" t="s">
        <v>1664</v>
      </c>
      <c r="E3913" s="856">
        <v>42632</v>
      </c>
      <c r="F3913" s="857" t="s">
        <v>1197</v>
      </c>
      <c r="G3913" s="858" t="s">
        <v>1688</v>
      </c>
      <c r="H3913" s="859" t="s">
        <v>1312</v>
      </c>
      <c r="I3913" s="251">
        <v>68</v>
      </c>
      <c r="J3913" s="251">
        <v>19380</v>
      </c>
      <c r="K3913" s="860">
        <f t="shared" si="510"/>
        <v>1317840</v>
      </c>
      <c r="L3913" s="861" t="s">
        <v>160</v>
      </c>
      <c r="M3913" s="861" t="s">
        <v>857</v>
      </c>
      <c r="N3913" s="52" t="str">
        <f>IF(AND('331-CT'!$E$7=TH!H3913,OR(L3913="331",M3913="331")),"331",IF(AND(OR(L3913="131",M3913="131"),H3913='131-CT'!$E$7),"131",""))</f>
        <v/>
      </c>
      <c r="O3913" s="52" t="str">
        <f>IF(AND($B3913&gt;='111'!$N$11,$B3913&lt;='111'!$O$11,OR($L3913=$O$7,$M3913=$O$7)),"x","")</f>
        <v/>
      </c>
      <c r="P3913" s="52" t="str">
        <f>IF(AND($L3913=$O$7,$B3913&lt;'111'!$N$11),"x","")</f>
        <v/>
      </c>
      <c r="Q3913" s="52" t="str">
        <f>IF(AND($M3913=$O$7,$B3913&lt;'111'!$N$11),"x","")</f>
        <v/>
      </c>
      <c r="R3913" s="52" t="str">
        <f>IF(ISERROR(FIND('112'!$M$9,G3913,1)),"",IF((AND(FIND('112'!$M$9,G3913,1)&gt;=1,$B3913&gt;='112'!$N$8,$B3913&lt;='112'!$O$8,OR($L3913='112'!$I$6,$M3913='112'!$I$6))),"x",""))</f>
        <v/>
      </c>
      <c r="S3913" s="52" t="str">
        <f>IF(ISERROR(FIND('112'!$M$9,G3913,1)),"",IF((AND(LEFT(G3913,2)=LEFT('112'!$M$9,2),B3913&lt;'112'!$N$8,$L3913='112'!$I$6)),"x",""))</f>
        <v/>
      </c>
      <c r="T3913" s="52" t="str">
        <f>IF(ISERROR(FIND('112'!$M$9,G3913,1)),"",IF((AND(RIGHT(G3913,2)=RIGHT('112'!$M$9,2),B3913&lt;'112'!$N$8,$M3913='112'!$I$6)),"x",""))</f>
        <v/>
      </c>
      <c r="U3913" s="52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/>
      </c>
      <c r="V3913" s="52" t="str">
        <f>IF(OR(TH!L3913=TH!$V$7,M3913=TH!$V$7),"x","")</f>
        <v/>
      </c>
      <c r="W3913" s="52" t="str">
        <f>IF(AND(B3913&gt;='IN-NX'!$P$3,B3913&lt;='IN-NX'!$Q$3,'IN-NX'!$D$7=D3913,OR(LEFT(L3913,2)="15",AND(LEFT(M3913,2)&lt;&gt;"15",LEFT(M3913,2)&lt;&gt;"33"))),"x","")</f>
        <v/>
      </c>
      <c r="X3913" s="52" t="str">
        <f>IF(AND(OR(LEFT(TH!L3913,2)="15",LEFT(TH!M3913,2)="15"),'152-CT'!$J$8=TH!F3913),"x","")</f>
        <v/>
      </c>
      <c r="Y3913" s="52" t="str">
        <f>IF(AND(OR(LEFT(TH!L3913,2)="15",LEFT(TH!M3913,2)="15"),TK!$E$7=TH!F3913),"x","")</f>
        <v/>
      </c>
      <c r="Z3913" s="52" t="str">
        <f>IF(AND(B3913&lt;=NKC!$N$8,B3913&gt;=NKC!$M$8),"x","")</f>
        <v>x</v>
      </c>
      <c r="AA3913" s="826"/>
    </row>
    <row r="3914" spans="1:27" ht="15.75" customHeight="1">
      <c r="A3914" s="827" t="str">
        <f>IF(B3914&lt;&gt;"",IF(AND(B3914&gt;=_TM1,B3914&lt;=_TM2,OR(TH!L3914="1111",TH!M3914="1111")),TH!D3914,""),"")</f>
        <v/>
      </c>
      <c r="B3914" s="36">
        <f t="shared" si="508"/>
        <v>9</v>
      </c>
      <c r="C3914" s="856">
        <f t="shared" si="509"/>
        <v>42632</v>
      </c>
      <c r="D3914" s="856" t="s">
        <v>1664</v>
      </c>
      <c r="E3914" s="856">
        <v>42632</v>
      </c>
      <c r="F3914" s="857" t="s">
        <v>1205</v>
      </c>
      <c r="G3914" s="858" t="s">
        <v>1688</v>
      </c>
      <c r="H3914" s="859" t="s">
        <v>1312</v>
      </c>
      <c r="I3914" s="251">
        <v>244</v>
      </c>
      <c r="J3914" s="251">
        <v>9031</v>
      </c>
      <c r="K3914" s="860">
        <f t="shared" si="510"/>
        <v>2203564</v>
      </c>
      <c r="L3914" s="861" t="s">
        <v>160</v>
      </c>
      <c r="M3914" s="861" t="s">
        <v>857</v>
      </c>
      <c r="N3914" s="52" t="str">
        <f>IF(AND('331-CT'!$E$7=TH!H3914,OR(L3914="331",M3914="331")),"331",IF(AND(OR(L3914="131",M3914="131"),H3914='131-CT'!$E$7),"131",""))</f>
        <v/>
      </c>
      <c r="O3914" s="52" t="str">
        <f>IF(AND($B3914&gt;='111'!$N$11,$B3914&lt;='111'!$O$11,OR($L3914=$O$7,$M3914=$O$7)),"x","")</f>
        <v/>
      </c>
      <c r="P3914" s="52" t="str">
        <f>IF(AND($L3914=$O$7,$B3914&lt;'111'!$N$11),"x","")</f>
        <v/>
      </c>
      <c r="Q3914" s="52" t="str">
        <f>IF(AND($M3914=$O$7,$B3914&lt;'111'!$N$11),"x","")</f>
        <v/>
      </c>
      <c r="R3914" s="52" t="str">
        <f>IF(ISERROR(FIND('112'!$M$9,G3914,1)),"",IF((AND(FIND('112'!$M$9,G3914,1)&gt;=1,$B3914&gt;='112'!$N$8,$B3914&lt;='112'!$O$8,OR($L3914='112'!$I$6,$M3914='112'!$I$6))),"x",""))</f>
        <v/>
      </c>
      <c r="S3914" s="52" t="str">
        <f>IF(ISERROR(FIND('112'!$M$9,G3914,1)),"",IF((AND(LEFT(G3914,2)=LEFT('112'!$M$9,2),B3914&lt;'112'!$N$8,$L3914='112'!$I$6)),"x",""))</f>
        <v/>
      </c>
      <c r="T3914" s="52" t="str">
        <f>IF(ISERROR(FIND('112'!$M$9,G3914,1)),"",IF((AND(RIGHT(G3914,2)=RIGHT('112'!$M$9,2),B3914&lt;'112'!$N$8,$M3914='112'!$I$6)),"x",""))</f>
        <v/>
      </c>
      <c r="U3914" s="52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/>
      </c>
      <c r="V3914" s="52" t="str">
        <f>IF(OR(TH!L3914=TH!$V$7,M3914=TH!$V$7),"x","")</f>
        <v/>
      </c>
      <c r="W3914" s="52" t="str">
        <f>IF(AND(B3914&gt;='IN-NX'!$P$3,B3914&lt;='IN-NX'!$Q$3,'IN-NX'!$D$7=D3914,OR(LEFT(L3914,2)="15",AND(LEFT(M3914,2)&lt;&gt;"15",LEFT(M3914,2)&lt;&gt;"33"))),"x","")</f>
        <v/>
      </c>
      <c r="X3914" s="52" t="str">
        <f>IF(AND(OR(LEFT(TH!L3914,2)="15",LEFT(TH!M3914,2)="15"),'152-CT'!$J$8=TH!F3914),"x","")</f>
        <v/>
      </c>
      <c r="Y3914" s="52" t="str">
        <f>IF(AND(OR(LEFT(TH!L3914,2)="15",LEFT(TH!M3914,2)="15"),TK!$E$7=TH!F3914),"x","")</f>
        <v/>
      </c>
      <c r="Z3914" s="52" t="str">
        <f>IF(AND(B3914&lt;=NKC!$N$8,B3914&gt;=NKC!$M$8),"x","")</f>
        <v>x</v>
      </c>
      <c r="AA3914" s="826"/>
    </row>
    <row r="3915" spans="1:27" ht="15.75" customHeight="1">
      <c r="A3915" s="827" t="str">
        <f>IF(B3915&lt;&gt;"",IF(AND(B3915&gt;=_TM1,B3915&lt;=_TM2,OR(TH!L3915="1111",TH!M3915="1111")),TH!D3915,""),"")</f>
        <v/>
      </c>
      <c r="B3915" s="36">
        <f t="shared" si="508"/>
        <v>9</v>
      </c>
      <c r="C3915" s="856">
        <f t="shared" si="509"/>
        <v>42640</v>
      </c>
      <c r="D3915" s="856" t="s">
        <v>1664</v>
      </c>
      <c r="E3915" s="856">
        <v>42640</v>
      </c>
      <c r="F3915" s="857" t="s">
        <v>1263</v>
      </c>
      <c r="G3915" s="858" t="s">
        <v>1692</v>
      </c>
      <c r="H3915" s="859" t="s">
        <v>1312</v>
      </c>
      <c r="I3915" s="251">
        <v>54</v>
      </c>
      <c r="J3915" s="251">
        <v>24075</v>
      </c>
      <c r="K3915" s="860">
        <f t="shared" si="510"/>
        <v>1300050</v>
      </c>
      <c r="L3915" s="861" t="s">
        <v>160</v>
      </c>
      <c r="M3915" s="861" t="s">
        <v>857</v>
      </c>
      <c r="N3915" s="52" t="str">
        <f>IF(AND('331-CT'!$E$7=TH!H3915,OR(L3915="331",M3915="331")),"331",IF(AND(OR(L3915="131",M3915="131"),H3915='131-CT'!$E$7),"131",""))</f>
        <v/>
      </c>
      <c r="O3915" s="52" t="str">
        <f>IF(AND($B3915&gt;='111'!$N$11,$B3915&lt;='111'!$O$11,OR($L3915=$O$7,$M3915=$O$7)),"x","")</f>
        <v/>
      </c>
      <c r="P3915" s="52" t="str">
        <f>IF(AND($L3915=$O$7,$B3915&lt;'111'!$N$11),"x","")</f>
        <v/>
      </c>
      <c r="Q3915" s="52" t="str">
        <f>IF(AND($M3915=$O$7,$B3915&lt;'111'!$N$11),"x","")</f>
        <v/>
      </c>
      <c r="R3915" s="52" t="str">
        <f>IF(ISERROR(FIND('112'!$M$9,G3915,1)),"",IF((AND(FIND('112'!$M$9,G3915,1)&gt;=1,$B3915&gt;='112'!$N$8,$B3915&lt;='112'!$O$8,OR($L3915='112'!$I$6,$M3915='112'!$I$6))),"x",""))</f>
        <v/>
      </c>
      <c r="S3915" s="52" t="str">
        <f>IF(ISERROR(FIND('112'!$M$9,G3915,1)),"",IF((AND(LEFT(G3915,2)=LEFT('112'!$M$9,2),B3915&lt;'112'!$N$8,$L3915='112'!$I$6)),"x",""))</f>
        <v/>
      </c>
      <c r="T3915" s="52" t="str">
        <f>IF(ISERROR(FIND('112'!$M$9,G3915,1)),"",IF((AND(RIGHT(G3915,2)=RIGHT('112'!$M$9,2),B3915&lt;'112'!$N$8,$M3915='112'!$I$6)),"x",""))</f>
        <v/>
      </c>
      <c r="U3915" s="52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/>
      </c>
      <c r="V3915" s="52" t="str">
        <f>IF(OR(TH!L3915=TH!$V$7,M3915=TH!$V$7),"x","")</f>
        <v/>
      </c>
      <c r="W3915" s="52" t="str">
        <f>IF(AND(B3915&gt;='IN-NX'!$P$3,B3915&lt;='IN-NX'!$Q$3,'IN-NX'!$D$7=D3915,OR(LEFT(L3915,2)="15",AND(LEFT(M3915,2)&lt;&gt;"15",LEFT(M3915,2)&lt;&gt;"33"))),"x","")</f>
        <v/>
      </c>
      <c r="X3915" s="52" t="str">
        <f>IF(AND(OR(LEFT(TH!L3915,2)="15",LEFT(TH!M3915,2)="15"),'152-CT'!$J$8=TH!F3915),"x","")</f>
        <v/>
      </c>
      <c r="Y3915" s="52" t="str">
        <f>IF(AND(OR(LEFT(TH!L3915,2)="15",LEFT(TH!M3915,2)="15"),TK!$E$7=TH!F3915),"x","")</f>
        <v/>
      </c>
      <c r="Z3915" s="52" t="str">
        <f>IF(AND(B3915&lt;=NKC!$N$8,B3915&gt;=NKC!$M$8),"x","")</f>
        <v>x</v>
      </c>
      <c r="AA3915" s="826"/>
    </row>
    <row r="3916" spans="1:27" ht="15.75" customHeight="1">
      <c r="A3916" s="827" t="str">
        <f>IF(B3916&lt;&gt;"",IF(AND(B3916&gt;=_TM1,B3916&lt;=_TM2,OR(TH!L3916="1111",TH!M3916="1111")),TH!D3916,""),"")</f>
        <v/>
      </c>
      <c r="B3916" s="36">
        <f t="shared" si="508"/>
        <v>9</v>
      </c>
      <c r="C3916" s="856">
        <f t="shared" si="509"/>
        <v>42640</v>
      </c>
      <c r="D3916" s="856" t="s">
        <v>1664</v>
      </c>
      <c r="E3916" s="856">
        <v>42640</v>
      </c>
      <c r="F3916" s="857" t="s">
        <v>1291</v>
      </c>
      <c r="G3916" s="858" t="s">
        <v>1695</v>
      </c>
      <c r="H3916" s="859" t="s">
        <v>1312</v>
      </c>
      <c r="I3916" s="251">
        <v>128</v>
      </c>
      <c r="J3916" s="251">
        <v>13185</v>
      </c>
      <c r="K3916" s="860">
        <f t="shared" si="510"/>
        <v>1687680</v>
      </c>
      <c r="L3916" s="861" t="s">
        <v>160</v>
      </c>
      <c r="M3916" s="861" t="s">
        <v>857</v>
      </c>
      <c r="N3916" s="52" t="str">
        <f>IF(AND('331-CT'!$E$7=TH!H3916,OR(L3916="331",M3916="331")),"331",IF(AND(OR(L3916="131",M3916="131"),H3916='131-CT'!$E$7),"131",""))</f>
        <v/>
      </c>
      <c r="O3916" s="52" t="str">
        <f>IF(AND($B3916&gt;='111'!$N$11,$B3916&lt;='111'!$O$11,OR($L3916=$O$7,$M3916=$O$7)),"x","")</f>
        <v/>
      </c>
      <c r="P3916" s="52" t="str">
        <f>IF(AND($L3916=$O$7,$B3916&lt;'111'!$N$11),"x","")</f>
        <v/>
      </c>
      <c r="Q3916" s="52" t="str">
        <f>IF(AND($M3916=$O$7,$B3916&lt;'111'!$N$11),"x","")</f>
        <v/>
      </c>
      <c r="R3916" s="52" t="str">
        <f>IF(ISERROR(FIND('112'!$M$9,G3916,1)),"",IF((AND(FIND('112'!$M$9,G3916,1)&gt;=1,$B3916&gt;='112'!$N$8,$B3916&lt;='112'!$O$8,OR($L3916='112'!$I$6,$M3916='112'!$I$6))),"x",""))</f>
        <v/>
      </c>
      <c r="S3916" s="52" t="str">
        <f>IF(ISERROR(FIND('112'!$M$9,G3916,1)),"",IF((AND(LEFT(G3916,2)=LEFT('112'!$M$9,2),B3916&lt;'112'!$N$8,$L3916='112'!$I$6)),"x",""))</f>
        <v/>
      </c>
      <c r="T3916" s="52" t="str">
        <f>IF(ISERROR(FIND('112'!$M$9,G3916,1)),"",IF((AND(RIGHT(G3916,2)=RIGHT('112'!$M$9,2),B3916&lt;'112'!$N$8,$M3916='112'!$I$6)),"x",""))</f>
        <v/>
      </c>
      <c r="U3916" s="52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/>
      </c>
      <c r="V3916" s="52" t="str">
        <f>IF(OR(TH!L3916=TH!$V$7,M3916=TH!$V$7),"x","")</f>
        <v/>
      </c>
      <c r="W3916" s="52" t="str">
        <f>IF(AND(B3916&gt;='IN-NX'!$P$3,B3916&lt;='IN-NX'!$Q$3,'IN-NX'!$D$7=D3916,OR(LEFT(L3916,2)="15",AND(LEFT(M3916,2)&lt;&gt;"15",LEFT(M3916,2)&lt;&gt;"33"))),"x","")</f>
        <v/>
      </c>
      <c r="X3916" s="52" t="str">
        <f>IF(AND(OR(LEFT(TH!L3916,2)="15",LEFT(TH!M3916,2)="15"),'152-CT'!$J$8=TH!F3916),"x","")</f>
        <v/>
      </c>
      <c r="Y3916" s="52" t="str">
        <f>IF(AND(OR(LEFT(TH!L3916,2)="15",LEFT(TH!M3916,2)="15"),TK!$E$7=TH!F3916),"x","")</f>
        <v/>
      </c>
      <c r="Z3916" s="52" t="str">
        <f>IF(AND(B3916&lt;=NKC!$N$8,B3916&gt;=NKC!$M$8),"x","")</f>
        <v>x</v>
      </c>
      <c r="AA3916" s="826"/>
    </row>
    <row r="3917" spans="1:27" ht="15.75" customHeight="1">
      <c r="A3917" s="827" t="str">
        <f>IF(B3917&lt;&gt;"",IF(AND(B3917&gt;=_TM1,B3917&lt;=_TM2,OR(TH!L3917="1111",TH!M3917="1111")),TH!D3917,""),"")</f>
        <v/>
      </c>
      <c r="B3917" s="36">
        <f t="shared" si="508"/>
        <v>9</v>
      </c>
      <c r="C3917" s="856">
        <f t="shared" si="509"/>
        <v>42640</v>
      </c>
      <c r="D3917" s="856" t="s">
        <v>1664</v>
      </c>
      <c r="E3917" s="856">
        <v>42640</v>
      </c>
      <c r="F3917" s="857" t="s">
        <v>1271</v>
      </c>
      <c r="G3917" s="858" t="s">
        <v>1695</v>
      </c>
      <c r="H3917" s="859" t="s">
        <v>1312</v>
      </c>
      <c r="I3917" s="251">
        <v>10</v>
      </c>
      <c r="J3917" s="251">
        <v>21632</v>
      </c>
      <c r="K3917" s="860">
        <f t="shared" si="510"/>
        <v>216320</v>
      </c>
      <c r="L3917" s="861" t="s">
        <v>160</v>
      </c>
      <c r="M3917" s="861" t="s">
        <v>857</v>
      </c>
      <c r="N3917" s="52" t="str">
        <f>IF(AND('331-CT'!$E$7=TH!H3917,OR(L3917="331",M3917="331")),"331",IF(AND(OR(L3917="131",M3917="131"),H3917='131-CT'!$E$7),"131",""))</f>
        <v/>
      </c>
      <c r="O3917" s="52" t="str">
        <f>IF(AND($B3917&gt;='111'!$N$11,$B3917&lt;='111'!$O$11,OR($L3917=$O$7,$M3917=$O$7)),"x","")</f>
        <v/>
      </c>
      <c r="P3917" s="52" t="str">
        <f>IF(AND($L3917=$O$7,$B3917&lt;'111'!$N$11),"x","")</f>
        <v/>
      </c>
      <c r="Q3917" s="52" t="str">
        <f>IF(AND($M3917=$O$7,$B3917&lt;'111'!$N$11),"x","")</f>
        <v/>
      </c>
      <c r="R3917" s="52" t="str">
        <f>IF(ISERROR(FIND('112'!$M$9,G3917,1)),"",IF((AND(FIND('112'!$M$9,G3917,1)&gt;=1,$B3917&gt;='112'!$N$8,$B3917&lt;='112'!$O$8,OR($L3917='112'!$I$6,$M3917='112'!$I$6))),"x",""))</f>
        <v/>
      </c>
      <c r="S3917" s="52" t="str">
        <f>IF(ISERROR(FIND('112'!$M$9,G3917,1)),"",IF((AND(LEFT(G3917,2)=LEFT('112'!$M$9,2),B3917&lt;'112'!$N$8,$L3917='112'!$I$6)),"x",""))</f>
        <v/>
      </c>
      <c r="T3917" s="52" t="str">
        <f>IF(ISERROR(FIND('112'!$M$9,G3917,1)),"",IF((AND(RIGHT(G3917,2)=RIGHT('112'!$M$9,2),B3917&lt;'112'!$N$8,$M3917='112'!$I$6)),"x",""))</f>
        <v/>
      </c>
      <c r="U3917" s="52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/>
      </c>
      <c r="V3917" s="52" t="str">
        <f>IF(OR(TH!L3917=TH!$V$7,M3917=TH!$V$7),"x","")</f>
        <v/>
      </c>
      <c r="W3917" s="52" t="str">
        <f>IF(AND(B3917&gt;='IN-NX'!$P$3,B3917&lt;='IN-NX'!$Q$3,'IN-NX'!$D$7=D3917,OR(LEFT(L3917,2)="15",AND(LEFT(M3917,2)&lt;&gt;"15",LEFT(M3917,2)&lt;&gt;"33"))),"x","")</f>
        <v/>
      </c>
      <c r="X3917" s="52" t="str">
        <f>IF(AND(OR(LEFT(TH!L3917,2)="15",LEFT(TH!M3917,2)="15"),'152-CT'!$J$8=TH!F3917),"x","")</f>
        <v/>
      </c>
      <c r="Y3917" s="52" t="str">
        <f>IF(AND(OR(LEFT(TH!L3917,2)="15",LEFT(TH!M3917,2)="15"),TK!$E$7=TH!F3917),"x","")</f>
        <v/>
      </c>
      <c r="Z3917" s="52" t="str">
        <f>IF(AND(B3917&lt;=NKC!$N$8,B3917&gt;=NKC!$M$8),"x","")</f>
        <v>x</v>
      </c>
      <c r="AA3917" s="826"/>
    </row>
    <row r="3918" spans="1:27" ht="15.75" customHeight="1">
      <c r="A3918" s="827" t="str">
        <f>IF(B3918&lt;&gt;"",IF(AND(B3918&gt;=_TM1,B3918&lt;=_TM2,OR(TH!L3918="1111",TH!M3918="1111")),TH!D3918,""),"")</f>
        <v/>
      </c>
      <c r="B3918" s="36">
        <f t="shared" si="508"/>
        <v>9</v>
      </c>
      <c r="C3918" s="856">
        <f t="shared" si="509"/>
        <v>42641</v>
      </c>
      <c r="D3918" s="856" t="s">
        <v>1664</v>
      </c>
      <c r="E3918" s="856">
        <v>42641</v>
      </c>
      <c r="F3918" s="857" t="s">
        <v>1271</v>
      </c>
      <c r="G3918" s="858" t="s">
        <v>1704</v>
      </c>
      <c r="H3918" s="859" t="s">
        <v>1312</v>
      </c>
      <c r="I3918" s="251">
        <v>10</v>
      </c>
      <c r="J3918" s="251">
        <v>21632</v>
      </c>
      <c r="K3918" s="860">
        <f t="shared" si="510"/>
        <v>216320</v>
      </c>
      <c r="L3918" s="861" t="s">
        <v>160</v>
      </c>
      <c r="M3918" s="861" t="s">
        <v>857</v>
      </c>
      <c r="N3918" s="52" t="str">
        <f>IF(AND('331-CT'!$E$7=TH!H3918,OR(L3918="331",M3918="331")),"331",IF(AND(OR(L3918="131",M3918="131"),H3918='131-CT'!$E$7),"131",""))</f>
        <v/>
      </c>
      <c r="O3918" s="52" t="str">
        <f>IF(AND($B3918&gt;='111'!$N$11,$B3918&lt;='111'!$O$11,OR($L3918=$O$7,$M3918=$O$7)),"x","")</f>
        <v/>
      </c>
      <c r="P3918" s="52" t="str">
        <f>IF(AND($L3918=$O$7,$B3918&lt;'111'!$N$11),"x","")</f>
        <v/>
      </c>
      <c r="Q3918" s="52" t="str">
        <f>IF(AND($M3918=$O$7,$B3918&lt;'111'!$N$11),"x","")</f>
        <v/>
      </c>
      <c r="R3918" s="52" t="str">
        <f>IF(ISERROR(FIND('112'!$M$9,G3918,1)),"",IF((AND(FIND('112'!$M$9,G3918,1)&gt;=1,$B3918&gt;='112'!$N$8,$B3918&lt;='112'!$O$8,OR($L3918='112'!$I$6,$M3918='112'!$I$6))),"x",""))</f>
        <v/>
      </c>
      <c r="S3918" s="52" t="str">
        <f>IF(ISERROR(FIND('112'!$M$9,G3918,1)),"",IF((AND(LEFT(G3918,2)=LEFT('112'!$M$9,2),B3918&lt;'112'!$N$8,$L3918='112'!$I$6)),"x",""))</f>
        <v/>
      </c>
      <c r="T3918" s="52" t="str">
        <f>IF(ISERROR(FIND('112'!$M$9,G3918,1)),"",IF((AND(RIGHT(G3918,2)=RIGHT('112'!$M$9,2),B3918&lt;'112'!$N$8,$M3918='112'!$I$6)),"x",""))</f>
        <v/>
      </c>
      <c r="U3918" s="52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/>
      </c>
      <c r="V3918" s="52" t="str">
        <f>IF(OR(TH!L3918=TH!$V$7,M3918=TH!$V$7),"x","")</f>
        <v/>
      </c>
      <c r="W3918" s="52" t="str">
        <f>IF(AND(B3918&gt;='IN-NX'!$P$3,B3918&lt;='IN-NX'!$Q$3,'IN-NX'!$D$7=D3918,OR(LEFT(L3918,2)="15",AND(LEFT(M3918,2)&lt;&gt;"15",LEFT(M3918,2)&lt;&gt;"33"))),"x","")</f>
        <v/>
      </c>
      <c r="X3918" s="52" t="str">
        <f>IF(AND(OR(LEFT(TH!L3918,2)="15",LEFT(TH!M3918,2)="15"),'152-CT'!$J$8=TH!F3918),"x","")</f>
        <v/>
      </c>
      <c r="Y3918" s="52" t="str">
        <f>IF(AND(OR(LEFT(TH!L3918,2)="15",LEFT(TH!M3918,2)="15"),TK!$E$7=TH!F3918),"x","")</f>
        <v/>
      </c>
      <c r="Z3918" s="52" t="str">
        <f>IF(AND(B3918&lt;=NKC!$N$8,B3918&gt;=NKC!$M$8),"x","")</f>
        <v>x</v>
      </c>
      <c r="AA3918" s="826"/>
    </row>
    <row r="3919" spans="1:27" ht="15.75" customHeight="1">
      <c r="A3919" s="827" t="str">
        <f>IF(B3919&lt;&gt;"",IF(AND(B3919&gt;=_TM1,B3919&lt;=_TM2,OR(TH!L3919="1111",TH!M3919="1111")),TH!D3919,""),"")</f>
        <v/>
      </c>
      <c r="B3919" s="36">
        <f t="shared" si="508"/>
        <v>9</v>
      </c>
      <c r="C3919" s="856">
        <f t="shared" si="509"/>
        <v>42638</v>
      </c>
      <c r="D3919" s="856" t="s">
        <v>1664</v>
      </c>
      <c r="E3919" s="856">
        <v>42638</v>
      </c>
      <c r="F3919" s="857" t="s">
        <v>1143</v>
      </c>
      <c r="G3919" s="858" t="s">
        <v>1775</v>
      </c>
      <c r="H3919" s="859" t="s">
        <v>1312</v>
      </c>
      <c r="I3919" s="251">
        <v>5</v>
      </c>
      <c r="J3919" s="251">
        <v>9816</v>
      </c>
      <c r="K3919" s="860">
        <f t="shared" si="510"/>
        <v>49080</v>
      </c>
      <c r="L3919" s="861" t="s">
        <v>160</v>
      </c>
      <c r="M3919" s="861" t="s">
        <v>857</v>
      </c>
      <c r="N3919" s="52" t="str">
        <f>IF(AND('331-CT'!$E$7=TH!H3919,OR(L3919="331",M3919="331")),"331",IF(AND(OR(L3919="131",M3919="131"),H3919='131-CT'!$E$7),"131",""))</f>
        <v/>
      </c>
      <c r="O3919" s="52" t="str">
        <f>IF(AND($B3919&gt;='111'!$N$11,$B3919&lt;='111'!$O$11,OR($L3919=$O$7,$M3919=$O$7)),"x","")</f>
        <v/>
      </c>
      <c r="P3919" s="52" t="str">
        <f>IF(AND($L3919=$O$7,$B3919&lt;'111'!$N$11),"x","")</f>
        <v/>
      </c>
      <c r="Q3919" s="52" t="str">
        <f>IF(AND($M3919=$O$7,$B3919&lt;'111'!$N$11),"x","")</f>
        <v/>
      </c>
      <c r="R3919" s="52" t="str">
        <f>IF(ISERROR(FIND('112'!$M$9,G3919,1)),"",IF((AND(FIND('112'!$M$9,G3919,1)&gt;=1,$B3919&gt;='112'!$N$8,$B3919&lt;='112'!$O$8,OR($L3919='112'!$I$6,$M3919='112'!$I$6))),"x",""))</f>
        <v/>
      </c>
      <c r="S3919" s="52" t="str">
        <f>IF(ISERROR(FIND('112'!$M$9,G3919,1)),"",IF((AND(LEFT(G3919,2)=LEFT('112'!$M$9,2),B3919&lt;'112'!$N$8,$L3919='112'!$I$6)),"x",""))</f>
        <v/>
      </c>
      <c r="T3919" s="52" t="str">
        <f>IF(ISERROR(FIND('112'!$M$9,G3919,1)),"",IF((AND(RIGHT(G3919,2)=RIGHT('112'!$M$9,2),B3919&lt;'112'!$N$8,$M3919='112'!$I$6)),"x",""))</f>
        <v/>
      </c>
      <c r="U3919" s="52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/>
      </c>
      <c r="V3919" s="52" t="str">
        <f>IF(OR(TH!L3919=TH!$V$7,M3919=TH!$V$7),"x","")</f>
        <v/>
      </c>
      <c r="W3919" s="52" t="str">
        <f>IF(AND(B3919&gt;='IN-NX'!$P$3,B3919&lt;='IN-NX'!$Q$3,'IN-NX'!$D$7=D3919,OR(LEFT(L3919,2)="15",AND(LEFT(M3919,2)&lt;&gt;"15",LEFT(M3919,2)&lt;&gt;"33"))),"x","")</f>
        <v/>
      </c>
      <c r="X3919" s="52" t="str">
        <f>IF(AND(OR(LEFT(TH!L3919,2)="15",LEFT(TH!M3919,2)="15"),'152-CT'!$J$8=TH!F3919),"x","")</f>
        <v/>
      </c>
      <c r="Y3919" s="52" t="str">
        <f>IF(AND(OR(LEFT(TH!L3919,2)="15",LEFT(TH!M3919,2)="15"),TK!$E$7=TH!F3919),"x","")</f>
        <v/>
      </c>
      <c r="Z3919" s="52" t="str">
        <f>IF(AND(B3919&lt;=NKC!$N$8,B3919&gt;=NKC!$M$8),"x","")</f>
        <v>x</v>
      </c>
      <c r="AA3919" s="826"/>
    </row>
    <row r="3920" spans="1:27" ht="15.75" customHeight="1">
      <c r="A3920" s="827" t="str">
        <f>IF(B3920&lt;&gt;"",IF(AND(B3920&gt;=_TM1,B3920&lt;=_TM2,OR(TH!L3920="1111",TH!M3920="1111")),TH!D3920,""),"")</f>
        <v/>
      </c>
      <c r="B3920" s="36">
        <f t="shared" si="508"/>
        <v>9</v>
      </c>
      <c r="C3920" s="856">
        <f t="shared" si="509"/>
        <v>42638</v>
      </c>
      <c r="D3920" s="856" t="s">
        <v>1664</v>
      </c>
      <c r="E3920" s="856">
        <v>42638</v>
      </c>
      <c r="F3920" s="857" t="s">
        <v>1143</v>
      </c>
      <c r="G3920" s="858" t="s">
        <v>1775</v>
      </c>
      <c r="H3920" s="859" t="s">
        <v>1312</v>
      </c>
      <c r="I3920" s="251">
        <v>23</v>
      </c>
      <c r="J3920" s="251">
        <v>9816</v>
      </c>
      <c r="K3920" s="860">
        <f t="shared" si="510"/>
        <v>225768</v>
      </c>
      <c r="L3920" s="861" t="s">
        <v>160</v>
      </c>
      <c r="M3920" s="861" t="s">
        <v>857</v>
      </c>
      <c r="N3920" s="52" t="str">
        <f>IF(AND('331-CT'!$E$7=TH!H3920,OR(L3920="331",M3920="331")),"331",IF(AND(OR(L3920="131",M3920="131"),H3920='131-CT'!$E$7),"131",""))</f>
        <v/>
      </c>
      <c r="O3920" s="52" t="str">
        <f>IF(AND($B3920&gt;='111'!$N$11,$B3920&lt;='111'!$O$11,OR($L3920=$O$7,$M3920=$O$7)),"x","")</f>
        <v/>
      </c>
      <c r="P3920" s="52" t="str">
        <f>IF(AND($L3920=$O$7,$B3920&lt;'111'!$N$11),"x","")</f>
        <v/>
      </c>
      <c r="Q3920" s="52" t="str">
        <f>IF(AND($M3920=$O$7,$B3920&lt;'111'!$N$11),"x","")</f>
        <v/>
      </c>
      <c r="R3920" s="52" t="str">
        <f>IF(ISERROR(FIND('112'!$M$9,G3920,1)),"",IF((AND(FIND('112'!$M$9,G3920,1)&gt;=1,$B3920&gt;='112'!$N$8,$B3920&lt;='112'!$O$8,OR($L3920='112'!$I$6,$M3920='112'!$I$6))),"x",""))</f>
        <v/>
      </c>
      <c r="S3920" s="52" t="str">
        <f>IF(ISERROR(FIND('112'!$M$9,G3920,1)),"",IF((AND(LEFT(G3920,2)=LEFT('112'!$M$9,2),B3920&lt;'112'!$N$8,$L3920='112'!$I$6)),"x",""))</f>
        <v/>
      </c>
      <c r="T3920" s="52" t="str">
        <f>IF(ISERROR(FIND('112'!$M$9,G3920,1)),"",IF((AND(RIGHT(G3920,2)=RIGHT('112'!$M$9,2),B3920&lt;'112'!$N$8,$M3920='112'!$I$6)),"x",""))</f>
        <v/>
      </c>
      <c r="U3920" s="52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/>
      </c>
      <c r="V3920" s="52" t="str">
        <f>IF(OR(TH!L3920=TH!$V$7,M3920=TH!$V$7),"x","")</f>
        <v/>
      </c>
      <c r="W3920" s="52" t="str">
        <f>IF(AND(B3920&gt;='IN-NX'!$P$3,B3920&lt;='IN-NX'!$Q$3,'IN-NX'!$D$7=D3920,OR(LEFT(L3920,2)="15",AND(LEFT(M3920,2)&lt;&gt;"15",LEFT(M3920,2)&lt;&gt;"33"))),"x","")</f>
        <v/>
      </c>
      <c r="X3920" s="52" t="str">
        <f>IF(AND(OR(LEFT(TH!L3920,2)="15",LEFT(TH!M3920,2)="15"),'152-CT'!$J$8=TH!F3920),"x","")</f>
        <v/>
      </c>
      <c r="Y3920" s="52" t="str">
        <f>IF(AND(OR(LEFT(TH!L3920,2)="15",LEFT(TH!M3920,2)="15"),TK!$E$7=TH!F3920),"x","")</f>
        <v/>
      </c>
      <c r="Z3920" s="52" t="str">
        <f>IF(AND(B3920&lt;=NKC!$N$8,B3920&gt;=NKC!$M$8),"x","")</f>
        <v>x</v>
      </c>
      <c r="AA3920" s="826"/>
    </row>
    <row r="3921" spans="1:27" ht="15.75" customHeight="1">
      <c r="A3921" s="827" t="str">
        <f>IF(B3921&lt;&gt;"",IF(AND(B3921&gt;=_TM1,B3921&lt;=_TM2,OR(TH!L3921="1111",TH!M3921="1111")),TH!D3921,""),"")</f>
        <v/>
      </c>
      <c r="B3921" s="36">
        <f t="shared" si="508"/>
        <v>9</v>
      </c>
      <c r="C3921" s="856">
        <f t="shared" si="509"/>
        <v>42638</v>
      </c>
      <c r="D3921" s="856" t="s">
        <v>1664</v>
      </c>
      <c r="E3921" s="856">
        <v>42638</v>
      </c>
      <c r="F3921" s="857" t="s">
        <v>1143</v>
      </c>
      <c r="G3921" s="858" t="s">
        <v>1775</v>
      </c>
      <c r="H3921" s="859" t="s">
        <v>1312</v>
      </c>
      <c r="I3921" s="251">
        <v>51</v>
      </c>
      <c r="J3921" s="251">
        <v>9816</v>
      </c>
      <c r="K3921" s="860">
        <f t="shared" si="510"/>
        <v>500616</v>
      </c>
      <c r="L3921" s="861" t="s">
        <v>160</v>
      </c>
      <c r="M3921" s="861" t="s">
        <v>857</v>
      </c>
      <c r="N3921" s="52" t="str">
        <f>IF(AND('331-CT'!$E$7=TH!H3921,OR(L3921="331",M3921="331")),"331",IF(AND(OR(L3921="131",M3921="131"),H3921='131-CT'!$E$7),"131",""))</f>
        <v/>
      </c>
      <c r="O3921" s="52" t="str">
        <f>IF(AND($B3921&gt;='111'!$N$11,$B3921&lt;='111'!$O$11,OR($L3921=$O$7,$M3921=$O$7)),"x","")</f>
        <v/>
      </c>
      <c r="P3921" s="52" t="str">
        <f>IF(AND($L3921=$O$7,$B3921&lt;'111'!$N$11),"x","")</f>
        <v/>
      </c>
      <c r="Q3921" s="52" t="str">
        <f>IF(AND($M3921=$O$7,$B3921&lt;'111'!$N$11),"x","")</f>
        <v/>
      </c>
      <c r="R3921" s="52" t="str">
        <f>IF(ISERROR(FIND('112'!$M$9,G3921,1)),"",IF((AND(FIND('112'!$M$9,G3921,1)&gt;=1,$B3921&gt;='112'!$N$8,$B3921&lt;='112'!$O$8,OR($L3921='112'!$I$6,$M3921='112'!$I$6))),"x",""))</f>
        <v/>
      </c>
      <c r="S3921" s="52" t="str">
        <f>IF(ISERROR(FIND('112'!$M$9,G3921,1)),"",IF((AND(LEFT(G3921,2)=LEFT('112'!$M$9,2),B3921&lt;'112'!$N$8,$L3921='112'!$I$6)),"x",""))</f>
        <v/>
      </c>
      <c r="T3921" s="52" t="str">
        <f>IF(ISERROR(FIND('112'!$M$9,G3921,1)),"",IF((AND(RIGHT(G3921,2)=RIGHT('112'!$M$9,2),B3921&lt;'112'!$N$8,$M3921='112'!$I$6)),"x",""))</f>
        <v/>
      </c>
      <c r="U3921" s="52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/>
      </c>
      <c r="V3921" s="52" t="str">
        <f>IF(OR(TH!L3921=TH!$V$7,M3921=TH!$V$7),"x","")</f>
        <v/>
      </c>
      <c r="W3921" s="52" t="str">
        <f>IF(AND(B3921&gt;='IN-NX'!$P$3,B3921&lt;='IN-NX'!$Q$3,'IN-NX'!$D$7=D3921,OR(LEFT(L3921,2)="15",AND(LEFT(M3921,2)&lt;&gt;"15",LEFT(M3921,2)&lt;&gt;"33"))),"x","")</f>
        <v/>
      </c>
      <c r="X3921" s="52" t="str">
        <f>IF(AND(OR(LEFT(TH!L3921,2)="15",LEFT(TH!M3921,2)="15"),'152-CT'!$J$8=TH!F3921),"x","")</f>
        <v/>
      </c>
      <c r="Y3921" s="52" t="str">
        <f>IF(AND(OR(LEFT(TH!L3921,2)="15",LEFT(TH!M3921,2)="15"),TK!$E$7=TH!F3921),"x","")</f>
        <v/>
      </c>
      <c r="Z3921" s="52" t="str">
        <f>IF(AND(B3921&lt;=NKC!$N$8,B3921&gt;=NKC!$M$8),"x","")</f>
        <v>x</v>
      </c>
      <c r="AA3921" s="826"/>
    </row>
    <row r="3922" spans="1:27" ht="15.75" customHeight="1">
      <c r="A3922" s="827" t="str">
        <f>IF(B3922&lt;&gt;"",IF(AND(B3922&gt;=_TM1,B3922&lt;=_TM2,OR(TH!L3922="1111",TH!M3922="1111")),TH!D3922,""),"")</f>
        <v/>
      </c>
      <c r="B3922" s="36">
        <f t="shared" si="508"/>
        <v>9</v>
      </c>
      <c r="C3922" s="856">
        <f t="shared" si="509"/>
        <v>42638</v>
      </c>
      <c r="D3922" s="856" t="s">
        <v>1664</v>
      </c>
      <c r="E3922" s="856">
        <v>42638</v>
      </c>
      <c r="F3922" s="857" t="s">
        <v>1143</v>
      </c>
      <c r="G3922" s="858" t="s">
        <v>1775</v>
      </c>
      <c r="H3922" s="859" t="s">
        <v>1312</v>
      </c>
      <c r="I3922" s="251">
        <v>11</v>
      </c>
      <c r="J3922" s="251">
        <v>9816</v>
      </c>
      <c r="K3922" s="860">
        <f t="shared" si="510"/>
        <v>107976</v>
      </c>
      <c r="L3922" s="861" t="s">
        <v>160</v>
      </c>
      <c r="M3922" s="861" t="s">
        <v>857</v>
      </c>
      <c r="N3922" s="52" t="str">
        <f>IF(AND('331-CT'!$E$7=TH!H3922,OR(L3922="331",M3922="331")),"331",IF(AND(OR(L3922="131",M3922="131"),H3922='131-CT'!$E$7),"131",""))</f>
        <v/>
      </c>
      <c r="O3922" s="52" t="str">
        <f>IF(AND($B3922&gt;='111'!$N$11,$B3922&lt;='111'!$O$11,OR($L3922=$O$7,$M3922=$O$7)),"x","")</f>
        <v/>
      </c>
      <c r="P3922" s="52" t="str">
        <f>IF(AND($L3922=$O$7,$B3922&lt;'111'!$N$11),"x","")</f>
        <v/>
      </c>
      <c r="Q3922" s="52" t="str">
        <f>IF(AND($M3922=$O$7,$B3922&lt;'111'!$N$11),"x","")</f>
        <v/>
      </c>
      <c r="R3922" s="52" t="str">
        <f>IF(ISERROR(FIND('112'!$M$9,G3922,1)),"",IF((AND(FIND('112'!$M$9,G3922,1)&gt;=1,$B3922&gt;='112'!$N$8,$B3922&lt;='112'!$O$8,OR($L3922='112'!$I$6,$M3922='112'!$I$6))),"x",""))</f>
        <v/>
      </c>
      <c r="S3922" s="52" t="str">
        <f>IF(ISERROR(FIND('112'!$M$9,G3922,1)),"",IF((AND(LEFT(G3922,2)=LEFT('112'!$M$9,2),B3922&lt;'112'!$N$8,$L3922='112'!$I$6)),"x",""))</f>
        <v/>
      </c>
      <c r="T3922" s="52" t="str">
        <f>IF(ISERROR(FIND('112'!$M$9,G3922,1)),"",IF((AND(RIGHT(G3922,2)=RIGHT('112'!$M$9,2),B3922&lt;'112'!$N$8,$M3922='112'!$I$6)),"x",""))</f>
        <v/>
      </c>
      <c r="U3922" s="52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/>
      </c>
      <c r="V3922" s="52" t="str">
        <f>IF(OR(TH!L3922=TH!$V$7,M3922=TH!$V$7),"x","")</f>
        <v/>
      </c>
      <c r="W3922" s="52" t="str">
        <f>IF(AND(B3922&gt;='IN-NX'!$P$3,B3922&lt;='IN-NX'!$Q$3,'IN-NX'!$D$7=D3922,OR(LEFT(L3922,2)="15",AND(LEFT(M3922,2)&lt;&gt;"15",LEFT(M3922,2)&lt;&gt;"33"))),"x","")</f>
        <v/>
      </c>
      <c r="X3922" s="52" t="str">
        <f>IF(AND(OR(LEFT(TH!L3922,2)="15",LEFT(TH!M3922,2)="15"),'152-CT'!$J$8=TH!F3922),"x","")</f>
        <v/>
      </c>
      <c r="Y3922" s="52" t="str">
        <f>IF(AND(OR(LEFT(TH!L3922,2)="15",LEFT(TH!M3922,2)="15"),TK!$E$7=TH!F3922),"x","")</f>
        <v/>
      </c>
      <c r="Z3922" s="52" t="str">
        <f>IF(AND(B3922&lt;=NKC!$N$8,B3922&gt;=NKC!$M$8),"x","")</f>
        <v>x</v>
      </c>
      <c r="AA3922" s="826"/>
    </row>
    <row r="3923" spans="1:27" ht="15.75" customHeight="1">
      <c r="A3923" s="827" t="str">
        <f>IF(B3923&lt;&gt;"",IF(AND(B3923&gt;=_TM1,B3923&lt;=_TM2,OR(TH!L3923="1111",TH!M3923="1111")),TH!D3923,""),"")</f>
        <v/>
      </c>
      <c r="B3923" s="36">
        <f t="shared" si="508"/>
        <v>9</v>
      </c>
      <c r="C3923" s="856">
        <f t="shared" si="509"/>
        <v>42638</v>
      </c>
      <c r="D3923" s="856" t="s">
        <v>1664</v>
      </c>
      <c r="E3923" s="856">
        <v>42638</v>
      </c>
      <c r="F3923" s="857" t="s">
        <v>1143</v>
      </c>
      <c r="G3923" s="858" t="s">
        <v>1775</v>
      </c>
      <c r="H3923" s="859" t="s">
        <v>1312</v>
      </c>
      <c r="I3923" s="251">
        <v>22</v>
      </c>
      <c r="J3923" s="251">
        <v>9816</v>
      </c>
      <c r="K3923" s="860">
        <f t="shared" si="510"/>
        <v>215952</v>
      </c>
      <c r="L3923" s="861" t="s">
        <v>160</v>
      </c>
      <c r="M3923" s="861" t="s">
        <v>857</v>
      </c>
      <c r="N3923" s="52" t="str">
        <f>IF(AND('331-CT'!$E$7=TH!H3923,OR(L3923="331",M3923="331")),"331",IF(AND(OR(L3923="131",M3923="131"),H3923='131-CT'!$E$7),"131",""))</f>
        <v/>
      </c>
      <c r="O3923" s="52" t="str">
        <f>IF(AND($B3923&gt;='111'!$N$11,$B3923&lt;='111'!$O$11,OR($L3923=$O$7,$M3923=$O$7)),"x","")</f>
        <v/>
      </c>
      <c r="P3923" s="52" t="str">
        <f>IF(AND($L3923=$O$7,$B3923&lt;'111'!$N$11),"x","")</f>
        <v/>
      </c>
      <c r="Q3923" s="52" t="str">
        <f>IF(AND($M3923=$O$7,$B3923&lt;'111'!$N$11),"x","")</f>
        <v/>
      </c>
      <c r="R3923" s="52" t="str">
        <f>IF(ISERROR(FIND('112'!$M$9,G3923,1)),"",IF((AND(FIND('112'!$M$9,G3923,1)&gt;=1,$B3923&gt;='112'!$N$8,$B3923&lt;='112'!$O$8,OR($L3923='112'!$I$6,$M3923='112'!$I$6))),"x",""))</f>
        <v/>
      </c>
      <c r="S3923" s="52" t="str">
        <f>IF(ISERROR(FIND('112'!$M$9,G3923,1)),"",IF((AND(LEFT(G3923,2)=LEFT('112'!$M$9,2),B3923&lt;'112'!$N$8,$L3923='112'!$I$6)),"x",""))</f>
        <v/>
      </c>
      <c r="T3923" s="52" t="str">
        <f>IF(ISERROR(FIND('112'!$M$9,G3923,1)),"",IF((AND(RIGHT(G3923,2)=RIGHT('112'!$M$9,2),B3923&lt;'112'!$N$8,$M3923='112'!$I$6)),"x",""))</f>
        <v/>
      </c>
      <c r="U3923" s="52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/>
      </c>
      <c r="V3923" s="52" t="str">
        <f>IF(OR(TH!L3923=TH!$V$7,M3923=TH!$V$7),"x","")</f>
        <v/>
      </c>
      <c r="W3923" s="52" t="str">
        <f>IF(AND(B3923&gt;='IN-NX'!$P$3,B3923&lt;='IN-NX'!$Q$3,'IN-NX'!$D$7=D3923,OR(LEFT(L3923,2)="15",AND(LEFT(M3923,2)&lt;&gt;"15",LEFT(M3923,2)&lt;&gt;"33"))),"x","")</f>
        <v/>
      </c>
      <c r="X3923" s="52" t="str">
        <f>IF(AND(OR(LEFT(TH!L3923,2)="15",LEFT(TH!M3923,2)="15"),'152-CT'!$J$8=TH!F3923),"x","")</f>
        <v/>
      </c>
      <c r="Y3923" s="52" t="str">
        <f>IF(AND(OR(LEFT(TH!L3923,2)="15",LEFT(TH!M3923,2)="15"),TK!$E$7=TH!F3923),"x","")</f>
        <v/>
      </c>
      <c r="Z3923" s="52" t="str">
        <f>IF(AND(B3923&lt;=NKC!$N$8,B3923&gt;=NKC!$M$8),"x","")</f>
        <v>x</v>
      </c>
      <c r="AA3923" s="826"/>
    </row>
    <row r="3924" spans="1:27" ht="15.75" customHeight="1">
      <c r="A3924" s="827" t="str">
        <f>IF(B3924&lt;&gt;"",IF(AND(B3924&gt;=_TM1,B3924&lt;=_TM2,OR(TH!L3924="1111",TH!M3924="1111")),TH!D3924,""),"")</f>
        <v/>
      </c>
      <c r="B3924" s="36">
        <f t="shared" si="508"/>
        <v>9</v>
      </c>
      <c r="C3924" s="856">
        <f t="shared" si="509"/>
        <v>42638</v>
      </c>
      <c r="D3924" s="856" t="s">
        <v>1664</v>
      </c>
      <c r="E3924" s="856">
        <v>42638</v>
      </c>
      <c r="F3924" s="857" t="s">
        <v>1196</v>
      </c>
      <c r="G3924" s="858" t="s">
        <v>1775</v>
      </c>
      <c r="H3924" s="859" t="s">
        <v>1312</v>
      </c>
      <c r="I3924" s="251">
        <v>24</v>
      </c>
      <c r="J3924" s="251">
        <v>24840</v>
      </c>
      <c r="K3924" s="860">
        <f t="shared" si="510"/>
        <v>596160</v>
      </c>
      <c r="L3924" s="861" t="s">
        <v>160</v>
      </c>
      <c r="M3924" s="861" t="s">
        <v>857</v>
      </c>
      <c r="N3924" s="52" t="str">
        <f>IF(AND('331-CT'!$E$7=TH!H3924,OR(L3924="331",M3924="331")),"331",IF(AND(OR(L3924="131",M3924="131"),H3924='131-CT'!$E$7),"131",""))</f>
        <v/>
      </c>
      <c r="O3924" s="52" t="str">
        <f>IF(AND($B3924&gt;='111'!$N$11,$B3924&lt;='111'!$O$11,OR($L3924=$O$7,$M3924=$O$7)),"x","")</f>
        <v/>
      </c>
      <c r="P3924" s="52" t="str">
        <f>IF(AND($L3924=$O$7,$B3924&lt;'111'!$N$11),"x","")</f>
        <v/>
      </c>
      <c r="Q3924" s="52" t="str">
        <f>IF(AND($M3924=$O$7,$B3924&lt;'111'!$N$11),"x","")</f>
        <v/>
      </c>
      <c r="R3924" s="52" t="str">
        <f>IF(ISERROR(FIND('112'!$M$9,G3924,1)),"",IF((AND(FIND('112'!$M$9,G3924,1)&gt;=1,$B3924&gt;='112'!$N$8,$B3924&lt;='112'!$O$8,OR($L3924='112'!$I$6,$M3924='112'!$I$6))),"x",""))</f>
        <v/>
      </c>
      <c r="S3924" s="52" t="str">
        <f>IF(ISERROR(FIND('112'!$M$9,G3924,1)),"",IF((AND(LEFT(G3924,2)=LEFT('112'!$M$9,2),B3924&lt;'112'!$N$8,$L3924='112'!$I$6)),"x",""))</f>
        <v/>
      </c>
      <c r="T3924" s="52" t="str">
        <f>IF(ISERROR(FIND('112'!$M$9,G3924,1)),"",IF((AND(RIGHT(G3924,2)=RIGHT('112'!$M$9,2),B3924&lt;'112'!$N$8,$M3924='112'!$I$6)),"x",""))</f>
        <v/>
      </c>
      <c r="U3924" s="52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/>
      </c>
      <c r="V3924" s="52" t="str">
        <f>IF(OR(TH!L3924=TH!$V$7,M3924=TH!$V$7),"x","")</f>
        <v/>
      </c>
      <c r="W3924" s="52" t="str">
        <f>IF(AND(B3924&gt;='IN-NX'!$P$3,B3924&lt;='IN-NX'!$Q$3,'IN-NX'!$D$7=D3924,OR(LEFT(L3924,2)="15",AND(LEFT(M3924,2)&lt;&gt;"15",LEFT(M3924,2)&lt;&gt;"33"))),"x","")</f>
        <v/>
      </c>
      <c r="X3924" s="52" t="str">
        <f>IF(AND(OR(LEFT(TH!L3924,2)="15",LEFT(TH!M3924,2)="15"),'152-CT'!$J$8=TH!F3924),"x","")</f>
        <v/>
      </c>
      <c r="Y3924" s="52" t="str">
        <f>IF(AND(OR(LEFT(TH!L3924,2)="15",LEFT(TH!M3924,2)="15"),TK!$E$7=TH!F3924),"x","")</f>
        <v/>
      </c>
      <c r="Z3924" s="52" t="str">
        <f>IF(AND(B3924&lt;=NKC!$N$8,B3924&gt;=NKC!$M$8),"x","")</f>
        <v>x</v>
      </c>
      <c r="AA3924" s="826"/>
    </row>
    <row r="3925" spans="1:27" ht="15.75" customHeight="1">
      <c r="A3925" s="827" t="str">
        <f>IF(B3925&lt;&gt;"",IF(AND(B3925&gt;=_TM1,B3925&lt;=_TM2,OR(TH!L3925="1111",TH!M3925="1111")),TH!D3925,""),"")</f>
        <v/>
      </c>
      <c r="B3925" s="36">
        <f t="shared" si="508"/>
        <v>9</v>
      </c>
      <c r="C3925" s="856">
        <f t="shared" si="509"/>
        <v>42638</v>
      </c>
      <c r="D3925" s="856" t="s">
        <v>1664</v>
      </c>
      <c r="E3925" s="856">
        <v>42638</v>
      </c>
      <c r="F3925" s="857" t="s">
        <v>1415</v>
      </c>
      <c r="G3925" s="858" t="s">
        <v>1775</v>
      </c>
      <c r="H3925" s="859" t="s">
        <v>1312</v>
      </c>
      <c r="I3925" s="251">
        <v>4</v>
      </c>
      <c r="J3925" s="251">
        <v>19967</v>
      </c>
      <c r="K3925" s="860">
        <f t="shared" si="510"/>
        <v>79868</v>
      </c>
      <c r="L3925" s="861" t="s">
        <v>160</v>
      </c>
      <c r="M3925" s="861" t="s">
        <v>857</v>
      </c>
      <c r="N3925" s="52" t="str">
        <f>IF(AND('331-CT'!$E$7=TH!H3925,OR(L3925="331",M3925="331")),"331",IF(AND(OR(L3925="131",M3925="131"),H3925='131-CT'!$E$7),"131",""))</f>
        <v/>
      </c>
      <c r="O3925" s="52" t="str">
        <f>IF(AND($B3925&gt;='111'!$N$11,$B3925&lt;='111'!$O$11,OR($L3925=$O$7,$M3925=$O$7)),"x","")</f>
        <v/>
      </c>
      <c r="P3925" s="52" t="str">
        <f>IF(AND($L3925=$O$7,$B3925&lt;'111'!$N$11),"x","")</f>
        <v/>
      </c>
      <c r="Q3925" s="52" t="str">
        <f>IF(AND($M3925=$O$7,$B3925&lt;'111'!$N$11),"x","")</f>
        <v/>
      </c>
      <c r="R3925" s="52" t="str">
        <f>IF(ISERROR(FIND('112'!$M$9,G3925,1)),"",IF((AND(FIND('112'!$M$9,G3925,1)&gt;=1,$B3925&gt;='112'!$N$8,$B3925&lt;='112'!$O$8,OR($L3925='112'!$I$6,$M3925='112'!$I$6))),"x",""))</f>
        <v/>
      </c>
      <c r="S3925" s="52" t="str">
        <f>IF(ISERROR(FIND('112'!$M$9,G3925,1)),"",IF((AND(LEFT(G3925,2)=LEFT('112'!$M$9,2),B3925&lt;'112'!$N$8,$L3925='112'!$I$6)),"x",""))</f>
        <v/>
      </c>
      <c r="T3925" s="52" t="str">
        <f>IF(ISERROR(FIND('112'!$M$9,G3925,1)),"",IF((AND(RIGHT(G3925,2)=RIGHT('112'!$M$9,2),B3925&lt;'112'!$N$8,$M3925='112'!$I$6)),"x",""))</f>
        <v/>
      </c>
      <c r="U3925" s="52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/>
      </c>
      <c r="V3925" s="52" t="str">
        <f>IF(OR(TH!L3925=TH!$V$7,M3925=TH!$V$7),"x","")</f>
        <v/>
      </c>
      <c r="W3925" s="52" t="str">
        <f>IF(AND(B3925&gt;='IN-NX'!$P$3,B3925&lt;='IN-NX'!$Q$3,'IN-NX'!$D$7=D3925,OR(LEFT(L3925,2)="15",AND(LEFT(M3925,2)&lt;&gt;"15",LEFT(M3925,2)&lt;&gt;"33"))),"x","")</f>
        <v/>
      </c>
      <c r="X3925" s="52" t="str">
        <f>IF(AND(OR(LEFT(TH!L3925,2)="15",LEFT(TH!M3925,2)="15"),'152-CT'!$J$8=TH!F3925),"x","")</f>
        <v/>
      </c>
      <c r="Y3925" s="52" t="str">
        <f>IF(AND(OR(LEFT(TH!L3925,2)="15",LEFT(TH!M3925,2)="15"),TK!$E$7=TH!F3925),"x","")</f>
        <v/>
      </c>
      <c r="Z3925" s="52" t="str">
        <f>IF(AND(B3925&lt;=NKC!$N$8,B3925&gt;=NKC!$M$8),"x","")</f>
        <v>x</v>
      </c>
      <c r="AA3925" s="826"/>
    </row>
    <row r="3926" spans="1:27" ht="15.75" customHeight="1">
      <c r="A3926" s="827" t="str">
        <f>IF(B3926&lt;&gt;"",IF(AND(B3926&gt;=_TM1,B3926&lt;=_TM2,OR(TH!L3926="1111",TH!M3926="1111")),TH!D3926,""),"")</f>
        <v/>
      </c>
      <c r="B3926" s="36">
        <f t="shared" si="508"/>
        <v>9</v>
      </c>
      <c r="C3926" s="856">
        <f t="shared" si="509"/>
        <v>42638</v>
      </c>
      <c r="D3926" s="856" t="s">
        <v>1664</v>
      </c>
      <c r="E3926" s="856">
        <v>42638</v>
      </c>
      <c r="F3926" s="857" t="s">
        <v>1415</v>
      </c>
      <c r="G3926" s="858" t="s">
        <v>1775</v>
      </c>
      <c r="H3926" s="859" t="s">
        <v>1312</v>
      </c>
      <c r="I3926" s="251">
        <v>6</v>
      </c>
      <c r="J3926" s="251">
        <v>19967</v>
      </c>
      <c r="K3926" s="860">
        <f t="shared" si="510"/>
        <v>119802</v>
      </c>
      <c r="L3926" s="861" t="s">
        <v>160</v>
      </c>
      <c r="M3926" s="861" t="s">
        <v>857</v>
      </c>
      <c r="N3926" s="52" t="str">
        <f>IF(AND('331-CT'!$E$7=TH!H3926,OR(L3926="331",M3926="331")),"331",IF(AND(OR(L3926="131",M3926="131"),H3926='131-CT'!$E$7),"131",""))</f>
        <v/>
      </c>
      <c r="O3926" s="52" t="str">
        <f>IF(AND($B3926&gt;='111'!$N$11,$B3926&lt;='111'!$O$11,OR($L3926=$O$7,$M3926=$O$7)),"x","")</f>
        <v/>
      </c>
      <c r="P3926" s="52" t="str">
        <f>IF(AND($L3926=$O$7,$B3926&lt;'111'!$N$11),"x","")</f>
        <v/>
      </c>
      <c r="Q3926" s="52" t="str">
        <f>IF(AND($M3926=$O$7,$B3926&lt;'111'!$N$11),"x","")</f>
        <v/>
      </c>
      <c r="R3926" s="52" t="str">
        <f>IF(ISERROR(FIND('112'!$M$9,G3926,1)),"",IF((AND(FIND('112'!$M$9,G3926,1)&gt;=1,$B3926&gt;='112'!$N$8,$B3926&lt;='112'!$O$8,OR($L3926='112'!$I$6,$M3926='112'!$I$6))),"x",""))</f>
        <v/>
      </c>
      <c r="S3926" s="52" t="str">
        <f>IF(ISERROR(FIND('112'!$M$9,G3926,1)),"",IF((AND(LEFT(G3926,2)=LEFT('112'!$M$9,2),B3926&lt;'112'!$N$8,$L3926='112'!$I$6)),"x",""))</f>
        <v/>
      </c>
      <c r="T3926" s="52" t="str">
        <f>IF(ISERROR(FIND('112'!$M$9,G3926,1)),"",IF((AND(RIGHT(G3926,2)=RIGHT('112'!$M$9,2),B3926&lt;'112'!$N$8,$M3926='112'!$I$6)),"x",""))</f>
        <v/>
      </c>
      <c r="U3926" s="52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/>
      </c>
      <c r="V3926" s="52" t="str">
        <f>IF(OR(TH!L3926=TH!$V$7,M3926=TH!$V$7),"x","")</f>
        <v/>
      </c>
      <c r="W3926" s="52" t="str">
        <f>IF(AND(B3926&gt;='IN-NX'!$P$3,B3926&lt;='IN-NX'!$Q$3,'IN-NX'!$D$7=D3926,OR(LEFT(L3926,2)="15",AND(LEFT(M3926,2)&lt;&gt;"15",LEFT(M3926,2)&lt;&gt;"33"))),"x","")</f>
        <v/>
      </c>
      <c r="X3926" s="52" t="str">
        <f>IF(AND(OR(LEFT(TH!L3926,2)="15",LEFT(TH!M3926,2)="15"),'152-CT'!$J$8=TH!F3926),"x","")</f>
        <v/>
      </c>
      <c r="Y3926" s="52" t="str">
        <f>IF(AND(OR(LEFT(TH!L3926,2)="15",LEFT(TH!M3926,2)="15"),TK!$E$7=TH!F3926),"x","")</f>
        <v/>
      </c>
      <c r="Z3926" s="52" t="str">
        <f>IF(AND(B3926&lt;=NKC!$N$8,B3926&gt;=NKC!$M$8),"x","")</f>
        <v>x</v>
      </c>
      <c r="AA3926" s="826"/>
    </row>
    <row r="3927" spans="1:27" ht="15.75" customHeight="1">
      <c r="A3927" s="827" t="str">
        <f>IF(B3927&lt;&gt;"",IF(AND(B3927&gt;=_TM1,B3927&lt;=_TM2,OR(TH!L3927="1111",TH!M3927="1111")),TH!D3927,""),"")</f>
        <v/>
      </c>
      <c r="B3927" s="36">
        <f t="shared" si="508"/>
        <v>9</v>
      </c>
      <c r="C3927" s="856">
        <f t="shared" si="509"/>
        <v>42638</v>
      </c>
      <c r="D3927" s="856" t="s">
        <v>1664</v>
      </c>
      <c r="E3927" s="856">
        <v>42638</v>
      </c>
      <c r="F3927" s="857" t="s">
        <v>1415</v>
      </c>
      <c r="G3927" s="858" t="s">
        <v>1775</v>
      </c>
      <c r="H3927" s="859" t="s">
        <v>1312</v>
      </c>
      <c r="I3927" s="251">
        <v>15</v>
      </c>
      <c r="J3927" s="251">
        <v>19967</v>
      </c>
      <c r="K3927" s="860">
        <f t="shared" si="510"/>
        <v>299505</v>
      </c>
      <c r="L3927" s="861" t="s">
        <v>160</v>
      </c>
      <c r="M3927" s="861" t="s">
        <v>857</v>
      </c>
      <c r="N3927" s="52" t="str">
        <f>IF(AND('331-CT'!$E$7=TH!H3927,OR(L3927="331",M3927="331")),"331",IF(AND(OR(L3927="131",M3927="131"),H3927='131-CT'!$E$7),"131",""))</f>
        <v/>
      </c>
      <c r="O3927" s="52" t="str">
        <f>IF(AND($B3927&gt;='111'!$N$11,$B3927&lt;='111'!$O$11,OR($L3927=$O$7,$M3927=$O$7)),"x","")</f>
        <v/>
      </c>
      <c r="P3927" s="52" t="str">
        <f>IF(AND($L3927=$O$7,$B3927&lt;'111'!$N$11),"x","")</f>
        <v/>
      </c>
      <c r="Q3927" s="52" t="str">
        <f>IF(AND($M3927=$O$7,$B3927&lt;'111'!$N$11),"x","")</f>
        <v/>
      </c>
      <c r="R3927" s="52" t="str">
        <f>IF(ISERROR(FIND('112'!$M$9,G3927,1)),"",IF((AND(FIND('112'!$M$9,G3927,1)&gt;=1,$B3927&gt;='112'!$N$8,$B3927&lt;='112'!$O$8,OR($L3927='112'!$I$6,$M3927='112'!$I$6))),"x",""))</f>
        <v/>
      </c>
      <c r="S3927" s="52" t="str">
        <f>IF(ISERROR(FIND('112'!$M$9,G3927,1)),"",IF((AND(LEFT(G3927,2)=LEFT('112'!$M$9,2),B3927&lt;'112'!$N$8,$L3927='112'!$I$6)),"x",""))</f>
        <v/>
      </c>
      <c r="T3927" s="52" t="str">
        <f>IF(ISERROR(FIND('112'!$M$9,G3927,1)),"",IF((AND(RIGHT(G3927,2)=RIGHT('112'!$M$9,2),B3927&lt;'112'!$N$8,$M3927='112'!$I$6)),"x",""))</f>
        <v/>
      </c>
      <c r="U3927" s="52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/>
      </c>
      <c r="V3927" s="52" t="str">
        <f>IF(OR(TH!L3927=TH!$V$7,M3927=TH!$V$7),"x","")</f>
        <v/>
      </c>
      <c r="W3927" s="52" t="str">
        <f>IF(AND(B3927&gt;='IN-NX'!$P$3,B3927&lt;='IN-NX'!$Q$3,'IN-NX'!$D$7=D3927,OR(LEFT(L3927,2)="15",AND(LEFT(M3927,2)&lt;&gt;"15",LEFT(M3927,2)&lt;&gt;"33"))),"x","")</f>
        <v/>
      </c>
      <c r="X3927" s="52" t="str">
        <f>IF(AND(OR(LEFT(TH!L3927,2)="15",LEFT(TH!M3927,2)="15"),'152-CT'!$J$8=TH!F3927),"x","")</f>
        <v/>
      </c>
      <c r="Y3927" s="52" t="str">
        <f>IF(AND(OR(LEFT(TH!L3927,2)="15",LEFT(TH!M3927,2)="15"),TK!$E$7=TH!F3927),"x","")</f>
        <v/>
      </c>
      <c r="Z3927" s="52" t="str">
        <f>IF(AND(B3927&lt;=NKC!$N$8,B3927&gt;=NKC!$M$8),"x","")</f>
        <v>x</v>
      </c>
      <c r="AA3927" s="826"/>
    </row>
    <row r="3928" spans="1:27" ht="15.75" customHeight="1">
      <c r="A3928" s="827" t="str">
        <f>IF(B3928&lt;&gt;"",IF(AND(B3928&gt;=_TM1,B3928&lt;=_TM2,OR(TH!L3928="1111",TH!M3928="1111")),TH!D3928,""),"")</f>
        <v/>
      </c>
      <c r="B3928" s="36">
        <f t="shared" si="508"/>
        <v>9</v>
      </c>
      <c r="C3928" s="856">
        <f t="shared" si="509"/>
        <v>42638</v>
      </c>
      <c r="D3928" s="856" t="s">
        <v>1664</v>
      </c>
      <c r="E3928" s="856">
        <v>42638</v>
      </c>
      <c r="F3928" s="857" t="s">
        <v>1415</v>
      </c>
      <c r="G3928" s="858" t="s">
        <v>1775</v>
      </c>
      <c r="H3928" s="859" t="s">
        <v>1312</v>
      </c>
      <c r="I3928" s="251">
        <v>5</v>
      </c>
      <c r="J3928" s="251">
        <v>19967</v>
      </c>
      <c r="K3928" s="860">
        <f t="shared" si="510"/>
        <v>99835</v>
      </c>
      <c r="L3928" s="861" t="s">
        <v>160</v>
      </c>
      <c r="M3928" s="861" t="s">
        <v>857</v>
      </c>
      <c r="N3928" s="52" t="str">
        <f>IF(AND('331-CT'!$E$7=TH!H3928,OR(L3928="331",M3928="331")),"331",IF(AND(OR(L3928="131",M3928="131"),H3928='131-CT'!$E$7),"131",""))</f>
        <v/>
      </c>
      <c r="O3928" s="52" t="str">
        <f>IF(AND($B3928&gt;='111'!$N$11,$B3928&lt;='111'!$O$11,OR($L3928=$O$7,$M3928=$O$7)),"x","")</f>
        <v/>
      </c>
      <c r="P3928" s="52" t="str">
        <f>IF(AND($L3928=$O$7,$B3928&lt;'111'!$N$11),"x","")</f>
        <v/>
      </c>
      <c r="Q3928" s="52" t="str">
        <f>IF(AND($M3928=$O$7,$B3928&lt;'111'!$N$11),"x","")</f>
        <v/>
      </c>
      <c r="R3928" s="52" t="str">
        <f>IF(ISERROR(FIND('112'!$M$9,G3928,1)),"",IF((AND(FIND('112'!$M$9,G3928,1)&gt;=1,$B3928&gt;='112'!$N$8,$B3928&lt;='112'!$O$8,OR($L3928='112'!$I$6,$M3928='112'!$I$6))),"x",""))</f>
        <v/>
      </c>
      <c r="S3928" s="52" t="str">
        <f>IF(ISERROR(FIND('112'!$M$9,G3928,1)),"",IF((AND(LEFT(G3928,2)=LEFT('112'!$M$9,2),B3928&lt;'112'!$N$8,$L3928='112'!$I$6)),"x",""))</f>
        <v/>
      </c>
      <c r="T3928" s="52" t="str">
        <f>IF(ISERROR(FIND('112'!$M$9,G3928,1)),"",IF((AND(RIGHT(G3928,2)=RIGHT('112'!$M$9,2),B3928&lt;'112'!$N$8,$M3928='112'!$I$6)),"x",""))</f>
        <v/>
      </c>
      <c r="U3928" s="52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/>
      </c>
      <c r="V3928" s="52" t="str">
        <f>IF(OR(TH!L3928=TH!$V$7,M3928=TH!$V$7),"x","")</f>
        <v/>
      </c>
      <c r="W3928" s="52" t="str">
        <f>IF(AND(B3928&gt;='IN-NX'!$P$3,B3928&lt;='IN-NX'!$Q$3,'IN-NX'!$D$7=D3928,OR(LEFT(L3928,2)="15",AND(LEFT(M3928,2)&lt;&gt;"15",LEFT(M3928,2)&lt;&gt;"33"))),"x","")</f>
        <v/>
      </c>
      <c r="X3928" s="52" t="str">
        <f>IF(AND(OR(LEFT(TH!L3928,2)="15",LEFT(TH!M3928,2)="15"),'152-CT'!$J$8=TH!F3928),"x","")</f>
        <v/>
      </c>
      <c r="Y3928" s="52" t="str">
        <f>IF(AND(OR(LEFT(TH!L3928,2)="15",LEFT(TH!M3928,2)="15"),TK!$E$7=TH!F3928),"x","")</f>
        <v/>
      </c>
      <c r="Z3928" s="52" t="str">
        <f>IF(AND(B3928&lt;=NKC!$N$8,B3928&gt;=NKC!$M$8),"x","")</f>
        <v>x</v>
      </c>
      <c r="AA3928" s="826"/>
    </row>
    <row r="3929" spans="1:27" ht="15.75" customHeight="1">
      <c r="A3929" s="827" t="str">
        <f>IF(B3929&lt;&gt;"",IF(AND(B3929&gt;=_TM1,B3929&lt;=_TM2,OR(TH!L3929="1111",TH!M3929="1111")),TH!D3929,""),"")</f>
        <v/>
      </c>
      <c r="B3929" s="36">
        <f t="shared" si="508"/>
        <v>9</v>
      </c>
      <c r="C3929" s="856">
        <f t="shared" si="509"/>
        <v>42638</v>
      </c>
      <c r="D3929" s="856" t="s">
        <v>1664</v>
      </c>
      <c r="E3929" s="856">
        <v>42638</v>
      </c>
      <c r="F3929" s="857" t="s">
        <v>1125</v>
      </c>
      <c r="G3929" s="858" t="s">
        <v>1775</v>
      </c>
      <c r="H3929" s="859" t="s">
        <v>1312</v>
      </c>
      <c r="I3929" s="251">
        <v>106</v>
      </c>
      <c r="J3929" s="251">
        <v>11155</v>
      </c>
      <c r="K3929" s="860">
        <f t="shared" si="510"/>
        <v>1182430</v>
      </c>
      <c r="L3929" s="861" t="s">
        <v>160</v>
      </c>
      <c r="M3929" s="861" t="s">
        <v>857</v>
      </c>
      <c r="N3929" s="52" t="str">
        <f>IF(AND('331-CT'!$E$7=TH!H3929,OR(L3929="331",M3929="331")),"331",IF(AND(OR(L3929="131",M3929="131"),H3929='131-CT'!$E$7),"131",""))</f>
        <v/>
      </c>
      <c r="O3929" s="52" t="str">
        <f>IF(AND($B3929&gt;='111'!$N$11,$B3929&lt;='111'!$O$11,OR($L3929=$O$7,$M3929=$O$7)),"x","")</f>
        <v/>
      </c>
      <c r="P3929" s="52" t="str">
        <f>IF(AND($L3929=$O$7,$B3929&lt;'111'!$N$11),"x","")</f>
        <v/>
      </c>
      <c r="Q3929" s="52" t="str">
        <f>IF(AND($M3929=$O$7,$B3929&lt;'111'!$N$11),"x","")</f>
        <v/>
      </c>
      <c r="R3929" s="52" t="str">
        <f>IF(ISERROR(FIND('112'!$M$9,G3929,1)),"",IF((AND(FIND('112'!$M$9,G3929,1)&gt;=1,$B3929&gt;='112'!$N$8,$B3929&lt;='112'!$O$8,OR($L3929='112'!$I$6,$M3929='112'!$I$6))),"x",""))</f>
        <v/>
      </c>
      <c r="S3929" s="52" t="str">
        <f>IF(ISERROR(FIND('112'!$M$9,G3929,1)),"",IF((AND(LEFT(G3929,2)=LEFT('112'!$M$9,2),B3929&lt;'112'!$N$8,$L3929='112'!$I$6)),"x",""))</f>
        <v/>
      </c>
      <c r="T3929" s="52" t="str">
        <f>IF(ISERROR(FIND('112'!$M$9,G3929,1)),"",IF((AND(RIGHT(G3929,2)=RIGHT('112'!$M$9,2),B3929&lt;'112'!$N$8,$M3929='112'!$I$6)),"x",""))</f>
        <v/>
      </c>
      <c r="U3929" s="52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/>
      </c>
      <c r="V3929" s="52" t="str">
        <f>IF(OR(TH!L3929=TH!$V$7,M3929=TH!$V$7),"x","")</f>
        <v/>
      </c>
      <c r="W3929" s="52" t="str">
        <f>IF(AND(B3929&gt;='IN-NX'!$P$3,B3929&lt;='IN-NX'!$Q$3,'IN-NX'!$D$7=D3929,OR(LEFT(L3929,2)="15",AND(LEFT(M3929,2)&lt;&gt;"15",LEFT(M3929,2)&lt;&gt;"33"))),"x","")</f>
        <v/>
      </c>
      <c r="X3929" s="52" t="str">
        <f>IF(AND(OR(LEFT(TH!L3929,2)="15",LEFT(TH!M3929,2)="15"),'152-CT'!$J$8=TH!F3929),"x","")</f>
        <v/>
      </c>
      <c r="Y3929" s="52" t="str">
        <f>IF(AND(OR(LEFT(TH!L3929,2)="15",LEFT(TH!M3929,2)="15"),TK!$E$7=TH!F3929),"x","")</f>
        <v/>
      </c>
      <c r="Z3929" s="52" t="str">
        <f>IF(AND(B3929&lt;=NKC!$N$8,B3929&gt;=NKC!$M$8),"x","")</f>
        <v>x</v>
      </c>
      <c r="AA3929" s="826"/>
    </row>
    <row r="3930" spans="1:27" ht="15.75" customHeight="1">
      <c r="A3930" s="827" t="str">
        <f>IF(B3930&lt;&gt;"",IF(AND(B3930&gt;=_TM1,B3930&lt;=_TM2,OR(TH!L3930="1111",TH!M3930="1111")),TH!D3930,""),"")</f>
        <v/>
      </c>
      <c r="B3930" s="36">
        <f t="shared" si="508"/>
        <v>9</v>
      </c>
      <c r="C3930" s="856">
        <f t="shared" si="509"/>
        <v>42638</v>
      </c>
      <c r="D3930" s="856" t="s">
        <v>1664</v>
      </c>
      <c r="E3930" s="856">
        <v>42638</v>
      </c>
      <c r="F3930" s="857" t="s">
        <v>1125</v>
      </c>
      <c r="G3930" s="858" t="s">
        <v>1775</v>
      </c>
      <c r="H3930" s="859" t="s">
        <v>1312</v>
      </c>
      <c r="I3930" s="251">
        <v>15</v>
      </c>
      <c r="J3930" s="251">
        <v>11155</v>
      </c>
      <c r="K3930" s="860">
        <f t="shared" si="510"/>
        <v>167325</v>
      </c>
      <c r="L3930" s="861" t="s">
        <v>160</v>
      </c>
      <c r="M3930" s="861" t="s">
        <v>857</v>
      </c>
      <c r="N3930" s="52" t="str">
        <f>IF(AND('331-CT'!$E$7=TH!H3930,OR(L3930="331",M3930="331")),"331",IF(AND(OR(L3930="131",M3930="131"),H3930='131-CT'!$E$7),"131",""))</f>
        <v/>
      </c>
      <c r="O3930" s="52" t="str">
        <f>IF(AND($B3930&gt;='111'!$N$11,$B3930&lt;='111'!$O$11,OR($L3930=$O$7,$M3930=$O$7)),"x","")</f>
        <v/>
      </c>
      <c r="P3930" s="52" t="str">
        <f>IF(AND($L3930=$O$7,$B3930&lt;'111'!$N$11),"x","")</f>
        <v/>
      </c>
      <c r="Q3930" s="52" t="str">
        <f>IF(AND($M3930=$O$7,$B3930&lt;'111'!$N$11),"x","")</f>
        <v/>
      </c>
      <c r="R3930" s="52" t="str">
        <f>IF(ISERROR(FIND('112'!$M$9,G3930,1)),"",IF((AND(FIND('112'!$M$9,G3930,1)&gt;=1,$B3930&gt;='112'!$N$8,$B3930&lt;='112'!$O$8,OR($L3930='112'!$I$6,$M3930='112'!$I$6))),"x",""))</f>
        <v/>
      </c>
      <c r="S3930" s="52" t="str">
        <f>IF(ISERROR(FIND('112'!$M$9,G3930,1)),"",IF((AND(LEFT(G3930,2)=LEFT('112'!$M$9,2),B3930&lt;'112'!$N$8,$L3930='112'!$I$6)),"x",""))</f>
        <v/>
      </c>
      <c r="T3930" s="52" t="str">
        <f>IF(ISERROR(FIND('112'!$M$9,G3930,1)),"",IF((AND(RIGHT(G3930,2)=RIGHT('112'!$M$9,2),B3930&lt;'112'!$N$8,$M3930='112'!$I$6)),"x",""))</f>
        <v/>
      </c>
      <c r="U3930" s="52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/>
      </c>
      <c r="V3930" s="52" t="str">
        <f>IF(OR(TH!L3930=TH!$V$7,M3930=TH!$V$7),"x","")</f>
        <v/>
      </c>
      <c r="W3930" s="52" t="str">
        <f>IF(AND(B3930&gt;='IN-NX'!$P$3,B3930&lt;='IN-NX'!$Q$3,'IN-NX'!$D$7=D3930,OR(LEFT(L3930,2)="15",AND(LEFT(M3930,2)&lt;&gt;"15",LEFT(M3930,2)&lt;&gt;"33"))),"x","")</f>
        <v/>
      </c>
      <c r="X3930" s="52" t="str">
        <f>IF(AND(OR(LEFT(TH!L3930,2)="15",LEFT(TH!M3930,2)="15"),'152-CT'!$J$8=TH!F3930),"x","")</f>
        <v/>
      </c>
      <c r="Y3930" s="52" t="str">
        <f>IF(AND(OR(LEFT(TH!L3930,2)="15",LEFT(TH!M3930,2)="15"),TK!$E$7=TH!F3930),"x","")</f>
        <v/>
      </c>
      <c r="Z3930" s="52" t="str">
        <f>IF(AND(B3930&lt;=NKC!$N$8,B3930&gt;=NKC!$M$8),"x","")</f>
        <v>x</v>
      </c>
      <c r="AA3930" s="826"/>
    </row>
    <row r="3931" spans="1:27" ht="15.75" customHeight="1">
      <c r="A3931" s="827" t="str">
        <f>IF(B3931&lt;&gt;"",IF(AND(B3931&gt;=_TM1,B3931&lt;=_TM2,OR(TH!L3931="1111",TH!M3931="1111")),TH!D3931,""),"")</f>
        <v/>
      </c>
      <c r="B3931" s="36">
        <f t="shared" si="508"/>
        <v>9</v>
      </c>
      <c r="C3931" s="856">
        <f t="shared" si="509"/>
        <v>42638</v>
      </c>
      <c r="D3931" s="856" t="s">
        <v>1664</v>
      </c>
      <c r="E3931" s="856">
        <v>42638</v>
      </c>
      <c r="F3931" s="857" t="s">
        <v>1125</v>
      </c>
      <c r="G3931" s="858" t="s">
        <v>1775</v>
      </c>
      <c r="H3931" s="859" t="s">
        <v>1312</v>
      </c>
      <c r="I3931" s="251">
        <v>6</v>
      </c>
      <c r="J3931" s="251">
        <v>11155</v>
      </c>
      <c r="K3931" s="860">
        <f t="shared" si="510"/>
        <v>66930</v>
      </c>
      <c r="L3931" s="861" t="s">
        <v>160</v>
      </c>
      <c r="M3931" s="861" t="s">
        <v>857</v>
      </c>
      <c r="N3931" s="52" t="str">
        <f>IF(AND('331-CT'!$E$7=TH!H3931,OR(L3931="331",M3931="331")),"331",IF(AND(OR(L3931="131",M3931="131"),H3931='131-CT'!$E$7),"131",""))</f>
        <v/>
      </c>
      <c r="O3931" s="52" t="str">
        <f>IF(AND($B3931&gt;='111'!$N$11,$B3931&lt;='111'!$O$11,OR($L3931=$O$7,$M3931=$O$7)),"x","")</f>
        <v/>
      </c>
      <c r="P3931" s="52" t="str">
        <f>IF(AND($L3931=$O$7,$B3931&lt;'111'!$N$11),"x","")</f>
        <v/>
      </c>
      <c r="Q3931" s="52" t="str">
        <f>IF(AND($M3931=$O$7,$B3931&lt;'111'!$N$11),"x","")</f>
        <v/>
      </c>
      <c r="R3931" s="52" t="str">
        <f>IF(ISERROR(FIND('112'!$M$9,G3931,1)),"",IF((AND(FIND('112'!$M$9,G3931,1)&gt;=1,$B3931&gt;='112'!$N$8,$B3931&lt;='112'!$O$8,OR($L3931='112'!$I$6,$M3931='112'!$I$6))),"x",""))</f>
        <v/>
      </c>
      <c r="S3931" s="52" t="str">
        <f>IF(ISERROR(FIND('112'!$M$9,G3931,1)),"",IF((AND(LEFT(G3931,2)=LEFT('112'!$M$9,2),B3931&lt;'112'!$N$8,$L3931='112'!$I$6)),"x",""))</f>
        <v/>
      </c>
      <c r="T3931" s="52" t="str">
        <f>IF(ISERROR(FIND('112'!$M$9,G3931,1)),"",IF((AND(RIGHT(G3931,2)=RIGHT('112'!$M$9,2),B3931&lt;'112'!$N$8,$M3931='112'!$I$6)),"x",""))</f>
        <v/>
      </c>
      <c r="U3931" s="52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/>
      </c>
      <c r="V3931" s="52" t="str">
        <f>IF(OR(TH!L3931=TH!$V$7,M3931=TH!$V$7),"x","")</f>
        <v/>
      </c>
      <c r="W3931" s="52" t="str">
        <f>IF(AND(B3931&gt;='IN-NX'!$P$3,B3931&lt;='IN-NX'!$Q$3,'IN-NX'!$D$7=D3931,OR(LEFT(L3931,2)="15",AND(LEFT(M3931,2)&lt;&gt;"15",LEFT(M3931,2)&lt;&gt;"33"))),"x","")</f>
        <v/>
      </c>
      <c r="X3931" s="52" t="str">
        <f>IF(AND(OR(LEFT(TH!L3931,2)="15",LEFT(TH!M3931,2)="15"),'152-CT'!$J$8=TH!F3931),"x","")</f>
        <v/>
      </c>
      <c r="Y3931" s="52" t="str">
        <f>IF(AND(OR(LEFT(TH!L3931,2)="15",LEFT(TH!M3931,2)="15"),TK!$E$7=TH!F3931),"x","")</f>
        <v/>
      </c>
      <c r="Z3931" s="52" t="str">
        <f>IF(AND(B3931&lt;=NKC!$N$8,B3931&gt;=NKC!$M$8),"x","")</f>
        <v>x</v>
      </c>
      <c r="AA3931" s="826"/>
    </row>
    <row r="3932" spans="1:27" ht="15.75" customHeight="1">
      <c r="A3932" s="827" t="str">
        <f>IF(B3932&lt;&gt;"",IF(AND(B3932&gt;=_TM1,B3932&lt;=_TM2,OR(TH!L3932="1111",TH!M3932="1111")),TH!D3932,""),"")</f>
        <v/>
      </c>
      <c r="B3932" s="36">
        <f t="shared" si="508"/>
        <v>9</v>
      </c>
      <c r="C3932" s="856">
        <f t="shared" si="509"/>
        <v>42638</v>
      </c>
      <c r="D3932" s="856" t="s">
        <v>1664</v>
      </c>
      <c r="E3932" s="856">
        <v>42638</v>
      </c>
      <c r="F3932" s="857" t="s">
        <v>1125</v>
      </c>
      <c r="G3932" s="858" t="s">
        <v>1775</v>
      </c>
      <c r="H3932" s="859" t="s">
        <v>1312</v>
      </c>
      <c r="I3932" s="251">
        <v>5</v>
      </c>
      <c r="J3932" s="251">
        <v>11155</v>
      </c>
      <c r="K3932" s="860">
        <f t="shared" si="510"/>
        <v>55775</v>
      </c>
      <c r="L3932" s="861" t="s">
        <v>160</v>
      </c>
      <c r="M3932" s="861" t="s">
        <v>857</v>
      </c>
      <c r="N3932" s="52" t="str">
        <f>IF(AND('331-CT'!$E$7=TH!H3932,OR(L3932="331",M3932="331")),"331",IF(AND(OR(L3932="131",M3932="131"),H3932='131-CT'!$E$7),"131",""))</f>
        <v/>
      </c>
      <c r="O3932" s="52" t="str">
        <f>IF(AND($B3932&gt;='111'!$N$11,$B3932&lt;='111'!$O$11,OR($L3932=$O$7,$M3932=$O$7)),"x","")</f>
        <v/>
      </c>
      <c r="P3932" s="52" t="str">
        <f>IF(AND($L3932=$O$7,$B3932&lt;'111'!$N$11),"x","")</f>
        <v/>
      </c>
      <c r="Q3932" s="52" t="str">
        <f>IF(AND($M3932=$O$7,$B3932&lt;'111'!$N$11),"x","")</f>
        <v/>
      </c>
      <c r="R3932" s="52" t="str">
        <f>IF(ISERROR(FIND('112'!$M$9,G3932,1)),"",IF((AND(FIND('112'!$M$9,G3932,1)&gt;=1,$B3932&gt;='112'!$N$8,$B3932&lt;='112'!$O$8,OR($L3932='112'!$I$6,$M3932='112'!$I$6))),"x",""))</f>
        <v/>
      </c>
      <c r="S3932" s="52" t="str">
        <f>IF(ISERROR(FIND('112'!$M$9,G3932,1)),"",IF((AND(LEFT(G3932,2)=LEFT('112'!$M$9,2),B3932&lt;'112'!$N$8,$L3932='112'!$I$6)),"x",""))</f>
        <v/>
      </c>
      <c r="T3932" s="52" t="str">
        <f>IF(ISERROR(FIND('112'!$M$9,G3932,1)),"",IF((AND(RIGHT(G3932,2)=RIGHT('112'!$M$9,2),B3932&lt;'112'!$N$8,$M3932='112'!$I$6)),"x",""))</f>
        <v/>
      </c>
      <c r="U3932" s="52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/>
      </c>
      <c r="V3932" s="52" t="str">
        <f>IF(OR(TH!L3932=TH!$V$7,M3932=TH!$V$7),"x","")</f>
        <v/>
      </c>
      <c r="W3932" s="52" t="str">
        <f>IF(AND(B3932&gt;='IN-NX'!$P$3,B3932&lt;='IN-NX'!$Q$3,'IN-NX'!$D$7=D3932,OR(LEFT(L3932,2)="15",AND(LEFT(M3932,2)&lt;&gt;"15",LEFT(M3932,2)&lt;&gt;"33"))),"x","")</f>
        <v/>
      </c>
      <c r="X3932" s="52" t="str">
        <f>IF(AND(OR(LEFT(TH!L3932,2)="15",LEFT(TH!M3932,2)="15"),'152-CT'!$J$8=TH!F3932),"x","")</f>
        <v/>
      </c>
      <c r="Y3932" s="52" t="str">
        <f>IF(AND(OR(LEFT(TH!L3932,2)="15",LEFT(TH!M3932,2)="15"),TK!$E$7=TH!F3932),"x","")</f>
        <v/>
      </c>
      <c r="Z3932" s="52" t="str">
        <f>IF(AND(B3932&lt;=NKC!$N$8,B3932&gt;=NKC!$M$8),"x","")</f>
        <v>x</v>
      </c>
      <c r="AA3932" s="826"/>
    </row>
    <row r="3933" spans="1:27" ht="15.75" customHeight="1">
      <c r="A3933" s="827" t="str">
        <f>IF(B3933&lt;&gt;"",IF(AND(B3933&gt;=_TM1,B3933&lt;=_TM2,OR(TH!L3933="1111",TH!M3933="1111")),TH!D3933,""),"")</f>
        <v/>
      </c>
      <c r="B3933" s="36">
        <f t="shared" si="508"/>
        <v>9</v>
      </c>
      <c r="C3933" s="856">
        <f t="shared" si="509"/>
        <v>42638</v>
      </c>
      <c r="D3933" s="856" t="s">
        <v>1664</v>
      </c>
      <c r="E3933" s="856">
        <v>42638</v>
      </c>
      <c r="F3933" s="857" t="s">
        <v>1212</v>
      </c>
      <c r="G3933" s="858" t="s">
        <v>1775</v>
      </c>
      <c r="H3933" s="859" t="s">
        <v>1312</v>
      </c>
      <c r="I3933" s="251">
        <v>15</v>
      </c>
      <c r="J3933" s="251">
        <v>11781</v>
      </c>
      <c r="K3933" s="860">
        <f t="shared" si="510"/>
        <v>176715</v>
      </c>
      <c r="L3933" s="861" t="s">
        <v>160</v>
      </c>
      <c r="M3933" s="861" t="s">
        <v>857</v>
      </c>
      <c r="N3933" s="52" t="str">
        <f>IF(AND('331-CT'!$E$7=TH!H3933,OR(L3933="331",M3933="331")),"331",IF(AND(OR(L3933="131",M3933="131"),H3933='131-CT'!$E$7),"131",""))</f>
        <v/>
      </c>
      <c r="O3933" s="52" t="str">
        <f>IF(AND($B3933&gt;='111'!$N$11,$B3933&lt;='111'!$O$11,OR($L3933=$O$7,$M3933=$O$7)),"x","")</f>
        <v/>
      </c>
      <c r="P3933" s="52" t="str">
        <f>IF(AND($L3933=$O$7,$B3933&lt;'111'!$N$11),"x","")</f>
        <v/>
      </c>
      <c r="Q3933" s="52" t="str">
        <f>IF(AND($M3933=$O$7,$B3933&lt;'111'!$N$11),"x","")</f>
        <v/>
      </c>
      <c r="R3933" s="52" t="str">
        <f>IF(ISERROR(FIND('112'!$M$9,G3933,1)),"",IF((AND(FIND('112'!$M$9,G3933,1)&gt;=1,$B3933&gt;='112'!$N$8,$B3933&lt;='112'!$O$8,OR($L3933='112'!$I$6,$M3933='112'!$I$6))),"x",""))</f>
        <v/>
      </c>
      <c r="S3933" s="52" t="str">
        <f>IF(ISERROR(FIND('112'!$M$9,G3933,1)),"",IF((AND(LEFT(G3933,2)=LEFT('112'!$M$9,2),B3933&lt;'112'!$N$8,$L3933='112'!$I$6)),"x",""))</f>
        <v/>
      </c>
      <c r="T3933" s="52" t="str">
        <f>IF(ISERROR(FIND('112'!$M$9,G3933,1)),"",IF((AND(RIGHT(G3933,2)=RIGHT('112'!$M$9,2),B3933&lt;'112'!$N$8,$M3933='112'!$I$6)),"x",""))</f>
        <v/>
      </c>
      <c r="U3933" s="52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/>
      </c>
      <c r="V3933" s="52" t="str">
        <f>IF(OR(TH!L3933=TH!$V$7,M3933=TH!$V$7),"x","")</f>
        <v/>
      </c>
      <c r="W3933" s="52" t="str">
        <f>IF(AND(B3933&gt;='IN-NX'!$P$3,B3933&lt;='IN-NX'!$Q$3,'IN-NX'!$D$7=D3933,OR(LEFT(L3933,2)="15",AND(LEFT(M3933,2)&lt;&gt;"15",LEFT(M3933,2)&lt;&gt;"33"))),"x","")</f>
        <v/>
      </c>
      <c r="X3933" s="52" t="str">
        <f>IF(AND(OR(LEFT(TH!L3933,2)="15",LEFT(TH!M3933,2)="15"),'152-CT'!$J$8=TH!F3933),"x","")</f>
        <v/>
      </c>
      <c r="Y3933" s="52" t="str">
        <f>IF(AND(OR(LEFT(TH!L3933,2)="15",LEFT(TH!M3933,2)="15"),TK!$E$7=TH!F3933),"x","")</f>
        <v/>
      </c>
      <c r="Z3933" s="52" t="str">
        <f>IF(AND(B3933&lt;=NKC!$N$8,B3933&gt;=NKC!$M$8),"x","")</f>
        <v>x</v>
      </c>
      <c r="AA3933" s="826"/>
    </row>
    <row r="3934" spans="1:27" ht="15.75" customHeight="1">
      <c r="A3934" s="827" t="str">
        <f>IF(B3934&lt;&gt;"",IF(AND(B3934&gt;=_TM1,B3934&lt;=_TM2,OR(TH!L3934="1111",TH!M3934="1111")),TH!D3934,""),"")</f>
        <v/>
      </c>
      <c r="B3934" s="36">
        <f t="shared" si="508"/>
        <v>9</v>
      </c>
      <c r="C3934" s="856">
        <f t="shared" si="509"/>
        <v>42638</v>
      </c>
      <c r="D3934" s="856" t="s">
        <v>1664</v>
      </c>
      <c r="E3934" s="856">
        <v>42638</v>
      </c>
      <c r="F3934" s="857" t="s">
        <v>1212</v>
      </c>
      <c r="G3934" s="858" t="s">
        <v>1775</v>
      </c>
      <c r="H3934" s="859" t="s">
        <v>1312</v>
      </c>
      <c r="I3934" s="251">
        <v>10</v>
      </c>
      <c r="J3934" s="251">
        <v>11781</v>
      </c>
      <c r="K3934" s="860">
        <f t="shared" si="510"/>
        <v>117810</v>
      </c>
      <c r="L3934" s="861" t="s">
        <v>160</v>
      </c>
      <c r="M3934" s="861" t="s">
        <v>857</v>
      </c>
      <c r="N3934" s="52" t="str">
        <f>IF(AND('331-CT'!$E$7=TH!H3934,OR(L3934="331",M3934="331")),"331",IF(AND(OR(L3934="131",M3934="131"),H3934='131-CT'!$E$7),"131",""))</f>
        <v/>
      </c>
      <c r="O3934" s="52" t="str">
        <f>IF(AND($B3934&gt;='111'!$N$11,$B3934&lt;='111'!$O$11,OR($L3934=$O$7,$M3934=$O$7)),"x","")</f>
        <v/>
      </c>
      <c r="P3934" s="52" t="str">
        <f>IF(AND($L3934=$O$7,$B3934&lt;'111'!$N$11),"x","")</f>
        <v/>
      </c>
      <c r="Q3934" s="52" t="str">
        <f>IF(AND($M3934=$O$7,$B3934&lt;'111'!$N$11),"x","")</f>
        <v/>
      </c>
      <c r="R3934" s="52" t="str">
        <f>IF(ISERROR(FIND('112'!$M$9,G3934,1)),"",IF((AND(FIND('112'!$M$9,G3934,1)&gt;=1,$B3934&gt;='112'!$N$8,$B3934&lt;='112'!$O$8,OR($L3934='112'!$I$6,$M3934='112'!$I$6))),"x",""))</f>
        <v/>
      </c>
      <c r="S3934" s="52" t="str">
        <f>IF(ISERROR(FIND('112'!$M$9,G3934,1)),"",IF((AND(LEFT(G3934,2)=LEFT('112'!$M$9,2),B3934&lt;'112'!$N$8,$L3934='112'!$I$6)),"x",""))</f>
        <v/>
      </c>
      <c r="T3934" s="52" t="str">
        <f>IF(ISERROR(FIND('112'!$M$9,G3934,1)),"",IF((AND(RIGHT(G3934,2)=RIGHT('112'!$M$9,2),B3934&lt;'112'!$N$8,$M3934='112'!$I$6)),"x",""))</f>
        <v/>
      </c>
      <c r="U3934" s="52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/>
      </c>
      <c r="V3934" s="52" t="str">
        <f>IF(OR(TH!L3934=TH!$V$7,M3934=TH!$V$7),"x","")</f>
        <v/>
      </c>
      <c r="W3934" s="52" t="str">
        <f>IF(AND(B3934&gt;='IN-NX'!$P$3,B3934&lt;='IN-NX'!$Q$3,'IN-NX'!$D$7=D3934,OR(LEFT(L3934,2)="15",AND(LEFT(M3934,2)&lt;&gt;"15",LEFT(M3934,2)&lt;&gt;"33"))),"x","")</f>
        <v/>
      </c>
      <c r="X3934" s="52" t="str">
        <f>IF(AND(OR(LEFT(TH!L3934,2)="15",LEFT(TH!M3934,2)="15"),'152-CT'!$J$8=TH!F3934),"x","")</f>
        <v/>
      </c>
      <c r="Y3934" s="52" t="str">
        <f>IF(AND(OR(LEFT(TH!L3934,2)="15",LEFT(TH!M3934,2)="15"),TK!$E$7=TH!F3934),"x","")</f>
        <v/>
      </c>
      <c r="Z3934" s="52" t="str">
        <f>IF(AND(B3934&lt;=NKC!$N$8,B3934&gt;=NKC!$M$8),"x","")</f>
        <v>x</v>
      </c>
      <c r="AA3934" s="826"/>
    </row>
    <row r="3935" spans="1:27" ht="15.75" customHeight="1">
      <c r="A3935" s="827" t="str">
        <f>IF(B3935&lt;&gt;"",IF(AND(B3935&gt;=_TM1,B3935&lt;=_TM2,OR(TH!L3935="1111",TH!M3935="1111")),TH!D3935,""),"")</f>
        <v/>
      </c>
      <c r="B3935" s="36">
        <f t="shared" si="508"/>
        <v>9</v>
      </c>
      <c r="C3935" s="856">
        <f t="shared" si="509"/>
        <v>42638</v>
      </c>
      <c r="D3935" s="856" t="s">
        <v>1664</v>
      </c>
      <c r="E3935" s="856">
        <v>42638</v>
      </c>
      <c r="F3935" s="857" t="s">
        <v>1212</v>
      </c>
      <c r="G3935" s="858" t="s">
        <v>1775</v>
      </c>
      <c r="H3935" s="859" t="s">
        <v>1312</v>
      </c>
      <c r="I3935" s="251">
        <v>345</v>
      </c>
      <c r="J3935" s="251">
        <v>11781</v>
      </c>
      <c r="K3935" s="860">
        <f t="shared" si="510"/>
        <v>4064445</v>
      </c>
      <c r="L3935" s="861" t="s">
        <v>160</v>
      </c>
      <c r="M3935" s="861" t="s">
        <v>857</v>
      </c>
      <c r="N3935" s="52" t="str">
        <f>IF(AND('331-CT'!$E$7=TH!H3935,OR(L3935="331",M3935="331")),"331",IF(AND(OR(L3935="131",M3935="131"),H3935='131-CT'!$E$7),"131",""))</f>
        <v/>
      </c>
      <c r="O3935" s="52" t="str">
        <f>IF(AND($B3935&gt;='111'!$N$11,$B3935&lt;='111'!$O$11,OR($L3935=$O$7,$M3935=$O$7)),"x","")</f>
        <v/>
      </c>
      <c r="P3935" s="52" t="str">
        <f>IF(AND($L3935=$O$7,$B3935&lt;'111'!$N$11),"x","")</f>
        <v/>
      </c>
      <c r="Q3935" s="52" t="str">
        <f>IF(AND($M3935=$O$7,$B3935&lt;'111'!$N$11),"x","")</f>
        <v/>
      </c>
      <c r="R3935" s="52" t="str">
        <f>IF(ISERROR(FIND('112'!$M$9,G3935,1)),"",IF((AND(FIND('112'!$M$9,G3935,1)&gt;=1,$B3935&gt;='112'!$N$8,$B3935&lt;='112'!$O$8,OR($L3935='112'!$I$6,$M3935='112'!$I$6))),"x",""))</f>
        <v/>
      </c>
      <c r="S3935" s="52" t="str">
        <f>IF(ISERROR(FIND('112'!$M$9,G3935,1)),"",IF((AND(LEFT(G3935,2)=LEFT('112'!$M$9,2),B3935&lt;'112'!$N$8,$L3935='112'!$I$6)),"x",""))</f>
        <v/>
      </c>
      <c r="T3935" s="52" t="str">
        <f>IF(ISERROR(FIND('112'!$M$9,G3935,1)),"",IF((AND(RIGHT(G3935,2)=RIGHT('112'!$M$9,2),B3935&lt;'112'!$N$8,$M3935='112'!$I$6)),"x",""))</f>
        <v/>
      </c>
      <c r="U3935" s="52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/>
      </c>
      <c r="V3935" s="52" t="str">
        <f>IF(OR(TH!L3935=TH!$V$7,M3935=TH!$V$7),"x","")</f>
        <v/>
      </c>
      <c r="W3935" s="52" t="str">
        <f>IF(AND(B3935&gt;='IN-NX'!$P$3,B3935&lt;='IN-NX'!$Q$3,'IN-NX'!$D$7=D3935,OR(LEFT(L3935,2)="15",AND(LEFT(M3935,2)&lt;&gt;"15",LEFT(M3935,2)&lt;&gt;"33"))),"x","")</f>
        <v/>
      </c>
      <c r="X3935" s="52" t="str">
        <f>IF(AND(OR(LEFT(TH!L3935,2)="15",LEFT(TH!M3935,2)="15"),'152-CT'!$J$8=TH!F3935),"x","")</f>
        <v/>
      </c>
      <c r="Y3935" s="52" t="str">
        <f>IF(AND(OR(LEFT(TH!L3935,2)="15",LEFT(TH!M3935,2)="15"),TK!$E$7=TH!F3935),"x","")</f>
        <v/>
      </c>
      <c r="Z3935" s="52" t="str">
        <f>IF(AND(B3935&lt;=NKC!$N$8,B3935&gt;=NKC!$M$8),"x","")</f>
        <v>x</v>
      </c>
      <c r="AA3935" s="826"/>
    </row>
    <row r="3936" spans="1:27" ht="15.75" customHeight="1">
      <c r="A3936" s="827" t="str">
        <f>IF(B3936&lt;&gt;"",IF(AND(B3936&gt;=_TM1,B3936&lt;=_TM2,OR(TH!L3936="1111",TH!M3936="1111")),TH!D3936,""),"")</f>
        <v/>
      </c>
      <c r="B3936" s="36">
        <f t="shared" si="508"/>
        <v>9</v>
      </c>
      <c r="C3936" s="856">
        <f t="shared" si="509"/>
        <v>42638</v>
      </c>
      <c r="D3936" s="856" t="s">
        <v>1664</v>
      </c>
      <c r="E3936" s="856">
        <v>42638</v>
      </c>
      <c r="F3936" s="857" t="s">
        <v>1212</v>
      </c>
      <c r="G3936" s="858" t="s">
        <v>1775</v>
      </c>
      <c r="H3936" s="859" t="s">
        <v>1312</v>
      </c>
      <c r="I3936" s="251">
        <v>200</v>
      </c>
      <c r="J3936" s="251">
        <v>11781</v>
      </c>
      <c r="K3936" s="860">
        <f t="shared" si="510"/>
        <v>2356200</v>
      </c>
      <c r="L3936" s="861" t="s">
        <v>160</v>
      </c>
      <c r="M3936" s="861" t="s">
        <v>857</v>
      </c>
      <c r="N3936" s="52" t="str">
        <f>IF(AND('331-CT'!$E$7=TH!H3936,OR(L3936="331",M3936="331")),"331",IF(AND(OR(L3936="131",M3936="131"),H3936='131-CT'!$E$7),"131",""))</f>
        <v/>
      </c>
      <c r="O3936" s="52" t="str">
        <f>IF(AND($B3936&gt;='111'!$N$11,$B3936&lt;='111'!$O$11,OR($L3936=$O$7,$M3936=$O$7)),"x","")</f>
        <v/>
      </c>
      <c r="P3936" s="52" t="str">
        <f>IF(AND($L3936=$O$7,$B3936&lt;'111'!$N$11),"x","")</f>
        <v/>
      </c>
      <c r="Q3936" s="52" t="str">
        <f>IF(AND($M3936=$O$7,$B3936&lt;'111'!$N$11),"x","")</f>
        <v/>
      </c>
      <c r="R3936" s="52" t="str">
        <f>IF(ISERROR(FIND('112'!$M$9,G3936,1)),"",IF((AND(FIND('112'!$M$9,G3936,1)&gt;=1,$B3936&gt;='112'!$N$8,$B3936&lt;='112'!$O$8,OR($L3936='112'!$I$6,$M3936='112'!$I$6))),"x",""))</f>
        <v/>
      </c>
      <c r="S3936" s="52" t="str">
        <f>IF(ISERROR(FIND('112'!$M$9,G3936,1)),"",IF((AND(LEFT(G3936,2)=LEFT('112'!$M$9,2),B3936&lt;'112'!$N$8,$L3936='112'!$I$6)),"x",""))</f>
        <v/>
      </c>
      <c r="T3936" s="52" t="str">
        <f>IF(ISERROR(FIND('112'!$M$9,G3936,1)),"",IF((AND(RIGHT(G3936,2)=RIGHT('112'!$M$9,2),B3936&lt;'112'!$N$8,$M3936='112'!$I$6)),"x",""))</f>
        <v/>
      </c>
      <c r="U3936" s="52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/>
      </c>
      <c r="V3936" s="52" t="str">
        <f>IF(OR(TH!L3936=TH!$V$7,M3936=TH!$V$7),"x","")</f>
        <v/>
      </c>
      <c r="W3936" s="52" t="str">
        <f>IF(AND(B3936&gt;='IN-NX'!$P$3,B3936&lt;='IN-NX'!$Q$3,'IN-NX'!$D$7=D3936,OR(LEFT(L3936,2)="15",AND(LEFT(M3936,2)&lt;&gt;"15",LEFT(M3936,2)&lt;&gt;"33"))),"x","")</f>
        <v/>
      </c>
      <c r="X3936" s="52" t="str">
        <f>IF(AND(OR(LEFT(TH!L3936,2)="15",LEFT(TH!M3936,2)="15"),'152-CT'!$J$8=TH!F3936),"x","")</f>
        <v/>
      </c>
      <c r="Y3936" s="52" t="str">
        <f>IF(AND(OR(LEFT(TH!L3936,2)="15",LEFT(TH!M3936,2)="15"),TK!$E$7=TH!F3936),"x","")</f>
        <v/>
      </c>
      <c r="Z3936" s="52" t="str">
        <f>IF(AND(B3936&lt;=NKC!$N$8,B3936&gt;=NKC!$M$8),"x","")</f>
        <v>x</v>
      </c>
      <c r="AA3936" s="826"/>
    </row>
    <row r="3937" spans="1:27" ht="15.75" customHeight="1">
      <c r="A3937" s="827" t="str">
        <f>IF(B3937&lt;&gt;"",IF(AND(B3937&gt;=_TM1,B3937&lt;=_TM2,OR(TH!L3937="1111",TH!M3937="1111")),TH!D3937,""),"")</f>
        <v/>
      </c>
      <c r="B3937" s="36">
        <f t="shared" si="508"/>
        <v>9</v>
      </c>
      <c r="C3937" s="856">
        <f t="shared" si="509"/>
        <v>42638</v>
      </c>
      <c r="D3937" s="856" t="s">
        <v>1664</v>
      </c>
      <c r="E3937" s="856">
        <v>42638</v>
      </c>
      <c r="F3937" s="857" t="s">
        <v>1280</v>
      </c>
      <c r="G3937" s="858" t="s">
        <v>1775</v>
      </c>
      <c r="H3937" s="859" t="s">
        <v>1312</v>
      </c>
      <c r="I3937" s="251">
        <v>60</v>
      </c>
      <c r="J3937" s="251">
        <v>20079</v>
      </c>
      <c r="K3937" s="860">
        <f t="shared" si="510"/>
        <v>1204740</v>
      </c>
      <c r="L3937" s="861" t="s">
        <v>160</v>
      </c>
      <c r="M3937" s="861" t="s">
        <v>857</v>
      </c>
      <c r="N3937" s="52" t="str">
        <f>IF(AND('331-CT'!$E$7=TH!H3937,OR(L3937="331",M3937="331")),"331",IF(AND(OR(L3937="131",M3937="131"),H3937='131-CT'!$E$7),"131",""))</f>
        <v/>
      </c>
      <c r="O3937" s="52" t="str">
        <f>IF(AND($B3937&gt;='111'!$N$11,$B3937&lt;='111'!$O$11,OR($L3937=$O$7,$M3937=$O$7)),"x","")</f>
        <v/>
      </c>
      <c r="P3937" s="52" t="str">
        <f>IF(AND($L3937=$O$7,$B3937&lt;'111'!$N$11),"x","")</f>
        <v/>
      </c>
      <c r="Q3937" s="52" t="str">
        <f>IF(AND($M3937=$O$7,$B3937&lt;'111'!$N$11),"x","")</f>
        <v/>
      </c>
      <c r="R3937" s="52" t="str">
        <f>IF(ISERROR(FIND('112'!$M$9,G3937,1)),"",IF((AND(FIND('112'!$M$9,G3937,1)&gt;=1,$B3937&gt;='112'!$N$8,$B3937&lt;='112'!$O$8,OR($L3937='112'!$I$6,$M3937='112'!$I$6))),"x",""))</f>
        <v/>
      </c>
      <c r="S3937" s="52" t="str">
        <f>IF(ISERROR(FIND('112'!$M$9,G3937,1)),"",IF((AND(LEFT(G3937,2)=LEFT('112'!$M$9,2),B3937&lt;'112'!$N$8,$L3937='112'!$I$6)),"x",""))</f>
        <v/>
      </c>
      <c r="T3937" s="52" t="str">
        <f>IF(ISERROR(FIND('112'!$M$9,G3937,1)),"",IF((AND(RIGHT(G3937,2)=RIGHT('112'!$M$9,2),B3937&lt;'112'!$N$8,$M3937='112'!$I$6)),"x",""))</f>
        <v/>
      </c>
      <c r="U3937" s="52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/>
      </c>
      <c r="V3937" s="52" t="str">
        <f>IF(OR(TH!L3937=TH!$V$7,M3937=TH!$V$7),"x","")</f>
        <v/>
      </c>
      <c r="W3937" s="52" t="str">
        <f>IF(AND(B3937&gt;='IN-NX'!$P$3,B3937&lt;='IN-NX'!$Q$3,'IN-NX'!$D$7=D3937,OR(LEFT(L3937,2)="15",AND(LEFT(M3937,2)&lt;&gt;"15",LEFT(M3937,2)&lt;&gt;"33"))),"x","")</f>
        <v/>
      </c>
      <c r="X3937" s="52" t="str">
        <f>IF(AND(OR(LEFT(TH!L3937,2)="15",LEFT(TH!M3937,2)="15"),'152-CT'!$J$8=TH!F3937),"x","")</f>
        <v/>
      </c>
      <c r="Y3937" s="52" t="str">
        <f>IF(AND(OR(LEFT(TH!L3937,2)="15",LEFT(TH!M3937,2)="15"),TK!$E$7=TH!F3937),"x","")</f>
        <v/>
      </c>
      <c r="Z3937" s="52" t="str">
        <f>IF(AND(B3937&lt;=NKC!$N$8,B3937&gt;=NKC!$M$8),"x","")</f>
        <v>x</v>
      </c>
      <c r="AA3937" s="826"/>
    </row>
    <row r="3938" spans="1:27" ht="15.75" customHeight="1">
      <c r="A3938" s="827" t="str">
        <f>IF(B3938&lt;&gt;"",IF(AND(B3938&gt;=_TM1,B3938&lt;=_TM2,OR(TH!L3938="1111",TH!M3938="1111")),TH!D3938,""),"")</f>
        <v/>
      </c>
      <c r="B3938" s="36">
        <f t="shared" si="508"/>
        <v>9</v>
      </c>
      <c r="C3938" s="856">
        <f t="shared" si="509"/>
        <v>42638</v>
      </c>
      <c r="D3938" s="856" t="s">
        <v>1664</v>
      </c>
      <c r="E3938" s="856">
        <v>42638</v>
      </c>
      <c r="F3938" s="857" t="s">
        <v>1157</v>
      </c>
      <c r="G3938" s="858" t="s">
        <v>1775</v>
      </c>
      <c r="H3938" s="859" t="s">
        <v>1312</v>
      </c>
      <c r="I3938" s="251">
        <v>100</v>
      </c>
      <c r="J3938" s="251">
        <v>13318</v>
      </c>
      <c r="K3938" s="860">
        <f t="shared" si="510"/>
        <v>1331800</v>
      </c>
      <c r="L3938" s="861" t="s">
        <v>160</v>
      </c>
      <c r="M3938" s="861" t="s">
        <v>857</v>
      </c>
      <c r="N3938" s="52" t="str">
        <f>IF(AND('331-CT'!$E$7=TH!H3938,OR(L3938="331",M3938="331")),"331",IF(AND(OR(L3938="131",M3938="131"),H3938='131-CT'!$E$7),"131",""))</f>
        <v/>
      </c>
      <c r="O3938" s="52" t="str">
        <f>IF(AND($B3938&gt;='111'!$N$11,$B3938&lt;='111'!$O$11,OR($L3938=$O$7,$M3938=$O$7)),"x","")</f>
        <v/>
      </c>
      <c r="P3938" s="52" t="str">
        <f>IF(AND($L3938=$O$7,$B3938&lt;'111'!$N$11),"x","")</f>
        <v/>
      </c>
      <c r="Q3938" s="52" t="str">
        <f>IF(AND($M3938=$O$7,$B3938&lt;'111'!$N$11),"x","")</f>
        <v/>
      </c>
      <c r="R3938" s="52" t="str">
        <f>IF(ISERROR(FIND('112'!$M$9,G3938,1)),"",IF((AND(FIND('112'!$M$9,G3938,1)&gt;=1,$B3938&gt;='112'!$N$8,$B3938&lt;='112'!$O$8,OR($L3938='112'!$I$6,$M3938='112'!$I$6))),"x",""))</f>
        <v/>
      </c>
      <c r="S3938" s="52" t="str">
        <f>IF(ISERROR(FIND('112'!$M$9,G3938,1)),"",IF((AND(LEFT(G3938,2)=LEFT('112'!$M$9,2),B3938&lt;'112'!$N$8,$L3938='112'!$I$6)),"x",""))</f>
        <v/>
      </c>
      <c r="T3938" s="52" t="str">
        <f>IF(ISERROR(FIND('112'!$M$9,G3938,1)),"",IF((AND(RIGHT(G3938,2)=RIGHT('112'!$M$9,2),B3938&lt;'112'!$N$8,$M3938='112'!$I$6)),"x",""))</f>
        <v/>
      </c>
      <c r="U3938" s="52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/>
      </c>
      <c r="V3938" s="52" t="str">
        <f>IF(OR(TH!L3938=TH!$V$7,M3938=TH!$V$7),"x","")</f>
        <v/>
      </c>
      <c r="W3938" s="52" t="str">
        <f>IF(AND(B3938&gt;='IN-NX'!$P$3,B3938&lt;='IN-NX'!$Q$3,'IN-NX'!$D$7=D3938,OR(LEFT(L3938,2)="15",AND(LEFT(M3938,2)&lt;&gt;"15",LEFT(M3938,2)&lt;&gt;"33"))),"x","")</f>
        <v/>
      </c>
      <c r="X3938" s="52" t="str">
        <f>IF(AND(OR(LEFT(TH!L3938,2)="15",LEFT(TH!M3938,2)="15"),'152-CT'!$J$8=TH!F3938),"x","")</f>
        <v/>
      </c>
      <c r="Y3938" s="52" t="str">
        <f>IF(AND(OR(LEFT(TH!L3938,2)="15",LEFT(TH!M3938,2)="15"),TK!$E$7=TH!F3938),"x","")</f>
        <v/>
      </c>
      <c r="Z3938" s="52" t="str">
        <f>IF(AND(B3938&lt;=NKC!$N$8,B3938&gt;=NKC!$M$8),"x","")</f>
        <v>x</v>
      </c>
      <c r="AA3938" s="826"/>
    </row>
    <row r="3939" spans="1:27" ht="15.75" customHeight="1">
      <c r="A3939" s="827" t="str">
        <f>IF(B3939&lt;&gt;"",IF(AND(B3939&gt;=_TM1,B3939&lt;=_TM2,OR(TH!L3939="1111",TH!M3939="1111")),TH!D3939,""),"")</f>
        <v/>
      </c>
      <c r="B3939" s="36">
        <f t="shared" si="508"/>
        <v>1</v>
      </c>
      <c r="C3939" s="856">
        <f t="shared" si="509"/>
        <v>0</v>
      </c>
      <c r="D3939" s="856" t="s">
        <v>1664</v>
      </c>
      <c r="E3939" s="856"/>
      <c r="F3939" s="857"/>
      <c r="G3939" s="858"/>
      <c r="H3939" s="859" t="s">
        <v>1312</v>
      </c>
      <c r="I3939" s="251"/>
      <c r="J3939" s="251"/>
      <c r="K3939" s="860">
        <f t="shared" si="510"/>
        <v>0</v>
      </c>
      <c r="L3939" s="861" t="s">
        <v>160</v>
      </c>
      <c r="M3939" s="861" t="s">
        <v>857</v>
      </c>
      <c r="N3939" s="52" t="str">
        <f>IF(AND('331-CT'!$E$7=TH!H3939,OR(L3939="331",M3939="331")),"331",IF(AND(OR(L3939="131",M3939="131"),H3939='131-CT'!$E$7),"131",""))</f>
        <v/>
      </c>
      <c r="O3939" s="52" t="str">
        <f>IF(AND($B3939&gt;='111'!$N$11,$B3939&lt;='111'!$O$11,OR($L3939=$O$7,$M3939=$O$7)),"x","")</f>
        <v/>
      </c>
      <c r="P3939" s="52" t="str">
        <f>IF(AND($L3939=$O$7,$B3939&lt;'111'!$N$11),"x","")</f>
        <v/>
      </c>
      <c r="Q3939" s="52" t="str">
        <f>IF(AND($M3939=$O$7,$B3939&lt;'111'!$N$11),"x","")</f>
        <v/>
      </c>
      <c r="R3939" s="52" t="str">
        <f>IF(ISERROR(FIND('112'!$M$9,G3939,1)),"",IF((AND(FIND('112'!$M$9,G3939,1)&gt;=1,$B3939&gt;='112'!$N$8,$B3939&lt;='112'!$O$8,OR($L3939='112'!$I$6,$M3939='112'!$I$6))),"x",""))</f>
        <v/>
      </c>
      <c r="S3939" s="52" t="str">
        <f>IF(ISERROR(FIND('112'!$M$9,G3939,1)),"",IF((AND(LEFT(G3939,2)=LEFT('112'!$M$9,2),B3939&lt;'112'!$N$8,$L3939='112'!$I$6)),"x",""))</f>
        <v/>
      </c>
      <c r="T3939" s="52" t="str">
        <f>IF(ISERROR(FIND('112'!$M$9,G3939,1)),"",IF((AND(RIGHT(G3939,2)=RIGHT('112'!$M$9,2),B3939&lt;'112'!$N$8,$M3939='112'!$I$6)),"x",""))</f>
        <v/>
      </c>
      <c r="U3939" s="52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/>
      </c>
      <c r="V3939" s="52" t="str">
        <f>IF(OR(TH!L3939=TH!$V$7,M3939=TH!$V$7),"x","")</f>
        <v/>
      </c>
      <c r="W3939" s="52" t="str">
        <f>IF(AND(B3939&gt;='IN-NX'!$P$3,B3939&lt;='IN-NX'!$Q$3,'IN-NX'!$D$7=D3939,OR(LEFT(L3939,2)="15",AND(LEFT(M3939,2)&lt;&gt;"15",LEFT(M3939,2)&lt;&gt;"33"))),"x","")</f>
        <v/>
      </c>
      <c r="X3939" s="52" t="str">
        <f>IF(AND(OR(LEFT(TH!L3939,2)="15",LEFT(TH!M3939,2)="15"),'152-CT'!$J$8=TH!F3939),"x","")</f>
        <v/>
      </c>
      <c r="Y3939" s="52" t="str">
        <f>IF(AND(OR(LEFT(TH!L3939,2)="15",LEFT(TH!M3939,2)="15"),TK!$E$7=TH!F3939),"x","")</f>
        <v/>
      </c>
      <c r="Z3939" s="52" t="str">
        <f>IF(AND(B3939&lt;=NKC!$N$8,B3939&gt;=NKC!$M$8),"x","")</f>
        <v/>
      </c>
      <c r="AA3939" s="826"/>
    </row>
    <row r="3940" spans="1:27" ht="15.75" customHeight="1">
      <c r="A3940" s="827" t="str">
        <f>IF(B3940&lt;&gt;"",IF(AND(B3940&gt;=_TM1,B3940&lt;=_TM2,OR(TH!L3940="1111",TH!M3940="1111")),TH!D3940,""),"")</f>
        <v/>
      </c>
      <c r="B3940" s="36">
        <f t="shared" si="508"/>
        <v>1</v>
      </c>
      <c r="C3940" s="856">
        <f t="shared" si="509"/>
        <v>0</v>
      </c>
      <c r="D3940" s="856" t="s">
        <v>1664</v>
      </c>
      <c r="E3940" s="856"/>
      <c r="F3940" s="857"/>
      <c r="G3940" s="858"/>
      <c r="H3940" s="859" t="s">
        <v>1312</v>
      </c>
      <c r="I3940" s="251"/>
      <c r="J3940" s="251"/>
      <c r="K3940" s="860">
        <f t="shared" si="510"/>
        <v>0</v>
      </c>
      <c r="L3940" s="861" t="s">
        <v>160</v>
      </c>
      <c r="M3940" s="861" t="s">
        <v>857</v>
      </c>
      <c r="N3940" s="52" t="str">
        <f>IF(AND('331-CT'!$E$7=TH!H3940,OR(L3940="331",M3940="331")),"331",IF(AND(OR(L3940="131",M3940="131"),H3940='131-CT'!$E$7),"131",""))</f>
        <v/>
      </c>
      <c r="O3940" s="52" t="str">
        <f>IF(AND($B3940&gt;='111'!$N$11,$B3940&lt;='111'!$O$11,OR($L3940=$O$7,$M3940=$O$7)),"x","")</f>
        <v/>
      </c>
      <c r="P3940" s="52" t="str">
        <f>IF(AND($L3940=$O$7,$B3940&lt;'111'!$N$11),"x","")</f>
        <v/>
      </c>
      <c r="Q3940" s="52" t="str">
        <f>IF(AND($M3940=$O$7,$B3940&lt;'111'!$N$11),"x","")</f>
        <v/>
      </c>
      <c r="R3940" s="52" t="str">
        <f>IF(ISERROR(FIND('112'!$M$9,G3940,1)),"",IF((AND(FIND('112'!$M$9,G3940,1)&gt;=1,$B3940&gt;='112'!$N$8,$B3940&lt;='112'!$O$8,OR($L3940='112'!$I$6,$M3940='112'!$I$6))),"x",""))</f>
        <v/>
      </c>
      <c r="S3940" s="52" t="str">
        <f>IF(ISERROR(FIND('112'!$M$9,G3940,1)),"",IF((AND(LEFT(G3940,2)=LEFT('112'!$M$9,2),B3940&lt;'112'!$N$8,$L3940='112'!$I$6)),"x",""))</f>
        <v/>
      </c>
      <c r="T3940" s="52" t="str">
        <f>IF(ISERROR(FIND('112'!$M$9,G3940,1)),"",IF((AND(RIGHT(G3940,2)=RIGHT('112'!$M$9,2),B3940&lt;'112'!$N$8,$M3940='112'!$I$6)),"x",""))</f>
        <v/>
      </c>
      <c r="U3940" s="52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/>
      </c>
      <c r="V3940" s="52" t="str">
        <f>IF(OR(TH!L3940=TH!$V$7,M3940=TH!$V$7),"x","")</f>
        <v/>
      </c>
      <c r="W3940" s="52" t="str">
        <f>IF(AND(B3940&gt;='IN-NX'!$P$3,B3940&lt;='IN-NX'!$Q$3,'IN-NX'!$D$7=D3940,OR(LEFT(L3940,2)="15",AND(LEFT(M3940,2)&lt;&gt;"15",LEFT(M3940,2)&lt;&gt;"33"))),"x","")</f>
        <v/>
      </c>
      <c r="X3940" s="52" t="str">
        <f>IF(AND(OR(LEFT(TH!L3940,2)="15",LEFT(TH!M3940,2)="15"),'152-CT'!$J$8=TH!F3940),"x","")</f>
        <v/>
      </c>
      <c r="Y3940" s="52" t="str">
        <f>IF(AND(OR(LEFT(TH!L3940,2)="15",LEFT(TH!M3940,2)="15"),TK!$E$7=TH!F3940),"x","")</f>
        <v/>
      </c>
      <c r="Z3940" s="52" t="str">
        <f>IF(AND(B3940&lt;=NKC!$N$8,B3940&gt;=NKC!$M$8),"x","")</f>
        <v/>
      </c>
      <c r="AA3940" s="826"/>
    </row>
    <row r="3941" spans="1:27" ht="15.75" customHeight="1">
      <c r="A3941" s="827" t="str">
        <f>IF(B3941&lt;&gt;"",IF(AND(B3941&gt;=_TM1,B3941&lt;=_TM2,OR(TH!L3941="1111",TH!M3941="1111")),TH!D3941,""),"")</f>
        <v/>
      </c>
      <c r="B3941" s="36">
        <f t="shared" si="508"/>
        <v>1</v>
      </c>
      <c r="C3941" s="856">
        <f t="shared" si="509"/>
        <v>0</v>
      </c>
      <c r="D3941" s="856" t="s">
        <v>1664</v>
      </c>
      <c r="E3941" s="856"/>
      <c r="F3941" s="857"/>
      <c r="G3941" s="858"/>
      <c r="H3941" s="859" t="s">
        <v>1312</v>
      </c>
      <c r="I3941" s="251"/>
      <c r="J3941" s="251"/>
      <c r="K3941" s="860">
        <f t="shared" si="510"/>
        <v>0</v>
      </c>
      <c r="L3941" s="861" t="s">
        <v>160</v>
      </c>
      <c r="M3941" s="861" t="s">
        <v>857</v>
      </c>
      <c r="N3941" s="52" t="str">
        <f>IF(AND('331-CT'!$E$7=TH!H3941,OR(L3941="331",M3941="331")),"331",IF(AND(OR(L3941="131",M3941="131"),H3941='131-CT'!$E$7),"131",""))</f>
        <v/>
      </c>
      <c r="O3941" s="52" t="str">
        <f>IF(AND($B3941&gt;='111'!$N$11,$B3941&lt;='111'!$O$11,OR($L3941=$O$7,$M3941=$O$7)),"x","")</f>
        <v/>
      </c>
      <c r="P3941" s="52" t="str">
        <f>IF(AND($L3941=$O$7,$B3941&lt;'111'!$N$11),"x","")</f>
        <v/>
      </c>
      <c r="Q3941" s="52" t="str">
        <f>IF(AND($M3941=$O$7,$B3941&lt;'111'!$N$11),"x","")</f>
        <v/>
      </c>
      <c r="R3941" s="52" t="str">
        <f>IF(ISERROR(FIND('112'!$M$9,G3941,1)),"",IF((AND(FIND('112'!$M$9,G3941,1)&gt;=1,$B3941&gt;='112'!$N$8,$B3941&lt;='112'!$O$8,OR($L3941='112'!$I$6,$M3941='112'!$I$6))),"x",""))</f>
        <v/>
      </c>
      <c r="S3941" s="52" t="str">
        <f>IF(ISERROR(FIND('112'!$M$9,G3941,1)),"",IF((AND(LEFT(G3941,2)=LEFT('112'!$M$9,2),B3941&lt;'112'!$N$8,$L3941='112'!$I$6)),"x",""))</f>
        <v/>
      </c>
      <c r="T3941" s="52" t="str">
        <f>IF(ISERROR(FIND('112'!$M$9,G3941,1)),"",IF((AND(RIGHT(G3941,2)=RIGHT('112'!$M$9,2),B3941&lt;'112'!$N$8,$M3941='112'!$I$6)),"x",""))</f>
        <v/>
      </c>
      <c r="U3941" s="52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/>
      </c>
      <c r="V3941" s="52" t="str">
        <f>IF(OR(TH!L3941=TH!$V$7,M3941=TH!$V$7),"x","")</f>
        <v/>
      </c>
      <c r="W3941" s="52" t="str">
        <f>IF(AND(B3941&gt;='IN-NX'!$P$3,B3941&lt;='IN-NX'!$Q$3,'IN-NX'!$D$7=D3941,OR(LEFT(L3941,2)="15",AND(LEFT(M3941,2)&lt;&gt;"15",LEFT(M3941,2)&lt;&gt;"33"))),"x","")</f>
        <v/>
      </c>
      <c r="X3941" s="52" t="str">
        <f>IF(AND(OR(LEFT(TH!L3941,2)="15",LEFT(TH!M3941,2)="15"),'152-CT'!$J$8=TH!F3941),"x","")</f>
        <v/>
      </c>
      <c r="Y3941" s="52" t="str">
        <f>IF(AND(OR(LEFT(TH!L3941,2)="15",LEFT(TH!M3941,2)="15"),TK!$E$7=TH!F3941),"x","")</f>
        <v/>
      </c>
      <c r="Z3941" s="52" t="str">
        <f>IF(AND(B3941&lt;=NKC!$N$8,B3941&gt;=NKC!$M$8),"x","")</f>
        <v/>
      </c>
      <c r="AA3941" s="826"/>
    </row>
    <row r="3942" spans="1:27" ht="15.75" customHeight="1">
      <c r="A3942" s="827" t="str">
        <f>IF(B3942&lt;&gt;"",IF(AND(B3942&gt;=_TM1,B3942&lt;=_TM2,OR(TH!L3942="1111",TH!M3942="1111")),TH!D3942,""),"")</f>
        <v/>
      </c>
      <c r="B3942" s="36">
        <f t="shared" si="508"/>
        <v>1</v>
      </c>
      <c r="C3942" s="856">
        <f t="shared" si="509"/>
        <v>0</v>
      </c>
      <c r="D3942" s="856" t="s">
        <v>1664</v>
      </c>
      <c r="E3942" s="856"/>
      <c r="F3942" s="857"/>
      <c r="G3942" s="858"/>
      <c r="H3942" s="859" t="s">
        <v>1312</v>
      </c>
      <c r="I3942" s="251"/>
      <c r="J3942" s="251"/>
      <c r="K3942" s="860">
        <f t="shared" si="510"/>
        <v>0</v>
      </c>
      <c r="L3942" s="861" t="s">
        <v>160</v>
      </c>
      <c r="M3942" s="861" t="s">
        <v>857</v>
      </c>
      <c r="N3942" s="52" t="str">
        <f>IF(AND('331-CT'!$E$7=TH!H3942,OR(L3942="331",M3942="331")),"331",IF(AND(OR(L3942="131",M3942="131"),H3942='131-CT'!$E$7),"131",""))</f>
        <v/>
      </c>
      <c r="O3942" s="52" t="str">
        <f>IF(AND($B3942&gt;='111'!$N$11,$B3942&lt;='111'!$O$11,OR($L3942=$O$7,$M3942=$O$7)),"x","")</f>
        <v/>
      </c>
      <c r="P3942" s="52" t="str">
        <f>IF(AND($L3942=$O$7,$B3942&lt;'111'!$N$11),"x","")</f>
        <v/>
      </c>
      <c r="Q3942" s="52" t="str">
        <f>IF(AND($M3942=$O$7,$B3942&lt;'111'!$N$11),"x","")</f>
        <v/>
      </c>
      <c r="R3942" s="52" t="str">
        <f>IF(ISERROR(FIND('112'!$M$9,G3942,1)),"",IF((AND(FIND('112'!$M$9,G3942,1)&gt;=1,$B3942&gt;='112'!$N$8,$B3942&lt;='112'!$O$8,OR($L3942='112'!$I$6,$M3942='112'!$I$6))),"x",""))</f>
        <v/>
      </c>
      <c r="S3942" s="52" t="str">
        <f>IF(ISERROR(FIND('112'!$M$9,G3942,1)),"",IF((AND(LEFT(G3942,2)=LEFT('112'!$M$9,2),B3942&lt;'112'!$N$8,$L3942='112'!$I$6)),"x",""))</f>
        <v/>
      </c>
      <c r="T3942" s="52" t="str">
        <f>IF(ISERROR(FIND('112'!$M$9,G3942,1)),"",IF((AND(RIGHT(G3942,2)=RIGHT('112'!$M$9,2),B3942&lt;'112'!$N$8,$M3942='112'!$I$6)),"x",""))</f>
        <v/>
      </c>
      <c r="U3942" s="52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/>
      </c>
      <c r="V3942" s="52" t="str">
        <f>IF(OR(TH!L3942=TH!$V$7,M3942=TH!$V$7),"x","")</f>
        <v/>
      </c>
      <c r="W3942" s="52" t="str">
        <f>IF(AND(B3942&gt;='IN-NX'!$P$3,B3942&lt;='IN-NX'!$Q$3,'IN-NX'!$D$7=D3942,OR(LEFT(L3942,2)="15",AND(LEFT(M3942,2)&lt;&gt;"15",LEFT(M3942,2)&lt;&gt;"33"))),"x","")</f>
        <v/>
      </c>
      <c r="X3942" s="52" t="str">
        <f>IF(AND(OR(LEFT(TH!L3942,2)="15",LEFT(TH!M3942,2)="15"),'152-CT'!$J$8=TH!F3942),"x","")</f>
        <v/>
      </c>
      <c r="Y3942" s="52" t="str">
        <f>IF(AND(OR(LEFT(TH!L3942,2)="15",LEFT(TH!M3942,2)="15"),TK!$E$7=TH!F3942),"x","")</f>
        <v/>
      </c>
      <c r="Z3942" s="52" t="str">
        <f>IF(AND(B3942&lt;=NKC!$N$8,B3942&gt;=NKC!$M$8),"x","")</f>
        <v/>
      </c>
      <c r="AA3942" s="826"/>
    </row>
    <row r="3943" spans="1:27" ht="15.75" customHeight="1">
      <c r="A3943" s="827" t="str">
        <f>IF(B3943&lt;&gt;"",IF(AND(B3943&gt;=_TM1,B3943&lt;=_TM2,OR(TH!L3943="1111",TH!M3943="1111")),TH!D3943,""),"")</f>
        <v/>
      </c>
      <c r="B3943" s="36">
        <f t="shared" si="508"/>
        <v>1</v>
      </c>
      <c r="C3943" s="856">
        <f t="shared" si="509"/>
        <v>0</v>
      </c>
      <c r="D3943" s="856" t="s">
        <v>1664</v>
      </c>
      <c r="E3943" s="856"/>
      <c r="F3943" s="857"/>
      <c r="G3943" s="858"/>
      <c r="H3943" s="859" t="s">
        <v>1312</v>
      </c>
      <c r="I3943" s="251"/>
      <c r="J3943" s="251"/>
      <c r="K3943" s="860">
        <f t="shared" si="510"/>
        <v>0</v>
      </c>
      <c r="L3943" s="861" t="s">
        <v>160</v>
      </c>
      <c r="M3943" s="861" t="s">
        <v>857</v>
      </c>
      <c r="N3943" s="52" t="str">
        <f>IF(AND('331-CT'!$E$7=TH!H3943,OR(L3943="331",M3943="331")),"331",IF(AND(OR(L3943="131",M3943="131"),H3943='131-CT'!$E$7),"131",""))</f>
        <v/>
      </c>
      <c r="O3943" s="52" t="str">
        <f>IF(AND($B3943&gt;='111'!$N$11,$B3943&lt;='111'!$O$11,OR($L3943=$O$7,$M3943=$O$7)),"x","")</f>
        <v/>
      </c>
      <c r="P3943" s="52" t="str">
        <f>IF(AND($L3943=$O$7,$B3943&lt;'111'!$N$11),"x","")</f>
        <v/>
      </c>
      <c r="Q3943" s="52" t="str">
        <f>IF(AND($M3943=$O$7,$B3943&lt;'111'!$N$11),"x","")</f>
        <v/>
      </c>
      <c r="R3943" s="52" t="str">
        <f>IF(ISERROR(FIND('112'!$M$9,G3943,1)),"",IF((AND(FIND('112'!$M$9,G3943,1)&gt;=1,$B3943&gt;='112'!$N$8,$B3943&lt;='112'!$O$8,OR($L3943='112'!$I$6,$M3943='112'!$I$6))),"x",""))</f>
        <v/>
      </c>
      <c r="S3943" s="52" t="str">
        <f>IF(ISERROR(FIND('112'!$M$9,G3943,1)),"",IF((AND(LEFT(G3943,2)=LEFT('112'!$M$9,2),B3943&lt;'112'!$N$8,$L3943='112'!$I$6)),"x",""))</f>
        <v/>
      </c>
      <c r="T3943" s="52" t="str">
        <f>IF(ISERROR(FIND('112'!$M$9,G3943,1)),"",IF((AND(RIGHT(G3943,2)=RIGHT('112'!$M$9,2),B3943&lt;'112'!$N$8,$M3943='112'!$I$6)),"x",""))</f>
        <v/>
      </c>
      <c r="U3943" s="52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/>
      </c>
      <c r="V3943" s="52" t="str">
        <f>IF(OR(TH!L3943=TH!$V$7,M3943=TH!$V$7),"x","")</f>
        <v/>
      </c>
      <c r="W3943" s="52" t="str">
        <f>IF(AND(B3943&gt;='IN-NX'!$P$3,B3943&lt;='IN-NX'!$Q$3,'IN-NX'!$D$7=D3943,OR(LEFT(L3943,2)="15",AND(LEFT(M3943,2)&lt;&gt;"15",LEFT(M3943,2)&lt;&gt;"33"))),"x","")</f>
        <v/>
      </c>
      <c r="X3943" s="52" t="str">
        <f>IF(AND(OR(LEFT(TH!L3943,2)="15",LEFT(TH!M3943,2)="15"),'152-CT'!$J$8=TH!F3943),"x","")</f>
        <v/>
      </c>
      <c r="Y3943" s="52" t="str">
        <f>IF(AND(OR(LEFT(TH!L3943,2)="15",LEFT(TH!M3943,2)="15"),TK!$E$7=TH!F3943),"x","")</f>
        <v/>
      </c>
      <c r="Z3943" s="52" t="str">
        <f>IF(AND(B3943&lt;=NKC!$N$8,B3943&gt;=NKC!$M$8),"x","")</f>
        <v/>
      </c>
      <c r="AA3943" s="826"/>
    </row>
    <row r="3944" spans="1:27" ht="15.75" customHeight="1">
      <c r="A3944" s="827" t="str">
        <f>IF(B3944&lt;&gt;"",IF(AND(B3944&gt;=_TM1,B3944&lt;=_TM2,OR(TH!L3944="1111",TH!M3944="1111")),TH!D3944,""),"")</f>
        <v/>
      </c>
      <c r="B3944" s="36">
        <f t="shared" si="508"/>
        <v>1</v>
      </c>
      <c r="C3944" s="856">
        <f t="shared" si="509"/>
        <v>0</v>
      </c>
      <c r="D3944" s="856" t="s">
        <v>1664</v>
      </c>
      <c r="E3944" s="856"/>
      <c r="F3944" s="857"/>
      <c r="G3944" s="858"/>
      <c r="H3944" s="859" t="s">
        <v>1312</v>
      </c>
      <c r="I3944" s="251"/>
      <c r="J3944" s="251"/>
      <c r="K3944" s="860">
        <f t="shared" si="510"/>
        <v>0</v>
      </c>
      <c r="L3944" s="861" t="s">
        <v>160</v>
      </c>
      <c r="M3944" s="861" t="s">
        <v>857</v>
      </c>
      <c r="N3944" s="52" t="str">
        <f>IF(AND('331-CT'!$E$7=TH!H3944,OR(L3944="331",M3944="331")),"331",IF(AND(OR(L3944="131",M3944="131"),H3944='131-CT'!$E$7),"131",""))</f>
        <v/>
      </c>
      <c r="O3944" s="52" t="str">
        <f>IF(AND($B3944&gt;='111'!$N$11,$B3944&lt;='111'!$O$11,OR($L3944=$O$7,$M3944=$O$7)),"x","")</f>
        <v/>
      </c>
      <c r="P3944" s="52" t="str">
        <f>IF(AND($L3944=$O$7,$B3944&lt;'111'!$N$11),"x","")</f>
        <v/>
      </c>
      <c r="Q3944" s="52" t="str">
        <f>IF(AND($M3944=$O$7,$B3944&lt;'111'!$N$11),"x","")</f>
        <v/>
      </c>
      <c r="R3944" s="52" t="str">
        <f>IF(ISERROR(FIND('112'!$M$9,G3944,1)),"",IF((AND(FIND('112'!$M$9,G3944,1)&gt;=1,$B3944&gt;='112'!$N$8,$B3944&lt;='112'!$O$8,OR($L3944='112'!$I$6,$M3944='112'!$I$6))),"x",""))</f>
        <v/>
      </c>
      <c r="S3944" s="52" t="str">
        <f>IF(ISERROR(FIND('112'!$M$9,G3944,1)),"",IF((AND(LEFT(G3944,2)=LEFT('112'!$M$9,2),B3944&lt;'112'!$N$8,$L3944='112'!$I$6)),"x",""))</f>
        <v/>
      </c>
      <c r="T3944" s="52" t="str">
        <f>IF(ISERROR(FIND('112'!$M$9,G3944,1)),"",IF((AND(RIGHT(G3944,2)=RIGHT('112'!$M$9,2),B3944&lt;'112'!$N$8,$M3944='112'!$I$6)),"x",""))</f>
        <v/>
      </c>
      <c r="U3944" s="52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/>
      </c>
      <c r="V3944" s="52" t="str">
        <f>IF(OR(TH!L3944=TH!$V$7,M3944=TH!$V$7),"x","")</f>
        <v/>
      </c>
      <c r="W3944" s="52" t="str">
        <f>IF(AND(B3944&gt;='IN-NX'!$P$3,B3944&lt;='IN-NX'!$Q$3,'IN-NX'!$D$7=D3944,OR(LEFT(L3944,2)="15",AND(LEFT(M3944,2)&lt;&gt;"15",LEFT(M3944,2)&lt;&gt;"33"))),"x","")</f>
        <v/>
      </c>
      <c r="X3944" s="52" t="str">
        <f>IF(AND(OR(LEFT(TH!L3944,2)="15",LEFT(TH!M3944,2)="15"),'152-CT'!$J$8=TH!F3944),"x","")</f>
        <v/>
      </c>
      <c r="Y3944" s="52" t="str">
        <f>IF(AND(OR(LEFT(TH!L3944,2)="15",LEFT(TH!M3944,2)="15"),TK!$E$7=TH!F3944),"x","")</f>
        <v/>
      </c>
      <c r="Z3944" s="52" t="str">
        <f>IF(AND(B3944&lt;=NKC!$N$8,B3944&gt;=NKC!$M$8),"x","")</f>
        <v/>
      </c>
      <c r="AA3944" s="826"/>
    </row>
    <row r="3945" spans="1:27" ht="15.75" customHeight="1">
      <c r="A3945" s="827" t="str">
        <f>IF(B3945&lt;&gt;"",IF(AND(B3945&gt;=_TM1,B3945&lt;=_TM2,OR(TH!L3945="1111",TH!M3945="1111")),TH!D3945,""),"")</f>
        <v/>
      </c>
      <c r="B3945" s="36">
        <f t="shared" ref="B3945:B3976" si="511">IF(C3945&lt;&gt;"",MONTH(C3945),"")</f>
        <v>1</v>
      </c>
      <c r="C3945" s="856">
        <f t="shared" si="509"/>
        <v>0</v>
      </c>
      <c r="D3945" s="856" t="s">
        <v>1664</v>
      </c>
      <c r="E3945" s="856"/>
      <c r="F3945" s="857"/>
      <c r="G3945" s="858"/>
      <c r="H3945" s="859" t="s">
        <v>1312</v>
      </c>
      <c r="I3945" s="251"/>
      <c r="J3945" s="251"/>
      <c r="K3945" s="860">
        <f t="shared" si="510"/>
        <v>0</v>
      </c>
      <c r="L3945" s="861" t="s">
        <v>160</v>
      </c>
      <c r="M3945" s="861" t="s">
        <v>857</v>
      </c>
      <c r="N3945" s="52" t="str">
        <f>IF(AND('331-CT'!$E$7=TH!H3945,OR(L3945="331",M3945="331")),"331",IF(AND(OR(L3945="131",M3945="131"),H3945='131-CT'!$E$7),"131",""))</f>
        <v/>
      </c>
      <c r="O3945" s="52" t="str">
        <f>IF(AND($B3945&gt;='111'!$N$11,$B3945&lt;='111'!$O$11,OR($L3945=$O$7,$M3945=$O$7)),"x","")</f>
        <v/>
      </c>
      <c r="P3945" s="52" t="str">
        <f>IF(AND($L3945=$O$7,$B3945&lt;'111'!$N$11),"x","")</f>
        <v/>
      </c>
      <c r="Q3945" s="52" t="str">
        <f>IF(AND($M3945=$O$7,$B3945&lt;'111'!$N$11),"x","")</f>
        <v/>
      </c>
      <c r="R3945" s="52" t="str">
        <f>IF(ISERROR(FIND('112'!$M$9,G3945,1)),"",IF((AND(FIND('112'!$M$9,G3945,1)&gt;=1,$B3945&gt;='112'!$N$8,$B3945&lt;='112'!$O$8,OR($L3945='112'!$I$6,$M3945='112'!$I$6))),"x",""))</f>
        <v/>
      </c>
      <c r="S3945" s="52" t="str">
        <f>IF(ISERROR(FIND('112'!$M$9,G3945,1)),"",IF((AND(LEFT(G3945,2)=LEFT('112'!$M$9,2),B3945&lt;'112'!$N$8,$L3945='112'!$I$6)),"x",""))</f>
        <v/>
      </c>
      <c r="T3945" s="52" t="str">
        <f>IF(ISERROR(FIND('112'!$M$9,G3945,1)),"",IF((AND(RIGHT(G3945,2)=RIGHT('112'!$M$9,2),B3945&lt;'112'!$N$8,$M3945='112'!$I$6)),"x",""))</f>
        <v/>
      </c>
      <c r="U3945" s="52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/>
      </c>
      <c r="V3945" s="52" t="str">
        <f>IF(OR(TH!L3945=TH!$V$7,M3945=TH!$V$7),"x","")</f>
        <v/>
      </c>
      <c r="W3945" s="52" t="str">
        <f>IF(AND(B3945&gt;='IN-NX'!$P$3,B3945&lt;='IN-NX'!$Q$3,'IN-NX'!$D$7=D3945,OR(LEFT(L3945,2)="15",AND(LEFT(M3945,2)&lt;&gt;"15",LEFT(M3945,2)&lt;&gt;"33"))),"x","")</f>
        <v/>
      </c>
      <c r="X3945" s="52" t="str">
        <f>IF(AND(OR(LEFT(TH!L3945,2)="15",LEFT(TH!M3945,2)="15"),'152-CT'!$J$8=TH!F3945),"x","")</f>
        <v/>
      </c>
      <c r="Y3945" s="52" t="str">
        <f>IF(AND(OR(LEFT(TH!L3945,2)="15",LEFT(TH!M3945,2)="15"),TK!$E$7=TH!F3945),"x","")</f>
        <v/>
      </c>
      <c r="Z3945" s="52" t="str">
        <f>IF(AND(B3945&lt;=NKC!$N$8,B3945&gt;=NKC!$M$8),"x","")</f>
        <v/>
      </c>
      <c r="AA3945" s="826"/>
    </row>
    <row r="3946" spans="1:27" ht="15.75" customHeight="1">
      <c r="A3946" s="827" t="str">
        <f>IF(B3946&lt;&gt;"",IF(AND(B3946&gt;=_TM1,B3946&lt;=_TM2,OR(TH!L3946="1111",TH!M3946="1111")),TH!D3946,""),"")</f>
        <v/>
      </c>
      <c r="B3946" s="36">
        <f t="shared" si="511"/>
        <v>1</v>
      </c>
      <c r="C3946" s="856">
        <f t="shared" si="509"/>
        <v>0</v>
      </c>
      <c r="D3946" s="856" t="s">
        <v>1664</v>
      </c>
      <c r="E3946" s="856"/>
      <c r="F3946" s="857"/>
      <c r="G3946" s="858"/>
      <c r="H3946" s="859" t="s">
        <v>1312</v>
      </c>
      <c r="I3946" s="251"/>
      <c r="J3946" s="251"/>
      <c r="K3946" s="860">
        <f t="shared" si="510"/>
        <v>0</v>
      </c>
      <c r="L3946" s="861" t="s">
        <v>160</v>
      </c>
      <c r="M3946" s="861" t="s">
        <v>857</v>
      </c>
      <c r="N3946" s="52" t="str">
        <f>IF(AND('331-CT'!$E$7=TH!H3946,OR(L3946="331",M3946="331")),"331",IF(AND(OR(L3946="131",M3946="131"),H3946='131-CT'!$E$7),"131",""))</f>
        <v/>
      </c>
      <c r="O3946" s="52" t="str">
        <f>IF(AND($B3946&gt;='111'!$N$11,$B3946&lt;='111'!$O$11,OR($L3946=$O$7,$M3946=$O$7)),"x","")</f>
        <v/>
      </c>
      <c r="P3946" s="52" t="str">
        <f>IF(AND($L3946=$O$7,$B3946&lt;'111'!$N$11),"x","")</f>
        <v/>
      </c>
      <c r="Q3946" s="52" t="str">
        <f>IF(AND($M3946=$O$7,$B3946&lt;'111'!$N$11),"x","")</f>
        <v/>
      </c>
      <c r="R3946" s="52" t="str">
        <f>IF(ISERROR(FIND('112'!$M$9,G3946,1)),"",IF((AND(FIND('112'!$M$9,G3946,1)&gt;=1,$B3946&gt;='112'!$N$8,$B3946&lt;='112'!$O$8,OR($L3946='112'!$I$6,$M3946='112'!$I$6))),"x",""))</f>
        <v/>
      </c>
      <c r="S3946" s="52" t="str">
        <f>IF(ISERROR(FIND('112'!$M$9,G3946,1)),"",IF((AND(LEFT(G3946,2)=LEFT('112'!$M$9,2),B3946&lt;'112'!$N$8,$L3946='112'!$I$6)),"x",""))</f>
        <v/>
      </c>
      <c r="T3946" s="52" t="str">
        <f>IF(ISERROR(FIND('112'!$M$9,G3946,1)),"",IF((AND(RIGHT(G3946,2)=RIGHT('112'!$M$9,2),B3946&lt;'112'!$N$8,$M3946='112'!$I$6)),"x",""))</f>
        <v/>
      </c>
      <c r="U3946" s="52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/>
      </c>
      <c r="V3946" s="52" t="str">
        <f>IF(OR(TH!L3946=TH!$V$7,M3946=TH!$V$7),"x","")</f>
        <v/>
      </c>
      <c r="W3946" s="52" t="str">
        <f>IF(AND(B3946&gt;='IN-NX'!$P$3,B3946&lt;='IN-NX'!$Q$3,'IN-NX'!$D$7=D3946,OR(LEFT(L3946,2)="15",AND(LEFT(M3946,2)&lt;&gt;"15",LEFT(M3946,2)&lt;&gt;"33"))),"x","")</f>
        <v/>
      </c>
      <c r="X3946" s="52" t="str">
        <f>IF(AND(OR(LEFT(TH!L3946,2)="15",LEFT(TH!M3946,2)="15"),'152-CT'!$J$8=TH!F3946),"x","")</f>
        <v/>
      </c>
      <c r="Y3946" s="52" t="str">
        <f>IF(AND(OR(LEFT(TH!L3946,2)="15",LEFT(TH!M3946,2)="15"),TK!$E$7=TH!F3946),"x","")</f>
        <v/>
      </c>
      <c r="Z3946" s="52" t="str">
        <f>IF(AND(B3946&lt;=NKC!$N$8,B3946&gt;=NKC!$M$8),"x","")</f>
        <v/>
      </c>
      <c r="AA3946" s="826"/>
    </row>
    <row r="3947" spans="1:27" ht="15.75" customHeight="1">
      <c r="A3947" s="827" t="str">
        <f>IF(B3947&lt;&gt;"",IF(AND(B3947&gt;=_TM1,B3947&lt;=_TM2,OR(TH!L3947="1111",TH!M3947="1111")),TH!D3947,""),"")</f>
        <v/>
      </c>
      <c r="B3947" s="36">
        <f t="shared" si="511"/>
        <v>1</v>
      </c>
      <c r="C3947" s="856">
        <f t="shared" si="509"/>
        <v>0</v>
      </c>
      <c r="D3947" s="856" t="s">
        <v>1664</v>
      </c>
      <c r="E3947" s="856"/>
      <c r="F3947" s="857"/>
      <c r="G3947" s="858"/>
      <c r="H3947" s="859" t="s">
        <v>1312</v>
      </c>
      <c r="I3947" s="251"/>
      <c r="J3947" s="251"/>
      <c r="K3947" s="860">
        <f t="shared" si="510"/>
        <v>0</v>
      </c>
      <c r="L3947" s="861" t="s">
        <v>160</v>
      </c>
      <c r="M3947" s="861" t="s">
        <v>857</v>
      </c>
      <c r="N3947" s="52" t="str">
        <f>IF(AND('331-CT'!$E$7=TH!H3947,OR(L3947="331",M3947="331")),"331",IF(AND(OR(L3947="131",M3947="131"),H3947='131-CT'!$E$7),"131",""))</f>
        <v/>
      </c>
      <c r="O3947" s="52" t="str">
        <f>IF(AND($B3947&gt;='111'!$N$11,$B3947&lt;='111'!$O$11,OR($L3947=$O$7,$M3947=$O$7)),"x","")</f>
        <v/>
      </c>
      <c r="P3947" s="52" t="str">
        <f>IF(AND($L3947=$O$7,$B3947&lt;'111'!$N$11),"x","")</f>
        <v/>
      </c>
      <c r="Q3947" s="52" t="str">
        <f>IF(AND($M3947=$O$7,$B3947&lt;'111'!$N$11),"x","")</f>
        <v/>
      </c>
      <c r="R3947" s="52" t="str">
        <f>IF(ISERROR(FIND('112'!$M$9,G3947,1)),"",IF((AND(FIND('112'!$M$9,G3947,1)&gt;=1,$B3947&gt;='112'!$N$8,$B3947&lt;='112'!$O$8,OR($L3947='112'!$I$6,$M3947='112'!$I$6))),"x",""))</f>
        <v/>
      </c>
      <c r="S3947" s="52" t="str">
        <f>IF(ISERROR(FIND('112'!$M$9,G3947,1)),"",IF((AND(LEFT(G3947,2)=LEFT('112'!$M$9,2),B3947&lt;'112'!$N$8,$L3947='112'!$I$6)),"x",""))</f>
        <v/>
      </c>
      <c r="T3947" s="52" t="str">
        <f>IF(ISERROR(FIND('112'!$M$9,G3947,1)),"",IF((AND(RIGHT(G3947,2)=RIGHT('112'!$M$9,2),B3947&lt;'112'!$N$8,$M3947='112'!$I$6)),"x",""))</f>
        <v/>
      </c>
      <c r="U3947" s="52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/>
      </c>
      <c r="V3947" s="52" t="str">
        <f>IF(OR(TH!L3947=TH!$V$7,M3947=TH!$V$7),"x","")</f>
        <v/>
      </c>
      <c r="W3947" s="52" t="str">
        <f>IF(AND(B3947&gt;='IN-NX'!$P$3,B3947&lt;='IN-NX'!$Q$3,'IN-NX'!$D$7=D3947,OR(LEFT(L3947,2)="15",AND(LEFT(M3947,2)&lt;&gt;"15",LEFT(M3947,2)&lt;&gt;"33"))),"x","")</f>
        <v/>
      </c>
      <c r="X3947" s="52" t="str">
        <f>IF(AND(OR(LEFT(TH!L3947,2)="15",LEFT(TH!M3947,2)="15"),'152-CT'!$J$8=TH!F3947),"x","")</f>
        <v/>
      </c>
      <c r="Y3947" s="52" t="str">
        <f>IF(AND(OR(LEFT(TH!L3947,2)="15",LEFT(TH!M3947,2)="15"),TK!$E$7=TH!F3947),"x","")</f>
        <v/>
      </c>
      <c r="Z3947" s="52" t="str">
        <f>IF(AND(B3947&lt;=NKC!$N$8,B3947&gt;=NKC!$M$8),"x","")</f>
        <v/>
      </c>
      <c r="AA3947" s="826"/>
    </row>
    <row r="3948" spans="1:27" ht="15.75" customHeight="1">
      <c r="A3948" s="827" t="str">
        <f>IF(B3948&lt;&gt;"",IF(AND(B3948&gt;=_TM1,B3948&lt;=_TM2,OR(TH!L3948="1111",TH!M3948="1111")),TH!D3948,""),"")</f>
        <v/>
      </c>
      <c r="B3948" s="36">
        <f t="shared" si="511"/>
        <v>1</v>
      </c>
      <c r="C3948" s="856">
        <f t="shared" si="509"/>
        <v>0</v>
      </c>
      <c r="D3948" s="856" t="s">
        <v>1664</v>
      </c>
      <c r="E3948" s="856"/>
      <c r="F3948" s="857"/>
      <c r="G3948" s="858"/>
      <c r="H3948" s="859" t="s">
        <v>1312</v>
      </c>
      <c r="I3948" s="251"/>
      <c r="J3948" s="251"/>
      <c r="K3948" s="860">
        <f t="shared" si="510"/>
        <v>0</v>
      </c>
      <c r="L3948" s="861" t="s">
        <v>160</v>
      </c>
      <c r="M3948" s="861" t="s">
        <v>857</v>
      </c>
      <c r="N3948" s="52" t="str">
        <f>IF(AND('331-CT'!$E$7=TH!H3948,OR(L3948="331",M3948="331")),"331",IF(AND(OR(L3948="131",M3948="131"),H3948='131-CT'!$E$7),"131",""))</f>
        <v/>
      </c>
      <c r="O3948" s="52" t="str">
        <f>IF(AND($B3948&gt;='111'!$N$11,$B3948&lt;='111'!$O$11,OR($L3948=$O$7,$M3948=$O$7)),"x","")</f>
        <v/>
      </c>
      <c r="P3948" s="52" t="str">
        <f>IF(AND($L3948=$O$7,$B3948&lt;'111'!$N$11),"x","")</f>
        <v/>
      </c>
      <c r="Q3948" s="52" t="str">
        <f>IF(AND($M3948=$O$7,$B3948&lt;'111'!$N$11),"x","")</f>
        <v/>
      </c>
      <c r="R3948" s="52" t="str">
        <f>IF(ISERROR(FIND('112'!$M$9,G3948,1)),"",IF((AND(FIND('112'!$M$9,G3948,1)&gt;=1,$B3948&gt;='112'!$N$8,$B3948&lt;='112'!$O$8,OR($L3948='112'!$I$6,$M3948='112'!$I$6))),"x",""))</f>
        <v/>
      </c>
      <c r="S3948" s="52" t="str">
        <f>IF(ISERROR(FIND('112'!$M$9,G3948,1)),"",IF((AND(LEFT(G3948,2)=LEFT('112'!$M$9,2),B3948&lt;'112'!$N$8,$L3948='112'!$I$6)),"x",""))</f>
        <v/>
      </c>
      <c r="T3948" s="52" t="str">
        <f>IF(ISERROR(FIND('112'!$M$9,G3948,1)),"",IF((AND(RIGHT(G3948,2)=RIGHT('112'!$M$9,2),B3948&lt;'112'!$N$8,$M3948='112'!$I$6)),"x",""))</f>
        <v/>
      </c>
      <c r="U3948" s="52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/>
      </c>
      <c r="V3948" s="52" t="str">
        <f>IF(OR(TH!L3948=TH!$V$7,M3948=TH!$V$7),"x","")</f>
        <v/>
      </c>
      <c r="W3948" s="52" t="str">
        <f>IF(AND(B3948&gt;='IN-NX'!$P$3,B3948&lt;='IN-NX'!$Q$3,'IN-NX'!$D$7=D3948,OR(LEFT(L3948,2)="15",AND(LEFT(M3948,2)&lt;&gt;"15",LEFT(M3948,2)&lt;&gt;"33"))),"x","")</f>
        <v/>
      </c>
      <c r="X3948" s="52" t="str">
        <f>IF(AND(OR(LEFT(TH!L3948,2)="15",LEFT(TH!M3948,2)="15"),'152-CT'!$J$8=TH!F3948),"x","")</f>
        <v/>
      </c>
      <c r="Y3948" s="52" t="str">
        <f>IF(AND(OR(LEFT(TH!L3948,2)="15",LEFT(TH!M3948,2)="15"),TK!$E$7=TH!F3948),"x","")</f>
        <v/>
      </c>
      <c r="Z3948" s="52" t="str">
        <f>IF(AND(B3948&lt;=NKC!$N$8,B3948&gt;=NKC!$M$8),"x","")</f>
        <v/>
      </c>
      <c r="AA3948" s="826"/>
    </row>
    <row r="3949" spans="1:27" ht="15.75" customHeight="1">
      <c r="A3949" s="827" t="str">
        <f>IF(B3949&lt;&gt;"",IF(AND(B3949&gt;=_TM1,B3949&lt;=_TM2,OR(TH!L3949="1111",TH!M3949="1111")),TH!D3949,""),"")</f>
        <v/>
      </c>
      <c r="B3949" s="36">
        <f t="shared" si="511"/>
        <v>1</v>
      </c>
      <c r="C3949" s="856">
        <f t="shared" ref="C3949:C3976" si="512">E3949</f>
        <v>0</v>
      </c>
      <c r="D3949" s="856" t="s">
        <v>1664</v>
      </c>
      <c r="E3949" s="856"/>
      <c r="F3949" s="857"/>
      <c r="G3949" s="858"/>
      <c r="H3949" s="859" t="s">
        <v>1312</v>
      </c>
      <c r="I3949" s="251"/>
      <c r="J3949" s="251"/>
      <c r="K3949" s="860">
        <f t="shared" ref="K3949:K3976" si="513">ROUND(I3949*J3949,0)</f>
        <v>0</v>
      </c>
      <c r="L3949" s="861" t="s">
        <v>160</v>
      </c>
      <c r="M3949" s="861" t="s">
        <v>857</v>
      </c>
      <c r="N3949" s="52" t="str">
        <f>IF(AND('331-CT'!$E$7=TH!H3949,OR(L3949="331",M3949="331")),"331",IF(AND(OR(L3949="131",M3949="131"),H3949='131-CT'!$E$7),"131",""))</f>
        <v/>
      </c>
      <c r="O3949" s="52" t="str">
        <f>IF(AND($B3949&gt;='111'!$N$11,$B3949&lt;='111'!$O$11,OR($L3949=$O$7,$M3949=$O$7)),"x","")</f>
        <v/>
      </c>
      <c r="P3949" s="52" t="str">
        <f>IF(AND($L3949=$O$7,$B3949&lt;'111'!$N$11),"x","")</f>
        <v/>
      </c>
      <c r="Q3949" s="52" t="str">
        <f>IF(AND($M3949=$O$7,$B3949&lt;'111'!$N$11),"x","")</f>
        <v/>
      </c>
      <c r="R3949" s="52" t="str">
        <f>IF(ISERROR(FIND('112'!$M$9,G3949,1)),"",IF((AND(FIND('112'!$M$9,G3949,1)&gt;=1,$B3949&gt;='112'!$N$8,$B3949&lt;='112'!$O$8,OR($L3949='112'!$I$6,$M3949='112'!$I$6))),"x",""))</f>
        <v/>
      </c>
      <c r="S3949" s="52" t="str">
        <f>IF(ISERROR(FIND('112'!$M$9,G3949,1)),"",IF((AND(LEFT(G3949,2)=LEFT('112'!$M$9,2),B3949&lt;'112'!$N$8,$L3949='112'!$I$6)),"x",""))</f>
        <v/>
      </c>
      <c r="T3949" s="52" t="str">
        <f>IF(ISERROR(FIND('112'!$M$9,G3949,1)),"",IF((AND(RIGHT(G3949,2)=RIGHT('112'!$M$9,2),B3949&lt;'112'!$N$8,$M3949='112'!$I$6)),"x",""))</f>
        <v/>
      </c>
      <c r="U3949" s="52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/>
      </c>
      <c r="V3949" s="52" t="str">
        <f>IF(OR(TH!L3949=TH!$V$7,M3949=TH!$V$7),"x","")</f>
        <v/>
      </c>
      <c r="W3949" s="52" t="str">
        <f>IF(AND(B3949&gt;='IN-NX'!$P$3,B3949&lt;='IN-NX'!$Q$3,'IN-NX'!$D$7=D3949,OR(LEFT(L3949,2)="15",AND(LEFT(M3949,2)&lt;&gt;"15",LEFT(M3949,2)&lt;&gt;"33"))),"x","")</f>
        <v/>
      </c>
      <c r="X3949" s="52" t="str">
        <f>IF(AND(OR(LEFT(TH!L3949,2)="15",LEFT(TH!M3949,2)="15"),'152-CT'!$J$8=TH!F3949),"x","")</f>
        <v/>
      </c>
      <c r="Y3949" s="52" t="str">
        <f>IF(AND(OR(LEFT(TH!L3949,2)="15",LEFT(TH!M3949,2)="15"),TK!$E$7=TH!F3949),"x","")</f>
        <v/>
      </c>
      <c r="Z3949" s="52" t="str">
        <f>IF(AND(B3949&lt;=NKC!$N$8,B3949&gt;=NKC!$M$8),"x","")</f>
        <v/>
      </c>
      <c r="AA3949" s="826"/>
    </row>
    <row r="3950" spans="1:27" ht="15.75" customHeight="1">
      <c r="A3950" s="827" t="str">
        <f>IF(B3950&lt;&gt;"",IF(AND(B3950&gt;=_TM1,B3950&lt;=_TM2,OR(TH!L3950="1111",TH!M3950="1111")),TH!D3950,""),"")</f>
        <v/>
      </c>
      <c r="B3950" s="36">
        <f t="shared" si="511"/>
        <v>1</v>
      </c>
      <c r="C3950" s="856">
        <f t="shared" si="512"/>
        <v>0</v>
      </c>
      <c r="D3950" s="856" t="s">
        <v>1664</v>
      </c>
      <c r="E3950" s="856"/>
      <c r="F3950" s="857"/>
      <c r="G3950" s="858"/>
      <c r="H3950" s="859" t="s">
        <v>1312</v>
      </c>
      <c r="I3950" s="251"/>
      <c r="J3950" s="251"/>
      <c r="K3950" s="860">
        <f t="shared" si="513"/>
        <v>0</v>
      </c>
      <c r="L3950" s="861" t="s">
        <v>160</v>
      </c>
      <c r="M3950" s="861" t="s">
        <v>857</v>
      </c>
      <c r="N3950" s="52" t="str">
        <f>IF(AND('331-CT'!$E$7=TH!H3950,OR(L3950="331",M3950="331")),"331",IF(AND(OR(L3950="131",M3950="131"),H3950='131-CT'!$E$7),"131",""))</f>
        <v/>
      </c>
      <c r="O3950" s="52" t="str">
        <f>IF(AND($B3950&gt;='111'!$N$11,$B3950&lt;='111'!$O$11,OR($L3950=$O$7,$M3950=$O$7)),"x","")</f>
        <v/>
      </c>
      <c r="P3950" s="52" t="str">
        <f>IF(AND($L3950=$O$7,$B3950&lt;'111'!$N$11),"x","")</f>
        <v/>
      </c>
      <c r="Q3950" s="52" t="str">
        <f>IF(AND($M3950=$O$7,$B3950&lt;'111'!$N$11),"x","")</f>
        <v/>
      </c>
      <c r="R3950" s="52" t="str">
        <f>IF(ISERROR(FIND('112'!$M$9,G3950,1)),"",IF((AND(FIND('112'!$M$9,G3950,1)&gt;=1,$B3950&gt;='112'!$N$8,$B3950&lt;='112'!$O$8,OR($L3950='112'!$I$6,$M3950='112'!$I$6))),"x",""))</f>
        <v/>
      </c>
      <c r="S3950" s="52" t="str">
        <f>IF(ISERROR(FIND('112'!$M$9,G3950,1)),"",IF((AND(LEFT(G3950,2)=LEFT('112'!$M$9,2),B3950&lt;'112'!$N$8,$L3950='112'!$I$6)),"x",""))</f>
        <v/>
      </c>
      <c r="T3950" s="52" t="str">
        <f>IF(ISERROR(FIND('112'!$M$9,G3950,1)),"",IF((AND(RIGHT(G3950,2)=RIGHT('112'!$M$9,2),B3950&lt;'112'!$N$8,$M3950='112'!$I$6)),"x",""))</f>
        <v/>
      </c>
      <c r="U3950" s="52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/>
      </c>
      <c r="V3950" s="52" t="str">
        <f>IF(OR(TH!L3950=TH!$V$7,M3950=TH!$V$7),"x","")</f>
        <v/>
      </c>
      <c r="W3950" s="52" t="str">
        <f>IF(AND(B3950&gt;='IN-NX'!$P$3,B3950&lt;='IN-NX'!$Q$3,'IN-NX'!$D$7=D3950,OR(LEFT(L3950,2)="15",AND(LEFT(M3950,2)&lt;&gt;"15",LEFT(M3950,2)&lt;&gt;"33"))),"x","")</f>
        <v/>
      </c>
      <c r="X3950" s="52" t="str">
        <f>IF(AND(OR(LEFT(TH!L3950,2)="15",LEFT(TH!M3950,2)="15"),'152-CT'!$J$8=TH!F3950),"x","")</f>
        <v/>
      </c>
      <c r="Y3950" s="52" t="str">
        <f>IF(AND(OR(LEFT(TH!L3950,2)="15",LEFT(TH!M3950,2)="15"),TK!$E$7=TH!F3950),"x","")</f>
        <v/>
      </c>
      <c r="Z3950" s="52" t="str">
        <f>IF(AND(B3950&lt;=NKC!$N$8,B3950&gt;=NKC!$M$8),"x","")</f>
        <v/>
      </c>
      <c r="AA3950" s="826"/>
    </row>
    <row r="3951" spans="1:27" ht="15.75" customHeight="1">
      <c r="A3951" s="827" t="str">
        <f>IF(B3951&lt;&gt;"",IF(AND(B3951&gt;=_TM1,B3951&lt;=_TM2,OR(TH!L3951="1111",TH!M3951="1111")),TH!D3951,""),"")</f>
        <v/>
      </c>
      <c r="B3951" s="36">
        <f t="shared" si="511"/>
        <v>1</v>
      </c>
      <c r="C3951" s="856">
        <f t="shared" si="512"/>
        <v>0</v>
      </c>
      <c r="D3951" s="856" t="s">
        <v>1664</v>
      </c>
      <c r="E3951" s="856"/>
      <c r="F3951" s="857"/>
      <c r="G3951" s="858"/>
      <c r="H3951" s="859" t="s">
        <v>1312</v>
      </c>
      <c r="I3951" s="251"/>
      <c r="J3951" s="251"/>
      <c r="K3951" s="860">
        <f t="shared" si="513"/>
        <v>0</v>
      </c>
      <c r="L3951" s="861" t="s">
        <v>160</v>
      </c>
      <c r="M3951" s="861" t="s">
        <v>857</v>
      </c>
      <c r="N3951" s="52" t="str">
        <f>IF(AND('331-CT'!$E$7=TH!H3951,OR(L3951="331",M3951="331")),"331",IF(AND(OR(L3951="131",M3951="131"),H3951='131-CT'!$E$7),"131",""))</f>
        <v/>
      </c>
      <c r="O3951" s="52" t="str">
        <f>IF(AND($B3951&gt;='111'!$N$11,$B3951&lt;='111'!$O$11,OR($L3951=$O$7,$M3951=$O$7)),"x","")</f>
        <v/>
      </c>
      <c r="P3951" s="52" t="str">
        <f>IF(AND($L3951=$O$7,$B3951&lt;'111'!$N$11),"x","")</f>
        <v/>
      </c>
      <c r="Q3951" s="52" t="str">
        <f>IF(AND($M3951=$O$7,$B3951&lt;'111'!$N$11),"x","")</f>
        <v/>
      </c>
      <c r="R3951" s="52" t="str">
        <f>IF(ISERROR(FIND('112'!$M$9,G3951,1)),"",IF((AND(FIND('112'!$M$9,G3951,1)&gt;=1,$B3951&gt;='112'!$N$8,$B3951&lt;='112'!$O$8,OR($L3951='112'!$I$6,$M3951='112'!$I$6))),"x",""))</f>
        <v/>
      </c>
      <c r="S3951" s="52" t="str">
        <f>IF(ISERROR(FIND('112'!$M$9,G3951,1)),"",IF((AND(LEFT(G3951,2)=LEFT('112'!$M$9,2),B3951&lt;'112'!$N$8,$L3951='112'!$I$6)),"x",""))</f>
        <v/>
      </c>
      <c r="T3951" s="52" t="str">
        <f>IF(ISERROR(FIND('112'!$M$9,G3951,1)),"",IF((AND(RIGHT(G3951,2)=RIGHT('112'!$M$9,2),B3951&lt;'112'!$N$8,$M3951='112'!$I$6)),"x",""))</f>
        <v/>
      </c>
      <c r="U3951" s="52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/>
      </c>
      <c r="V3951" s="52" t="str">
        <f>IF(OR(TH!L3951=TH!$V$7,M3951=TH!$V$7),"x","")</f>
        <v/>
      </c>
      <c r="W3951" s="52" t="str">
        <f>IF(AND(B3951&gt;='IN-NX'!$P$3,B3951&lt;='IN-NX'!$Q$3,'IN-NX'!$D$7=D3951,OR(LEFT(L3951,2)="15",AND(LEFT(M3951,2)&lt;&gt;"15",LEFT(M3951,2)&lt;&gt;"33"))),"x","")</f>
        <v/>
      </c>
      <c r="X3951" s="52" t="str">
        <f>IF(AND(OR(LEFT(TH!L3951,2)="15",LEFT(TH!M3951,2)="15"),'152-CT'!$J$8=TH!F3951),"x","")</f>
        <v/>
      </c>
      <c r="Y3951" s="52" t="str">
        <f>IF(AND(OR(LEFT(TH!L3951,2)="15",LEFT(TH!M3951,2)="15"),TK!$E$7=TH!F3951),"x","")</f>
        <v/>
      </c>
      <c r="Z3951" s="52" t="str">
        <f>IF(AND(B3951&lt;=NKC!$N$8,B3951&gt;=NKC!$M$8),"x","")</f>
        <v/>
      </c>
      <c r="AA3951" s="826"/>
    </row>
    <row r="3952" spans="1:27" ht="15.75" customHeight="1">
      <c r="A3952" s="827" t="str">
        <f>IF(B3952&lt;&gt;"",IF(AND(B3952&gt;=_TM1,B3952&lt;=_TM2,OR(TH!L3952="1111",TH!M3952="1111")),TH!D3952,""),"")</f>
        <v/>
      </c>
      <c r="B3952" s="36">
        <f t="shared" si="511"/>
        <v>1</v>
      </c>
      <c r="C3952" s="856">
        <f t="shared" si="512"/>
        <v>0</v>
      </c>
      <c r="D3952" s="856" t="s">
        <v>1664</v>
      </c>
      <c r="E3952" s="856"/>
      <c r="F3952" s="857"/>
      <c r="G3952" s="858"/>
      <c r="H3952" s="859" t="s">
        <v>1312</v>
      </c>
      <c r="I3952" s="251"/>
      <c r="J3952" s="251"/>
      <c r="K3952" s="860">
        <f t="shared" si="513"/>
        <v>0</v>
      </c>
      <c r="L3952" s="861" t="s">
        <v>160</v>
      </c>
      <c r="M3952" s="861" t="s">
        <v>857</v>
      </c>
      <c r="N3952" s="52" t="str">
        <f>IF(AND('331-CT'!$E$7=TH!H3952,OR(L3952="331",M3952="331")),"331",IF(AND(OR(L3952="131",M3952="131"),H3952='131-CT'!$E$7),"131",""))</f>
        <v/>
      </c>
      <c r="O3952" s="52" t="str">
        <f>IF(AND($B3952&gt;='111'!$N$11,$B3952&lt;='111'!$O$11,OR($L3952=$O$7,$M3952=$O$7)),"x","")</f>
        <v/>
      </c>
      <c r="P3952" s="52" t="str">
        <f>IF(AND($L3952=$O$7,$B3952&lt;'111'!$N$11),"x","")</f>
        <v/>
      </c>
      <c r="Q3952" s="52" t="str">
        <f>IF(AND($M3952=$O$7,$B3952&lt;'111'!$N$11),"x","")</f>
        <v/>
      </c>
      <c r="R3952" s="52" t="str">
        <f>IF(ISERROR(FIND('112'!$M$9,G3952,1)),"",IF((AND(FIND('112'!$M$9,G3952,1)&gt;=1,$B3952&gt;='112'!$N$8,$B3952&lt;='112'!$O$8,OR($L3952='112'!$I$6,$M3952='112'!$I$6))),"x",""))</f>
        <v/>
      </c>
      <c r="S3952" s="52" t="str">
        <f>IF(ISERROR(FIND('112'!$M$9,G3952,1)),"",IF((AND(LEFT(G3952,2)=LEFT('112'!$M$9,2),B3952&lt;'112'!$N$8,$L3952='112'!$I$6)),"x",""))</f>
        <v/>
      </c>
      <c r="T3952" s="52" t="str">
        <f>IF(ISERROR(FIND('112'!$M$9,G3952,1)),"",IF((AND(RIGHT(G3952,2)=RIGHT('112'!$M$9,2),B3952&lt;'112'!$N$8,$M3952='112'!$I$6)),"x",""))</f>
        <v/>
      </c>
      <c r="U3952" s="52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/>
      </c>
      <c r="V3952" s="52" t="str">
        <f>IF(OR(TH!L3952=TH!$V$7,M3952=TH!$V$7),"x","")</f>
        <v/>
      </c>
      <c r="W3952" s="52" t="str">
        <f>IF(AND(B3952&gt;='IN-NX'!$P$3,B3952&lt;='IN-NX'!$Q$3,'IN-NX'!$D$7=D3952,OR(LEFT(L3952,2)="15",AND(LEFT(M3952,2)&lt;&gt;"15",LEFT(M3952,2)&lt;&gt;"33"))),"x","")</f>
        <v/>
      </c>
      <c r="X3952" s="52" t="str">
        <f>IF(AND(OR(LEFT(TH!L3952,2)="15",LEFT(TH!M3952,2)="15"),'152-CT'!$J$8=TH!F3952),"x","")</f>
        <v/>
      </c>
      <c r="Y3952" s="52" t="str">
        <f>IF(AND(OR(LEFT(TH!L3952,2)="15",LEFT(TH!M3952,2)="15"),TK!$E$7=TH!F3952),"x","")</f>
        <v/>
      </c>
      <c r="Z3952" s="52" t="str">
        <f>IF(AND(B3952&lt;=NKC!$N$8,B3952&gt;=NKC!$M$8),"x","")</f>
        <v/>
      </c>
      <c r="AA3952" s="826"/>
    </row>
    <row r="3953" spans="1:27" ht="15.75" customHeight="1">
      <c r="A3953" s="827" t="str">
        <f>IF(B3953&lt;&gt;"",IF(AND(B3953&gt;=_TM1,B3953&lt;=_TM2,OR(TH!L3953="1111",TH!M3953="1111")),TH!D3953,""),"")</f>
        <v/>
      </c>
      <c r="B3953" s="36">
        <f t="shared" si="511"/>
        <v>1</v>
      </c>
      <c r="C3953" s="856">
        <f t="shared" si="512"/>
        <v>0</v>
      </c>
      <c r="D3953" s="856" t="s">
        <v>1664</v>
      </c>
      <c r="E3953" s="856"/>
      <c r="F3953" s="857"/>
      <c r="G3953" s="858"/>
      <c r="H3953" s="859" t="s">
        <v>1312</v>
      </c>
      <c r="I3953" s="251"/>
      <c r="J3953" s="251"/>
      <c r="K3953" s="860">
        <f t="shared" si="513"/>
        <v>0</v>
      </c>
      <c r="L3953" s="861" t="s">
        <v>160</v>
      </c>
      <c r="M3953" s="861" t="s">
        <v>857</v>
      </c>
      <c r="N3953" s="52" t="str">
        <f>IF(AND('331-CT'!$E$7=TH!H3953,OR(L3953="331",M3953="331")),"331",IF(AND(OR(L3953="131",M3953="131"),H3953='131-CT'!$E$7),"131",""))</f>
        <v/>
      </c>
      <c r="O3953" s="52" t="str">
        <f>IF(AND($B3953&gt;='111'!$N$11,$B3953&lt;='111'!$O$11,OR($L3953=$O$7,$M3953=$O$7)),"x","")</f>
        <v/>
      </c>
      <c r="P3953" s="52" t="str">
        <f>IF(AND($L3953=$O$7,$B3953&lt;'111'!$N$11),"x","")</f>
        <v/>
      </c>
      <c r="Q3953" s="52" t="str">
        <f>IF(AND($M3953=$O$7,$B3953&lt;'111'!$N$11),"x","")</f>
        <v/>
      </c>
      <c r="R3953" s="52" t="str">
        <f>IF(ISERROR(FIND('112'!$M$9,G3953,1)),"",IF((AND(FIND('112'!$M$9,G3953,1)&gt;=1,$B3953&gt;='112'!$N$8,$B3953&lt;='112'!$O$8,OR($L3953='112'!$I$6,$M3953='112'!$I$6))),"x",""))</f>
        <v/>
      </c>
      <c r="S3953" s="52" t="str">
        <f>IF(ISERROR(FIND('112'!$M$9,G3953,1)),"",IF((AND(LEFT(G3953,2)=LEFT('112'!$M$9,2),B3953&lt;'112'!$N$8,$L3953='112'!$I$6)),"x",""))</f>
        <v/>
      </c>
      <c r="T3953" s="52" t="str">
        <f>IF(ISERROR(FIND('112'!$M$9,G3953,1)),"",IF((AND(RIGHT(G3953,2)=RIGHT('112'!$M$9,2),B3953&lt;'112'!$N$8,$M3953='112'!$I$6)),"x",""))</f>
        <v/>
      </c>
      <c r="U3953" s="52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/>
      </c>
      <c r="V3953" s="52" t="str">
        <f>IF(OR(TH!L3953=TH!$V$7,M3953=TH!$V$7),"x","")</f>
        <v/>
      </c>
      <c r="W3953" s="52" t="str">
        <f>IF(AND(B3953&gt;='IN-NX'!$P$3,B3953&lt;='IN-NX'!$Q$3,'IN-NX'!$D$7=D3953,OR(LEFT(L3953,2)="15",AND(LEFT(M3953,2)&lt;&gt;"15",LEFT(M3953,2)&lt;&gt;"33"))),"x","")</f>
        <v/>
      </c>
      <c r="X3953" s="52" t="str">
        <f>IF(AND(OR(LEFT(TH!L3953,2)="15",LEFT(TH!M3953,2)="15"),'152-CT'!$J$8=TH!F3953),"x","")</f>
        <v/>
      </c>
      <c r="Y3953" s="52" t="str">
        <f>IF(AND(OR(LEFT(TH!L3953,2)="15",LEFT(TH!M3953,2)="15"),TK!$E$7=TH!F3953),"x","")</f>
        <v/>
      </c>
      <c r="Z3953" s="52" t="str">
        <f>IF(AND(B3953&lt;=NKC!$N$8,B3953&gt;=NKC!$M$8),"x","")</f>
        <v/>
      </c>
      <c r="AA3953" s="826"/>
    </row>
    <row r="3954" spans="1:27" ht="15.75" customHeight="1">
      <c r="A3954" s="827" t="str">
        <f>IF(B3954&lt;&gt;"",IF(AND(B3954&gt;=_TM1,B3954&lt;=_TM2,OR(TH!L3954="1111",TH!M3954="1111")),TH!D3954,""),"")</f>
        <v/>
      </c>
      <c r="B3954" s="36">
        <f t="shared" si="511"/>
        <v>1</v>
      </c>
      <c r="C3954" s="856">
        <f t="shared" si="512"/>
        <v>0</v>
      </c>
      <c r="D3954" s="856" t="s">
        <v>1664</v>
      </c>
      <c r="E3954" s="856"/>
      <c r="F3954" s="857"/>
      <c r="G3954" s="858"/>
      <c r="H3954" s="859" t="s">
        <v>1312</v>
      </c>
      <c r="I3954" s="251"/>
      <c r="J3954" s="251"/>
      <c r="K3954" s="860">
        <f t="shared" si="513"/>
        <v>0</v>
      </c>
      <c r="L3954" s="861" t="s">
        <v>160</v>
      </c>
      <c r="M3954" s="861" t="s">
        <v>857</v>
      </c>
      <c r="N3954" s="52" t="str">
        <f>IF(AND('331-CT'!$E$7=TH!H3954,OR(L3954="331",M3954="331")),"331",IF(AND(OR(L3954="131",M3954="131"),H3954='131-CT'!$E$7),"131",""))</f>
        <v/>
      </c>
      <c r="O3954" s="52" t="str">
        <f>IF(AND($B3954&gt;='111'!$N$11,$B3954&lt;='111'!$O$11,OR($L3954=$O$7,$M3954=$O$7)),"x","")</f>
        <v/>
      </c>
      <c r="P3954" s="52" t="str">
        <f>IF(AND($L3954=$O$7,$B3954&lt;'111'!$N$11),"x","")</f>
        <v/>
      </c>
      <c r="Q3954" s="52" t="str">
        <f>IF(AND($M3954=$O$7,$B3954&lt;'111'!$N$11),"x","")</f>
        <v/>
      </c>
      <c r="R3954" s="52" t="str">
        <f>IF(ISERROR(FIND('112'!$M$9,G3954,1)),"",IF((AND(FIND('112'!$M$9,G3954,1)&gt;=1,$B3954&gt;='112'!$N$8,$B3954&lt;='112'!$O$8,OR($L3954='112'!$I$6,$M3954='112'!$I$6))),"x",""))</f>
        <v/>
      </c>
      <c r="S3954" s="52" t="str">
        <f>IF(ISERROR(FIND('112'!$M$9,G3954,1)),"",IF((AND(LEFT(G3954,2)=LEFT('112'!$M$9,2),B3954&lt;'112'!$N$8,$L3954='112'!$I$6)),"x",""))</f>
        <v/>
      </c>
      <c r="T3954" s="52" t="str">
        <f>IF(ISERROR(FIND('112'!$M$9,G3954,1)),"",IF((AND(RIGHT(G3954,2)=RIGHT('112'!$M$9,2),B3954&lt;'112'!$N$8,$M3954='112'!$I$6)),"x",""))</f>
        <v/>
      </c>
      <c r="U3954" s="52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/>
      </c>
      <c r="V3954" s="52" t="str">
        <f>IF(OR(TH!L3954=TH!$V$7,M3954=TH!$V$7),"x","")</f>
        <v/>
      </c>
      <c r="W3954" s="52" t="str">
        <f>IF(AND(B3954&gt;='IN-NX'!$P$3,B3954&lt;='IN-NX'!$Q$3,'IN-NX'!$D$7=D3954,OR(LEFT(L3954,2)="15",AND(LEFT(M3954,2)&lt;&gt;"15",LEFT(M3954,2)&lt;&gt;"33"))),"x","")</f>
        <v/>
      </c>
      <c r="X3954" s="52" t="str">
        <f>IF(AND(OR(LEFT(TH!L3954,2)="15",LEFT(TH!M3954,2)="15"),'152-CT'!$J$8=TH!F3954),"x","")</f>
        <v/>
      </c>
      <c r="Y3954" s="52" t="str">
        <f>IF(AND(OR(LEFT(TH!L3954,2)="15",LEFT(TH!M3954,2)="15"),TK!$E$7=TH!F3954),"x","")</f>
        <v/>
      </c>
      <c r="Z3954" s="52" t="str">
        <f>IF(AND(B3954&lt;=NKC!$N$8,B3954&gt;=NKC!$M$8),"x","")</f>
        <v/>
      </c>
      <c r="AA3954" s="826"/>
    </row>
    <row r="3955" spans="1:27" ht="15.75" customHeight="1">
      <c r="A3955" s="827" t="str">
        <f>IF(B3955&lt;&gt;"",IF(AND(B3955&gt;=_TM1,B3955&lt;=_TM2,OR(TH!L3955="1111",TH!M3955="1111")),TH!D3955,""),"")</f>
        <v/>
      </c>
      <c r="B3955" s="36">
        <f t="shared" si="511"/>
        <v>1</v>
      </c>
      <c r="C3955" s="856">
        <f t="shared" si="512"/>
        <v>0</v>
      </c>
      <c r="D3955" s="856" t="s">
        <v>1664</v>
      </c>
      <c r="E3955" s="856"/>
      <c r="F3955" s="857"/>
      <c r="G3955" s="858"/>
      <c r="H3955" s="859" t="s">
        <v>1312</v>
      </c>
      <c r="I3955" s="251"/>
      <c r="J3955" s="251"/>
      <c r="K3955" s="860">
        <f t="shared" si="513"/>
        <v>0</v>
      </c>
      <c r="L3955" s="861" t="s">
        <v>160</v>
      </c>
      <c r="M3955" s="861" t="s">
        <v>857</v>
      </c>
      <c r="N3955" s="52" t="str">
        <f>IF(AND('331-CT'!$E$7=TH!H3955,OR(L3955="331",M3955="331")),"331",IF(AND(OR(L3955="131",M3955="131"),H3955='131-CT'!$E$7),"131",""))</f>
        <v/>
      </c>
      <c r="O3955" s="52" t="str">
        <f>IF(AND($B3955&gt;='111'!$N$11,$B3955&lt;='111'!$O$11,OR($L3955=$O$7,$M3955=$O$7)),"x","")</f>
        <v/>
      </c>
      <c r="P3955" s="52" t="str">
        <f>IF(AND($L3955=$O$7,$B3955&lt;'111'!$N$11),"x","")</f>
        <v/>
      </c>
      <c r="Q3955" s="52" t="str">
        <f>IF(AND($M3955=$O$7,$B3955&lt;'111'!$N$11),"x","")</f>
        <v/>
      </c>
      <c r="R3955" s="52" t="str">
        <f>IF(ISERROR(FIND('112'!$M$9,G3955,1)),"",IF((AND(FIND('112'!$M$9,G3955,1)&gt;=1,$B3955&gt;='112'!$N$8,$B3955&lt;='112'!$O$8,OR($L3955='112'!$I$6,$M3955='112'!$I$6))),"x",""))</f>
        <v/>
      </c>
      <c r="S3955" s="52" t="str">
        <f>IF(ISERROR(FIND('112'!$M$9,G3955,1)),"",IF((AND(LEFT(G3955,2)=LEFT('112'!$M$9,2),B3955&lt;'112'!$N$8,$L3955='112'!$I$6)),"x",""))</f>
        <v/>
      </c>
      <c r="T3955" s="52" t="str">
        <f>IF(ISERROR(FIND('112'!$M$9,G3955,1)),"",IF((AND(RIGHT(G3955,2)=RIGHT('112'!$M$9,2),B3955&lt;'112'!$N$8,$M3955='112'!$I$6)),"x",""))</f>
        <v/>
      </c>
      <c r="U3955" s="52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/>
      </c>
      <c r="V3955" s="52" t="str">
        <f>IF(OR(TH!L3955=TH!$V$7,M3955=TH!$V$7),"x","")</f>
        <v/>
      </c>
      <c r="W3955" s="52" t="str">
        <f>IF(AND(B3955&gt;='IN-NX'!$P$3,B3955&lt;='IN-NX'!$Q$3,'IN-NX'!$D$7=D3955,OR(LEFT(L3955,2)="15",AND(LEFT(M3955,2)&lt;&gt;"15",LEFT(M3955,2)&lt;&gt;"33"))),"x","")</f>
        <v/>
      </c>
      <c r="X3955" s="52" t="str">
        <f>IF(AND(OR(LEFT(TH!L3955,2)="15",LEFT(TH!M3955,2)="15"),'152-CT'!$J$8=TH!F3955),"x","")</f>
        <v/>
      </c>
      <c r="Y3955" s="52" t="str">
        <f>IF(AND(OR(LEFT(TH!L3955,2)="15",LEFT(TH!M3955,2)="15"),TK!$E$7=TH!F3955),"x","")</f>
        <v/>
      </c>
      <c r="Z3955" s="52" t="str">
        <f>IF(AND(B3955&lt;=NKC!$N$8,B3955&gt;=NKC!$M$8),"x","")</f>
        <v/>
      </c>
      <c r="AA3955" s="826"/>
    </row>
    <row r="3956" spans="1:27" ht="15.75" customHeight="1">
      <c r="A3956" s="827" t="str">
        <f>IF(B3956&lt;&gt;"",IF(AND(B3956&gt;=_TM1,B3956&lt;=_TM2,OR(TH!L3956="1111",TH!M3956="1111")),TH!D3956,""),"")</f>
        <v/>
      </c>
      <c r="B3956" s="36">
        <f t="shared" si="511"/>
        <v>1</v>
      </c>
      <c r="C3956" s="856">
        <f t="shared" si="512"/>
        <v>0</v>
      </c>
      <c r="D3956" s="856" t="s">
        <v>1664</v>
      </c>
      <c r="E3956" s="856"/>
      <c r="F3956" s="857"/>
      <c r="G3956" s="858"/>
      <c r="H3956" s="859" t="s">
        <v>1312</v>
      </c>
      <c r="I3956" s="251"/>
      <c r="J3956" s="251"/>
      <c r="K3956" s="860">
        <f t="shared" si="513"/>
        <v>0</v>
      </c>
      <c r="L3956" s="861" t="s">
        <v>160</v>
      </c>
      <c r="M3956" s="861" t="s">
        <v>857</v>
      </c>
      <c r="N3956" s="52" t="str">
        <f>IF(AND('331-CT'!$E$7=TH!H3956,OR(L3956="331",M3956="331")),"331",IF(AND(OR(L3956="131",M3956="131"),H3956='131-CT'!$E$7),"131",""))</f>
        <v/>
      </c>
      <c r="O3956" s="52" t="str">
        <f>IF(AND($B3956&gt;='111'!$N$11,$B3956&lt;='111'!$O$11,OR($L3956=$O$7,$M3956=$O$7)),"x","")</f>
        <v/>
      </c>
      <c r="P3956" s="52" t="str">
        <f>IF(AND($L3956=$O$7,$B3956&lt;'111'!$N$11),"x","")</f>
        <v/>
      </c>
      <c r="Q3956" s="52" t="str">
        <f>IF(AND($M3956=$O$7,$B3956&lt;'111'!$N$11),"x","")</f>
        <v/>
      </c>
      <c r="R3956" s="52" t="str">
        <f>IF(ISERROR(FIND('112'!$M$9,G3956,1)),"",IF((AND(FIND('112'!$M$9,G3956,1)&gt;=1,$B3956&gt;='112'!$N$8,$B3956&lt;='112'!$O$8,OR($L3956='112'!$I$6,$M3956='112'!$I$6))),"x",""))</f>
        <v/>
      </c>
      <c r="S3956" s="52" t="str">
        <f>IF(ISERROR(FIND('112'!$M$9,G3956,1)),"",IF((AND(LEFT(G3956,2)=LEFT('112'!$M$9,2),B3956&lt;'112'!$N$8,$L3956='112'!$I$6)),"x",""))</f>
        <v/>
      </c>
      <c r="T3956" s="52" t="str">
        <f>IF(ISERROR(FIND('112'!$M$9,G3956,1)),"",IF((AND(RIGHT(G3956,2)=RIGHT('112'!$M$9,2),B3956&lt;'112'!$N$8,$M3956='112'!$I$6)),"x",""))</f>
        <v/>
      </c>
      <c r="U3956" s="52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/>
      </c>
      <c r="V3956" s="52" t="str">
        <f>IF(OR(TH!L3956=TH!$V$7,M3956=TH!$V$7),"x","")</f>
        <v/>
      </c>
      <c r="W3956" s="52" t="str">
        <f>IF(AND(B3956&gt;='IN-NX'!$P$3,B3956&lt;='IN-NX'!$Q$3,'IN-NX'!$D$7=D3956,OR(LEFT(L3956,2)="15",AND(LEFT(M3956,2)&lt;&gt;"15",LEFT(M3956,2)&lt;&gt;"33"))),"x","")</f>
        <v/>
      </c>
      <c r="X3956" s="52" t="str">
        <f>IF(AND(OR(LEFT(TH!L3956,2)="15",LEFT(TH!M3956,2)="15"),'152-CT'!$J$8=TH!F3956),"x","")</f>
        <v/>
      </c>
      <c r="Y3956" s="52" t="str">
        <f>IF(AND(OR(LEFT(TH!L3956,2)="15",LEFT(TH!M3956,2)="15"),TK!$E$7=TH!F3956),"x","")</f>
        <v/>
      </c>
      <c r="Z3956" s="52" t="str">
        <f>IF(AND(B3956&lt;=NKC!$N$8,B3956&gt;=NKC!$M$8),"x","")</f>
        <v/>
      </c>
      <c r="AA3956" s="826"/>
    </row>
    <row r="3957" spans="1:27" ht="15.75" customHeight="1">
      <c r="A3957" s="827" t="str">
        <f>IF(B3957&lt;&gt;"",IF(AND(B3957&gt;=_TM1,B3957&lt;=_TM2,OR(TH!L3957="1111",TH!M3957="1111")),TH!D3957,""),"")</f>
        <v/>
      </c>
      <c r="B3957" s="36">
        <f t="shared" si="511"/>
        <v>1</v>
      </c>
      <c r="C3957" s="856">
        <f t="shared" si="512"/>
        <v>0</v>
      </c>
      <c r="D3957" s="856" t="s">
        <v>1664</v>
      </c>
      <c r="E3957" s="856"/>
      <c r="F3957" s="857"/>
      <c r="G3957" s="858"/>
      <c r="H3957" s="859" t="s">
        <v>1312</v>
      </c>
      <c r="I3957" s="251"/>
      <c r="J3957" s="251"/>
      <c r="K3957" s="860">
        <f t="shared" si="513"/>
        <v>0</v>
      </c>
      <c r="L3957" s="861" t="s">
        <v>160</v>
      </c>
      <c r="M3957" s="861" t="s">
        <v>857</v>
      </c>
      <c r="N3957" s="52" t="str">
        <f>IF(AND('331-CT'!$E$7=TH!H3957,OR(L3957="331",M3957="331")),"331",IF(AND(OR(L3957="131",M3957="131"),H3957='131-CT'!$E$7),"131",""))</f>
        <v/>
      </c>
      <c r="O3957" s="52" t="str">
        <f>IF(AND($B3957&gt;='111'!$N$11,$B3957&lt;='111'!$O$11,OR($L3957=$O$7,$M3957=$O$7)),"x","")</f>
        <v/>
      </c>
      <c r="P3957" s="52" t="str">
        <f>IF(AND($L3957=$O$7,$B3957&lt;'111'!$N$11),"x","")</f>
        <v/>
      </c>
      <c r="Q3957" s="52" t="str">
        <f>IF(AND($M3957=$O$7,$B3957&lt;'111'!$N$11),"x","")</f>
        <v/>
      </c>
      <c r="R3957" s="52" t="str">
        <f>IF(ISERROR(FIND('112'!$M$9,G3957,1)),"",IF((AND(FIND('112'!$M$9,G3957,1)&gt;=1,$B3957&gt;='112'!$N$8,$B3957&lt;='112'!$O$8,OR($L3957='112'!$I$6,$M3957='112'!$I$6))),"x",""))</f>
        <v/>
      </c>
      <c r="S3957" s="52" t="str">
        <f>IF(ISERROR(FIND('112'!$M$9,G3957,1)),"",IF((AND(LEFT(G3957,2)=LEFT('112'!$M$9,2),B3957&lt;'112'!$N$8,$L3957='112'!$I$6)),"x",""))</f>
        <v/>
      </c>
      <c r="T3957" s="52" t="str">
        <f>IF(ISERROR(FIND('112'!$M$9,G3957,1)),"",IF((AND(RIGHT(G3957,2)=RIGHT('112'!$M$9,2),B3957&lt;'112'!$N$8,$M3957='112'!$I$6)),"x",""))</f>
        <v/>
      </c>
      <c r="U3957" s="52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/>
      </c>
      <c r="V3957" s="52" t="str">
        <f>IF(OR(TH!L3957=TH!$V$7,M3957=TH!$V$7),"x","")</f>
        <v/>
      </c>
      <c r="W3957" s="52" t="str">
        <f>IF(AND(B3957&gt;='IN-NX'!$P$3,B3957&lt;='IN-NX'!$Q$3,'IN-NX'!$D$7=D3957,OR(LEFT(L3957,2)="15",AND(LEFT(M3957,2)&lt;&gt;"15",LEFT(M3957,2)&lt;&gt;"33"))),"x","")</f>
        <v/>
      </c>
      <c r="X3957" s="52" t="str">
        <f>IF(AND(OR(LEFT(TH!L3957,2)="15",LEFT(TH!M3957,2)="15"),'152-CT'!$J$8=TH!F3957),"x","")</f>
        <v/>
      </c>
      <c r="Y3957" s="52" t="str">
        <f>IF(AND(OR(LEFT(TH!L3957,2)="15",LEFT(TH!M3957,2)="15"),TK!$E$7=TH!F3957),"x","")</f>
        <v/>
      </c>
      <c r="Z3957" s="52" t="str">
        <f>IF(AND(B3957&lt;=NKC!$N$8,B3957&gt;=NKC!$M$8),"x","")</f>
        <v/>
      </c>
      <c r="AA3957" s="826"/>
    </row>
    <row r="3958" spans="1:27" ht="15.75" customHeight="1">
      <c r="A3958" s="827" t="str">
        <f>IF(B3958&lt;&gt;"",IF(AND(B3958&gt;=_TM1,B3958&lt;=_TM2,OR(TH!L3958="1111",TH!M3958="1111")),TH!D3958,""),"")</f>
        <v/>
      </c>
      <c r="B3958" s="36">
        <f t="shared" si="511"/>
        <v>1</v>
      </c>
      <c r="C3958" s="856">
        <f t="shared" si="512"/>
        <v>0</v>
      </c>
      <c r="D3958" s="856" t="s">
        <v>1664</v>
      </c>
      <c r="E3958" s="856"/>
      <c r="F3958" s="857"/>
      <c r="G3958" s="858"/>
      <c r="H3958" s="859" t="s">
        <v>1312</v>
      </c>
      <c r="I3958" s="251"/>
      <c r="J3958" s="251"/>
      <c r="K3958" s="860">
        <f t="shared" si="513"/>
        <v>0</v>
      </c>
      <c r="L3958" s="861" t="s">
        <v>160</v>
      </c>
      <c r="M3958" s="861" t="s">
        <v>857</v>
      </c>
      <c r="N3958" s="52" t="str">
        <f>IF(AND('331-CT'!$E$7=TH!H3958,OR(L3958="331",M3958="331")),"331",IF(AND(OR(L3958="131",M3958="131"),H3958='131-CT'!$E$7),"131",""))</f>
        <v/>
      </c>
      <c r="O3958" s="52" t="str">
        <f>IF(AND($B3958&gt;='111'!$N$11,$B3958&lt;='111'!$O$11,OR($L3958=$O$7,$M3958=$O$7)),"x","")</f>
        <v/>
      </c>
      <c r="P3958" s="52" t="str">
        <f>IF(AND($L3958=$O$7,$B3958&lt;'111'!$N$11),"x","")</f>
        <v/>
      </c>
      <c r="Q3958" s="52" t="str">
        <f>IF(AND($M3958=$O$7,$B3958&lt;'111'!$N$11),"x","")</f>
        <v/>
      </c>
      <c r="R3958" s="52" t="str">
        <f>IF(ISERROR(FIND('112'!$M$9,G3958,1)),"",IF((AND(FIND('112'!$M$9,G3958,1)&gt;=1,$B3958&gt;='112'!$N$8,$B3958&lt;='112'!$O$8,OR($L3958='112'!$I$6,$M3958='112'!$I$6))),"x",""))</f>
        <v/>
      </c>
      <c r="S3958" s="52" t="str">
        <f>IF(ISERROR(FIND('112'!$M$9,G3958,1)),"",IF((AND(LEFT(G3958,2)=LEFT('112'!$M$9,2),B3958&lt;'112'!$N$8,$L3958='112'!$I$6)),"x",""))</f>
        <v/>
      </c>
      <c r="T3958" s="52" t="str">
        <f>IF(ISERROR(FIND('112'!$M$9,G3958,1)),"",IF((AND(RIGHT(G3958,2)=RIGHT('112'!$M$9,2),B3958&lt;'112'!$N$8,$M3958='112'!$I$6)),"x",""))</f>
        <v/>
      </c>
      <c r="U3958" s="52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/>
      </c>
      <c r="V3958" s="52" t="str">
        <f>IF(OR(TH!L3958=TH!$V$7,M3958=TH!$V$7),"x","")</f>
        <v/>
      </c>
      <c r="W3958" s="52" t="str">
        <f>IF(AND(B3958&gt;='IN-NX'!$P$3,B3958&lt;='IN-NX'!$Q$3,'IN-NX'!$D$7=D3958,OR(LEFT(L3958,2)="15",AND(LEFT(M3958,2)&lt;&gt;"15",LEFT(M3958,2)&lt;&gt;"33"))),"x","")</f>
        <v/>
      </c>
      <c r="X3958" s="52" t="str">
        <f>IF(AND(OR(LEFT(TH!L3958,2)="15",LEFT(TH!M3958,2)="15"),'152-CT'!$J$8=TH!F3958),"x","")</f>
        <v/>
      </c>
      <c r="Y3958" s="52" t="str">
        <f>IF(AND(OR(LEFT(TH!L3958,2)="15",LEFT(TH!M3958,2)="15"),TK!$E$7=TH!F3958),"x","")</f>
        <v/>
      </c>
      <c r="Z3958" s="52" t="str">
        <f>IF(AND(B3958&lt;=NKC!$N$8,B3958&gt;=NKC!$M$8),"x","")</f>
        <v/>
      </c>
      <c r="AA3958" s="826"/>
    </row>
    <row r="3959" spans="1:27" ht="15.75" customHeight="1">
      <c r="A3959" s="827" t="str">
        <f>IF(B3959&lt;&gt;"",IF(AND(B3959&gt;=_TM1,B3959&lt;=_TM2,OR(TH!L3959="1111",TH!M3959="1111")),TH!D3959,""),"")</f>
        <v/>
      </c>
      <c r="B3959" s="36">
        <f t="shared" si="511"/>
        <v>1</v>
      </c>
      <c r="C3959" s="856">
        <f t="shared" si="512"/>
        <v>0</v>
      </c>
      <c r="D3959" s="856" t="s">
        <v>1664</v>
      </c>
      <c r="E3959" s="856"/>
      <c r="F3959" s="857"/>
      <c r="G3959" s="858"/>
      <c r="H3959" s="859" t="s">
        <v>1312</v>
      </c>
      <c r="I3959" s="251"/>
      <c r="J3959" s="251"/>
      <c r="K3959" s="860">
        <f t="shared" si="513"/>
        <v>0</v>
      </c>
      <c r="L3959" s="861" t="s">
        <v>160</v>
      </c>
      <c r="M3959" s="861" t="s">
        <v>857</v>
      </c>
      <c r="N3959" s="52" t="str">
        <f>IF(AND('331-CT'!$E$7=TH!H3959,OR(L3959="331",M3959="331")),"331",IF(AND(OR(L3959="131",M3959="131"),H3959='131-CT'!$E$7),"131",""))</f>
        <v/>
      </c>
      <c r="O3959" s="52" t="str">
        <f>IF(AND($B3959&gt;='111'!$N$11,$B3959&lt;='111'!$O$11,OR($L3959=$O$7,$M3959=$O$7)),"x","")</f>
        <v/>
      </c>
      <c r="P3959" s="52" t="str">
        <f>IF(AND($L3959=$O$7,$B3959&lt;'111'!$N$11),"x","")</f>
        <v/>
      </c>
      <c r="Q3959" s="52" t="str">
        <f>IF(AND($M3959=$O$7,$B3959&lt;'111'!$N$11),"x","")</f>
        <v/>
      </c>
      <c r="R3959" s="52" t="str">
        <f>IF(ISERROR(FIND('112'!$M$9,G3959,1)),"",IF((AND(FIND('112'!$M$9,G3959,1)&gt;=1,$B3959&gt;='112'!$N$8,$B3959&lt;='112'!$O$8,OR($L3959='112'!$I$6,$M3959='112'!$I$6))),"x",""))</f>
        <v/>
      </c>
      <c r="S3959" s="52" t="str">
        <f>IF(ISERROR(FIND('112'!$M$9,G3959,1)),"",IF((AND(LEFT(G3959,2)=LEFT('112'!$M$9,2),B3959&lt;'112'!$N$8,$L3959='112'!$I$6)),"x",""))</f>
        <v/>
      </c>
      <c r="T3959" s="52" t="str">
        <f>IF(ISERROR(FIND('112'!$M$9,G3959,1)),"",IF((AND(RIGHT(G3959,2)=RIGHT('112'!$M$9,2),B3959&lt;'112'!$N$8,$M3959='112'!$I$6)),"x",""))</f>
        <v/>
      </c>
      <c r="U3959" s="52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/>
      </c>
      <c r="V3959" s="52" t="str">
        <f>IF(OR(TH!L3959=TH!$V$7,M3959=TH!$V$7),"x","")</f>
        <v/>
      </c>
      <c r="W3959" s="52" t="str">
        <f>IF(AND(B3959&gt;='IN-NX'!$P$3,B3959&lt;='IN-NX'!$Q$3,'IN-NX'!$D$7=D3959,OR(LEFT(L3959,2)="15",AND(LEFT(M3959,2)&lt;&gt;"15",LEFT(M3959,2)&lt;&gt;"33"))),"x","")</f>
        <v/>
      </c>
      <c r="X3959" s="52" t="str">
        <f>IF(AND(OR(LEFT(TH!L3959,2)="15",LEFT(TH!M3959,2)="15"),'152-CT'!$J$8=TH!F3959),"x","")</f>
        <v/>
      </c>
      <c r="Y3959" s="52" t="str">
        <f>IF(AND(OR(LEFT(TH!L3959,2)="15",LEFT(TH!M3959,2)="15"),TK!$E$7=TH!F3959),"x","")</f>
        <v/>
      </c>
      <c r="Z3959" s="52" t="str">
        <f>IF(AND(B3959&lt;=NKC!$N$8,B3959&gt;=NKC!$M$8),"x","")</f>
        <v/>
      </c>
      <c r="AA3959" s="826"/>
    </row>
    <row r="3960" spans="1:27" ht="15.75" customHeight="1">
      <c r="A3960" s="827" t="str">
        <f>IF(B3960&lt;&gt;"",IF(AND(B3960&gt;=_TM1,B3960&lt;=_TM2,OR(TH!L3960="1111",TH!M3960="1111")),TH!D3960,""),"")</f>
        <v/>
      </c>
      <c r="B3960" s="36">
        <f t="shared" si="511"/>
        <v>1</v>
      </c>
      <c r="C3960" s="190">
        <f t="shared" si="512"/>
        <v>0</v>
      </c>
      <c r="D3960" s="856" t="s">
        <v>1664</v>
      </c>
      <c r="E3960" s="190"/>
      <c r="F3960" s="191"/>
      <c r="G3960" s="833"/>
      <c r="H3960" s="859" t="s">
        <v>1312</v>
      </c>
      <c r="I3960" s="253"/>
      <c r="J3960" s="253"/>
      <c r="K3960" s="860">
        <f t="shared" si="513"/>
        <v>0</v>
      </c>
      <c r="L3960" s="861" t="s">
        <v>160</v>
      </c>
      <c r="M3960" s="861" t="s">
        <v>857</v>
      </c>
      <c r="N3960" s="52" t="str">
        <f>IF(AND('331-CT'!$E$7=TH!H3960,OR(L3960="331",M3960="331")),"331",IF(AND(OR(L3960="131",M3960="131"),H3960='131-CT'!$E$7),"131",""))</f>
        <v/>
      </c>
      <c r="O3960" s="52" t="str">
        <f>IF(AND($B3960&gt;='111'!$N$11,$B3960&lt;='111'!$O$11,OR($L3960=$O$7,$M3960=$O$7)),"x","")</f>
        <v/>
      </c>
      <c r="P3960" s="52" t="str">
        <f>IF(AND($L3960=$O$7,$B3960&lt;'111'!$N$11),"x","")</f>
        <v/>
      </c>
      <c r="Q3960" s="52" t="str">
        <f>IF(AND($M3960=$O$7,$B3960&lt;'111'!$N$11),"x","")</f>
        <v/>
      </c>
      <c r="R3960" s="52" t="str">
        <f>IF(ISERROR(FIND('112'!$M$9,G3960,1)),"",IF((AND(FIND('112'!$M$9,G3960,1)&gt;=1,$B3960&gt;='112'!$N$8,$B3960&lt;='112'!$O$8,OR($L3960='112'!$I$6,$M3960='112'!$I$6))),"x",""))</f>
        <v/>
      </c>
      <c r="S3960" s="52" t="str">
        <f>IF(ISERROR(FIND('112'!$M$9,G3960,1)),"",IF((AND(LEFT(G3960,2)=LEFT('112'!$M$9,2),B3960&lt;'112'!$N$8,$L3960='112'!$I$6)),"x",""))</f>
        <v/>
      </c>
      <c r="T3960" s="52" t="str">
        <f>IF(ISERROR(FIND('112'!$M$9,G3960,1)),"",IF((AND(RIGHT(G3960,2)=RIGHT('112'!$M$9,2),B3960&lt;'112'!$N$8,$M3960='112'!$I$6)),"x",""))</f>
        <v/>
      </c>
      <c r="U3960" s="52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/>
      </c>
      <c r="V3960" s="52" t="str">
        <f>IF(OR(TH!L3960=TH!$V$7,M3960=TH!$V$7),"x","")</f>
        <v/>
      </c>
      <c r="W3960" s="52" t="str">
        <f>IF(AND(B3960&gt;='IN-NX'!$P$3,B3960&lt;='IN-NX'!$Q$3,'IN-NX'!$D$7=D3960,OR(LEFT(L3960,2)="15",AND(LEFT(M3960,2)&lt;&gt;"15",LEFT(M3960,2)&lt;&gt;"33"))),"x","")</f>
        <v/>
      </c>
      <c r="X3960" s="52" t="str">
        <f>IF(AND(OR(LEFT(TH!L3960,2)="15",LEFT(TH!M3960,2)="15"),'152-CT'!$J$8=TH!F3960),"x","")</f>
        <v/>
      </c>
      <c r="Y3960" s="52" t="str">
        <f>IF(AND(OR(LEFT(TH!L3960,2)="15",LEFT(TH!M3960,2)="15"),TK!$E$7=TH!F3960),"x","")</f>
        <v/>
      </c>
      <c r="Z3960" s="52" t="str">
        <f>IF(AND(B3960&lt;=NKC!$N$8,B3960&gt;=NKC!$M$8),"x","")</f>
        <v/>
      </c>
      <c r="AA3960" s="826"/>
    </row>
    <row r="3961" spans="1:27" ht="15.75" customHeight="1">
      <c r="A3961" s="827" t="str">
        <f>IF(B3961&lt;&gt;"",IF(AND(B3961&gt;=_TM1,B3961&lt;=_TM2,OR(TH!L3961="1111",TH!M3961="1111")),TH!D3961,""),"")</f>
        <v/>
      </c>
      <c r="B3961" s="36">
        <f t="shared" si="511"/>
        <v>1</v>
      </c>
      <c r="C3961" s="190">
        <f t="shared" si="512"/>
        <v>0</v>
      </c>
      <c r="D3961" s="856" t="s">
        <v>1664</v>
      </c>
      <c r="E3961" s="190"/>
      <c r="F3961" s="191"/>
      <c r="G3961" s="833"/>
      <c r="H3961" s="859" t="s">
        <v>1312</v>
      </c>
      <c r="I3961" s="253"/>
      <c r="J3961" s="253"/>
      <c r="K3961" s="860">
        <f t="shared" si="513"/>
        <v>0</v>
      </c>
      <c r="L3961" s="861" t="s">
        <v>160</v>
      </c>
      <c r="M3961" s="861" t="s">
        <v>857</v>
      </c>
      <c r="N3961" s="52" t="str">
        <f>IF(AND('331-CT'!$E$7=TH!H3961,OR(L3961="331",M3961="331")),"331",IF(AND(OR(L3961="131",M3961="131"),H3961='131-CT'!$E$7),"131",""))</f>
        <v/>
      </c>
      <c r="O3961" s="52" t="str">
        <f>IF(AND($B3961&gt;='111'!$N$11,$B3961&lt;='111'!$O$11,OR($L3961=$O$7,$M3961=$O$7)),"x","")</f>
        <v/>
      </c>
      <c r="P3961" s="52" t="str">
        <f>IF(AND($L3961=$O$7,$B3961&lt;'111'!$N$11),"x","")</f>
        <v/>
      </c>
      <c r="Q3961" s="52" t="str">
        <f>IF(AND($M3961=$O$7,$B3961&lt;'111'!$N$11),"x","")</f>
        <v/>
      </c>
      <c r="R3961" s="52" t="str">
        <f>IF(ISERROR(FIND('112'!$M$9,G3961,1)),"",IF((AND(FIND('112'!$M$9,G3961,1)&gt;=1,$B3961&gt;='112'!$N$8,$B3961&lt;='112'!$O$8,OR($L3961='112'!$I$6,$M3961='112'!$I$6))),"x",""))</f>
        <v/>
      </c>
      <c r="S3961" s="52" t="str">
        <f>IF(ISERROR(FIND('112'!$M$9,G3961,1)),"",IF((AND(LEFT(G3961,2)=LEFT('112'!$M$9,2),B3961&lt;'112'!$N$8,$L3961='112'!$I$6)),"x",""))</f>
        <v/>
      </c>
      <c r="T3961" s="52" t="str">
        <f>IF(ISERROR(FIND('112'!$M$9,G3961,1)),"",IF((AND(RIGHT(G3961,2)=RIGHT('112'!$M$9,2),B3961&lt;'112'!$N$8,$M3961='112'!$I$6)),"x",""))</f>
        <v/>
      </c>
      <c r="U3961" s="52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/>
      </c>
      <c r="V3961" s="52" t="str">
        <f>IF(OR(TH!L3961=TH!$V$7,M3961=TH!$V$7),"x","")</f>
        <v/>
      </c>
      <c r="W3961" s="52" t="str">
        <f>IF(AND(B3961&gt;='IN-NX'!$P$3,B3961&lt;='IN-NX'!$Q$3,'IN-NX'!$D$7=D3961,OR(LEFT(L3961,2)="15",AND(LEFT(M3961,2)&lt;&gt;"15",LEFT(M3961,2)&lt;&gt;"33"))),"x","")</f>
        <v/>
      </c>
      <c r="X3961" s="52" t="str">
        <f>IF(AND(OR(LEFT(TH!L3961,2)="15",LEFT(TH!M3961,2)="15"),'152-CT'!$J$8=TH!F3961),"x","")</f>
        <v/>
      </c>
      <c r="Y3961" s="52" t="str">
        <f>IF(AND(OR(LEFT(TH!L3961,2)="15",LEFT(TH!M3961,2)="15"),TK!$E$7=TH!F3961),"x","")</f>
        <v/>
      </c>
      <c r="Z3961" s="52" t="str">
        <f>IF(AND(B3961&lt;=NKC!$N$8,B3961&gt;=NKC!$M$8),"x","")</f>
        <v/>
      </c>
      <c r="AA3961" s="826"/>
    </row>
    <row r="3962" spans="1:27" ht="15.75" customHeight="1">
      <c r="A3962" s="827" t="str">
        <f>IF(B3962&lt;&gt;"",IF(AND(B3962&gt;=_TM1,B3962&lt;=_TM2,OR(TH!L3962="1111",TH!M3962="1111")),TH!D3962,""),"")</f>
        <v/>
      </c>
      <c r="B3962" s="36">
        <f t="shared" si="511"/>
        <v>1</v>
      </c>
      <c r="C3962" s="190">
        <f t="shared" si="512"/>
        <v>0</v>
      </c>
      <c r="D3962" s="856" t="s">
        <v>1664</v>
      </c>
      <c r="E3962" s="190"/>
      <c r="F3962" s="191"/>
      <c r="G3962" s="833"/>
      <c r="H3962" s="859" t="s">
        <v>1312</v>
      </c>
      <c r="I3962" s="253"/>
      <c r="J3962" s="253"/>
      <c r="K3962" s="860">
        <f t="shared" si="513"/>
        <v>0</v>
      </c>
      <c r="L3962" s="861" t="s">
        <v>160</v>
      </c>
      <c r="M3962" s="861" t="s">
        <v>857</v>
      </c>
      <c r="N3962" s="52" t="str">
        <f>IF(AND('331-CT'!$E$7=TH!H3962,OR(L3962="331",M3962="331")),"331",IF(AND(OR(L3962="131",M3962="131"),H3962='131-CT'!$E$7),"131",""))</f>
        <v/>
      </c>
      <c r="O3962" s="52" t="str">
        <f>IF(AND($B3962&gt;='111'!$N$11,$B3962&lt;='111'!$O$11,OR($L3962=$O$7,$M3962=$O$7)),"x","")</f>
        <v/>
      </c>
      <c r="P3962" s="52" t="str">
        <f>IF(AND($L3962=$O$7,$B3962&lt;'111'!$N$11),"x","")</f>
        <v/>
      </c>
      <c r="Q3962" s="52" t="str">
        <f>IF(AND($M3962=$O$7,$B3962&lt;'111'!$N$11),"x","")</f>
        <v/>
      </c>
      <c r="R3962" s="52" t="str">
        <f>IF(ISERROR(FIND('112'!$M$9,G3962,1)),"",IF((AND(FIND('112'!$M$9,G3962,1)&gt;=1,$B3962&gt;='112'!$N$8,$B3962&lt;='112'!$O$8,OR($L3962='112'!$I$6,$M3962='112'!$I$6))),"x",""))</f>
        <v/>
      </c>
      <c r="S3962" s="52" t="str">
        <f>IF(ISERROR(FIND('112'!$M$9,G3962,1)),"",IF((AND(LEFT(G3962,2)=LEFT('112'!$M$9,2),B3962&lt;'112'!$N$8,$L3962='112'!$I$6)),"x",""))</f>
        <v/>
      </c>
      <c r="T3962" s="52" t="str">
        <f>IF(ISERROR(FIND('112'!$M$9,G3962,1)),"",IF((AND(RIGHT(G3962,2)=RIGHT('112'!$M$9,2),B3962&lt;'112'!$N$8,$M3962='112'!$I$6)),"x",""))</f>
        <v/>
      </c>
      <c r="U3962" s="52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/>
      </c>
      <c r="V3962" s="52" t="str">
        <f>IF(OR(TH!L3962=TH!$V$7,M3962=TH!$V$7),"x","")</f>
        <v/>
      </c>
      <c r="W3962" s="52" t="str">
        <f>IF(AND(B3962&gt;='IN-NX'!$P$3,B3962&lt;='IN-NX'!$Q$3,'IN-NX'!$D$7=D3962,OR(LEFT(L3962,2)="15",AND(LEFT(M3962,2)&lt;&gt;"15",LEFT(M3962,2)&lt;&gt;"33"))),"x","")</f>
        <v/>
      </c>
      <c r="X3962" s="52" t="str">
        <f>IF(AND(OR(LEFT(TH!L3962,2)="15",LEFT(TH!M3962,2)="15"),'152-CT'!$J$8=TH!F3962),"x","")</f>
        <v/>
      </c>
      <c r="Y3962" s="52" t="str">
        <f>IF(AND(OR(LEFT(TH!L3962,2)="15",LEFT(TH!M3962,2)="15"),TK!$E$7=TH!F3962),"x","")</f>
        <v/>
      </c>
      <c r="Z3962" s="52" t="str">
        <f>IF(AND(B3962&lt;=NKC!$N$8,B3962&gt;=NKC!$M$8),"x","")</f>
        <v/>
      </c>
      <c r="AA3962" s="826"/>
    </row>
    <row r="3963" spans="1:27" ht="15.75" customHeight="1">
      <c r="A3963" s="827" t="str">
        <f>IF(B3963&lt;&gt;"",IF(AND(B3963&gt;=_TM1,B3963&lt;=_TM2,OR(TH!L3963="1111",TH!M3963="1111")),TH!D3963,""),"")</f>
        <v/>
      </c>
      <c r="B3963" s="36">
        <f t="shared" si="511"/>
        <v>1</v>
      </c>
      <c r="C3963" s="190">
        <f t="shared" si="512"/>
        <v>0</v>
      </c>
      <c r="D3963" s="856" t="s">
        <v>1664</v>
      </c>
      <c r="E3963" s="190"/>
      <c r="F3963" s="191"/>
      <c r="G3963" s="833"/>
      <c r="H3963" s="859" t="s">
        <v>1312</v>
      </c>
      <c r="I3963" s="253"/>
      <c r="J3963" s="253"/>
      <c r="K3963" s="860">
        <f t="shared" si="513"/>
        <v>0</v>
      </c>
      <c r="L3963" s="861" t="s">
        <v>160</v>
      </c>
      <c r="M3963" s="861" t="s">
        <v>857</v>
      </c>
      <c r="N3963" s="52" t="str">
        <f>IF(AND('331-CT'!$E$7=TH!H3963,OR(L3963="331",M3963="331")),"331",IF(AND(OR(L3963="131",M3963="131"),H3963='131-CT'!$E$7),"131",""))</f>
        <v/>
      </c>
      <c r="O3963" s="52" t="str">
        <f>IF(AND($B3963&gt;='111'!$N$11,$B3963&lt;='111'!$O$11,OR($L3963=$O$7,$M3963=$O$7)),"x","")</f>
        <v/>
      </c>
      <c r="P3963" s="52" t="str">
        <f>IF(AND($L3963=$O$7,$B3963&lt;'111'!$N$11),"x","")</f>
        <v/>
      </c>
      <c r="Q3963" s="52" t="str">
        <f>IF(AND($M3963=$O$7,$B3963&lt;'111'!$N$11),"x","")</f>
        <v/>
      </c>
      <c r="R3963" s="52" t="str">
        <f>IF(ISERROR(FIND('112'!$M$9,G3963,1)),"",IF((AND(FIND('112'!$M$9,G3963,1)&gt;=1,$B3963&gt;='112'!$N$8,$B3963&lt;='112'!$O$8,OR($L3963='112'!$I$6,$M3963='112'!$I$6))),"x",""))</f>
        <v/>
      </c>
      <c r="S3963" s="52" t="str">
        <f>IF(ISERROR(FIND('112'!$M$9,G3963,1)),"",IF((AND(LEFT(G3963,2)=LEFT('112'!$M$9,2),B3963&lt;'112'!$N$8,$L3963='112'!$I$6)),"x",""))</f>
        <v/>
      </c>
      <c r="T3963" s="52" t="str">
        <f>IF(ISERROR(FIND('112'!$M$9,G3963,1)),"",IF((AND(RIGHT(G3963,2)=RIGHT('112'!$M$9,2),B3963&lt;'112'!$N$8,$M3963='112'!$I$6)),"x",""))</f>
        <v/>
      </c>
      <c r="U3963" s="52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/>
      </c>
      <c r="V3963" s="52" t="str">
        <f>IF(OR(TH!L3963=TH!$V$7,M3963=TH!$V$7),"x","")</f>
        <v/>
      </c>
      <c r="W3963" s="52" t="str">
        <f>IF(AND(B3963&gt;='IN-NX'!$P$3,B3963&lt;='IN-NX'!$Q$3,'IN-NX'!$D$7=D3963,OR(LEFT(L3963,2)="15",AND(LEFT(M3963,2)&lt;&gt;"15",LEFT(M3963,2)&lt;&gt;"33"))),"x","")</f>
        <v/>
      </c>
      <c r="X3963" s="52" t="str">
        <f>IF(AND(OR(LEFT(TH!L3963,2)="15",LEFT(TH!M3963,2)="15"),'152-CT'!$J$8=TH!F3963),"x","")</f>
        <v/>
      </c>
      <c r="Y3963" s="52" t="str">
        <f>IF(AND(OR(LEFT(TH!L3963,2)="15",LEFT(TH!M3963,2)="15"),TK!$E$7=TH!F3963),"x","")</f>
        <v/>
      </c>
      <c r="Z3963" s="52" t="str">
        <f>IF(AND(B3963&lt;=NKC!$N$8,B3963&gt;=NKC!$M$8),"x","")</f>
        <v/>
      </c>
      <c r="AA3963" s="826"/>
    </row>
    <row r="3964" spans="1:27" ht="15.75" customHeight="1">
      <c r="A3964" s="827" t="str">
        <f>IF(B3964&lt;&gt;"",IF(AND(B3964&gt;=_TM1,B3964&lt;=_TM2,OR(TH!L3964="1111",TH!M3964="1111")),TH!D3964,""),"")</f>
        <v/>
      </c>
      <c r="B3964" s="36">
        <f t="shared" si="511"/>
        <v>1</v>
      </c>
      <c r="C3964" s="190">
        <f t="shared" si="512"/>
        <v>0</v>
      </c>
      <c r="D3964" s="856" t="s">
        <v>1664</v>
      </c>
      <c r="E3964" s="190"/>
      <c r="F3964" s="191"/>
      <c r="G3964" s="833"/>
      <c r="H3964" s="859" t="s">
        <v>1312</v>
      </c>
      <c r="I3964" s="253"/>
      <c r="J3964" s="253"/>
      <c r="K3964" s="860">
        <f t="shared" si="513"/>
        <v>0</v>
      </c>
      <c r="L3964" s="861" t="s">
        <v>160</v>
      </c>
      <c r="M3964" s="861" t="s">
        <v>857</v>
      </c>
      <c r="N3964" s="52" t="str">
        <f>IF(AND('331-CT'!$E$7=TH!H3964,OR(L3964="331",M3964="331")),"331",IF(AND(OR(L3964="131",M3964="131"),H3964='131-CT'!$E$7),"131",""))</f>
        <v/>
      </c>
      <c r="O3964" s="52" t="str">
        <f>IF(AND($B3964&gt;='111'!$N$11,$B3964&lt;='111'!$O$11,OR($L3964=$O$7,$M3964=$O$7)),"x","")</f>
        <v/>
      </c>
      <c r="P3964" s="52" t="str">
        <f>IF(AND($L3964=$O$7,$B3964&lt;'111'!$N$11),"x","")</f>
        <v/>
      </c>
      <c r="Q3964" s="52" t="str">
        <f>IF(AND($M3964=$O$7,$B3964&lt;'111'!$N$11),"x","")</f>
        <v/>
      </c>
      <c r="R3964" s="52" t="str">
        <f>IF(ISERROR(FIND('112'!$M$9,G3964,1)),"",IF((AND(FIND('112'!$M$9,G3964,1)&gt;=1,$B3964&gt;='112'!$N$8,$B3964&lt;='112'!$O$8,OR($L3964='112'!$I$6,$M3964='112'!$I$6))),"x",""))</f>
        <v/>
      </c>
      <c r="S3964" s="52" t="str">
        <f>IF(ISERROR(FIND('112'!$M$9,G3964,1)),"",IF((AND(LEFT(G3964,2)=LEFT('112'!$M$9,2),B3964&lt;'112'!$N$8,$L3964='112'!$I$6)),"x",""))</f>
        <v/>
      </c>
      <c r="T3964" s="52" t="str">
        <f>IF(ISERROR(FIND('112'!$M$9,G3964,1)),"",IF((AND(RIGHT(G3964,2)=RIGHT('112'!$M$9,2),B3964&lt;'112'!$N$8,$M3964='112'!$I$6)),"x",""))</f>
        <v/>
      </c>
      <c r="U3964" s="52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V3964" s="52" t="str">
        <f>IF(OR(TH!L3964=TH!$V$7,M3964=TH!$V$7),"x","")</f>
        <v/>
      </c>
      <c r="W3964" s="52" t="str">
        <f>IF(AND(B3964&gt;='IN-NX'!$P$3,B3964&lt;='IN-NX'!$Q$3,'IN-NX'!$D$7=D3964,OR(LEFT(L3964,2)="15",AND(LEFT(M3964,2)&lt;&gt;"15",LEFT(M3964,2)&lt;&gt;"33"))),"x","")</f>
        <v/>
      </c>
      <c r="X3964" s="52" t="str">
        <f>IF(AND(OR(LEFT(TH!L3964,2)="15",LEFT(TH!M3964,2)="15"),'152-CT'!$J$8=TH!F3964),"x","")</f>
        <v/>
      </c>
      <c r="Y3964" s="52" t="str">
        <f>IF(AND(OR(LEFT(TH!L3964,2)="15",LEFT(TH!M3964,2)="15"),TK!$E$7=TH!F3964),"x","")</f>
        <v/>
      </c>
      <c r="Z3964" s="52" t="str">
        <f>IF(AND(B3964&lt;=NKC!$N$8,B3964&gt;=NKC!$M$8),"x","")</f>
        <v/>
      </c>
      <c r="AA3964" s="826"/>
    </row>
    <row r="3965" spans="1:27" ht="15.75" customHeight="1">
      <c r="A3965" s="827" t="str">
        <f>IF(B3965&lt;&gt;"",IF(AND(B3965&gt;=_TM1,B3965&lt;=_TM2,OR(TH!L3965="1111",TH!M3965="1111")),TH!D3965,""),"")</f>
        <v/>
      </c>
      <c r="B3965" s="36">
        <f t="shared" si="511"/>
        <v>1</v>
      </c>
      <c r="C3965" s="190">
        <f t="shared" si="512"/>
        <v>0</v>
      </c>
      <c r="D3965" s="856" t="s">
        <v>1664</v>
      </c>
      <c r="E3965" s="190"/>
      <c r="F3965" s="191"/>
      <c r="G3965" s="833"/>
      <c r="H3965" s="859" t="s">
        <v>1312</v>
      </c>
      <c r="I3965" s="253"/>
      <c r="J3965" s="253"/>
      <c r="K3965" s="860">
        <f t="shared" si="513"/>
        <v>0</v>
      </c>
      <c r="L3965" s="861" t="s">
        <v>160</v>
      </c>
      <c r="M3965" s="861" t="s">
        <v>857</v>
      </c>
      <c r="N3965" s="52" t="str">
        <f>IF(AND('331-CT'!$E$7=TH!H3965,OR(L3965="331",M3965="331")),"331",IF(AND(OR(L3965="131",M3965="131"),H3965='131-CT'!$E$7),"131",""))</f>
        <v/>
      </c>
      <c r="O3965" s="52" t="str">
        <f>IF(AND($B3965&gt;='111'!$N$11,$B3965&lt;='111'!$O$11,OR($L3965=$O$7,$M3965=$O$7)),"x","")</f>
        <v/>
      </c>
      <c r="P3965" s="52" t="str">
        <f>IF(AND($L3965=$O$7,$B3965&lt;'111'!$N$11),"x","")</f>
        <v/>
      </c>
      <c r="Q3965" s="52" t="str">
        <f>IF(AND($M3965=$O$7,$B3965&lt;'111'!$N$11),"x","")</f>
        <v/>
      </c>
      <c r="R3965" s="52" t="str">
        <f>IF(ISERROR(FIND('112'!$M$9,G3965,1)),"",IF((AND(FIND('112'!$M$9,G3965,1)&gt;=1,$B3965&gt;='112'!$N$8,$B3965&lt;='112'!$O$8,OR($L3965='112'!$I$6,$M3965='112'!$I$6))),"x",""))</f>
        <v/>
      </c>
      <c r="S3965" s="52" t="str">
        <f>IF(ISERROR(FIND('112'!$M$9,G3965,1)),"",IF((AND(LEFT(G3965,2)=LEFT('112'!$M$9,2),B3965&lt;'112'!$N$8,$L3965='112'!$I$6)),"x",""))</f>
        <v/>
      </c>
      <c r="T3965" s="52" t="str">
        <f>IF(ISERROR(FIND('112'!$M$9,G3965,1)),"",IF((AND(RIGHT(G3965,2)=RIGHT('112'!$M$9,2),B3965&lt;'112'!$N$8,$M3965='112'!$I$6)),"x",""))</f>
        <v/>
      </c>
      <c r="U3965" s="52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V3965" s="52" t="str">
        <f>IF(OR(TH!L3965=TH!$V$7,M3965=TH!$V$7),"x","")</f>
        <v/>
      </c>
      <c r="W3965" s="52" t="str">
        <f>IF(AND(B3965&gt;='IN-NX'!$P$3,B3965&lt;='IN-NX'!$Q$3,'IN-NX'!$D$7=D3965,OR(LEFT(L3965,2)="15",AND(LEFT(M3965,2)&lt;&gt;"15",LEFT(M3965,2)&lt;&gt;"33"))),"x","")</f>
        <v/>
      </c>
      <c r="X3965" s="52" t="str">
        <f>IF(AND(OR(LEFT(TH!L3965,2)="15",LEFT(TH!M3965,2)="15"),'152-CT'!$J$8=TH!F3965),"x","")</f>
        <v/>
      </c>
      <c r="Y3965" s="52" t="str">
        <f>IF(AND(OR(LEFT(TH!L3965,2)="15",LEFT(TH!M3965,2)="15"),TK!$E$7=TH!F3965),"x","")</f>
        <v/>
      </c>
      <c r="Z3965" s="52" t="str">
        <f>IF(AND(B3965&lt;=NKC!$N$8,B3965&gt;=NKC!$M$8),"x","")</f>
        <v/>
      </c>
      <c r="AA3965" s="826"/>
    </row>
    <row r="3966" spans="1:27" ht="15.75" customHeight="1">
      <c r="A3966" s="827" t="str">
        <f>IF(B3966&lt;&gt;"",IF(AND(B3966&gt;=_TM1,B3966&lt;=_TM2,OR(TH!L3966="1111",TH!M3966="1111")),TH!D3966,""),"")</f>
        <v/>
      </c>
      <c r="B3966" s="36">
        <f t="shared" si="511"/>
        <v>1</v>
      </c>
      <c r="C3966" s="190">
        <f t="shared" si="512"/>
        <v>0</v>
      </c>
      <c r="D3966" s="856" t="s">
        <v>1664</v>
      </c>
      <c r="E3966" s="190"/>
      <c r="F3966" s="191"/>
      <c r="G3966" s="833"/>
      <c r="H3966" s="859" t="s">
        <v>1312</v>
      </c>
      <c r="I3966" s="253"/>
      <c r="J3966" s="253"/>
      <c r="K3966" s="860">
        <f t="shared" si="513"/>
        <v>0</v>
      </c>
      <c r="L3966" s="861" t="s">
        <v>160</v>
      </c>
      <c r="M3966" s="861" t="s">
        <v>857</v>
      </c>
      <c r="N3966" s="52" t="str">
        <f>IF(AND('331-CT'!$E$7=TH!H3966,OR(L3966="331",M3966="331")),"331",IF(AND(OR(L3966="131",M3966="131"),H3966='131-CT'!$E$7),"131",""))</f>
        <v/>
      </c>
      <c r="O3966" s="52" t="str">
        <f>IF(AND($B3966&gt;='111'!$N$11,$B3966&lt;='111'!$O$11,OR($L3966=$O$7,$M3966=$O$7)),"x","")</f>
        <v/>
      </c>
      <c r="P3966" s="52" t="str">
        <f>IF(AND($L3966=$O$7,$B3966&lt;'111'!$N$11),"x","")</f>
        <v/>
      </c>
      <c r="Q3966" s="52" t="str">
        <f>IF(AND($M3966=$O$7,$B3966&lt;'111'!$N$11),"x","")</f>
        <v/>
      </c>
      <c r="R3966" s="52" t="str">
        <f>IF(ISERROR(FIND('112'!$M$9,G3966,1)),"",IF((AND(FIND('112'!$M$9,G3966,1)&gt;=1,$B3966&gt;='112'!$N$8,$B3966&lt;='112'!$O$8,OR($L3966='112'!$I$6,$M3966='112'!$I$6))),"x",""))</f>
        <v/>
      </c>
      <c r="S3966" s="52" t="str">
        <f>IF(ISERROR(FIND('112'!$M$9,G3966,1)),"",IF((AND(LEFT(G3966,2)=LEFT('112'!$M$9,2),B3966&lt;'112'!$N$8,$L3966='112'!$I$6)),"x",""))</f>
        <v/>
      </c>
      <c r="T3966" s="52" t="str">
        <f>IF(ISERROR(FIND('112'!$M$9,G3966,1)),"",IF((AND(RIGHT(G3966,2)=RIGHT('112'!$M$9,2),B3966&lt;'112'!$N$8,$M3966='112'!$I$6)),"x",""))</f>
        <v/>
      </c>
      <c r="U3966" s="52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V3966" s="52" t="str">
        <f>IF(OR(TH!L3966=TH!$V$7,M3966=TH!$V$7),"x","")</f>
        <v/>
      </c>
      <c r="W3966" s="52" t="str">
        <f>IF(AND(B3966&gt;='IN-NX'!$P$3,B3966&lt;='IN-NX'!$Q$3,'IN-NX'!$D$7=D3966,OR(LEFT(L3966,2)="15",AND(LEFT(M3966,2)&lt;&gt;"15",LEFT(M3966,2)&lt;&gt;"33"))),"x","")</f>
        <v/>
      </c>
      <c r="X3966" s="52" t="str">
        <f>IF(AND(OR(LEFT(TH!L3966,2)="15",LEFT(TH!M3966,2)="15"),'152-CT'!$J$8=TH!F3966),"x","")</f>
        <v/>
      </c>
      <c r="Y3966" s="52" t="str">
        <f>IF(AND(OR(LEFT(TH!L3966,2)="15",LEFT(TH!M3966,2)="15"),TK!$E$7=TH!F3966),"x","")</f>
        <v/>
      </c>
      <c r="Z3966" s="52" t="str">
        <f>IF(AND(B3966&lt;=NKC!$N$8,B3966&gt;=NKC!$M$8),"x","")</f>
        <v/>
      </c>
      <c r="AA3966" s="826"/>
    </row>
    <row r="3967" spans="1:27" ht="15.75" customHeight="1">
      <c r="A3967" s="827" t="str">
        <f>IF(B3967&lt;&gt;"",IF(AND(B3967&gt;=_TM1,B3967&lt;=_TM2,OR(TH!L3967="1111",TH!M3967="1111")),TH!D3967,""),"")</f>
        <v/>
      </c>
      <c r="B3967" s="36">
        <f t="shared" si="511"/>
        <v>1</v>
      </c>
      <c r="C3967" s="190">
        <f t="shared" si="512"/>
        <v>0</v>
      </c>
      <c r="D3967" s="856" t="s">
        <v>1664</v>
      </c>
      <c r="E3967" s="190"/>
      <c r="F3967" s="191"/>
      <c r="G3967" s="833"/>
      <c r="H3967" s="859" t="s">
        <v>1312</v>
      </c>
      <c r="I3967" s="253"/>
      <c r="J3967" s="253"/>
      <c r="K3967" s="860">
        <f t="shared" si="513"/>
        <v>0</v>
      </c>
      <c r="L3967" s="861" t="s">
        <v>160</v>
      </c>
      <c r="M3967" s="861" t="s">
        <v>857</v>
      </c>
      <c r="N3967" s="52" t="str">
        <f>IF(AND('331-CT'!$E$7=TH!H3967,OR(L3967="331",M3967="331")),"331",IF(AND(OR(L3967="131",M3967="131"),H3967='131-CT'!$E$7),"131",""))</f>
        <v/>
      </c>
      <c r="O3967" s="52" t="str">
        <f>IF(AND($B3967&gt;='111'!$N$11,$B3967&lt;='111'!$O$11,OR($L3967=$O$7,$M3967=$O$7)),"x","")</f>
        <v/>
      </c>
      <c r="P3967" s="52" t="str">
        <f>IF(AND($L3967=$O$7,$B3967&lt;'111'!$N$11),"x","")</f>
        <v/>
      </c>
      <c r="Q3967" s="52" t="str">
        <f>IF(AND($M3967=$O$7,$B3967&lt;'111'!$N$11),"x","")</f>
        <v/>
      </c>
      <c r="R3967" s="52" t="str">
        <f>IF(ISERROR(FIND('112'!$M$9,G3967,1)),"",IF((AND(FIND('112'!$M$9,G3967,1)&gt;=1,$B3967&gt;='112'!$N$8,$B3967&lt;='112'!$O$8,OR($L3967='112'!$I$6,$M3967='112'!$I$6))),"x",""))</f>
        <v/>
      </c>
      <c r="S3967" s="52" t="str">
        <f>IF(ISERROR(FIND('112'!$M$9,G3967,1)),"",IF((AND(LEFT(G3967,2)=LEFT('112'!$M$9,2),B3967&lt;'112'!$N$8,$L3967='112'!$I$6)),"x",""))</f>
        <v/>
      </c>
      <c r="T3967" s="52" t="str">
        <f>IF(ISERROR(FIND('112'!$M$9,G3967,1)),"",IF((AND(RIGHT(G3967,2)=RIGHT('112'!$M$9,2),B3967&lt;'112'!$N$8,$M3967='112'!$I$6)),"x",""))</f>
        <v/>
      </c>
      <c r="U3967" s="52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V3967" s="52" t="str">
        <f>IF(OR(TH!L3967=TH!$V$7,M3967=TH!$V$7),"x","")</f>
        <v/>
      </c>
      <c r="W3967" s="52" t="str">
        <f>IF(AND(B3967&gt;='IN-NX'!$P$3,B3967&lt;='IN-NX'!$Q$3,'IN-NX'!$D$7=D3967,OR(LEFT(L3967,2)="15",AND(LEFT(M3967,2)&lt;&gt;"15",LEFT(M3967,2)&lt;&gt;"33"))),"x","")</f>
        <v/>
      </c>
      <c r="X3967" s="52" t="str">
        <f>IF(AND(OR(LEFT(TH!L3967,2)="15",LEFT(TH!M3967,2)="15"),'152-CT'!$J$8=TH!F3967),"x","")</f>
        <v/>
      </c>
      <c r="Y3967" s="52" t="str">
        <f>IF(AND(OR(LEFT(TH!L3967,2)="15",LEFT(TH!M3967,2)="15"),TK!$E$7=TH!F3967),"x","")</f>
        <v/>
      </c>
      <c r="Z3967" s="52" t="str">
        <f>IF(AND(B3967&lt;=NKC!$N$8,B3967&gt;=NKC!$M$8),"x","")</f>
        <v/>
      </c>
      <c r="AA3967" s="826"/>
    </row>
    <row r="3968" spans="1:27" ht="15.75" customHeight="1">
      <c r="A3968" s="827" t="str">
        <f>IF(B3968&lt;&gt;"",IF(AND(B3968&gt;=_TM1,B3968&lt;=_TM2,OR(TH!L3968="1111",TH!M3968="1111")),TH!D3968,""),"")</f>
        <v/>
      </c>
      <c r="B3968" s="36">
        <f t="shared" si="511"/>
        <v>1</v>
      </c>
      <c r="C3968" s="190">
        <f t="shared" si="512"/>
        <v>0</v>
      </c>
      <c r="D3968" s="856" t="s">
        <v>1664</v>
      </c>
      <c r="E3968" s="190"/>
      <c r="F3968" s="191"/>
      <c r="G3968" s="833"/>
      <c r="H3968" s="859" t="s">
        <v>1312</v>
      </c>
      <c r="I3968" s="253"/>
      <c r="J3968" s="253"/>
      <c r="K3968" s="860">
        <f t="shared" si="513"/>
        <v>0</v>
      </c>
      <c r="L3968" s="861" t="s">
        <v>160</v>
      </c>
      <c r="M3968" s="861" t="s">
        <v>857</v>
      </c>
      <c r="N3968" s="52" t="str">
        <f>IF(AND('331-CT'!$E$7=TH!H3968,OR(L3968="331",M3968="331")),"331",IF(AND(OR(L3968="131",M3968="131"),H3968='131-CT'!$E$7),"131",""))</f>
        <v/>
      </c>
      <c r="O3968" s="52" t="str">
        <f>IF(AND($B3968&gt;='111'!$N$11,$B3968&lt;='111'!$O$11,OR($L3968=$O$7,$M3968=$O$7)),"x","")</f>
        <v/>
      </c>
      <c r="P3968" s="52" t="str">
        <f>IF(AND($L3968=$O$7,$B3968&lt;'111'!$N$11),"x","")</f>
        <v/>
      </c>
      <c r="Q3968" s="52" t="str">
        <f>IF(AND($M3968=$O$7,$B3968&lt;'111'!$N$11),"x","")</f>
        <v/>
      </c>
      <c r="R3968" s="52" t="str">
        <f>IF(ISERROR(FIND('112'!$M$9,G3968,1)),"",IF((AND(FIND('112'!$M$9,G3968,1)&gt;=1,$B3968&gt;='112'!$N$8,$B3968&lt;='112'!$O$8,OR($L3968='112'!$I$6,$M3968='112'!$I$6))),"x",""))</f>
        <v/>
      </c>
      <c r="S3968" s="52" t="str">
        <f>IF(ISERROR(FIND('112'!$M$9,G3968,1)),"",IF((AND(LEFT(G3968,2)=LEFT('112'!$M$9,2),B3968&lt;'112'!$N$8,$L3968='112'!$I$6)),"x",""))</f>
        <v/>
      </c>
      <c r="T3968" s="52" t="str">
        <f>IF(ISERROR(FIND('112'!$M$9,G3968,1)),"",IF((AND(RIGHT(G3968,2)=RIGHT('112'!$M$9,2),B3968&lt;'112'!$N$8,$M3968='112'!$I$6)),"x",""))</f>
        <v/>
      </c>
      <c r="U3968" s="52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V3968" s="52" t="str">
        <f>IF(OR(TH!L3968=TH!$V$7,M3968=TH!$V$7),"x","")</f>
        <v/>
      </c>
      <c r="W3968" s="52" t="str">
        <f>IF(AND(B3968&gt;='IN-NX'!$P$3,B3968&lt;='IN-NX'!$Q$3,'IN-NX'!$D$7=D3968,OR(LEFT(L3968,2)="15",AND(LEFT(M3968,2)&lt;&gt;"15",LEFT(M3968,2)&lt;&gt;"33"))),"x","")</f>
        <v/>
      </c>
      <c r="X3968" s="52" t="str">
        <f>IF(AND(OR(LEFT(TH!L3968,2)="15",LEFT(TH!M3968,2)="15"),'152-CT'!$J$8=TH!F3968),"x","")</f>
        <v/>
      </c>
      <c r="Y3968" s="52" t="str">
        <f>IF(AND(OR(LEFT(TH!L3968,2)="15",LEFT(TH!M3968,2)="15"),TK!$E$7=TH!F3968),"x","")</f>
        <v/>
      </c>
      <c r="Z3968" s="52" t="str">
        <f>IF(AND(B3968&lt;=NKC!$N$8,B3968&gt;=NKC!$M$8),"x","")</f>
        <v/>
      </c>
      <c r="AA3968" s="826"/>
    </row>
    <row r="3969" spans="1:27" ht="15.75" customHeight="1">
      <c r="A3969" s="827" t="str">
        <f>IF(B3969&lt;&gt;"",IF(AND(B3969&gt;=_TM1,B3969&lt;=_TM2,OR(TH!L3969="1111",TH!M3969="1111")),TH!D3969,""),"")</f>
        <v/>
      </c>
      <c r="B3969" s="36">
        <f t="shared" si="511"/>
        <v>1</v>
      </c>
      <c r="C3969" s="190">
        <f t="shared" si="512"/>
        <v>0</v>
      </c>
      <c r="D3969" s="856" t="s">
        <v>1664</v>
      </c>
      <c r="E3969" s="190"/>
      <c r="F3969" s="191"/>
      <c r="G3969" s="833"/>
      <c r="H3969" s="859" t="s">
        <v>1312</v>
      </c>
      <c r="I3969" s="253"/>
      <c r="J3969" s="253"/>
      <c r="K3969" s="860">
        <f t="shared" si="513"/>
        <v>0</v>
      </c>
      <c r="L3969" s="861" t="s">
        <v>160</v>
      </c>
      <c r="M3969" s="861" t="s">
        <v>857</v>
      </c>
      <c r="N3969" s="52" t="str">
        <f>IF(AND('331-CT'!$E$7=TH!H3969,OR(L3969="331",M3969="331")),"331",IF(AND(OR(L3969="131",M3969="131"),H3969='131-CT'!$E$7),"131",""))</f>
        <v/>
      </c>
      <c r="O3969" s="52" t="str">
        <f>IF(AND($B3969&gt;='111'!$N$11,$B3969&lt;='111'!$O$11,OR($L3969=$O$7,$M3969=$O$7)),"x","")</f>
        <v/>
      </c>
      <c r="P3969" s="52" t="str">
        <f>IF(AND($L3969=$O$7,$B3969&lt;'111'!$N$11),"x","")</f>
        <v/>
      </c>
      <c r="Q3969" s="52" t="str">
        <f>IF(AND($M3969=$O$7,$B3969&lt;'111'!$N$11),"x","")</f>
        <v/>
      </c>
      <c r="R3969" s="52" t="str">
        <f>IF(ISERROR(FIND('112'!$M$9,G3969,1)),"",IF((AND(FIND('112'!$M$9,G3969,1)&gt;=1,$B3969&gt;='112'!$N$8,$B3969&lt;='112'!$O$8,OR($L3969='112'!$I$6,$M3969='112'!$I$6))),"x",""))</f>
        <v/>
      </c>
      <c r="S3969" s="52" t="str">
        <f>IF(ISERROR(FIND('112'!$M$9,G3969,1)),"",IF((AND(LEFT(G3969,2)=LEFT('112'!$M$9,2),B3969&lt;'112'!$N$8,$L3969='112'!$I$6)),"x",""))</f>
        <v/>
      </c>
      <c r="T3969" s="52" t="str">
        <f>IF(ISERROR(FIND('112'!$M$9,G3969,1)),"",IF((AND(RIGHT(G3969,2)=RIGHT('112'!$M$9,2),B3969&lt;'112'!$N$8,$M3969='112'!$I$6)),"x",""))</f>
        <v/>
      </c>
      <c r="U3969" s="52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V3969" s="52" t="str">
        <f>IF(OR(TH!L3969=TH!$V$7,M3969=TH!$V$7),"x","")</f>
        <v/>
      </c>
      <c r="W3969" s="52" t="str">
        <f>IF(AND(B3969&gt;='IN-NX'!$P$3,B3969&lt;='IN-NX'!$Q$3,'IN-NX'!$D$7=D3969,OR(LEFT(L3969,2)="15",AND(LEFT(M3969,2)&lt;&gt;"15",LEFT(M3969,2)&lt;&gt;"33"))),"x","")</f>
        <v/>
      </c>
      <c r="X3969" s="52" t="str">
        <f>IF(AND(OR(LEFT(TH!L3969,2)="15",LEFT(TH!M3969,2)="15"),'152-CT'!$J$8=TH!F3969),"x","")</f>
        <v/>
      </c>
      <c r="Y3969" s="52" t="str">
        <f>IF(AND(OR(LEFT(TH!L3969,2)="15",LEFT(TH!M3969,2)="15"),TK!$E$7=TH!F3969),"x","")</f>
        <v/>
      </c>
      <c r="Z3969" s="52" t="str">
        <f>IF(AND(B3969&lt;=NKC!$N$8,B3969&gt;=NKC!$M$8),"x","")</f>
        <v/>
      </c>
      <c r="AA3969" s="826"/>
    </row>
    <row r="3970" spans="1:27" ht="15.75" customHeight="1">
      <c r="A3970" s="827" t="str">
        <f>IF(B3970&lt;&gt;"",IF(AND(B3970&gt;=_TM1,B3970&lt;=_TM2,OR(TH!L3970="1111",TH!M3970="1111")),TH!D3970,""),"")</f>
        <v/>
      </c>
      <c r="B3970" s="36">
        <f t="shared" si="511"/>
        <v>1</v>
      </c>
      <c r="C3970" s="190">
        <f t="shared" si="512"/>
        <v>0</v>
      </c>
      <c r="D3970" s="856" t="s">
        <v>1664</v>
      </c>
      <c r="E3970" s="190"/>
      <c r="F3970" s="191"/>
      <c r="G3970" s="833"/>
      <c r="H3970" s="859" t="s">
        <v>1312</v>
      </c>
      <c r="I3970" s="253"/>
      <c r="J3970" s="253"/>
      <c r="K3970" s="860">
        <f t="shared" si="513"/>
        <v>0</v>
      </c>
      <c r="L3970" s="861" t="s">
        <v>160</v>
      </c>
      <c r="M3970" s="861" t="s">
        <v>857</v>
      </c>
      <c r="N3970" s="52" t="str">
        <f>IF(AND('331-CT'!$E$7=TH!H3970,OR(L3970="331",M3970="331")),"331",IF(AND(OR(L3970="131",M3970="131"),H3970='131-CT'!$E$7),"131",""))</f>
        <v/>
      </c>
      <c r="O3970" s="52" t="str">
        <f>IF(AND($B3970&gt;='111'!$N$11,$B3970&lt;='111'!$O$11,OR($L3970=$O$7,$M3970=$O$7)),"x","")</f>
        <v/>
      </c>
      <c r="P3970" s="52" t="str">
        <f>IF(AND($L3970=$O$7,$B3970&lt;'111'!$N$11),"x","")</f>
        <v/>
      </c>
      <c r="Q3970" s="52" t="str">
        <f>IF(AND($M3970=$O$7,$B3970&lt;'111'!$N$11),"x","")</f>
        <v/>
      </c>
      <c r="R3970" s="52" t="str">
        <f>IF(ISERROR(FIND('112'!$M$9,G3970,1)),"",IF((AND(FIND('112'!$M$9,G3970,1)&gt;=1,$B3970&gt;='112'!$N$8,$B3970&lt;='112'!$O$8,OR($L3970='112'!$I$6,$M3970='112'!$I$6))),"x",""))</f>
        <v/>
      </c>
      <c r="S3970" s="52" t="str">
        <f>IF(ISERROR(FIND('112'!$M$9,G3970,1)),"",IF((AND(LEFT(G3970,2)=LEFT('112'!$M$9,2),B3970&lt;'112'!$N$8,$L3970='112'!$I$6)),"x",""))</f>
        <v/>
      </c>
      <c r="T3970" s="52" t="str">
        <f>IF(ISERROR(FIND('112'!$M$9,G3970,1)),"",IF((AND(RIGHT(G3970,2)=RIGHT('112'!$M$9,2),B3970&lt;'112'!$N$8,$M3970='112'!$I$6)),"x",""))</f>
        <v/>
      </c>
      <c r="U3970" s="52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V3970" s="52" t="str">
        <f>IF(OR(TH!L3970=TH!$V$7,M3970=TH!$V$7),"x","")</f>
        <v/>
      </c>
      <c r="W3970" s="52" t="str">
        <f>IF(AND(B3970&gt;='IN-NX'!$P$3,B3970&lt;='IN-NX'!$Q$3,'IN-NX'!$D$7=D3970,OR(LEFT(L3970,2)="15",AND(LEFT(M3970,2)&lt;&gt;"15",LEFT(M3970,2)&lt;&gt;"33"))),"x","")</f>
        <v/>
      </c>
      <c r="X3970" s="52" t="str">
        <f>IF(AND(OR(LEFT(TH!L3970,2)="15",LEFT(TH!M3970,2)="15"),'152-CT'!$J$8=TH!F3970),"x","")</f>
        <v/>
      </c>
      <c r="Y3970" s="52" t="str">
        <f>IF(AND(OR(LEFT(TH!L3970,2)="15",LEFT(TH!M3970,2)="15"),TK!$E$7=TH!F3970),"x","")</f>
        <v/>
      </c>
      <c r="Z3970" s="52" t="str">
        <f>IF(AND(B3970&lt;=NKC!$N$8,B3970&gt;=NKC!$M$8),"x","")</f>
        <v/>
      </c>
      <c r="AA3970" s="826"/>
    </row>
    <row r="3971" spans="1:27" ht="15.75" customHeight="1">
      <c r="A3971" s="827" t="str">
        <f>IF(B3971&lt;&gt;"",IF(AND(B3971&gt;=_TM1,B3971&lt;=_TM2,OR(TH!L3971="1111",TH!M3971="1111")),TH!D3971,""),"")</f>
        <v/>
      </c>
      <c r="B3971" s="36">
        <f t="shared" si="511"/>
        <v>1</v>
      </c>
      <c r="C3971" s="190">
        <f t="shared" si="512"/>
        <v>0</v>
      </c>
      <c r="D3971" s="856" t="s">
        <v>1664</v>
      </c>
      <c r="E3971" s="190"/>
      <c r="F3971" s="191"/>
      <c r="G3971" s="833"/>
      <c r="H3971" s="859" t="s">
        <v>1312</v>
      </c>
      <c r="I3971" s="253"/>
      <c r="J3971" s="253"/>
      <c r="K3971" s="860">
        <f t="shared" si="513"/>
        <v>0</v>
      </c>
      <c r="L3971" s="861" t="s">
        <v>160</v>
      </c>
      <c r="M3971" s="861" t="s">
        <v>857</v>
      </c>
      <c r="N3971" s="52" t="str">
        <f>IF(AND('331-CT'!$E$7=TH!H3971,OR(L3971="331",M3971="331")),"331",IF(AND(OR(L3971="131",M3971="131"),H3971='131-CT'!$E$7),"131",""))</f>
        <v/>
      </c>
      <c r="O3971" s="52" t="str">
        <f>IF(AND($B3971&gt;='111'!$N$11,$B3971&lt;='111'!$O$11,OR($L3971=$O$7,$M3971=$O$7)),"x","")</f>
        <v/>
      </c>
      <c r="P3971" s="52" t="str">
        <f>IF(AND($L3971=$O$7,$B3971&lt;'111'!$N$11),"x","")</f>
        <v/>
      </c>
      <c r="Q3971" s="52" t="str">
        <f>IF(AND($M3971=$O$7,$B3971&lt;'111'!$N$11),"x","")</f>
        <v/>
      </c>
      <c r="R3971" s="52" t="str">
        <f>IF(ISERROR(FIND('112'!$M$9,G3971,1)),"",IF((AND(FIND('112'!$M$9,G3971,1)&gt;=1,$B3971&gt;='112'!$N$8,$B3971&lt;='112'!$O$8,OR($L3971='112'!$I$6,$M3971='112'!$I$6))),"x",""))</f>
        <v/>
      </c>
      <c r="S3971" s="52" t="str">
        <f>IF(ISERROR(FIND('112'!$M$9,G3971,1)),"",IF((AND(LEFT(G3971,2)=LEFT('112'!$M$9,2),B3971&lt;'112'!$N$8,$L3971='112'!$I$6)),"x",""))</f>
        <v/>
      </c>
      <c r="T3971" s="52" t="str">
        <f>IF(ISERROR(FIND('112'!$M$9,G3971,1)),"",IF((AND(RIGHT(G3971,2)=RIGHT('112'!$M$9,2),B3971&lt;'112'!$N$8,$M3971='112'!$I$6)),"x",""))</f>
        <v/>
      </c>
      <c r="U3971" s="52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V3971" s="52" t="str">
        <f>IF(OR(TH!L3971=TH!$V$7,M3971=TH!$V$7),"x","")</f>
        <v/>
      </c>
      <c r="W3971" s="52" t="str">
        <f>IF(AND(B3971&gt;='IN-NX'!$P$3,B3971&lt;='IN-NX'!$Q$3,'IN-NX'!$D$7=D3971,OR(LEFT(L3971,2)="15",AND(LEFT(M3971,2)&lt;&gt;"15",LEFT(M3971,2)&lt;&gt;"33"))),"x","")</f>
        <v/>
      </c>
      <c r="X3971" s="52" t="str">
        <f>IF(AND(OR(LEFT(TH!L3971,2)="15",LEFT(TH!M3971,2)="15"),'152-CT'!$J$8=TH!F3971),"x","")</f>
        <v/>
      </c>
      <c r="Y3971" s="52" t="str">
        <f>IF(AND(OR(LEFT(TH!L3971,2)="15",LEFT(TH!M3971,2)="15"),TK!$E$7=TH!F3971),"x","")</f>
        <v/>
      </c>
      <c r="Z3971" s="52" t="str">
        <f>IF(AND(B3971&lt;=NKC!$N$8,B3971&gt;=NKC!$M$8),"x","")</f>
        <v/>
      </c>
      <c r="AA3971" s="826"/>
    </row>
    <row r="3972" spans="1:27" ht="15.75" customHeight="1">
      <c r="A3972" s="827" t="str">
        <f>IF(B3972&lt;&gt;"",IF(AND(B3972&gt;=_TM1,B3972&lt;=_TM2,OR(TH!L3972="1111",TH!M3972="1111")),TH!D3972,""),"")</f>
        <v/>
      </c>
      <c r="B3972" s="36">
        <f t="shared" si="511"/>
        <v>1</v>
      </c>
      <c r="C3972" s="190">
        <f t="shared" si="512"/>
        <v>0</v>
      </c>
      <c r="D3972" s="856" t="s">
        <v>1664</v>
      </c>
      <c r="E3972" s="190"/>
      <c r="F3972" s="191"/>
      <c r="G3972" s="833"/>
      <c r="H3972" s="859" t="s">
        <v>1312</v>
      </c>
      <c r="I3972" s="253"/>
      <c r="J3972" s="253"/>
      <c r="K3972" s="860">
        <f t="shared" si="513"/>
        <v>0</v>
      </c>
      <c r="L3972" s="861" t="s">
        <v>160</v>
      </c>
      <c r="M3972" s="861" t="s">
        <v>857</v>
      </c>
      <c r="N3972" s="52" t="str">
        <f>IF(AND('331-CT'!$E$7=TH!H3972,OR(L3972="331",M3972="331")),"331",IF(AND(OR(L3972="131",M3972="131"),H3972='131-CT'!$E$7),"131",""))</f>
        <v/>
      </c>
      <c r="O3972" s="52" t="str">
        <f>IF(AND($B3972&gt;='111'!$N$11,$B3972&lt;='111'!$O$11,OR($L3972=$O$7,$M3972=$O$7)),"x","")</f>
        <v/>
      </c>
      <c r="P3972" s="52" t="str">
        <f>IF(AND($L3972=$O$7,$B3972&lt;'111'!$N$11),"x","")</f>
        <v/>
      </c>
      <c r="Q3972" s="52" t="str">
        <f>IF(AND($M3972=$O$7,$B3972&lt;'111'!$N$11),"x","")</f>
        <v/>
      </c>
      <c r="R3972" s="52" t="str">
        <f>IF(ISERROR(FIND('112'!$M$9,G3972,1)),"",IF((AND(FIND('112'!$M$9,G3972,1)&gt;=1,$B3972&gt;='112'!$N$8,$B3972&lt;='112'!$O$8,OR($L3972='112'!$I$6,$M3972='112'!$I$6))),"x",""))</f>
        <v/>
      </c>
      <c r="S3972" s="52" t="str">
        <f>IF(ISERROR(FIND('112'!$M$9,G3972,1)),"",IF((AND(LEFT(G3972,2)=LEFT('112'!$M$9,2),B3972&lt;'112'!$N$8,$L3972='112'!$I$6)),"x",""))</f>
        <v/>
      </c>
      <c r="T3972" s="52" t="str">
        <f>IF(ISERROR(FIND('112'!$M$9,G3972,1)),"",IF((AND(RIGHT(G3972,2)=RIGHT('112'!$M$9,2),B3972&lt;'112'!$N$8,$M3972='112'!$I$6)),"x",""))</f>
        <v/>
      </c>
      <c r="U3972" s="52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V3972" s="52" t="str">
        <f>IF(OR(TH!L3972=TH!$V$7,M3972=TH!$V$7),"x","")</f>
        <v/>
      </c>
      <c r="W3972" s="52" t="str">
        <f>IF(AND(B3972&gt;='IN-NX'!$P$3,B3972&lt;='IN-NX'!$Q$3,'IN-NX'!$D$7=D3972,OR(LEFT(L3972,2)="15",AND(LEFT(M3972,2)&lt;&gt;"15",LEFT(M3972,2)&lt;&gt;"33"))),"x","")</f>
        <v/>
      </c>
      <c r="X3972" s="52" t="str">
        <f>IF(AND(OR(LEFT(TH!L3972,2)="15",LEFT(TH!M3972,2)="15"),'152-CT'!$J$8=TH!F3972),"x","")</f>
        <v/>
      </c>
      <c r="Y3972" s="52" t="str">
        <f>IF(AND(OR(LEFT(TH!L3972,2)="15",LEFT(TH!M3972,2)="15"),TK!$E$7=TH!F3972),"x","")</f>
        <v/>
      </c>
      <c r="Z3972" s="52" t="str">
        <f>IF(AND(B3972&lt;=NKC!$N$8,B3972&gt;=NKC!$M$8),"x","")</f>
        <v/>
      </c>
      <c r="AA3972" s="826"/>
    </row>
    <row r="3973" spans="1:27" ht="15.75" customHeight="1">
      <c r="A3973" s="827" t="str">
        <f>IF(B3973&lt;&gt;"",IF(AND(B3973&gt;=_TM1,B3973&lt;=_TM2,OR(TH!L3973="1111",TH!M3973="1111")),TH!D3973,""),"")</f>
        <v/>
      </c>
      <c r="B3973" s="36">
        <f t="shared" si="511"/>
        <v>1</v>
      </c>
      <c r="C3973" s="190">
        <f t="shared" si="512"/>
        <v>0</v>
      </c>
      <c r="D3973" s="856" t="s">
        <v>1664</v>
      </c>
      <c r="E3973" s="190"/>
      <c r="F3973" s="191"/>
      <c r="G3973" s="833"/>
      <c r="H3973" s="859" t="s">
        <v>1312</v>
      </c>
      <c r="I3973" s="253"/>
      <c r="J3973" s="253"/>
      <c r="K3973" s="860">
        <f t="shared" si="513"/>
        <v>0</v>
      </c>
      <c r="L3973" s="861" t="s">
        <v>160</v>
      </c>
      <c r="M3973" s="861" t="s">
        <v>857</v>
      </c>
      <c r="N3973" s="52" t="str">
        <f>IF(AND('331-CT'!$E$7=TH!H3973,OR(L3973="331",M3973="331")),"331",IF(AND(OR(L3973="131",M3973="131"),H3973='131-CT'!$E$7),"131",""))</f>
        <v/>
      </c>
      <c r="O3973" s="52" t="str">
        <f>IF(AND($B3973&gt;='111'!$N$11,$B3973&lt;='111'!$O$11,OR($L3973=$O$7,$M3973=$O$7)),"x","")</f>
        <v/>
      </c>
      <c r="P3973" s="52" t="str">
        <f>IF(AND($L3973=$O$7,$B3973&lt;'111'!$N$11),"x","")</f>
        <v/>
      </c>
      <c r="Q3973" s="52" t="str">
        <f>IF(AND($M3973=$O$7,$B3973&lt;'111'!$N$11),"x","")</f>
        <v/>
      </c>
      <c r="R3973" s="52" t="str">
        <f>IF(ISERROR(FIND('112'!$M$9,G3973,1)),"",IF((AND(FIND('112'!$M$9,G3973,1)&gt;=1,$B3973&gt;='112'!$N$8,$B3973&lt;='112'!$O$8,OR($L3973='112'!$I$6,$M3973='112'!$I$6))),"x",""))</f>
        <v/>
      </c>
      <c r="S3973" s="52" t="str">
        <f>IF(ISERROR(FIND('112'!$M$9,G3973,1)),"",IF((AND(LEFT(G3973,2)=LEFT('112'!$M$9,2),B3973&lt;'112'!$N$8,$L3973='112'!$I$6)),"x",""))</f>
        <v/>
      </c>
      <c r="T3973" s="52" t="str">
        <f>IF(ISERROR(FIND('112'!$M$9,G3973,1)),"",IF((AND(RIGHT(G3973,2)=RIGHT('112'!$M$9,2),B3973&lt;'112'!$N$8,$M3973='112'!$I$6)),"x",""))</f>
        <v/>
      </c>
      <c r="U3973" s="52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V3973" s="52" t="str">
        <f>IF(OR(TH!L3973=TH!$V$7,M3973=TH!$V$7),"x","")</f>
        <v/>
      </c>
      <c r="W3973" s="52" t="str">
        <f>IF(AND(B3973&gt;='IN-NX'!$P$3,B3973&lt;='IN-NX'!$Q$3,'IN-NX'!$D$7=D3973,OR(LEFT(L3973,2)="15",AND(LEFT(M3973,2)&lt;&gt;"15",LEFT(M3973,2)&lt;&gt;"33"))),"x","")</f>
        <v/>
      </c>
      <c r="X3973" s="52" t="str">
        <f>IF(AND(OR(LEFT(TH!L3973,2)="15",LEFT(TH!M3973,2)="15"),'152-CT'!$J$8=TH!F3973),"x","")</f>
        <v/>
      </c>
      <c r="Y3973" s="52" t="str">
        <f>IF(AND(OR(LEFT(TH!L3973,2)="15",LEFT(TH!M3973,2)="15"),TK!$E$7=TH!F3973),"x","")</f>
        <v/>
      </c>
      <c r="Z3973" s="52" t="str">
        <f>IF(AND(B3973&lt;=NKC!$N$8,B3973&gt;=NKC!$M$8),"x","")</f>
        <v/>
      </c>
      <c r="AA3973" s="826"/>
    </row>
    <row r="3974" spans="1:27" ht="15.75" customHeight="1">
      <c r="A3974" s="827" t="str">
        <f>IF(B3974&lt;&gt;"",IF(AND(B3974&gt;=_TM1,B3974&lt;=_TM2,OR(TH!L3974="1111",TH!M3974="1111")),TH!D3974,""),"")</f>
        <v/>
      </c>
      <c r="B3974" s="36">
        <f t="shared" si="511"/>
        <v>1</v>
      </c>
      <c r="C3974" s="190">
        <f t="shared" si="512"/>
        <v>0</v>
      </c>
      <c r="D3974" s="856" t="s">
        <v>1664</v>
      </c>
      <c r="E3974" s="190"/>
      <c r="F3974" s="191"/>
      <c r="G3974" s="833"/>
      <c r="H3974" s="859" t="s">
        <v>1312</v>
      </c>
      <c r="I3974" s="253"/>
      <c r="J3974" s="253"/>
      <c r="K3974" s="860">
        <f t="shared" si="513"/>
        <v>0</v>
      </c>
      <c r="L3974" s="861" t="s">
        <v>160</v>
      </c>
      <c r="M3974" s="861" t="s">
        <v>857</v>
      </c>
      <c r="N3974" s="52" t="str">
        <f>IF(AND('331-CT'!$E$7=TH!H3974,OR(L3974="331",M3974="331")),"331",IF(AND(OR(L3974="131",M3974="131"),H3974='131-CT'!$E$7),"131",""))</f>
        <v/>
      </c>
      <c r="O3974" s="52" t="str">
        <f>IF(AND($B3974&gt;='111'!$N$11,$B3974&lt;='111'!$O$11,OR($L3974=$O$7,$M3974=$O$7)),"x","")</f>
        <v/>
      </c>
      <c r="P3974" s="52" t="str">
        <f>IF(AND($L3974=$O$7,$B3974&lt;'111'!$N$11),"x","")</f>
        <v/>
      </c>
      <c r="Q3974" s="52" t="str">
        <f>IF(AND($M3974=$O$7,$B3974&lt;'111'!$N$11),"x","")</f>
        <v/>
      </c>
      <c r="R3974" s="52" t="str">
        <f>IF(ISERROR(FIND('112'!$M$9,G3974,1)),"",IF((AND(FIND('112'!$M$9,G3974,1)&gt;=1,$B3974&gt;='112'!$N$8,$B3974&lt;='112'!$O$8,OR($L3974='112'!$I$6,$M3974='112'!$I$6))),"x",""))</f>
        <v/>
      </c>
      <c r="S3974" s="52" t="str">
        <f>IF(ISERROR(FIND('112'!$M$9,G3974,1)),"",IF((AND(LEFT(G3974,2)=LEFT('112'!$M$9,2),B3974&lt;'112'!$N$8,$L3974='112'!$I$6)),"x",""))</f>
        <v/>
      </c>
      <c r="T3974" s="52" t="str">
        <f>IF(ISERROR(FIND('112'!$M$9,G3974,1)),"",IF((AND(RIGHT(G3974,2)=RIGHT('112'!$M$9,2),B3974&lt;'112'!$N$8,$M3974='112'!$I$6)),"x",""))</f>
        <v/>
      </c>
      <c r="U3974" s="52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V3974" s="52" t="str">
        <f>IF(OR(TH!L3974=TH!$V$7,M3974=TH!$V$7),"x","")</f>
        <v/>
      </c>
      <c r="W3974" s="52" t="str">
        <f>IF(AND(B3974&gt;='IN-NX'!$P$3,B3974&lt;='IN-NX'!$Q$3,'IN-NX'!$D$7=D3974,OR(LEFT(L3974,2)="15",AND(LEFT(M3974,2)&lt;&gt;"15",LEFT(M3974,2)&lt;&gt;"33"))),"x","")</f>
        <v/>
      </c>
      <c r="X3974" s="52" t="str">
        <f>IF(AND(OR(LEFT(TH!L3974,2)="15",LEFT(TH!M3974,2)="15"),'152-CT'!$J$8=TH!F3974),"x","")</f>
        <v/>
      </c>
      <c r="Y3974" s="52" t="str">
        <f>IF(AND(OR(LEFT(TH!L3974,2)="15",LEFT(TH!M3974,2)="15"),TK!$E$7=TH!F3974),"x","")</f>
        <v/>
      </c>
      <c r="Z3974" s="52" t="str">
        <f>IF(AND(B3974&lt;=NKC!$N$8,B3974&gt;=NKC!$M$8),"x","")</f>
        <v/>
      </c>
      <c r="AA3974" s="826"/>
    </row>
    <row r="3975" spans="1:27" ht="15.75" customHeight="1">
      <c r="A3975" s="827" t="str">
        <f>IF(B3975&lt;&gt;"",IF(AND(B3975&gt;=_TM1,B3975&lt;=_TM2,OR(TH!L3975="1111",TH!M3975="1111")),TH!D3975,""),"")</f>
        <v/>
      </c>
      <c r="B3975" s="36">
        <f t="shared" si="511"/>
        <v>1</v>
      </c>
      <c r="C3975" s="190">
        <f t="shared" si="512"/>
        <v>0</v>
      </c>
      <c r="D3975" s="856" t="s">
        <v>1664</v>
      </c>
      <c r="E3975" s="190"/>
      <c r="F3975" s="191"/>
      <c r="G3975" s="833"/>
      <c r="H3975" s="859" t="s">
        <v>1312</v>
      </c>
      <c r="I3975" s="253"/>
      <c r="J3975" s="253"/>
      <c r="K3975" s="860">
        <f t="shared" si="513"/>
        <v>0</v>
      </c>
      <c r="L3975" s="861" t="s">
        <v>160</v>
      </c>
      <c r="M3975" s="861" t="s">
        <v>857</v>
      </c>
      <c r="N3975" s="52" t="str">
        <f>IF(AND('331-CT'!$E$7=TH!H3975,OR(L3975="331",M3975="331")),"331",IF(AND(OR(L3975="131",M3975="131"),H3975='131-CT'!$E$7),"131",""))</f>
        <v/>
      </c>
      <c r="O3975" s="52" t="str">
        <f>IF(AND($B3975&gt;='111'!$N$11,$B3975&lt;='111'!$O$11,OR($L3975=$O$7,$M3975=$O$7)),"x","")</f>
        <v/>
      </c>
      <c r="P3975" s="52" t="str">
        <f>IF(AND($L3975=$O$7,$B3975&lt;'111'!$N$11),"x","")</f>
        <v/>
      </c>
      <c r="Q3975" s="52" t="str">
        <f>IF(AND($M3975=$O$7,$B3975&lt;'111'!$N$11),"x","")</f>
        <v/>
      </c>
      <c r="R3975" s="52" t="str">
        <f>IF(ISERROR(FIND('112'!$M$9,G3975,1)),"",IF((AND(FIND('112'!$M$9,G3975,1)&gt;=1,$B3975&gt;='112'!$N$8,$B3975&lt;='112'!$O$8,OR($L3975='112'!$I$6,$M3975='112'!$I$6))),"x",""))</f>
        <v/>
      </c>
      <c r="S3975" s="52" t="str">
        <f>IF(ISERROR(FIND('112'!$M$9,G3975,1)),"",IF((AND(LEFT(G3975,2)=LEFT('112'!$M$9,2),B3975&lt;'112'!$N$8,$L3975='112'!$I$6)),"x",""))</f>
        <v/>
      </c>
      <c r="T3975" s="52" t="str">
        <f>IF(ISERROR(FIND('112'!$M$9,G3975,1)),"",IF((AND(RIGHT(G3975,2)=RIGHT('112'!$M$9,2),B3975&lt;'112'!$N$8,$M3975='112'!$I$6)),"x",""))</f>
        <v/>
      </c>
      <c r="U3975" s="52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V3975" s="52" t="str">
        <f>IF(OR(TH!L3975=TH!$V$7,M3975=TH!$V$7),"x","")</f>
        <v/>
      </c>
      <c r="W3975" s="52" t="str">
        <f>IF(AND(B3975&gt;='IN-NX'!$P$3,B3975&lt;='IN-NX'!$Q$3,'IN-NX'!$D$7=D3975,OR(LEFT(L3975,2)="15",AND(LEFT(M3975,2)&lt;&gt;"15",LEFT(M3975,2)&lt;&gt;"33"))),"x","")</f>
        <v/>
      </c>
      <c r="X3975" s="52" t="str">
        <f>IF(AND(OR(LEFT(TH!L3975,2)="15",LEFT(TH!M3975,2)="15"),'152-CT'!$J$8=TH!F3975),"x","")</f>
        <v/>
      </c>
      <c r="Y3975" s="52" t="str">
        <f>IF(AND(OR(LEFT(TH!L3975,2)="15",LEFT(TH!M3975,2)="15"),TK!$E$7=TH!F3975),"x","")</f>
        <v/>
      </c>
      <c r="Z3975" s="52" t="str">
        <f>IF(AND(B3975&lt;=NKC!$N$8,B3975&gt;=NKC!$M$8),"x","")</f>
        <v/>
      </c>
      <c r="AA3975" s="826"/>
    </row>
    <row r="3976" spans="1:27" ht="15.75" customHeight="1">
      <c r="A3976" s="827" t="str">
        <f>IF(B3976&lt;&gt;"",IF(AND(B3976&gt;=_TM1,B3976&lt;=_TM2,OR(TH!L3976="1111",TH!M3976="1111")),TH!D3976,""),"")</f>
        <v/>
      </c>
      <c r="B3976" s="36">
        <f t="shared" si="511"/>
        <v>1</v>
      </c>
      <c r="C3976" s="190">
        <f t="shared" si="512"/>
        <v>0</v>
      </c>
      <c r="D3976" s="856" t="s">
        <v>1664</v>
      </c>
      <c r="E3976" s="190"/>
      <c r="F3976" s="191"/>
      <c r="G3976" s="833"/>
      <c r="H3976" s="859" t="s">
        <v>1312</v>
      </c>
      <c r="I3976" s="253"/>
      <c r="J3976" s="253"/>
      <c r="K3976" s="860">
        <f t="shared" si="513"/>
        <v>0</v>
      </c>
      <c r="L3976" s="861" t="s">
        <v>160</v>
      </c>
      <c r="M3976" s="861" t="s">
        <v>857</v>
      </c>
      <c r="N3976" s="52" t="str">
        <f>IF(AND('331-CT'!$E$7=TH!H3976,OR(L3976="331",M3976="331")),"331",IF(AND(OR(L3976="131",M3976="131"),H3976='131-CT'!$E$7),"131",""))</f>
        <v/>
      </c>
      <c r="O3976" s="52" t="str">
        <f>IF(AND($B3976&gt;='111'!$N$11,$B3976&lt;='111'!$O$11,OR($L3976=$O$7,$M3976=$O$7)),"x","")</f>
        <v/>
      </c>
      <c r="P3976" s="52" t="str">
        <f>IF(AND($L3976=$O$7,$B3976&lt;'111'!$N$11),"x","")</f>
        <v/>
      </c>
      <c r="Q3976" s="52" t="str">
        <f>IF(AND($M3976=$O$7,$B3976&lt;'111'!$N$11),"x","")</f>
        <v/>
      </c>
      <c r="R3976" s="52" t="str">
        <f>IF(ISERROR(FIND('112'!$M$9,G3976,1)),"",IF((AND(FIND('112'!$M$9,G3976,1)&gt;=1,$B3976&gt;='112'!$N$8,$B3976&lt;='112'!$O$8,OR($L3976='112'!$I$6,$M3976='112'!$I$6))),"x",""))</f>
        <v/>
      </c>
      <c r="S3976" s="52" t="str">
        <f>IF(ISERROR(FIND('112'!$M$9,G3976,1)),"",IF((AND(LEFT(G3976,2)=LEFT('112'!$M$9,2),B3976&lt;'112'!$N$8,$L3976='112'!$I$6)),"x",""))</f>
        <v/>
      </c>
      <c r="T3976" s="52" t="str">
        <f>IF(ISERROR(FIND('112'!$M$9,G3976,1)),"",IF((AND(RIGHT(G3976,2)=RIGHT('112'!$M$9,2),B3976&lt;'112'!$N$8,$M3976='112'!$I$6)),"x",""))</f>
        <v/>
      </c>
      <c r="U3976" s="52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V3976" s="52" t="str">
        <f>IF(OR(TH!L3976=TH!$V$7,M3976=TH!$V$7),"x","")</f>
        <v/>
      </c>
      <c r="W3976" s="52" t="str">
        <f>IF(AND(B3976&gt;='IN-NX'!$P$3,B3976&lt;='IN-NX'!$Q$3,'IN-NX'!$D$7=D3976,OR(LEFT(L3976,2)="15",AND(LEFT(M3976,2)&lt;&gt;"15",LEFT(M3976,2)&lt;&gt;"33"))),"x","")</f>
        <v/>
      </c>
      <c r="X3976" s="52" t="str">
        <f>IF(AND(OR(LEFT(TH!L3976,2)="15",LEFT(TH!M3976,2)="15"),'152-CT'!$J$8=TH!F3976),"x","")</f>
        <v/>
      </c>
      <c r="Y3976" s="52" t="str">
        <f>IF(AND(OR(LEFT(TH!L3976,2)="15",LEFT(TH!M3976,2)="15"),TK!$E$7=TH!F3976),"x","")</f>
        <v/>
      </c>
      <c r="Z3976" s="52" t="str">
        <f>IF(AND(B3976&lt;=NKC!$N$8,B3976&gt;=NKC!$M$8),"x","")</f>
        <v/>
      </c>
      <c r="AA3976" s="826"/>
    </row>
    <row r="3977" spans="1:27" ht="15.75" customHeight="1">
      <c r="A3977" s="827" t="str">
        <f>IF(B3977&lt;&gt;"",IF(AND(B3977&gt;=_TM1,B3977&lt;=_TM2,OR(TH!L3977="1111",TH!M3977="1111")),TH!D3977,""),"")</f>
        <v/>
      </c>
      <c r="B3977" s="36">
        <f t="shared" ref="B3977:B3987" si="514">IF(C3977&lt;&gt;"",MONTH(C3977),"")</f>
        <v>1</v>
      </c>
      <c r="C3977" s="190">
        <f t="shared" ref="C3977:C3985" si="515">E3977</f>
        <v>0</v>
      </c>
      <c r="D3977" s="37"/>
      <c r="E3977" s="740"/>
      <c r="F3977" s="40"/>
      <c r="G3977" s="832"/>
      <c r="H3977" s="7"/>
      <c r="I3977" s="253"/>
      <c r="J3977" s="253"/>
      <c r="K3977" s="584"/>
      <c r="L3977" s="39"/>
      <c r="M3977" s="39"/>
      <c r="N3977" s="52" t="str">
        <f>IF(AND('331-CT'!$E$7=TH!H3977,OR(L3977="331",M3977="331")),"331",IF(AND(OR(L3977="131",M3977="131"),H3977='131-CT'!$E$7),"131",""))</f>
        <v/>
      </c>
      <c r="O3977" s="52" t="str">
        <f>IF(AND($B3977&gt;='111'!$N$11,$B3977&lt;='111'!$O$11,OR($L3977=$O$7,$M3977=$O$7)),"x","")</f>
        <v/>
      </c>
      <c r="P3977" s="52" t="str">
        <f>IF(AND($L3977=$O$7,$B3977&lt;'111'!$N$11),"x","")</f>
        <v/>
      </c>
      <c r="Q3977" s="52" t="str">
        <f>IF(AND($M3977=$O$7,$B3977&lt;'111'!$N$11),"x","")</f>
        <v/>
      </c>
      <c r="R3977" s="52" t="str">
        <f>IF(ISERROR(FIND('112'!$M$9,G3977,1)),"",IF((AND(FIND('112'!$M$9,G3977,1)&gt;=1,$B3977&gt;='112'!$N$8,$B3977&lt;='112'!$O$8,OR($L3977='112'!$I$6,$M3977='112'!$I$6))),"x",""))</f>
        <v/>
      </c>
      <c r="S3977" s="52" t="str">
        <f>IF(ISERROR(FIND('112'!$M$9,G3977,1)),"",IF((AND(LEFT(G3977,2)=LEFT('112'!$M$9,2),B3977&lt;'112'!$N$8,$L3977='112'!$I$6)),"x",""))</f>
        <v/>
      </c>
      <c r="T3977" s="52" t="str">
        <f>IF(ISERROR(FIND('112'!$M$9,G3977,1)),"",IF((AND(RIGHT(G3977,2)=RIGHT('112'!$M$9,2),B3977&lt;'112'!$N$8,$M3977='112'!$I$6)),"x",""))</f>
        <v/>
      </c>
      <c r="U3977" s="52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V3977" s="52" t="str">
        <f>IF(OR(TH!L3977=TH!$V$7,M3977=TH!$V$7),"x","")</f>
        <v/>
      </c>
      <c r="W3977" s="52" t="str">
        <f>IF(AND(B3977&gt;='IN-NX'!$P$3,B3977&lt;='IN-NX'!$Q$3,'IN-NX'!$D$7=D3977,OR(LEFT(L3977,2)="15",AND(LEFT(M3977,2)&lt;&gt;"15",LEFT(M3977,2)&lt;&gt;"33"))),"x","")</f>
        <v/>
      </c>
      <c r="X3977" s="52" t="str">
        <f>IF(AND(OR(LEFT(TH!L3977,2)="15",LEFT(TH!M3977,2)="15"),'152-CT'!$J$8=TH!F3977),"x","")</f>
        <v/>
      </c>
      <c r="Y3977" s="52" t="str">
        <f>IF(AND(OR(LEFT(TH!L3977,2)="15",LEFT(TH!M3977,2)="15"),TK!$E$7=TH!F3977),"x","")</f>
        <v/>
      </c>
      <c r="Z3977" s="52" t="str">
        <f>IF(AND(B3977&lt;=NKC!$N$8,B3977&gt;=NKC!$M$8),"x","")</f>
        <v/>
      </c>
      <c r="AA3977" s="826"/>
    </row>
    <row r="3978" spans="1:27" ht="15.75" customHeight="1">
      <c r="A3978" s="827" t="str">
        <f>IF(B3978&lt;&gt;"",IF(AND(B3978&gt;=_TM1,B3978&lt;=_TM2,OR(TH!L3978="1111",TH!M3978="1111")),TH!D3978,""),"")</f>
        <v/>
      </c>
      <c r="B3978" s="36">
        <f t="shared" si="514"/>
        <v>1</v>
      </c>
      <c r="C3978" s="190">
        <f t="shared" si="515"/>
        <v>0</v>
      </c>
      <c r="D3978" s="37"/>
      <c r="E3978" s="740"/>
      <c r="F3978" s="191"/>
      <c r="G3978" s="833"/>
      <c r="H3978" s="192"/>
      <c r="I3978" s="253"/>
      <c r="J3978" s="253"/>
      <c r="K3978" s="584"/>
      <c r="L3978" s="39"/>
      <c r="M3978" s="39"/>
      <c r="N3978" s="52" t="str">
        <f>IF(AND('331-CT'!$E$7=TH!H3978,OR(L3978="331",M3978="331")),"331",IF(AND(OR(L3978="131",M3978="131"),H3978='131-CT'!$E$7),"131",""))</f>
        <v/>
      </c>
      <c r="O3978" s="52" t="str">
        <f>IF(AND($B3978&gt;='111'!$N$11,$B3978&lt;='111'!$O$11,OR($L3978=$O$7,$M3978=$O$7)),"x","")</f>
        <v/>
      </c>
      <c r="P3978" s="52" t="str">
        <f>IF(AND($L3978=$O$7,$B3978&lt;'111'!$N$11),"x","")</f>
        <v/>
      </c>
      <c r="Q3978" s="52" t="str">
        <f>IF(AND($M3978=$O$7,$B3978&lt;'111'!$N$11),"x","")</f>
        <v/>
      </c>
      <c r="R3978" s="52" t="str">
        <f>IF(ISERROR(FIND('112'!$M$9,G3978,1)),"",IF((AND(FIND('112'!$M$9,G3978,1)&gt;=1,$B3978&gt;='112'!$N$8,$B3978&lt;='112'!$O$8,OR($L3978='112'!$I$6,$M3978='112'!$I$6))),"x",""))</f>
        <v/>
      </c>
      <c r="S3978" s="52" t="str">
        <f>IF(ISERROR(FIND('112'!$M$9,G3978,1)),"",IF((AND(LEFT(G3978,2)=LEFT('112'!$M$9,2),B3978&lt;'112'!$N$8,$L3978='112'!$I$6)),"x",""))</f>
        <v/>
      </c>
      <c r="T3978" s="52" t="str">
        <f>IF(ISERROR(FIND('112'!$M$9,G3978,1)),"",IF((AND(RIGHT(G3978,2)=RIGHT('112'!$M$9,2),B3978&lt;'112'!$N$8,$M3978='112'!$I$6)),"x",""))</f>
        <v/>
      </c>
      <c r="U3978" s="52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V3978" s="52" t="str">
        <f>IF(OR(TH!L3978=TH!$V$7,M3978=TH!$V$7),"x","")</f>
        <v/>
      </c>
      <c r="W3978" s="52" t="str">
        <f>IF(AND(B3978&gt;='IN-NX'!$P$3,B3978&lt;='IN-NX'!$Q$3,'IN-NX'!$D$7=D3978,OR(LEFT(L3978,2)="15",AND(LEFT(M3978,2)&lt;&gt;"15",LEFT(M3978,2)&lt;&gt;"33"))),"x","")</f>
        <v/>
      </c>
      <c r="X3978" s="52" t="str">
        <f>IF(AND(OR(LEFT(TH!L3978,2)="15",LEFT(TH!M3978,2)="15"),'152-CT'!$J$8=TH!F3978),"x","")</f>
        <v/>
      </c>
      <c r="Y3978" s="52" t="str">
        <f>IF(AND(OR(LEFT(TH!L3978,2)="15",LEFT(TH!M3978,2)="15"),TK!$E$7=TH!F3978),"x","")</f>
        <v/>
      </c>
      <c r="Z3978" s="52" t="str">
        <f>IF(AND(B3978&lt;=NKC!$N$8,B3978&gt;=NKC!$M$8),"x","")</f>
        <v/>
      </c>
      <c r="AA3978" s="826"/>
    </row>
    <row r="3979" spans="1:27" ht="15.75" customHeight="1">
      <c r="A3979" s="827" t="str">
        <f>IF(B3979&lt;&gt;"",IF(AND(B3979&gt;=_TM1,B3979&lt;=_TM2,OR(TH!L3979="1111",TH!M3979="1111")),TH!D3979,""),"")</f>
        <v/>
      </c>
      <c r="B3979" s="36">
        <f t="shared" si="514"/>
        <v>1</v>
      </c>
      <c r="C3979" s="190">
        <f t="shared" si="515"/>
        <v>0</v>
      </c>
      <c r="D3979" s="37"/>
      <c r="E3979" s="740"/>
      <c r="F3979" s="191"/>
      <c r="G3979" s="833"/>
      <c r="H3979" s="192"/>
      <c r="I3979" s="253"/>
      <c r="J3979" s="253"/>
      <c r="K3979" s="584"/>
      <c r="L3979" s="39"/>
      <c r="M3979" s="39"/>
      <c r="N3979" s="52" t="str">
        <f>IF(AND('331-CT'!$E$7=TH!H3979,OR(L3979="331",M3979="331")),"331",IF(AND(OR(L3979="131",M3979="131"),H3979='131-CT'!$E$7),"131",""))</f>
        <v/>
      </c>
      <c r="O3979" s="52" t="str">
        <f>IF(AND($B3979&gt;='111'!$N$11,$B3979&lt;='111'!$O$11,OR($L3979=$O$7,$M3979=$O$7)),"x","")</f>
        <v/>
      </c>
      <c r="P3979" s="52" t="str">
        <f>IF(AND($L3979=$O$7,$B3979&lt;'111'!$N$11),"x","")</f>
        <v/>
      </c>
      <c r="Q3979" s="52" t="str">
        <f>IF(AND($M3979=$O$7,$B3979&lt;'111'!$N$11),"x","")</f>
        <v/>
      </c>
      <c r="R3979" s="52" t="str">
        <f>IF(ISERROR(FIND('112'!$M$9,G3979,1)),"",IF((AND(FIND('112'!$M$9,G3979,1)&gt;=1,$B3979&gt;='112'!$N$8,$B3979&lt;='112'!$O$8,OR($L3979='112'!$I$6,$M3979='112'!$I$6))),"x",""))</f>
        <v/>
      </c>
      <c r="S3979" s="52" t="str">
        <f>IF(ISERROR(FIND('112'!$M$9,G3979,1)),"",IF((AND(LEFT(G3979,2)=LEFT('112'!$M$9,2),B3979&lt;'112'!$N$8,$L3979='112'!$I$6)),"x",""))</f>
        <v/>
      </c>
      <c r="T3979" s="52" t="str">
        <f>IF(ISERROR(FIND('112'!$M$9,G3979,1)),"",IF((AND(RIGHT(G3979,2)=RIGHT('112'!$M$9,2),B3979&lt;'112'!$N$8,$M3979='112'!$I$6)),"x",""))</f>
        <v/>
      </c>
      <c r="U3979" s="52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V3979" s="52" t="str">
        <f>IF(OR(TH!L3979=TH!$V$7,M3979=TH!$V$7),"x","")</f>
        <v/>
      </c>
      <c r="W3979" s="52" t="str">
        <f>IF(AND(B3979&gt;='IN-NX'!$P$3,B3979&lt;='IN-NX'!$Q$3,'IN-NX'!$D$7=D3979,OR(LEFT(L3979,2)="15",AND(LEFT(M3979,2)&lt;&gt;"15",LEFT(M3979,2)&lt;&gt;"33"))),"x","")</f>
        <v/>
      </c>
      <c r="X3979" s="52" t="str">
        <f>IF(AND(OR(LEFT(TH!L3979,2)="15",LEFT(TH!M3979,2)="15"),'152-CT'!$J$8=TH!F3979),"x","")</f>
        <v/>
      </c>
      <c r="Y3979" s="52" t="str">
        <f>IF(AND(OR(LEFT(TH!L3979,2)="15",LEFT(TH!M3979,2)="15"),TK!$E$7=TH!F3979),"x","")</f>
        <v/>
      </c>
      <c r="Z3979" s="52" t="str">
        <f>IF(AND(B3979&lt;=NKC!$N$8,B3979&gt;=NKC!$M$8),"x","")</f>
        <v/>
      </c>
      <c r="AA3979" s="826"/>
    </row>
    <row r="3980" spans="1:27" ht="15.75" customHeight="1">
      <c r="A3980" s="827" t="str">
        <f>IF(B3980&lt;&gt;"",IF(AND(B3980&gt;=_TM1,B3980&lt;=_TM2,OR(TH!L3980="1111",TH!M3980="1111")),TH!D3980,""),"")</f>
        <v/>
      </c>
      <c r="B3980" s="36">
        <f t="shared" si="514"/>
        <v>1</v>
      </c>
      <c r="C3980" s="190">
        <f t="shared" si="515"/>
        <v>0</v>
      </c>
      <c r="D3980" s="37"/>
      <c r="E3980" s="740"/>
      <c r="F3980" s="191"/>
      <c r="G3980" s="833"/>
      <c r="H3980" s="192"/>
      <c r="I3980" s="253"/>
      <c r="J3980" s="253"/>
      <c r="K3980" s="584"/>
      <c r="L3980" s="39"/>
      <c r="M3980" s="39"/>
      <c r="N3980" s="52" t="str">
        <f>IF(AND('331-CT'!$E$7=TH!H3980,OR(L3980="331",M3980="331")),"331",IF(AND(OR(L3980="131",M3980="131"),H3980='131-CT'!$E$7),"131",""))</f>
        <v/>
      </c>
      <c r="O3980" s="52" t="str">
        <f>IF(AND($B3980&gt;='111'!$N$11,$B3980&lt;='111'!$O$11,OR($L3980=$O$7,$M3980=$O$7)),"x","")</f>
        <v/>
      </c>
      <c r="P3980" s="52" t="str">
        <f>IF(AND($L3980=$O$7,$B3980&lt;'111'!$N$11),"x","")</f>
        <v/>
      </c>
      <c r="Q3980" s="52" t="str">
        <f>IF(AND($M3980=$O$7,$B3980&lt;'111'!$N$11),"x","")</f>
        <v/>
      </c>
      <c r="R3980" s="52" t="str">
        <f>IF(ISERROR(FIND('112'!$M$9,G3980,1)),"",IF((AND(FIND('112'!$M$9,G3980,1)&gt;=1,$B3980&gt;='112'!$N$8,$B3980&lt;='112'!$O$8,OR($L3980='112'!$I$6,$M3980='112'!$I$6))),"x",""))</f>
        <v/>
      </c>
      <c r="S3980" s="52" t="str">
        <f>IF(ISERROR(FIND('112'!$M$9,G3980,1)),"",IF((AND(LEFT(G3980,2)=LEFT('112'!$M$9,2),B3980&lt;'112'!$N$8,$L3980='112'!$I$6)),"x",""))</f>
        <v/>
      </c>
      <c r="T3980" s="52" t="str">
        <f>IF(ISERROR(FIND('112'!$M$9,G3980,1)),"",IF((AND(RIGHT(G3980,2)=RIGHT('112'!$M$9,2),B3980&lt;'112'!$N$8,$M3980='112'!$I$6)),"x",""))</f>
        <v/>
      </c>
      <c r="U3980" s="52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V3980" s="52" t="str">
        <f>IF(OR(TH!L3980=TH!$V$7,M3980=TH!$V$7),"x","")</f>
        <v/>
      </c>
      <c r="W3980" s="52" t="str">
        <f>IF(AND(B3980&gt;='IN-NX'!$P$3,B3980&lt;='IN-NX'!$Q$3,'IN-NX'!$D$7=D3980,OR(LEFT(L3980,2)="15",AND(LEFT(M3980,2)&lt;&gt;"15",LEFT(M3980,2)&lt;&gt;"33"))),"x","")</f>
        <v/>
      </c>
      <c r="X3980" s="52" t="str">
        <f>IF(AND(OR(LEFT(TH!L3980,2)="15",LEFT(TH!M3980,2)="15"),'152-CT'!$J$8=TH!F3980),"x","")</f>
        <v/>
      </c>
      <c r="Y3980" s="52" t="str">
        <f>IF(AND(OR(LEFT(TH!L3980,2)="15",LEFT(TH!M3980,2)="15"),TK!$E$7=TH!F3980),"x","")</f>
        <v/>
      </c>
      <c r="Z3980" s="52" t="str">
        <f>IF(AND(B3980&lt;=NKC!$N$8,B3980&gt;=NKC!$M$8),"x","")</f>
        <v/>
      </c>
      <c r="AA3980" s="826"/>
    </row>
    <row r="3981" spans="1:27" ht="15.75" customHeight="1">
      <c r="A3981" s="827" t="str">
        <f>IF(B3981&lt;&gt;"",IF(AND(B3981&gt;=_TM1,B3981&lt;=_TM2,OR(TH!L3981="1111",TH!M3981="1111")),TH!D3981,""),"")</f>
        <v/>
      </c>
      <c r="B3981" s="36">
        <f t="shared" si="514"/>
        <v>1</v>
      </c>
      <c r="C3981" s="190">
        <f t="shared" si="515"/>
        <v>0</v>
      </c>
      <c r="D3981" s="37"/>
      <c r="E3981" s="740"/>
      <c r="F3981" s="191"/>
      <c r="G3981" s="833"/>
      <c r="H3981" s="192"/>
      <c r="I3981" s="253"/>
      <c r="J3981" s="253"/>
      <c r="K3981" s="584"/>
      <c r="L3981" s="39"/>
      <c r="M3981" s="39"/>
      <c r="N3981" s="52" t="str">
        <f>IF(AND('331-CT'!$E$7=TH!H3981,OR(L3981="331",M3981="331")),"331",IF(AND(OR(L3981="131",M3981="131"),H3981='131-CT'!$E$7),"131",""))</f>
        <v/>
      </c>
      <c r="O3981" s="52" t="str">
        <f>IF(AND($B3981&gt;='111'!$N$11,$B3981&lt;='111'!$O$11,OR($L3981=$O$7,$M3981=$O$7)),"x","")</f>
        <v/>
      </c>
      <c r="P3981" s="52" t="str">
        <f>IF(AND($L3981=$O$7,$B3981&lt;'111'!$N$11),"x","")</f>
        <v/>
      </c>
      <c r="Q3981" s="52" t="str">
        <f>IF(AND($M3981=$O$7,$B3981&lt;'111'!$N$11),"x","")</f>
        <v/>
      </c>
      <c r="R3981" s="52" t="str">
        <f>IF(ISERROR(FIND('112'!$M$9,G3981,1)),"",IF((AND(FIND('112'!$M$9,G3981,1)&gt;=1,$B3981&gt;='112'!$N$8,$B3981&lt;='112'!$O$8,OR($L3981='112'!$I$6,$M3981='112'!$I$6))),"x",""))</f>
        <v/>
      </c>
      <c r="S3981" s="52" t="str">
        <f>IF(ISERROR(FIND('112'!$M$9,G3981,1)),"",IF((AND(LEFT(G3981,2)=LEFT('112'!$M$9,2),B3981&lt;'112'!$N$8,$L3981='112'!$I$6)),"x",""))</f>
        <v/>
      </c>
      <c r="T3981" s="52" t="str">
        <f>IF(ISERROR(FIND('112'!$M$9,G3981,1)),"",IF((AND(RIGHT(G3981,2)=RIGHT('112'!$M$9,2),B3981&lt;'112'!$N$8,$M3981='112'!$I$6)),"x",""))</f>
        <v/>
      </c>
      <c r="U3981" s="52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/>
      </c>
      <c r="V3981" s="52" t="str">
        <f>IF(OR(TH!L3981=TH!$V$7,M3981=TH!$V$7),"x","")</f>
        <v/>
      </c>
      <c r="W3981" s="52" t="str">
        <f>IF(AND(B3981&gt;='IN-NX'!$P$3,B3981&lt;='IN-NX'!$Q$3,'IN-NX'!$D$7=D3981,OR(LEFT(L3981,2)="15",AND(LEFT(M3981,2)&lt;&gt;"15",LEFT(M3981,2)&lt;&gt;"33"))),"x","")</f>
        <v/>
      </c>
      <c r="X3981" s="52" t="str">
        <f>IF(AND(OR(LEFT(TH!L3981,2)="15",LEFT(TH!M3981,2)="15"),'152-CT'!$J$8=TH!F3981),"x","")</f>
        <v/>
      </c>
      <c r="Y3981" s="52" t="str">
        <f>IF(AND(OR(LEFT(TH!L3981,2)="15",LEFT(TH!M3981,2)="15"),TK!$E$7=TH!F3981),"x","")</f>
        <v/>
      </c>
      <c r="Z3981" s="52" t="str">
        <f>IF(AND(B3981&lt;=NKC!$N$8,B3981&gt;=NKC!$M$8),"x","")</f>
        <v/>
      </c>
      <c r="AA3981" s="826"/>
    </row>
    <row r="3982" spans="1:27" ht="15.75" customHeight="1">
      <c r="A3982" s="827" t="str">
        <f>IF(B3982&lt;&gt;"",IF(AND(B3982&gt;=_TM1,B3982&lt;=_TM2,OR(TH!L3982="1111",TH!M3982="1111")),TH!D3982,""),"")</f>
        <v/>
      </c>
      <c r="B3982" s="36">
        <f t="shared" si="514"/>
        <v>1</v>
      </c>
      <c r="C3982" s="190">
        <f t="shared" si="515"/>
        <v>0</v>
      </c>
      <c r="D3982" s="37"/>
      <c r="E3982" s="740"/>
      <c r="F3982" s="191"/>
      <c r="G3982" s="833"/>
      <c r="H3982" s="192"/>
      <c r="I3982" s="253"/>
      <c r="J3982" s="253"/>
      <c r="K3982" s="584"/>
      <c r="L3982" s="39"/>
      <c r="M3982" s="39"/>
      <c r="N3982" s="52" t="str">
        <f>IF(AND('331-CT'!$E$7=TH!H3982,OR(L3982="331",M3982="331")),"331",IF(AND(OR(L3982="131",M3982="131"),H3982='131-CT'!$E$7),"131",""))</f>
        <v/>
      </c>
      <c r="O3982" s="52" t="str">
        <f>IF(AND($B3982&gt;='111'!$N$11,$B3982&lt;='111'!$O$11,OR($L3982=$O$7,$M3982=$O$7)),"x","")</f>
        <v/>
      </c>
      <c r="P3982" s="52" t="str">
        <f>IF(AND($L3982=$O$7,$B3982&lt;'111'!$N$11),"x","")</f>
        <v/>
      </c>
      <c r="Q3982" s="52" t="str">
        <f>IF(AND($M3982=$O$7,$B3982&lt;'111'!$N$11),"x","")</f>
        <v/>
      </c>
      <c r="R3982" s="52" t="str">
        <f>IF(ISERROR(FIND('112'!$M$9,G3982,1)),"",IF((AND(FIND('112'!$M$9,G3982,1)&gt;=1,$B3982&gt;='112'!$N$8,$B3982&lt;='112'!$O$8,OR($L3982='112'!$I$6,$M3982='112'!$I$6))),"x",""))</f>
        <v/>
      </c>
      <c r="S3982" s="52" t="str">
        <f>IF(ISERROR(FIND('112'!$M$9,G3982,1)),"",IF((AND(LEFT(G3982,2)=LEFT('112'!$M$9,2),B3982&lt;'112'!$N$8,$L3982='112'!$I$6)),"x",""))</f>
        <v/>
      </c>
      <c r="T3982" s="52" t="str">
        <f>IF(ISERROR(FIND('112'!$M$9,G3982,1)),"",IF((AND(RIGHT(G3982,2)=RIGHT('112'!$M$9,2),B3982&lt;'112'!$N$8,$M3982='112'!$I$6)),"x",""))</f>
        <v/>
      </c>
      <c r="U3982" s="52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/>
      </c>
      <c r="V3982" s="52" t="str">
        <f>IF(OR(TH!L3982=TH!$V$7,M3982=TH!$V$7),"x","")</f>
        <v/>
      </c>
      <c r="W3982" s="52" t="str">
        <f>IF(AND(B3982&gt;='IN-NX'!$P$3,B3982&lt;='IN-NX'!$Q$3,'IN-NX'!$D$7=D3982,OR(LEFT(L3982,2)="15",AND(LEFT(M3982,2)&lt;&gt;"15",LEFT(M3982,2)&lt;&gt;"33"))),"x","")</f>
        <v/>
      </c>
      <c r="X3982" s="52" t="str">
        <f>IF(AND(OR(LEFT(TH!L3982,2)="15",LEFT(TH!M3982,2)="15"),'152-CT'!$J$8=TH!F3982),"x","")</f>
        <v/>
      </c>
      <c r="Y3982" s="52" t="str">
        <f>IF(AND(OR(LEFT(TH!L3982,2)="15",LEFT(TH!M3982,2)="15"),TK!$E$7=TH!F3982),"x","")</f>
        <v/>
      </c>
      <c r="Z3982" s="52" t="str">
        <f>IF(AND(B3982&lt;=NKC!$N$8,B3982&gt;=NKC!$M$8),"x","")</f>
        <v/>
      </c>
      <c r="AA3982" s="826"/>
    </row>
    <row r="3983" spans="1:27" ht="15.75" customHeight="1">
      <c r="A3983" s="827" t="str">
        <f>IF(B3983&lt;&gt;"",IF(AND(B3983&gt;=_TM1,B3983&lt;=_TM2,OR(TH!L3983="1111",TH!M3983="1111")),TH!D3983,""),"")</f>
        <v/>
      </c>
      <c r="B3983" s="36">
        <f t="shared" si="514"/>
        <v>1</v>
      </c>
      <c r="C3983" s="190">
        <f t="shared" si="515"/>
        <v>0</v>
      </c>
      <c r="D3983" s="37"/>
      <c r="E3983" s="740"/>
      <c r="F3983" s="191"/>
      <c r="G3983" s="833"/>
      <c r="H3983" s="192"/>
      <c r="I3983" s="253"/>
      <c r="J3983" s="253"/>
      <c r="K3983" s="584"/>
      <c r="L3983" s="39"/>
      <c r="M3983" s="39"/>
      <c r="N3983" s="52" t="str">
        <f>IF(AND('331-CT'!$E$7=TH!H3983,OR(L3983="331",M3983="331")),"331",IF(AND(OR(L3983="131",M3983="131"),H3983='131-CT'!$E$7),"131",""))</f>
        <v/>
      </c>
      <c r="O3983" s="52" t="str">
        <f>IF(AND($B3983&gt;='111'!$N$11,$B3983&lt;='111'!$O$11,OR($L3983=$O$7,$M3983=$O$7)),"x","")</f>
        <v/>
      </c>
      <c r="P3983" s="52" t="str">
        <f>IF(AND($L3983=$O$7,$B3983&lt;'111'!$N$11),"x","")</f>
        <v/>
      </c>
      <c r="Q3983" s="52" t="str">
        <f>IF(AND($M3983=$O$7,$B3983&lt;'111'!$N$11),"x","")</f>
        <v/>
      </c>
      <c r="R3983" s="52" t="str">
        <f>IF(ISERROR(FIND('112'!$M$9,G3983,1)),"",IF((AND(FIND('112'!$M$9,G3983,1)&gt;=1,$B3983&gt;='112'!$N$8,$B3983&lt;='112'!$O$8,OR($L3983='112'!$I$6,$M3983='112'!$I$6))),"x",""))</f>
        <v/>
      </c>
      <c r="S3983" s="52" t="str">
        <f>IF(ISERROR(FIND('112'!$M$9,G3983,1)),"",IF((AND(LEFT(G3983,2)=LEFT('112'!$M$9,2),B3983&lt;'112'!$N$8,$L3983='112'!$I$6)),"x",""))</f>
        <v/>
      </c>
      <c r="T3983" s="52" t="str">
        <f>IF(ISERROR(FIND('112'!$M$9,G3983,1)),"",IF((AND(RIGHT(G3983,2)=RIGHT('112'!$M$9,2),B3983&lt;'112'!$N$8,$M3983='112'!$I$6)),"x",""))</f>
        <v/>
      </c>
      <c r="U3983" s="52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/>
      </c>
      <c r="V3983" s="52" t="str">
        <f>IF(OR(TH!L3983=TH!$V$7,M3983=TH!$V$7),"x","")</f>
        <v/>
      </c>
      <c r="W3983" s="52" t="str">
        <f>IF(AND(B3983&gt;='IN-NX'!$P$3,B3983&lt;='IN-NX'!$Q$3,'IN-NX'!$D$7=D3983,OR(LEFT(L3983,2)="15",AND(LEFT(M3983,2)&lt;&gt;"15",LEFT(M3983,2)&lt;&gt;"33"))),"x","")</f>
        <v/>
      </c>
      <c r="X3983" s="52" t="str">
        <f>IF(AND(OR(LEFT(TH!L3983,2)="15",LEFT(TH!M3983,2)="15"),'152-CT'!$J$8=TH!F3983),"x","")</f>
        <v/>
      </c>
      <c r="Y3983" s="52" t="str">
        <f>IF(AND(OR(LEFT(TH!L3983,2)="15",LEFT(TH!M3983,2)="15"),TK!$E$7=TH!F3983),"x","")</f>
        <v/>
      </c>
      <c r="Z3983" s="52" t="str">
        <f>IF(AND(B3983&lt;=NKC!$N$8,B3983&gt;=NKC!$M$8),"x","")</f>
        <v/>
      </c>
      <c r="AA3983" s="826"/>
    </row>
    <row r="3984" spans="1:27" ht="15.75" customHeight="1">
      <c r="A3984" s="827" t="str">
        <f>IF(B3984&lt;&gt;"",IF(AND(B3984&gt;=_TM1,B3984&lt;=_TM2,OR(TH!L3984="1111",TH!M3984="1111")),TH!D3984,""),"")</f>
        <v/>
      </c>
      <c r="B3984" s="36">
        <f t="shared" si="514"/>
        <v>1</v>
      </c>
      <c r="C3984" s="190">
        <f t="shared" si="515"/>
        <v>0</v>
      </c>
      <c r="D3984" s="37"/>
      <c r="E3984" s="740"/>
      <c r="F3984" s="191"/>
      <c r="G3984" s="833"/>
      <c r="H3984" s="192"/>
      <c r="I3984" s="253"/>
      <c r="J3984" s="253"/>
      <c r="K3984" s="584"/>
      <c r="L3984" s="39"/>
      <c r="M3984" s="39"/>
      <c r="N3984" s="52" t="str">
        <f>IF(AND('331-CT'!$E$7=TH!H3984,OR(L3984="331",M3984="331")),"331",IF(AND(OR(L3984="131",M3984="131"),H3984='131-CT'!$E$7),"131",""))</f>
        <v/>
      </c>
      <c r="O3984" s="52" t="str">
        <f>IF(AND($B3984&gt;='111'!$N$11,$B3984&lt;='111'!$O$11,OR($L3984=$O$7,$M3984=$O$7)),"x","")</f>
        <v/>
      </c>
      <c r="P3984" s="52" t="str">
        <f>IF(AND($L3984=$O$7,$B3984&lt;'111'!$N$11),"x","")</f>
        <v/>
      </c>
      <c r="Q3984" s="52" t="str">
        <f>IF(AND($M3984=$O$7,$B3984&lt;'111'!$N$11),"x","")</f>
        <v/>
      </c>
      <c r="R3984" s="52" t="str">
        <f>IF(ISERROR(FIND('112'!$M$9,G3984,1)),"",IF((AND(FIND('112'!$M$9,G3984,1)&gt;=1,$B3984&gt;='112'!$N$8,$B3984&lt;='112'!$O$8,OR($L3984='112'!$I$6,$M3984='112'!$I$6))),"x",""))</f>
        <v/>
      </c>
      <c r="S3984" s="52" t="str">
        <f>IF(ISERROR(FIND('112'!$M$9,G3984,1)),"",IF((AND(LEFT(G3984,2)=LEFT('112'!$M$9,2),B3984&lt;'112'!$N$8,$L3984='112'!$I$6)),"x",""))</f>
        <v/>
      </c>
      <c r="T3984" s="52" t="str">
        <f>IF(ISERROR(FIND('112'!$M$9,G3984,1)),"",IF((AND(RIGHT(G3984,2)=RIGHT('112'!$M$9,2),B3984&lt;'112'!$N$8,$M3984='112'!$I$6)),"x",""))</f>
        <v/>
      </c>
      <c r="U3984" s="52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/>
      </c>
      <c r="V3984" s="52" t="str">
        <f>IF(OR(TH!L3984=TH!$V$7,M3984=TH!$V$7),"x","")</f>
        <v/>
      </c>
      <c r="W3984" s="52" t="str">
        <f>IF(AND(B3984&gt;='IN-NX'!$P$3,B3984&lt;='IN-NX'!$Q$3,'IN-NX'!$D$7=D3984,OR(LEFT(L3984,2)="15",AND(LEFT(M3984,2)&lt;&gt;"15",LEFT(M3984,2)&lt;&gt;"33"))),"x","")</f>
        <v/>
      </c>
      <c r="X3984" s="52" t="str">
        <f>IF(AND(OR(LEFT(TH!L3984,2)="15",LEFT(TH!M3984,2)="15"),'152-CT'!$J$8=TH!F3984),"x","")</f>
        <v/>
      </c>
      <c r="Y3984" s="52" t="str">
        <f>IF(AND(OR(LEFT(TH!L3984,2)="15",LEFT(TH!M3984,2)="15"),TK!$E$7=TH!F3984),"x","")</f>
        <v/>
      </c>
      <c r="Z3984" s="52" t="str">
        <f>IF(AND(B3984&lt;=NKC!$N$8,B3984&gt;=NKC!$M$8),"x","")</f>
        <v/>
      </c>
      <c r="AA3984" s="826"/>
    </row>
    <row r="3985" spans="1:27" ht="15.75" customHeight="1">
      <c r="A3985" s="827" t="str">
        <f>IF(B3985&lt;&gt;"",IF(AND(B3985&gt;=_TM1,B3985&lt;=_TM2,OR(TH!L3985="1111",TH!M3985="1111")),TH!D3985,""),"")</f>
        <v/>
      </c>
      <c r="B3985" s="36">
        <f t="shared" si="514"/>
        <v>1</v>
      </c>
      <c r="C3985" s="190">
        <f t="shared" si="515"/>
        <v>0</v>
      </c>
      <c r="D3985" s="37"/>
      <c r="E3985" s="740"/>
      <c r="F3985" s="191"/>
      <c r="G3985" s="833"/>
      <c r="H3985" s="192"/>
      <c r="I3985" s="253"/>
      <c r="J3985" s="253"/>
      <c r="K3985" s="584"/>
      <c r="L3985" s="39"/>
      <c r="M3985" s="39"/>
      <c r="N3985" s="52" t="str">
        <f>IF(AND('331-CT'!$E$7=TH!H3985,OR(L3985="331",M3985="331")),"331",IF(AND(OR(L3985="131",M3985="131"),H3985='131-CT'!$E$7),"131",""))</f>
        <v/>
      </c>
      <c r="O3985" s="52" t="str">
        <f>IF(AND($B3985&gt;='111'!$N$11,$B3985&lt;='111'!$O$11,OR($L3985=$O$7,$M3985=$O$7)),"x","")</f>
        <v/>
      </c>
      <c r="P3985" s="52" t="str">
        <f>IF(AND($L3985=$O$7,$B3985&lt;'111'!$N$11),"x","")</f>
        <v/>
      </c>
      <c r="Q3985" s="52" t="str">
        <f>IF(AND($M3985=$O$7,$B3985&lt;'111'!$N$11),"x","")</f>
        <v/>
      </c>
      <c r="R3985" s="52" t="str">
        <f>IF(ISERROR(FIND('112'!$M$9,G3985,1)),"",IF((AND(FIND('112'!$M$9,G3985,1)&gt;=1,$B3985&gt;='112'!$N$8,$B3985&lt;='112'!$O$8,OR($L3985='112'!$I$6,$M3985='112'!$I$6))),"x",""))</f>
        <v/>
      </c>
      <c r="S3985" s="52" t="str">
        <f>IF(ISERROR(FIND('112'!$M$9,G3985,1)),"",IF((AND(LEFT(G3985,2)=LEFT('112'!$M$9,2),B3985&lt;'112'!$N$8,$L3985='112'!$I$6)),"x",""))</f>
        <v/>
      </c>
      <c r="T3985" s="52" t="str">
        <f>IF(ISERROR(FIND('112'!$M$9,G3985,1)),"",IF((AND(RIGHT(G3985,2)=RIGHT('112'!$M$9,2),B3985&lt;'112'!$N$8,$M3985='112'!$I$6)),"x",""))</f>
        <v/>
      </c>
      <c r="U3985" s="52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/>
      </c>
      <c r="V3985" s="52" t="str">
        <f>IF(OR(TH!L3985=TH!$V$7,M3985=TH!$V$7),"x","")</f>
        <v/>
      </c>
      <c r="W3985" s="52" t="str">
        <f>IF(AND(B3985&gt;='IN-NX'!$P$3,B3985&lt;='IN-NX'!$Q$3,'IN-NX'!$D$7=D3985,OR(LEFT(L3985,2)="15",AND(LEFT(M3985,2)&lt;&gt;"15",LEFT(M3985,2)&lt;&gt;"33"))),"x","")</f>
        <v/>
      </c>
      <c r="X3985" s="52" t="str">
        <f>IF(AND(OR(LEFT(TH!L3985,2)="15",LEFT(TH!M3985,2)="15"),'152-CT'!$J$8=TH!F3985),"x","")</f>
        <v/>
      </c>
      <c r="Y3985" s="52" t="str">
        <f>IF(AND(OR(LEFT(TH!L3985,2)="15",LEFT(TH!M3985,2)="15"),TK!$E$7=TH!F3985),"x","")</f>
        <v/>
      </c>
      <c r="Z3985" s="52" t="str">
        <f>IF(AND(B3985&lt;=NKC!$N$8,B3985&gt;=NKC!$M$8),"x","")</f>
        <v/>
      </c>
      <c r="AA3985" s="826"/>
    </row>
    <row r="3986" spans="1:27" ht="15.75" customHeight="1">
      <c r="A3986" s="827" t="str">
        <f>IF(B3986&lt;&gt;"",IF(AND(B3986&gt;=_TM1,B3986&lt;=_TM2,OR(TH!L3986="1111",TH!M3986="1111")),TH!D3986,""),"")</f>
        <v/>
      </c>
      <c r="B3986" s="36">
        <f t="shared" si="514"/>
        <v>1</v>
      </c>
      <c r="C3986" s="190">
        <f t="shared" ref="C3986:C3991" si="516">E3986</f>
        <v>0</v>
      </c>
      <c r="D3986" s="37"/>
      <c r="E3986" s="740"/>
      <c r="F3986" s="191"/>
      <c r="G3986" s="833"/>
      <c r="H3986" s="192"/>
      <c r="I3986" s="253"/>
      <c r="J3986" s="253"/>
      <c r="K3986" s="584"/>
      <c r="L3986" s="39"/>
      <c r="M3986" s="39"/>
      <c r="N3986" s="52" t="str">
        <f>IF(AND('331-CT'!$E$7=TH!H3986,OR(L3986="331",M3986="331")),"331",IF(AND(OR(L3986="131",M3986="131"),H3986='131-CT'!$E$7),"131",""))</f>
        <v/>
      </c>
      <c r="O3986" s="52" t="str">
        <f>IF(AND($B3986&gt;='111'!$N$11,$B3986&lt;='111'!$O$11,OR($L3986=$O$7,$M3986=$O$7)),"x","")</f>
        <v/>
      </c>
      <c r="P3986" s="52" t="str">
        <f>IF(AND($L3986=$O$7,$B3986&lt;'111'!$N$11),"x","")</f>
        <v/>
      </c>
      <c r="Q3986" s="52" t="str">
        <f>IF(AND($M3986=$O$7,$B3986&lt;'111'!$N$11),"x","")</f>
        <v/>
      </c>
      <c r="R3986" s="52" t="str">
        <f>IF(ISERROR(FIND('112'!$M$9,G3986,1)),"",IF((AND(FIND('112'!$M$9,G3986,1)&gt;=1,$B3986&gt;='112'!$N$8,$B3986&lt;='112'!$O$8,OR($L3986='112'!$I$6,$M3986='112'!$I$6))),"x",""))</f>
        <v/>
      </c>
      <c r="S3986" s="52" t="str">
        <f>IF(ISERROR(FIND('112'!$M$9,G3986,1)),"",IF((AND(LEFT(G3986,2)=LEFT('112'!$M$9,2),B3986&lt;'112'!$N$8,$L3986='112'!$I$6)),"x",""))</f>
        <v/>
      </c>
      <c r="T3986" s="52" t="str">
        <f>IF(ISERROR(FIND('112'!$M$9,G3986,1)),"",IF((AND(RIGHT(G3986,2)=RIGHT('112'!$M$9,2),B3986&lt;'112'!$N$8,$M3986='112'!$I$6)),"x",""))</f>
        <v/>
      </c>
      <c r="U3986" s="52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/>
      </c>
      <c r="V3986" s="52" t="str">
        <f>IF(OR(TH!L3986=TH!$V$7,M3986=TH!$V$7),"x","")</f>
        <v/>
      </c>
      <c r="W3986" s="52" t="str">
        <f>IF(AND(B3986&gt;='IN-NX'!$P$3,B3986&lt;='IN-NX'!$Q$3,'IN-NX'!$D$7=D3986,OR(LEFT(L3986,2)="15",AND(LEFT(M3986,2)&lt;&gt;"15",LEFT(M3986,2)&lt;&gt;"33"))),"x","")</f>
        <v/>
      </c>
      <c r="X3986" s="52" t="str">
        <f>IF(AND(OR(LEFT(TH!L3986,2)="15",LEFT(TH!M3986,2)="15"),'152-CT'!$J$8=TH!F3986),"x","")</f>
        <v/>
      </c>
      <c r="Y3986" s="52" t="str">
        <f>IF(AND(OR(LEFT(TH!L3986,2)="15",LEFT(TH!M3986,2)="15"),TK!$E$7=TH!F3986),"x","")</f>
        <v/>
      </c>
      <c r="Z3986" s="52" t="str">
        <f>IF(AND(B3986&lt;=NKC!$N$8,B3986&gt;=NKC!$M$8),"x","")</f>
        <v/>
      </c>
      <c r="AA3986" s="826"/>
    </row>
    <row r="3987" spans="1:27" ht="15.75" customHeight="1">
      <c r="A3987" s="827" t="str">
        <f>IF(B3987&lt;&gt;"",IF(AND(B3987&gt;=_TM1,B3987&lt;=_TM2,OR(TH!L3987="1111",TH!M3987="1111")),TH!D3987,""),"")</f>
        <v/>
      </c>
      <c r="B3987" s="36">
        <f t="shared" si="514"/>
        <v>1</v>
      </c>
      <c r="C3987" s="190">
        <f t="shared" si="516"/>
        <v>0</v>
      </c>
      <c r="D3987" s="37"/>
      <c r="E3987" s="740"/>
      <c r="F3987" s="191"/>
      <c r="G3987" s="833"/>
      <c r="H3987" s="192"/>
      <c r="I3987" s="253"/>
      <c r="J3987" s="253"/>
      <c r="K3987" s="584"/>
      <c r="L3987" s="39"/>
      <c r="M3987" s="39"/>
      <c r="N3987" s="52" t="str">
        <f>IF(AND('331-CT'!$E$7=TH!H3987,OR(L3987="331",M3987="331")),"331",IF(AND(OR(L3987="131",M3987="131"),H3987='131-CT'!$E$7),"131",""))</f>
        <v/>
      </c>
      <c r="O3987" s="52" t="str">
        <f>IF(AND($B3987&gt;='111'!$N$11,$B3987&lt;='111'!$O$11,OR($L3987=$O$7,$M3987=$O$7)),"x","")</f>
        <v/>
      </c>
      <c r="P3987" s="52" t="str">
        <f>IF(AND($L3987=$O$7,$B3987&lt;'111'!$N$11),"x","")</f>
        <v/>
      </c>
      <c r="Q3987" s="52" t="str">
        <f>IF(AND($M3987=$O$7,$B3987&lt;'111'!$N$11),"x","")</f>
        <v/>
      </c>
      <c r="R3987" s="52" t="str">
        <f>IF(ISERROR(FIND('112'!$M$9,G3987,1)),"",IF((AND(FIND('112'!$M$9,G3987,1)&gt;=1,$B3987&gt;='112'!$N$8,$B3987&lt;='112'!$O$8,OR($L3987='112'!$I$6,$M3987='112'!$I$6))),"x",""))</f>
        <v/>
      </c>
      <c r="S3987" s="52" t="str">
        <f>IF(ISERROR(FIND('112'!$M$9,G3987,1)),"",IF((AND(LEFT(G3987,2)=LEFT('112'!$M$9,2),B3987&lt;'112'!$N$8,$L3987='112'!$I$6)),"x",""))</f>
        <v/>
      </c>
      <c r="T3987" s="52" t="str">
        <f>IF(ISERROR(FIND('112'!$M$9,G3987,1)),"",IF((AND(RIGHT(G3987,2)=RIGHT('112'!$M$9,2),B3987&lt;'112'!$N$8,$M3987='112'!$I$6)),"x",""))</f>
        <v/>
      </c>
      <c r="U3987" s="52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/>
      </c>
      <c r="V3987" s="52" t="str">
        <f>IF(OR(TH!L3987=TH!$V$7,M3987=TH!$V$7),"x","")</f>
        <v/>
      </c>
      <c r="W3987" s="52" t="str">
        <f>IF(AND(B3987&gt;='IN-NX'!$P$3,B3987&lt;='IN-NX'!$Q$3,'IN-NX'!$D$7=D3987,OR(LEFT(L3987,2)="15",AND(LEFT(M3987,2)&lt;&gt;"15",LEFT(M3987,2)&lt;&gt;"33"))),"x","")</f>
        <v/>
      </c>
      <c r="X3987" s="52" t="str">
        <f>IF(AND(OR(LEFT(TH!L3987,2)="15",LEFT(TH!M3987,2)="15"),'152-CT'!$J$8=TH!F3987),"x","")</f>
        <v/>
      </c>
      <c r="Y3987" s="52" t="str">
        <f>IF(AND(OR(LEFT(TH!L3987,2)="15",LEFT(TH!M3987,2)="15"),TK!$E$7=TH!F3987),"x","")</f>
        <v/>
      </c>
      <c r="Z3987" s="52" t="str">
        <f>IF(AND(B3987&lt;=NKC!$N$8,B3987&gt;=NKC!$M$8),"x","")</f>
        <v/>
      </c>
      <c r="AA3987" s="826"/>
    </row>
    <row r="3988" spans="1:27" ht="15.75" customHeight="1">
      <c r="A3988" s="827" t="str">
        <f>IF(B3988&lt;&gt;"",IF(AND(B3988&gt;=_TM1,B3988&lt;=_TM2,OR(TH!L3988="1111",TH!M3988="1111")),TH!D3988,""),"")</f>
        <v/>
      </c>
      <c r="B3988" s="36">
        <f t="shared" ref="B3988:B4051" si="517">IF(C3988&lt;&gt;"",MONTH(C3988),"")</f>
        <v>1</v>
      </c>
      <c r="C3988" s="190">
        <f t="shared" si="516"/>
        <v>0</v>
      </c>
      <c r="D3988" s="37"/>
      <c r="E3988" s="740"/>
      <c r="F3988" s="191"/>
      <c r="G3988" s="833"/>
      <c r="H3988" s="192"/>
      <c r="I3988" s="253"/>
      <c r="J3988" s="253"/>
      <c r="K3988" s="584"/>
      <c r="L3988" s="39"/>
      <c r="M3988" s="39"/>
      <c r="N3988" s="52" t="str">
        <f>IF(AND('331-CT'!$E$7=TH!H3988,OR(L3988="331",M3988="331")),"331",IF(AND(OR(L3988="131",M3988="131"),H3988='131-CT'!$E$7),"131",""))</f>
        <v/>
      </c>
      <c r="O3988" s="52" t="str">
        <f>IF(AND($B3988&gt;='111'!$N$11,$B3988&lt;='111'!$O$11,OR($L3988=$O$7,$M3988=$O$7)),"x","")</f>
        <v/>
      </c>
      <c r="P3988" s="52" t="str">
        <f>IF(AND($L3988=$O$7,$B3988&lt;'111'!$N$11),"x","")</f>
        <v/>
      </c>
      <c r="Q3988" s="52" t="str">
        <f>IF(AND($M3988=$O$7,$B3988&lt;'111'!$N$11),"x","")</f>
        <v/>
      </c>
      <c r="R3988" s="52" t="str">
        <f>IF(ISERROR(FIND('112'!$M$9,G3988,1)),"",IF((AND(FIND('112'!$M$9,G3988,1)&gt;=1,$B3988&gt;='112'!$N$8,$B3988&lt;='112'!$O$8,OR($L3988='112'!$I$6,$M3988='112'!$I$6))),"x",""))</f>
        <v/>
      </c>
      <c r="S3988" s="52" t="str">
        <f>IF(ISERROR(FIND('112'!$M$9,G3988,1)),"",IF((AND(LEFT(G3988,2)=LEFT('112'!$M$9,2),B3988&lt;'112'!$N$8,$L3988='112'!$I$6)),"x",""))</f>
        <v/>
      </c>
      <c r="T3988" s="52" t="str">
        <f>IF(ISERROR(FIND('112'!$M$9,G3988,1)),"",IF((AND(RIGHT(G3988,2)=RIGHT('112'!$M$9,2),B3988&lt;'112'!$N$8,$M3988='112'!$I$6)),"x",""))</f>
        <v/>
      </c>
      <c r="U3988" s="52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/>
      </c>
      <c r="V3988" s="52" t="str">
        <f>IF(OR(TH!L3988=TH!$V$7,M3988=TH!$V$7),"x","")</f>
        <v/>
      </c>
      <c r="W3988" s="52" t="str">
        <f>IF(AND(B3988&gt;='IN-NX'!$P$3,B3988&lt;='IN-NX'!$Q$3,'IN-NX'!$D$7=D3988,OR(LEFT(L3988,2)="15",AND(LEFT(M3988,2)&lt;&gt;"15",LEFT(M3988,2)&lt;&gt;"33"))),"x","")</f>
        <v/>
      </c>
      <c r="X3988" s="52" t="str">
        <f>IF(AND(OR(LEFT(TH!L3988,2)="15",LEFT(TH!M3988,2)="15"),'152-CT'!$J$8=TH!F3988),"x","")</f>
        <v/>
      </c>
      <c r="Y3988" s="52" t="str">
        <f>IF(AND(OR(LEFT(TH!L3988,2)="15",LEFT(TH!M3988,2)="15"),TK!$E$7=TH!F3988),"x","")</f>
        <v/>
      </c>
      <c r="Z3988" s="52" t="str">
        <f>IF(AND(B3988&lt;=NKC!$N$8,B3988&gt;=NKC!$M$8),"x","")</f>
        <v/>
      </c>
      <c r="AA3988" s="826"/>
    </row>
    <row r="3989" spans="1:27" ht="15.75" customHeight="1">
      <c r="A3989" s="827" t="str">
        <f>IF(B3989&lt;&gt;"",IF(AND(B3989&gt;=_TM1,B3989&lt;=_TM2,OR(TH!L3989="1111",TH!M3989="1111")),TH!D3989,""),"")</f>
        <v/>
      </c>
      <c r="B3989" s="36">
        <f t="shared" si="517"/>
        <v>1</v>
      </c>
      <c r="C3989" s="190">
        <f t="shared" si="516"/>
        <v>0</v>
      </c>
      <c r="D3989" s="37"/>
      <c r="E3989" s="740"/>
      <c r="F3989" s="191"/>
      <c r="G3989" s="833"/>
      <c r="H3989" s="192"/>
      <c r="I3989" s="253"/>
      <c r="J3989" s="253"/>
      <c r="K3989" s="584"/>
      <c r="L3989" s="39"/>
      <c r="M3989" s="39"/>
      <c r="N3989" s="52" t="str">
        <f>IF(AND('331-CT'!$E$7=TH!H3989,OR(L3989="331",M3989="331")),"331",IF(AND(OR(L3989="131",M3989="131"),H3989='131-CT'!$E$7),"131",""))</f>
        <v/>
      </c>
      <c r="O3989" s="52" t="str">
        <f>IF(AND($B3989&gt;='111'!$N$11,$B3989&lt;='111'!$O$11,OR($L3989=$O$7,$M3989=$O$7)),"x","")</f>
        <v/>
      </c>
      <c r="P3989" s="52" t="str">
        <f>IF(AND($L3989=$O$7,$B3989&lt;'111'!$N$11),"x","")</f>
        <v/>
      </c>
      <c r="Q3989" s="52" t="str">
        <f>IF(AND($M3989=$O$7,$B3989&lt;'111'!$N$11),"x","")</f>
        <v/>
      </c>
      <c r="R3989" s="52" t="str">
        <f>IF(ISERROR(FIND('112'!$M$9,G3989,1)),"",IF((AND(FIND('112'!$M$9,G3989,1)&gt;=1,$B3989&gt;='112'!$N$8,$B3989&lt;='112'!$O$8,OR($L3989='112'!$I$6,$M3989='112'!$I$6))),"x",""))</f>
        <v/>
      </c>
      <c r="S3989" s="52" t="str">
        <f>IF(ISERROR(FIND('112'!$M$9,G3989,1)),"",IF((AND(LEFT(G3989,2)=LEFT('112'!$M$9,2),B3989&lt;'112'!$N$8,$L3989='112'!$I$6)),"x",""))</f>
        <v/>
      </c>
      <c r="T3989" s="52" t="str">
        <f>IF(ISERROR(FIND('112'!$M$9,G3989,1)),"",IF((AND(RIGHT(G3989,2)=RIGHT('112'!$M$9,2),B3989&lt;'112'!$N$8,$M3989='112'!$I$6)),"x",""))</f>
        <v/>
      </c>
      <c r="U3989" s="52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/>
      </c>
      <c r="V3989" s="52" t="str">
        <f>IF(OR(TH!L3989=TH!$V$7,M3989=TH!$V$7),"x","")</f>
        <v/>
      </c>
      <c r="W3989" s="52" t="str">
        <f>IF(AND(B3989&gt;='IN-NX'!$P$3,B3989&lt;='IN-NX'!$Q$3,'IN-NX'!$D$7=D3989,OR(LEFT(L3989,2)="15",AND(LEFT(M3989,2)&lt;&gt;"15",LEFT(M3989,2)&lt;&gt;"33"))),"x","")</f>
        <v/>
      </c>
      <c r="X3989" s="52" t="str">
        <f>IF(AND(OR(LEFT(TH!L3989,2)="15",LEFT(TH!M3989,2)="15"),'152-CT'!$J$8=TH!F3989),"x","")</f>
        <v/>
      </c>
      <c r="Y3989" s="52" t="str">
        <f>IF(AND(OR(LEFT(TH!L3989,2)="15",LEFT(TH!M3989,2)="15"),TK!$E$7=TH!F3989),"x","")</f>
        <v/>
      </c>
      <c r="Z3989" s="52" t="str">
        <f>IF(AND(B3989&lt;=NKC!$N$8,B3989&gt;=NKC!$M$8),"x","")</f>
        <v/>
      </c>
      <c r="AA3989" s="826"/>
    </row>
    <row r="3990" spans="1:27" ht="15.75" customHeight="1">
      <c r="A3990" s="827" t="str">
        <f>IF(B3990&lt;&gt;"",IF(AND(B3990&gt;=_TM1,B3990&lt;=_TM2,OR(TH!L3990="1111",TH!M3990="1111")),TH!D3990,""),"")</f>
        <v/>
      </c>
      <c r="B3990" s="36">
        <f t="shared" si="517"/>
        <v>1</v>
      </c>
      <c r="C3990" s="190">
        <f t="shared" si="516"/>
        <v>0</v>
      </c>
      <c r="D3990" s="37"/>
      <c r="E3990" s="740"/>
      <c r="F3990" s="191"/>
      <c r="G3990" s="833"/>
      <c r="H3990" s="192"/>
      <c r="I3990" s="253"/>
      <c r="J3990" s="253"/>
      <c r="K3990" s="584"/>
      <c r="L3990" s="39"/>
      <c r="M3990" s="39"/>
      <c r="N3990" s="52" t="str">
        <f>IF(AND('331-CT'!$E$7=TH!H3990,OR(L3990="331",M3990="331")),"331",IF(AND(OR(L3990="131",M3990="131"),H3990='131-CT'!$E$7),"131",""))</f>
        <v/>
      </c>
      <c r="O3990" s="52" t="str">
        <f>IF(AND($B3990&gt;='111'!$N$11,$B3990&lt;='111'!$O$11,OR($L3990=$O$7,$M3990=$O$7)),"x","")</f>
        <v/>
      </c>
      <c r="P3990" s="52" t="str">
        <f>IF(AND($L3990=$O$7,$B3990&lt;'111'!$N$11),"x","")</f>
        <v/>
      </c>
      <c r="Q3990" s="52" t="str">
        <f>IF(AND($M3990=$O$7,$B3990&lt;'111'!$N$11),"x","")</f>
        <v/>
      </c>
      <c r="R3990" s="52" t="str">
        <f>IF(ISERROR(FIND('112'!$M$9,G3990,1)),"",IF((AND(FIND('112'!$M$9,G3990,1)&gt;=1,$B3990&gt;='112'!$N$8,$B3990&lt;='112'!$O$8,OR($L3990='112'!$I$6,$M3990='112'!$I$6))),"x",""))</f>
        <v/>
      </c>
      <c r="S3990" s="52" t="str">
        <f>IF(ISERROR(FIND('112'!$M$9,G3990,1)),"",IF((AND(LEFT(G3990,2)=LEFT('112'!$M$9,2),B3990&lt;'112'!$N$8,$L3990='112'!$I$6)),"x",""))</f>
        <v/>
      </c>
      <c r="T3990" s="52" t="str">
        <f>IF(ISERROR(FIND('112'!$M$9,G3990,1)),"",IF((AND(RIGHT(G3990,2)=RIGHT('112'!$M$9,2),B3990&lt;'112'!$N$8,$M3990='112'!$I$6)),"x",""))</f>
        <v/>
      </c>
      <c r="U3990" s="52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/>
      </c>
      <c r="V3990" s="52" t="str">
        <f>IF(OR(TH!L3990=TH!$V$7,M3990=TH!$V$7),"x","")</f>
        <v/>
      </c>
      <c r="W3990" s="52" t="str">
        <f>IF(AND(B3990&gt;='IN-NX'!$P$3,B3990&lt;='IN-NX'!$Q$3,'IN-NX'!$D$7=D3990,OR(LEFT(L3990,2)="15",AND(LEFT(M3990,2)&lt;&gt;"15",LEFT(M3990,2)&lt;&gt;"33"))),"x","")</f>
        <v/>
      </c>
      <c r="X3990" s="52" t="str">
        <f>IF(AND(OR(LEFT(TH!L3990,2)="15",LEFT(TH!M3990,2)="15"),'152-CT'!$J$8=TH!F3990),"x","")</f>
        <v/>
      </c>
      <c r="Y3990" s="52" t="str">
        <f>IF(AND(OR(LEFT(TH!L3990,2)="15",LEFT(TH!M3990,2)="15"),TK!$E$7=TH!F3990),"x","")</f>
        <v/>
      </c>
      <c r="Z3990" s="52" t="str">
        <f>IF(AND(B3990&lt;=NKC!$N$8,B3990&gt;=NKC!$M$8),"x","")</f>
        <v/>
      </c>
      <c r="AA3990" s="826"/>
    </row>
    <row r="3991" spans="1:27" ht="15.75" customHeight="1">
      <c r="A3991" s="827" t="str">
        <f>IF(B3991&lt;&gt;"",IF(AND(B3991&gt;=_TM1,B3991&lt;=_TM2,OR(TH!L3991="1111",TH!M3991="1111")),TH!D3991,""),"")</f>
        <v/>
      </c>
      <c r="B3991" s="36">
        <f t="shared" si="517"/>
        <v>1</v>
      </c>
      <c r="C3991" s="190">
        <f t="shared" si="516"/>
        <v>0</v>
      </c>
      <c r="D3991" s="37"/>
      <c r="E3991" s="740"/>
      <c r="F3991" s="191"/>
      <c r="G3991" s="833"/>
      <c r="H3991" s="192"/>
      <c r="I3991" s="253"/>
      <c r="J3991" s="253"/>
      <c r="K3991" s="584"/>
      <c r="L3991" s="39"/>
      <c r="M3991" s="39"/>
      <c r="N3991" s="52" t="str">
        <f>IF(AND('331-CT'!$E$7=TH!H3991,OR(L3991="331",M3991="331")),"331",IF(AND(OR(L3991="131",M3991="131"),H3991='131-CT'!$E$7),"131",""))</f>
        <v/>
      </c>
      <c r="O3991" s="52" t="str">
        <f>IF(AND($B3991&gt;='111'!$N$11,$B3991&lt;='111'!$O$11,OR($L3991=$O$7,$M3991=$O$7)),"x","")</f>
        <v/>
      </c>
      <c r="P3991" s="52" t="str">
        <f>IF(AND($L3991=$O$7,$B3991&lt;'111'!$N$11),"x","")</f>
        <v/>
      </c>
      <c r="Q3991" s="52" t="str">
        <f>IF(AND($M3991=$O$7,$B3991&lt;'111'!$N$11),"x","")</f>
        <v/>
      </c>
      <c r="R3991" s="52" t="str">
        <f>IF(ISERROR(FIND('112'!$M$9,G3991,1)),"",IF((AND(FIND('112'!$M$9,G3991,1)&gt;=1,$B3991&gt;='112'!$N$8,$B3991&lt;='112'!$O$8,OR($L3991='112'!$I$6,$M3991='112'!$I$6))),"x",""))</f>
        <v/>
      </c>
      <c r="S3991" s="52" t="str">
        <f>IF(ISERROR(FIND('112'!$M$9,G3991,1)),"",IF((AND(LEFT(G3991,2)=LEFT('112'!$M$9,2),B3991&lt;'112'!$N$8,$L3991='112'!$I$6)),"x",""))</f>
        <v/>
      </c>
      <c r="T3991" s="52" t="str">
        <f>IF(ISERROR(FIND('112'!$M$9,G3991,1)),"",IF((AND(RIGHT(G3991,2)=RIGHT('112'!$M$9,2),B3991&lt;'112'!$N$8,$M3991='112'!$I$6)),"x",""))</f>
        <v/>
      </c>
      <c r="U3991" s="52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/>
      </c>
      <c r="V3991" s="52" t="str">
        <f>IF(OR(TH!L3991=TH!$V$7,M3991=TH!$V$7),"x","")</f>
        <v/>
      </c>
      <c r="W3991" s="52" t="str">
        <f>IF(AND(B3991&gt;='IN-NX'!$P$3,B3991&lt;='IN-NX'!$Q$3,'IN-NX'!$D$7=D3991,OR(LEFT(L3991,2)="15",AND(LEFT(M3991,2)&lt;&gt;"15",LEFT(M3991,2)&lt;&gt;"33"))),"x","")</f>
        <v/>
      </c>
      <c r="X3991" s="52" t="str">
        <f>IF(AND(OR(LEFT(TH!L3991,2)="15",LEFT(TH!M3991,2)="15"),'152-CT'!$J$8=TH!F3991),"x","")</f>
        <v/>
      </c>
      <c r="Y3991" s="52" t="str">
        <f>IF(AND(OR(LEFT(TH!L3991,2)="15",LEFT(TH!M3991,2)="15"),TK!$E$7=TH!F3991),"x","")</f>
        <v/>
      </c>
      <c r="Z3991" s="52" t="str">
        <f>IF(AND(B3991&lt;=NKC!$N$8,B3991&gt;=NKC!$M$8),"x","")</f>
        <v/>
      </c>
      <c r="AA3991" s="826"/>
    </row>
    <row r="3992" spans="1:27" ht="15.75" customHeight="1">
      <c r="A3992" s="827" t="str">
        <f>IF(B3992&lt;&gt;"",IF(AND(B3992&gt;=_TM1,B3992&lt;=_TM2,OR(TH!L3992="1111",TH!M3992="1111")),TH!D3992,""),"")</f>
        <v/>
      </c>
      <c r="B3992" s="36" t="str">
        <f t="shared" si="517"/>
        <v/>
      </c>
      <c r="C3992" s="190"/>
      <c r="D3992" s="37"/>
      <c r="E3992" s="740"/>
      <c r="F3992" s="191"/>
      <c r="G3992" s="833"/>
      <c r="H3992" s="192"/>
      <c r="I3992" s="253"/>
      <c r="J3992" s="253"/>
      <c r="K3992" s="584"/>
      <c r="L3992" s="39"/>
      <c r="M3992" s="39"/>
      <c r="N3992" s="52" t="str">
        <f>IF(AND('331-CT'!$E$7=TH!H3992,OR(L3992="331",M3992="331")),"331",IF(AND(OR(L3992="131",M3992="131"),H3992='131-CT'!$E$7),"131",""))</f>
        <v/>
      </c>
      <c r="O3992" s="52" t="str">
        <f>IF(AND($B3992&gt;='111'!$N$11,$B3992&lt;='111'!$O$11,OR($L3992=$O$7,$M3992=$O$7)),"x","")</f>
        <v/>
      </c>
      <c r="P3992" s="52" t="str">
        <f>IF(AND($L3992=$O$7,$B3992&lt;'111'!$N$11),"x","")</f>
        <v/>
      </c>
      <c r="Q3992" s="52" t="str">
        <f>IF(AND($M3992=$O$7,$B3992&lt;'111'!$N$11),"x","")</f>
        <v/>
      </c>
      <c r="R3992" s="52" t="str">
        <f>IF(ISERROR(FIND('112'!$M$9,G3992,1)),"",IF((AND(FIND('112'!$M$9,G3992,1)&gt;=1,$B3992&gt;='112'!$N$8,$B3992&lt;='112'!$O$8,OR($L3992='112'!$I$6,$M3992='112'!$I$6))),"x",""))</f>
        <v/>
      </c>
      <c r="S3992" s="52" t="str">
        <f>IF(ISERROR(FIND('112'!$M$9,G3992,1)),"",IF((AND(LEFT(G3992,2)=LEFT('112'!$M$9,2),B3992&lt;'112'!$N$8,$L3992='112'!$I$6)),"x",""))</f>
        <v/>
      </c>
      <c r="T3992" s="52" t="str">
        <f>IF(ISERROR(FIND('112'!$M$9,G3992,1)),"",IF((AND(RIGHT(G3992,2)=RIGHT('112'!$M$9,2),B3992&lt;'112'!$N$8,$M3992='112'!$I$6)),"x",""))</f>
        <v/>
      </c>
      <c r="U3992" s="52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/>
      </c>
      <c r="V3992" s="52" t="str">
        <f>IF(OR(TH!L3992=TH!$V$7,M3992=TH!$V$7),"x","")</f>
        <v/>
      </c>
      <c r="W3992" s="52" t="str">
        <f>IF(AND(B3992&gt;='IN-NX'!$P$3,B3992&lt;='IN-NX'!$Q$3,'IN-NX'!$D$7=D3992,OR(LEFT(L3992,2)="15",AND(LEFT(M3992,2)&lt;&gt;"15",LEFT(M3992,2)&lt;&gt;"33"))),"x","")</f>
        <v/>
      </c>
      <c r="X3992" s="52" t="str">
        <f>IF(AND(OR(LEFT(TH!L3992,2)="15",LEFT(TH!M3992,2)="15"),'152-CT'!$J$8=TH!F3992),"x","")</f>
        <v/>
      </c>
      <c r="Y3992" s="52" t="str">
        <f>IF(AND(OR(LEFT(TH!L3992,2)="15",LEFT(TH!M3992,2)="15"),TK!$E$7=TH!F3992),"x","")</f>
        <v/>
      </c>
      <c r="Z3992" s="52" t="str">
        <f>IF(AND(B3992&lt;=NKC!$N$8,B3992&gt;=NKC!$M$8),"x","")</f>
        <v/>
      </c>
      <c r="AA3992" s="826"/>
    </row>
    <row r="3993" spans="1:27" ht="15.75" customHeight="1">
      <c r="A3993" s="827" t="str">
        <f>IF(B3993&lt;&gt;"",IF(AND(B3993&gt;=_TM1,B3993&lt;=_TM2,OR(TH!L3993="1111",TH!M3993="1111")),TH!D3993,""),"")</f>
        <v/>
      </c>
      <c r="B3993" s="36" t="str">
        <f t="shared" si="517"/>
        <v/>
      </c>
      <c r="C3993" s="190"/>
      <c r="D3993" s="37"/>
      <c r="E3993" s="740"/>
      <c r="F3993" s="191"/>
      <c r="G3993" s="833"/>
      <c r="H3993" s="192"/>
      <c r="I3993" s="253"/>
      <c r="J3993" s="253"/>
      <c r="K3993" s="584"/>
      <c r="L3993" s="39"/>
      <c r="M3993" s="39"/>
      <c r="N3993" s="52" t="str">
        <f>IF(AND('331-CT'!$E$7=TH!H3993,OR(L3993="331",M3993="331")),"331",IF(AND(OR(L3993="131",M3993="131"),H3993='131-CT'!$E$7),"131",""))</f>
        <v/>
      </c>
      <c r="O3993" s="52" t="str">
        <f>IF(AND($B3993&gt;='111'!$N$11,$B3993&lt;='111'!$O$11,OR($L3993=$O$7,$M3993=$O$7)),"x","")</f>
        <v/>
      </c>
      <c r="P3993" s="52" t="str">
        <f>IF(AND($L3993=$O$7,$B3993&lt;'111'!$N$11),"x","")</f>
        <v/>
      </c>
      <c r="Q3993" s="52" t="str">
        <f>IF(AND($M3993=$O$7,$B3993&lt;'111'!$N$11),"x","")</f>
        <v/>
      </c>
      <c r="R3993" s="52" t="str">
        <f>IF(ISERROR(FIND('112'!$M$9,G3993,1)),"",IF((AND(FIND('112'!$M$9,G3993,1)&gt;=1,$B3993&gt;='112'!$N$8,$B3993&lt;='112'!$O$8,OR($L3993='112'!$I$6,$M3993='112'!$I$6))),"x",""))</f>
        <v/>
      </c>
      <c r="S3993" s="52" t="str">
        <f>IF(ISERROR(FIND('112'!$M$9,G3993,1)),"",IF((AND(LEFT(G3993,2)=LEFT('112'!$M$9,2),B3993&lt;'112'!$N$8,$L3993='112'!$I$6)),"x",""))</f>
        <v/>
      </c>
      <c r="T3993" s="52" t="str">
        <f>IF(ISERROR(FIND('112'!$M$9,G3993,1)),"",IF((AND(RIGHT(G3993,2)=RIGHT('112'!$M$9,2),B3993&lt;'112'!$N$8,$M3993='112'!$I$6)),"x",""))</f>
        <v/>
      </c>
      <c r="U3993" s="52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/>
      </c>
      <c r="V3993" s="52" t="str">
        <f>IF(OR(TH!L3993=TH!$V$7,M3993=TH!$V$7),"x","")</f>
        <v/>
      </c>
      <c r="W3993" s="52" t="str">
        <f>IF(AND(B3993&gt;='IN-NX'!$P$3,B3993&lt;='IN-NX'!$Q$3,'IN-NX'!$D$7=D3993,OR(LEFT(L3993,2)="15",AND(LEFT(M3993,2)&lt;&gt;"15",LEFT(M3993,2)&lt;&gt;"33"))),"x","")</f>
        <v/>
      </c>
      <c r="X3993" s="52" t="str">
        <f>IF(AND(OR(LEFT(TH!L3993,2)="15",LEFT(TH!M3993,2)="15"),'152-CT'!$J$8=TH!F3993),"x","")</f>
        <v/>
      </c>
      <c r="Y3993" s="52" t="str">
        <f>IF(AND(OR(LEFT(TH!L3993,2)="15",LEFT(TH!M3993,2)="15"),TK!$E$7=TH!F3993),"x","")</f>
        <v/>
      </c>
      <c r="Z3993" s="52" t="str">
        <f>IF(AND(B3993&lt;=NKC!$N$8,B3993&gt;=NKC!$M$8),"x","")</f>
        <v/>
      </c>
      <c r="AA3993" s="826"/>
    </row>
    <row r="3994" spans="1:27" ht="15.75" customHeight="1">
      <c r="A3994" s="827" t="str">
        <f>IF(B3994&lt;&gt;"",IF(AND(B3994&gt;=_TM1,B3994&lt;=_TM2,OR(TH!L3994="1111",TH!M3994="1111")),TH!D3994,""),"")</f>
        <v/>
      </c>
      <c r="B3994" s="36" t="str">
        <f t="shared" si="517"/>
        <v/>
      </c>
      <c r="C3994" s="190"/>
      <c r="D3994" s="37"/>
      <c r="E3994" s="740"/>
      <c r="F3994" s="191"/>
      <c r="G3994" s="833"/>
      <c r="H3994" s="192"/>
      <c r="I3994" s="253"/>
      <c r="J3994" s="253"/>
      <c r="K3994" s="584"/>
      <c r="L3994" s="39"/>
      <c r="M3994" s="39"/>
      <c r="N3994" s="52" t="str">
        <f>IF(AND('331-CT'!$E$7=TH!H3994,OR(L3994="331",M3994="331")),"331",IF(AND(OR(L3994="131",M3994="131"),H3994='131-CT'!$E$7),"131",""))</f>
        <v/>
      </c>
      <c r="O3994" s="52" t="str">
        <f>IF(AND($B3994&gt;='111'!$N$11,$B3994&lt;='111'!$O$11,OR($L3994=$O$7,$M3994=$O$7)),"x","")</f>
        <v/>
      </c>
      <c r="P3994" s="52" t="str">
        <f>IF(AND($L3994=$O$7,$B3994&lt;'111'!$N$11),"x","")</f>
        <v/>
      </c>
      <c r="Q3994" s="52" t="str">
        <f>IF(AND($M3994=$O$7,$B3994&lt;'111'!$N$11),"x","")</f>
        <v/>
      </c>
      <c r="R3994" s="52" t="str">
        <f>IF(ISERROR(FIND('112'!$M$9,G3994,1)),"",IF((AND(FIND('112'!$M$9,G3994,1)&gt;=1,$B3994&gt;='112'!$N$8,$B3994&lt;='112'!$O$8,OR($L3994='112'!$I$6,$M3994='112'!$I$6))),"x",""))</f>
        <v/>
      </c>
      <c r="S3994" s="52" t="str">
        <f>IF(ISERROR(FIND('112'!$M$9,G3994,1)),"",IF((AND(LEFT(G3994,2)=LEFT('112'!$M$9,2),B3994&lt;'112'!$N$8,$L3994='112'!$I$6)),"x",""))</f>
        <v/>
      </c>
      <c r="T3994" s="52" t="str">
        <f>IF(ISERROR(FIND('112'!$M$9,G3994,1)),"",IF((AND(RIGHT(G3994,2)=RIGHT('112'!$M$9,2),B3994&lt;'112'!$N$8,$M3994='112'!$I$6)),"x",""))</f>
        <v/>
      </c>
      <c r="U3994" s="52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/>
      </c>
      <c r="V3994" s="52" t="str">
        <f>IF(OR(TH!L3994=TH!$V$7,M3994=TH!$V$7),"x","")</f>
        <v/>
      </c>
      <c r="W3994" s="52" t="str">
        <f>IF(AND(B3994&gt;='IN-NX'!$P$3,B3994&lt;='IN-NX'!$Q$3,'IN-NX'!$D$7=D3994,OR(LEFT(L3994,2)="15",AND(LEFT(M3994,2)&lt;&gt;"15",LEFT(M3994,2)&lt;&gt;"33"))),"x","")</f>
        <v/>
      </c>
      <c r="X3994" s="52" t="str">
        <f>IF(AND(OR(LEFT(TH!L3994,2)="15",LEFT(TH!M3994,2)="15"),'152-CT'!$J$8=TH!F3994),"x","")</f>
        <v/>
      </c>
      <c r="Y3994" s="52" t="str">
        <f>IF(AND(OR(LEFT(TH!L3994,2)="15",LEFT(TH!M3994,2)="15"),TK!$E$7=TH!F3994),"x","")</f>
        <v/>
      </c>
      <c r="Z3994" s="52" t="str">
        <f>IF(AND(B3994&lt;=NKC!$N$8,B3994&gt;=NKC!$M$8),"x","")</f>
        <v/>
      </c>
      <c r="AA3994" s="826"/>
    </row>
    <row r="3995" spans="1:27" ht="15.75" customHeight="1">
      <c r="A3995" s="827" t="str">
        <f>IF(B3995&lt;&gt;"",IF(AND(B3995&gt;=_TM1,B3995&lt;=_TM2,OR(TH!L3995="1111",TH!M3995="1111")),TH!D3995,""),"")</f>
        <v/>
      </c>
      <c r="B3995" s="36" t="str">
        <f t="shared" si="517"/>
        <v/>
      </c>
      <c r="C3995" s="190"/>
      <c r="D3995" s="37"/>
      <c r="E3995" s="740"/>
      <c r="F3995" s="191"/>
      <c r="G3995" s="833"/>
      <c r="H3995" s="192"/>
      <c r="I3995" s="253"/>
      <c r="J3995" s="253"/>
      <c r="K3995" s="584"/>
      <c r="L3995" s="39"/>
      <c r="M3995" s="39"/>
      <c r="N3995" s="52" t="str">
        <f>IF(AND('331-CT'!$E$7=TH!H3995,OR(L3995="331",M3995="331")),"331",IF(AND(OR(L3995="131",M3995="131"),H3995='131-CT'!$E$7),"131",""))</f>
        <v/>
      </c>
      <c r="O3995" s="52" t="str">
        <f>IF(AND($B3995&gt;='111'!$N$11,$B3995&lt;='111'!$O$11,OR($L3995=$O$7,$M3995=$O$7)),"x","")</f>
        <v/>
      </c>
      <c r="P3995" s="52" t="str">
        <f>IF(AND($L3995=$O$7,$B3995&lt;'111'!$N$11),"x","")</f>
        <v/>
      </c>
      <c r="Q3995" s="52" t="str">
        <f>IF(AND($M3995=$O$7,$B3995&lt;'111'!$N$11),"x","")</f>
        <v/>
      </c>
      <c r="R3995" s="52" t="str">
        <f>IF(ISERROR(FIND('112'!$M$9,G3995,1)),"",IF((AND(FIND('112'!$M$9,G3995,1)&gt;=1,$B3995&gt;='112'!$N$8,$B3995&lt;='112'!$O$8,OR($L3995='112'!$I$6,$M3995='112'!$I$6))),"x",""))</f>
        <v/>
      </c>
      <c r="S3995" s="52" t="str">
        <f>IF(ISERROR(FIND('112'!$M$9,G3995,1)),"",IF((AND(LEFT(G3995,2)=LEFT('112'!$M$9,2),B3995&lt;'112'!$N$8,$L3995='112'!$I$6)),"x",""))</f>
        <v/>
      </c>
      <c r="T3995" s="52" t="str">
        <f>IF(ISERROR(FIND('112'!$M$9,G3995,1)),"",IF((AND(RIGHT(G3995,2)=RIGHT('112'!$M$9,2),B3995&lt;'112'!$N$8,$M3995='112'!$I$6)),"x",""))</f>
        <v/>
      </c>
      <c r="U3995" s="52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/>
      </c>
      <c r="V3995" s="52" t="str">
        <f>IF(OR(TH!L3995=TH!$V$7,M3995=TH!$V$7),"x","")</f>
        <v/>
      </c>
      <c r="W3995" s="52" t="str">
        <f>IF(AND(B3995&gt;='IN-NX'!$P$3,B3995&lt;='IN-NX'!$Q$3,'IN-NX'!$D$7=D3995,OR(LEFT(L3995,2)="15",AND(LEFT(M3995,2)&lt;&gt;"15",LEFT(M3995,2)&lt;&gt;"33"))),"x","")</f>
        <v/>
      </c>
      <c r="X3995" s="52" t="str">
        <f>IF(AND(OR(LEFT(TH!L3995,2)="15",LEFT(TH!M3995,2)="15"),'152-CT'!$J$8=TH!F3995),"x","")</f>
        <v/>
      </c>
      <c r="Y3995" s="52" t="str">
        <f>IF(AND(OR(LEFT(TH!L3995,2)="15",LEFT(TH!M3995,2)="15"),TK!$E$7=TH!F3995),"x","")</f>
        <v/>
      </c>
      <c r="Z3995" s="52" t="str">
        <f>IF(AND(B3995&lt;=NKC!$N$8,B3995&gt;=NKC!$M$8),"x","")</f>
        <v/>
      </c>
      <c r="AA3995" s="826"/>
    </row>
    <row r="3996" spans="1:27" ht="15.75" customHeight="1">
      <c r="A3996" s="827" t="str">
        <f>IF(B3996&lt;&gt;"",IF(AND(B3996&gt;=_TM1,B3996&lt;=_TM2,OR(TH!L3996="1111",TH!M3996="1111")),TH!D3996,""),"")</f>
        <v/>
      </c>
      <c r="B3996" s="36" t="str">
        <f t="shared" si="517"/>
        <v/>
      </c>
      <c r="C3996" s="190"/>
      <c r="D3996" s="37"/>
      <c r="E3996" s="740"/>
      <c r="F3996" s="191"/>
      <c r="G3996" s="833"/>
      <c r="H3996" s="192"/>
      <c r="I3996" s="253"/>
      <c r="J3996" s="253"/>
      <c r="K3996" s="584"/>
      <c r="L3996" s="39"/>
      <c r="M3996" s="39"/>
      <c r="N3996" s="52" t="str">
        <f>IF(AND('331-CT'!$E$7=TH!H3996,OR(L3996="331",M3996="331")),"331",IF(AND(OR(L3996="131",M3996="131"),H3996='131-CT'!$E$7),"131",""))</f>
        <v/>
      </c>
      <c r="O3996" s="52" t="str">
        <f>IF(AND($B3996&gt;='111'!$N$11,$B3996&lt;='111'!$O$11,OR($L3996=$O$7,$M3996=$O$7)),"x","")</f>
        <v/>
      </c>
      <c r="P3996" s="52" t="str">
        <f>IF(AND($L3996=$O$7,$B3996&lt;'111'!$N$11),"x","")</f>
        <v/>
      </c>
      <c r="Q3996" s="52" t="str">
        <f>IF(AND($M3996=$O$7,$B3996&lt;'111'!$N$11),"x","")</f>
        <v/>
      </c>
      <c r="R3996" s="52" t="str">
        <f>IF(ISERROR(FIND('112'!$M$9,G3996,1)),"",IF((AND(FIND('112'!$M$9,G3996,1)&gt;=1,$B3996&gt;='112'!$N$8,$B3996&lt;='112'!$O$8,OR($L3996='112'!$I$6,$M3996='112'!$I$6))),"x",""))</f>
        <v/>
      </c>
      <c r="S3996" s="52" t="str">
        <f>IF(ISERROR(FIND('112'!$M$9,G3996,1)),"",IF((AND(LEFT(G3996,2)=LEFT('112'!$M$9,2),B3996&lt;'112'!$N$8,$L3996='112'!$I$6)),"x",""))</f>
        <v/>
      </c>
      <c r="T3996" s="52" t="str">
        <f>IF(ISERROR(FIND('112'!$M$9,G3996,1)),"",IF((AND(RIGHT(G3996,2)=RIGHT('112'!$M$9,2),B3996&lt;'112'!$N$8,$M3996='112'!$I$6)),"x",""))</f>
        <v/>
      </c>
      <c r="U3996" s="52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/>
      </c>
      <c r="V3996" s="52" t="str">
        <f>IF(OR(TH!L3996=TH!$V$7,M3996=TH!$V$7),"x","")</f>
        <v/>
      </c>
      <c r="W3996" s="52" t="str">
        <f>IF(AND(B3996&gt;='IN-NX'!$P$3,B3996&lt;='IN-NX'!$Q$3,'IN-NX'!$D$7=D3996,OR(LEFT(L3996,2)="15",AND(LEFT(M3996,2)&lt;&gt;"15",LEFT(M3996,2)&lt;&gt;"33"))),"x","")</f>
        <v/>
      </c>
      <c r="X3996" s="52" t="str">
        <f>IF(AND(OR(LEFT(TH!L3996,2)="15",LEFT(TH!M3996,2)="15"),'152-CT'!$J$8=TH!F3996),"x","")</f>
        <v/>
      </c>
      <c r="Y3996" s="52" t="str">
        <f>IF(AND(OR(LEFT(TH!L3996,2)="15",LEFT(TH!M3996,2)="15"),TK!$E$7=TH!F3996),"x","")</f>
        <v/>
      </c>
      <c r="Z3996" s="52" t="str">
        <f>IF(AND(B3996&lt;=NKC!$N$8,B3996&gt;=NKC!$M$8),"x","")</f>
        <v/>
      </c>
      <c r="AA3996" s="826"/>
    </row>
    <row r="3997" spans="1:27" ht="15.75" customHeight="1">
      <c r="A3997" s="827" t="str">
        <f>IF(B3997&lt;&gt;"",IF(AND(B3997&gt;=_TM1,B3997&lt;=_TM2,OR(TH!L3997="1111",TH!M3997="1111")),TH!D3997,""),"")</f>
        <v/>
      </c>
      <c r="B3997" s="36" t="str">
        <f t="shared" si="517"/>
        <v/>
      </c>
      <c r="C3997" s="190"/>
      <c r="D3997" s="37"/>
      <c r="E3997" s="740"/>
      <c r="F3997" s="191"/>
      <c r="G3997" s="833"/>
      <c r="H3997" s="192"/>
      <c r="I3997" s="253"/>
      <c r="J3997" s="253"/>
      <c r="K3997" s="584"/>
      <c r="L3997" s="39"/>
      <c r="M3997" s="39"/>
      <c r="N3997" s="52" t="str">
        <f>IF(AND('331-CT'!$E$7=TH!H3997,OR(L3997="331",M3997="331")),"331",IF(AND(OR(L3997="131",M3997="131"),H3997='131-CT'!$E$7),"131",""))</f>
        <v/>
      </c>
      <c r="O3997" s="52" t="str">
        <f>IF(AND($B3997&gt;='111'!$N$11,$B3997&lt;='111'!$O$11,OR($L3997=$O$7,$M3997=$O$7)),"x","")</f>
        <v/>
      </c>
      <c r="P3997" s="52" t="str">
        <f>IF(AND($L3997=$O$7,$B3997&lt;'111'!$N$11),"x","")</f>
        <v/>
      </c>
      <c r="Q3997" s="52" t="str">
        <f>IF(AND($M3997=$O$7,$B3997&lt;'111'!$N$11),"x","")</f>
        <v/>
      </c>
      <c r="R3997" s="52" t="str">
        <f>IF(ISERROR(FIND('112'!$M$9,G3997,1)),"",IF((AND(FIND('112'!$M$9,G3997,1)&gt;=1,$B3997&gt;='112'!$N$8,$B3997&lt;='112'!$O$8,OR($L3997='112'!$I$6,$M3997='112'!$I$6))),"x",""))</f>
        <v/>
      </c>
      <c r="S3997" s="52" t="str">
        <f>IF(ISERROR(FIND('112'!$M$9,G3997,1)),"",IF((AND(LEFT(G3997,2)=LEFT('112'!$M$9,2),B3997&lt;'112'!$N$8,$L3997='112'!$I$6)),"x",""))</f>
        <v/>
      </c>
      <c r="T3997" s="52" t="str">
        <f>IF(ISERROR(FIND('112'!$M$9,G3997,1)),"",IF((AND(RIGHT(G3997,2)=RIGHT('112'!$M$9,2),B3997&lt;'112'!$N$8,$M3997='112'!$I$6)),"x",""))</f>
        <v/>
      </c>
      <c r="U3997" s="52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/>
      </c>
      <c r="V3997" s="52" t="str">
        <f>IF(OR(TH!L3997=TH!$V$7,M3997=TH!$V$7),"x","")</f>
        <v/>
      </c>
      <c r="W3997" s="52" t="str">
        <f>IF(AND(B3997&gt;='IN-NX'!$P$3,B3997&lt;='IN-NX'!$Q$3,'IN-NX'!$D$7=D3997,OR(LEFT(L3997,2)="15",AND(LEFT(M3997,2)&lt;&gt;"15",LEFT(M3997,2)&lt;&gt;"33"))),"x","")</f>
        <v/>
      </c>
      <c r="X3997" s="52" t="str">
        <f>IF(AND(OR(LEFT(TH!L3997,2)="15",LEFT(TH!M3997,2)="15"),'152-CT'!$J$8=TH!F3997),"x","")</f>
        <v/>
      </c>
      <c r="Y3997" s="52" t="str">
        <f>IF(AND(OR(LEFT(TH!L3997,2)="15",LEFT(TH!M3997,2)="15"),TK!$E$7=TH!F3997),"x","")</f>
        <v/>
      </c>
      <c r="Z3997" s="52" t="str">
        <f>IF(AND(B3997&lt;=NKC!$N$8,B3997&gt;=NKC!$M$8),"x","")</f>
        <v/>
      </c>
      <c r="AA3997" s="826"/>
    </row>
    <row r="3998" spans="1:27" ht="15.75" customHeight="1">
      <c r="A3998" s="827" t="str">
        <f>IF(B3998&lt;&gt;"",IF(AND(B3998&gt;=_TM1,B3998&lt;=_TM2,OR(TH!L3998="1111",TH!M3998="1111")),TH!D3998,""),"")</f>
        <v/>
      </c>
      <c r="B3998" s="36" t="str">
        <f t="shared" si="517"/>
        <v/>
      </c>
      <c r="C3998" s="190"/>
      <c r="D3998" s="37"/>
      <c r="E3998" s="740"/>
      <c r="F3998" s="191"/>
      <c r="G3998" s="833"/>
      <c r="H3998" s="192"/>
      <c r="I3998" s="253"/>
      <c r="J3998" s="253"/>
      <c r="K3998" s="584"/>
      <c r="L3998" s="39"/>
      <c r="M3998" s="39"/>
      <c r="N3998" s="52" t="str">
        <f>IF(AND('331-CT'!$E$7=TH!H3998,OR(L3998="331",M3998="331")),"331",IF(AND(OR(L3998="131",M3998="131"),H3998='131-CT'!$E$7),"131",""))</f>
        <v/>
      </c>
      <c r="O3998" s="52" t="str">
        <f>IF(AND($B3998&gt;='111'!$N$11,$B3998&lt;='111'!$O$11,OR($L3998=$O$7,$M3998=$O$7)),"x","")</f>
        <v/>
      </c>
      <c r="P3998" s="52" t="str">
        <f>IF(AND($L3998=$O$7,$B3998&lt;'111'!$N$11),"x","")</f>
        <v/>
      </c>
      <c r="Q3998" s="52" t="str">
        <f>IF(AND($M3998=$O$7,$B3998&lt;'111'!$N$11),"x","")</f>
        <v/>
      </c>
      <c r="R3998" s="52" t="str">
        <f>IF(ISERROR(FIND('112'!$M$9,G3998,1)),"",IF((AND(FIND('112'!$M$9,G3998,1)&gt;=1,$B3998&gt;='112'!$N$8,$B3998&lt;='112'!$O$8,OR($L3998='112'!$I$6,$M3998='112'!$I$6))),"x",""))</f>
        <v/>
      </c>
      <c r="S3998" s="52" t="str">
        <f>IF(ISERROR(FIND('112'!$M$9,G3998,1)),"",IF((AND(LEFT(G3998,2)=LEFT('112'!$M$9,2),B3998&lt;'112'!$N$8,$L3998='112'!$I$6)),"x",""))</f>
        <v/>
      </c>
      <c r="T3998" s="52" t="str">
        <f>IF(ISERROR(FIND('112'!$M$9,G3998,1)),"",IF((AND(RIGHT(G3998,2)=RIGHT('112'!$M$9,2),B3998&lt;'112'!$N$8,$M3998='112'!$I$6)),"x",""))</f>
        <v/>
      </c>
      <c r="U3998" s="52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/>
      </c>
      <c r="V3998" s="52" t="str">
        <f>IF(OR(TH!L3998=TH!$V$7,M3998=TH!$V$7),"x","")</f>
        <v/>
      </c>
      <c r="W3998" s="52" t="str">
        <f>IF(AND(B3998&gt;='IN-NX'!$P$3,B3998&lt;='IN-NX'!$Q$3,'IN-NX'!$D$7=D3998,OR(LEFT(L3998,2)="15",AND(LEFT(M3998,2)&lt;&gt;"15",LEFT(M3998,2)&lt;&gt;"33"))),"x","")</f>
        <v/>
      </c>
      <c r="X3998" s="52" t="str">
        <f>IF(AND(OR(LEFT(TH!L3998,2)="15",LEFT(TH!M3998,2)="15"),'152-CT'!$J$8=TH!F3998),"x","")</f>
        <v/>
      </c>
      <c r="Y3998" s="52" t="str">
        <f>IF(AND(OR(LEFT(TH!L3998,2)="15",LEFT(TH!M3998,2)="15"),TK!$E$7=TH!F3998),"x","")</f>
        <v/>
      </c>
      <c r="Z3998" s="52" t="str">
        <f>IF(AND(B3998&lt;=NKC!$N$8,B3998&gt;=NKC!$M$8),"x","")</f>
        <v/>
      </c>
      <c r="AA3998" s="826"/>
    </row>
    <row r="3999" spans="1:27" ht="15.75" customHeight="1">
      <c r="A3999" s="827" t="str">
        <f>IF(B3999&lt;&gt;"",IF(AND(B3999&gt;=_TM1,B3999&lt;=_TM2,OR(TH!L3999="1111",TH!M3999="1111")),TH!D3999,""),"")</f>
        <v/>
      </c>
      <c r="B3999" s="36" t="str">
        <f t="shared" si="517"/>
        <v/>
      </c>
      <c r="C3999" s="190"/>
      <c r="D3999" s="37"/>
      <c r="E3999" s="740"/>
      <c r="F3999" s="191"/>
      <c r="G3999" s="833"/>
      <c r="H3999" s="192"/>
      <c r="I3999" s="253"/>
      <c r="J3999" s="253"/>
      <c r="K3999" s="584"/>
      <c r="L3999" s="39"/>
      <c r="M3999" s="39"/>
      <c r="N3999" s="52" t="str">
        <f>IF(AND('331-CT'!$E$7=TH!H3999,OR(L3999="331",M3999="331")),"331",IF(AND(OR(L3999="131",M3999="131"),H3999='131-CT'!$E$7),"131",""))</f>
        <v/>
      </c>
      <c r="O3999" s="52" t="str">
        <f>IF(AND($B3999&gt;='111'!$N$11,$B3999&lt;='111'!$O$11,OR($L3999=$O$7,$M3999=$O$7)),"x","")</f>
        <v/>
      </c>
      <c r="P3999" s="52" t="str">
        <f>IF(AND($L3999=$O$7,$B3999&lt;'111'!$N$11),"x","")</f>
        <v/>
      </c>
      <c r="Q3999" s="52" t="str">
        <f>IF(AND($M3999=$O$7,$B3999&lt;'111'!$N$11),"x","")</f>
        <v/>
      </c>
      <c r="R3999" s="52" t="str">
        <f>IF(ISERROR(FIND('112'!$M$9,G3999,1)),"",IF((AND(FIND('112'!$M$9,G3999,1)&gt;=1,$B3999&gt;='112'!$N$8,$B3999&lt;='112'!$O$8,OR($L3999='112'!$I$6,$M3999='112'!$I$6))),"x",""))</f>
        <v/>
      </c>
      <c r="S3999" s="52" t="str">
        <f>IF(ISERROR(FIND('112'!$M$9,G3999,1)),"",IF((AND(LEFT(G3999,2)=LEFT('112'!$M$9,2),B3999&lt;'112'!$N$8,$L3999='112'!$I$6)),"x",""))</f>
        <v/>
      </c>
      <c r="T3999" s="52" t="str">
        <f>IF(ISERROR(FIND('112'!$M$9,G3999,1)),"",IF((AND(RIGHT(G3999,2)=RIGHT('112'!$M$9,2),B3999&lt;'112'!$N$8,$M3999='112'!$I$6)),"x",""))</f>
        <v/>
      </c>
      <c r="U3999" s="52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/>
      </c>
      <c r="V3999" s="52" t="str">
        <f>IF(OR(TH!L3999=TH!$V$7,M3999=TH!$V$7),"x","")</f>
        <v/>
      </c>
      <c r="W3999" s="52" t="str">
        <f>IF(AND(B3999&gt;='IN-NX'!$P$3,B3999&lt;='IN-NX'!$Q$3,'IN-NX'!$D$7=D3999,OR(LEFT(L3999,2)="15",AND(LEFT(M3999,2)&lt;&gt;"15",LEFT(M3999,2)&lt;&gt;"33"))),"x","")</f>
        <v/>
      </c>
      <c r="X3999" s="52" t="str">
        <f>IF(AND(OR(LEFT(TH!L3999,2)="15",LEFT(TH!M3999,2)="15"),'152-CT'!$J$8=TH!F3999),"x","")</f>
        <v/>
      </c>
      <c r="Y3999" s="52" t="str">
        <f>IF(AND(OR(LEFT(TH!L3999,2)="15",LEFT(TH!M3999,2)="15"),TK!$E$7=TH!F3999),"x","")</f>
        <v/>
      </c>
      <c r="Z3999" s="52" t="str">
        <f>IF(AND(B3999&lt;=NKC!$N$8,B3999&gt;=NKC!$M$8),"x","")</f>
        <v/>
      </c>
      <c r="AA3999" s="826"/>
    </row>
    <row r="4000" spans="1:27" ht="15.75" customHeight="1">
      <c r="A4000" s="827" t="str">
        <f>IF(B4000&lt;&gt;"",IF(AND(B4000&gt;=_TM1,B4000&lt;=_TM2,OR(TH!L4000="1111",TH!M4000="1111")),TH!D4000,""),"")</f>
        <v/>
      </c>
      <c r="B4000" s="36" t="str">
        <f t="shared" si="517"/>
        <v/>
      </c>
      <c r="C4000" s="190"/>
      <c r="D4000" s="37"/>
      <c r="E4000" s="740"/>
      <c r="F4000" s="191"/>
      <c r="G4000" s="833"/>
      <c r="H4000" s="192"/>
      <c r="I4000" s="253"/>
      <c r="J4000" s="253"/>
      <c r="K4000" s="584"/>
      <c r="L4000" s="39"/>
      <c r="M4000" s="39"/>
      <c r="N4000" s="52" t="str">
        <f>IF(AND('331-CT'!$E$7=TH!H4000,OR(L4000="331",M4000="331")),"331",IF(AND(OR(L4000="131",M4000="131"),H4000='131-CT'!$E$7),"131",""))</f>
        <v/>
      </c>
      <c r="O4000" s="52" t="str">
        <f>IF(AND($B4000&gt;='111'!$N$11,$B4000&lt;='111'!$O$11,OR($L4000=$O$7,$M4000=$O$7)),"x","")</f>
        <v/>
      </c>
      <c r="P4000" s="52" t="str">
        <f>IF(AND($L4000=$O$7,$B4000&lt;'111'!$N$11),"x","")</f>
        <v/>
      </c>
      <c r="Q4000" s="52" t="str">
        <f>IF(AND($M4000=$O$7,$B4000&lt;'111'!$N$11),"x","")</f>
        <v/>
      </c>
      <c r="R4000" s="52" t="str">
        <f>IF(ISERROR(FIND('112'!$M$9,G4000,1)),"",IF((AND(FIND('112'!$M$9,G4000,1)&gt;=1,$B4000&gt;='112'!$N$8,$B4000&lt;='112'!$O$8,OR($L4000='112'!$I$6,$M4000='112'!$I$6))),"x",""))</f>
        <v/>
      </c>
      <c r="S4000" s="52" t="str">
        <f>IF(ISERROR(FIND('112'!$M$9,G4000,1)),"",IF((AND(LEFT(G4000,2)=LEFT('112'!$M$9,2),B4000&lt;'112'!$N$8,$L4000='112'!$I$6)),"x",""))</f>
        <v/>
      </c>
      <c r="T4000" s="52" t="str">
        <f>IF(ISERROR(FIND('112'!$M$9,G4000,1)),"",IF((AND(RIGHT(G4000,2)=RIGHT('112'!$M$9,2),B4000&lt;'112'!$N$8,$M4000='112'!$I$6)),"x",""))</f>
        <v/>
      </c>
      <c r="U4000" s="52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/>
      </c>
      <c r="V4000" s="52" t="str">
        <f>IF(OR(TH!L4000=TH!$V$7,M4000=TH!$V$7),"x","")</f>
        <v/>
      </c>
      <c r="W4000" s="52" t="str">
        <f>IF(AND(B4000&gt;='IN-NX'!$P$3,B4000&lt;='IN-NX'!$Q$3,'IN-NX'!$D$7=D4000,OR(LEFT(L4000,2)="15",AND(LEFT(M4000,2)&lt;&gt;"15",LEFT(M4000,2)&lt;&gt;"33"))),"x","")</f>
        <v/>
      </c>
      <c r="X4000" s="52" t="str">
        <f>IF(AND(OR(LEFT(TH!L4000,2)="15",LEFT(TH!M4000,2)="15"),'152-CT'!$J$8=TH!F4000),"x","")</f>
        <v/>
      </c>
      <c r="Y4000" s="52" t="str">
        <f>IF(AND(OR(LEFT(TH!L4000,2)="15",LEFT(TH!M4000,2)="15"),TK!$E$7=TH!F4000),"x","")</f>
        <v/>
      </c>
      <c r="Z4000" s="52" t="str">
        <f>IF(AND(B4000&lt;=NKC!$N$8,B4000&gt;=NKC!$M$8),"x","")</f>
        <v/>
      </c>
      <c r="AA4000" s="826"/>
    </row>
    <row r="4001" spans="1:27" ht="15.75" customHeight="1">
      <c r="A4001" s="827" t="str">
        <f>IF(B4001&lt;&gt;"",IF(AND(B4001&gt;=_TM1,B4001&lt;=_TM2,OR(TH!L4001="1111",TH!M4001="1111")),TH!D4001,""),"")</f>
        <v/>
      </c>
      <c r="B4001" s="36" t="str">
        <f t="shared" si="517"/>
        <v/>
      </c>
      <c r="C4001" s="190"/>
      <c r="D4001" s="37"/>
      <c r="E4001" s="740"/>
      <c r="F4001" s="191"/>
      <c r="G4001" s="833"/>
      <c r="H4001" s="192"/>
      <c r="I4001" s="253"/>
      <c r="J4001" s="253"/>
      <c r="K4001" s="584"/>
      <c r="L4001" s="39"/>
      <c r="M4001" s="39"/>
      <c r="N4001" s="52" t="str">
        <f>IF(AND('331-CT'!$E$7=TH!H4001,OR(L4001="331",M4001="331")),"331",IF(AND(OR(L4001="131",M4001="131"),H4001='131-CT'!$E$7),"131",""))</f>
        <v/>
      </c>
      <c r="O4001" s="52" t="str">
        <f>IF(AND($B4001&gt;='111'!$N$11,$B4001&lt;='111'!$O$11,OR($L4001=$O$7,$M4001=$O$7)),"x","")</f>
        <v/>
      </c>
      <c r="P4001" s="52" t="str">
        <f>IF(AND($L4001=$O$7,$B4001&lt;'111'!$N$11),"x","")</f>
        <v/>
      </c>
      <c r="Q4001" s="52" t="str">
        <f>IF(AND($M4001=$O$7,$B4001&lt;'111'!$N$11),"x","")</f>
        <v/>
      </c>
      <c r="R4001" s="52" t="str">
        <f>IF(ISERROR(FIND('112'!$M$9,G4001,1)),"",IF((AND(FIND('112'!$M$9,G4001,1)&gt;=1,$B4001&gt;='112'!$N$8,$B4001&lt;='112'!$O$8,OR($L4001='112'!$I$6,$M4001='112'!$I$6))),"x",""))</f>
        <v/>
      </c>
      <c r="S4001" s="52" t="str">
        <f>IF(ISERROR(FIND('112'!$M$9,G4001,1)),"",IF((AND(LEFT(G4001,2)=LEFT('112'!$M$9,2),B4001&lt;'112'!$N$8,$L4001='112'!$I$6)),"x",""))</f>
        <v/>
      </c>
      <c r="T4001" s="52" t="str">
        <f>IF(ISERROR(FIND('112'!$M$9,G4001,1)),"",IF((AND(RIGHT(G4001,2)=RIGHT('112'!$M$9,2),B4001&lt;'112'!$N$8,$M4001='112'!$I$6)),"x",""))</f>
        <v/>
      </c>
      <c r="U4001" s="52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/>
      </c>
      <c r="V4001" s="52" t="str">
        <f>IF(OR(TH!L4001=TH!$V$7,M4001=TH!$V$7),"x","")</f>
        <v/>
      </c>
      <c r="W4001" s="52" t="str">
        <f>IF(AND(B4001&gt;='IN-NX'!$P$3,B4001&lt;='IN-NX'!$Q$3,'IN-NX'!$D$7=D4001,OR(LEFT(L4001,2)="15",AND(LEFT(M4001,2)&lt;&gt;"15",LEFT(M4001,2)&lt;&gt;"33"))),"x","")</f>
        <v/>
      </c>
      <c r="X4001" s="52" t="str">
        <f>IF(AND(OR(LEFT(TH!L4001,2)="15",LEFT(TH!M4001,2)="15"),'152-CT'!$J$8=TH!F4001),"x","")</f>
        <v/>
      </c>
      <c r="Y4001" s="52" t="str">
        <f>IF(AND(OR(LEFT(TH!L4001,2)="15",LEFT(TH!M4001,2)="15"),TK!$E$7=TH!F4001),"x","")</f>
        <v/>
      </c>
      <c r="Z4001" s="52" t="str">
        <f>IF(AND(B4001&lt;=NKC!$N$8,B4001&gt;=NKC!$M$8),"x","")</f>
        <v/>
      </c>
      <c r="AA4001" s="826"/>
    </row>
    <row r="4002" spans="1:27" ht="15.75" customHeight="1">
      <c r="A4002" s="827" t="str">
        <f>IF(B4002&lt;&gt;"",IF(AND(B4002&gt;=_TM1,B4002&lt;=_TM2,OR(TH!L4002="1111",TH!M4002="1111")),TH!D4002,""),"")</f>
        <v/>
      </c>
      <c r="B4002" s="36" t="str">
        <f t="shared" si="517"/>
        <v/>
      </c>
      <c r="C4002" s="190"/>
      <c r="D4002" s="37"/>
      <c r="E4002" s="740"/>
      <c r="F4002" s="191"/>
      <c r="G4002" s="833"/>
      <c r="H4002" s="192"/>
      <c r="I4002" s="253"/>
      <c r="J4002" s="253"/>
      <c r="K4002" s="584"/>
      <c r="L4002" s="39"/>
      <c r="M4002" s="39"/>
      <c r="N4002" s="52" t="str">
        <f>IF(AND('331-CT'!$E$7=TH!H4002,OR(L4002="331",M4002="331")),"331",IF(AND(OR(L4002="131",M4002="131"),H4002='131-CT'!$E$7),"131",""))</f>
        <v/>
      </c>
      <c r="O4002" s="52" t="str">
        <f>IF(AND($B4002&gt;='111'!$N$11,$B4002&lt;='111'!$O$11,OR($L4002=$O$7,$M4002=$O$7)),"x","")</f>
        <v/>
      </c>
      <c r="P4002" s="52" t="str">
        <f>IF(AND($L4002=$O$7,$B4002&lt;'111'!$N$11),"x","")</f>
        <v/>
      </c>
      <c r="Q4002" s="52" t="str">
        <f>IF(AND($M4002=$O$7,$B4002&lt;'111'!$N$11),"x","")</f>
        <v/>
      </c>
      <c r="R4002" s="52" t="str">
        <f>IF(ISERROR(FIND('112'!$M$9,G4002,1)),"",IF((AND(FIND('112'!$M$9,G4002,1)&gt;=1,$B4002&gt;='112'!$N$8,$B4002&lt;='112'!$O$8,OR($L4002='112'!$I$6,$M4002='112'!$I$6))),"x",""))</f>
        <v/>
      </c>
      <c r="S4002" s="52" t="str">
        <f>IF(ISERROR(FIND('112'!$M$9,G4002,1)),"",IF((AND(LEFT(G4002,2)=LEFT('112'!$M$9,2),B4002&lt;'112'!$N$8,$L4002='112'!$I$6)),"x",""))</f>
        <v/>
      </c>
      <c r="T4002" s="52" t="str">
        <f>IF(ISERROR(FIND('112'!$M$9,G4002,1)),"",IF((AND(RIGHT(G4002,2)=RIGHT('112'!$M$9,2),B4002&lt;'112'!$N$8,$M4002='112'!$I$6)),"x",""))</f>
        <v/>
      </c>
      <c r="U4002" s="52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/>
      </c>
      <c r="V4002" s="52" t="str">
        <f>IF(OR(TH!L4002=TH!$V$7,M4002=TH!$V$7),"x","")</f>
        <v/>
      </c>
      <c r="W4002" s="52" t="str">
        <f>IF(AND(B4002&gt;='IN-NX'!$P$3,B4002&lt;='IN-NX'!$Q$3,'IN-NX'!$D$7=D4002,OR(LEFT(L4002,2)="15",AND(LEFT(M4002,2)&lt;&gt;"15",LEFT(M4002,2)&lt;&gt;"33"))),"x","")</f>
        <v/>
      </c>
      <c r="X4002" s="52" t="str">
        <f>IF(AND(OR(LEFT(TH!L4002,2)="15",LEFT(TH!M4002,2)="15"),'152-CT'!$J$8=TH!F4002),"x","")</f>
        <v/>
      </c>
      <c r="Y4002" s="52" t="str">
        <f>IF(AND(OR(LEFT(TH!L4002,2)="15",LEFT(TH!M4002,2)="15"),TK!$E$7=TH!F4002),"x","")</f>
        <v/>
      </c>
      <c r="Z4002" s="52" t="str">
        <f>IF(AND(B4002&lt;=NKC!$N$8,B4002&gt;=NKC!$M$8),"x","")</f>
        <v/>
      </c>
      <c r="AA4002" s="826"/>
    </row>
    <row r="4003" spans="1:27" ht="15.75" customHeight="1">
      <c r="A4003" s="827" t="str">
        <f>IF(B4003&lt;&gt;"",IF(AND(B4003&gt;=_TM1,B4003&lt;=_TM2,OR(TH!L4003="1111",TH!M4003="1111")),TH!D4003,""),"")</f>
        <v/>
      </c>
      <c r="B4003" s="36" t="str">
        <f t="shared" si="517"/>
        <v/>
      </c>
      <c r="C4003" s="190"/>
      <c r="D4003" s="37"/>
      <c r="E4003" s="740"/>
      <c r="F4003" s="191"/>
      <c r="G4003" s="833"/>
      <c r="H4003" s="192"/>
      <c r="I4003" s="253"/>
      <c r="J4003" s="253"/>
      <c r="K4003" s="584"/>
      <c r="L4003" s="39"/>
      <c r="M4003" s="39"/>
      <c r="N4003" s="52" t="str">
        <f>IF(AND('331-CT'!$E$7=TH!H4003,OR(L4003="331",M4003="331")),"331",IF(AND(OR(L4003="131",M4003="131"),H4003='131-CT'!$E$7),"131",""))</f>
        <v/>
      </c>
      <c r="O4003" s="52" t="str">
        <f>IF(AND($B4003&gt;='111'!$N$11,$B4003&lt;='111'!$O$11,OR($L4003=$O$7,$M4003=$O$7)),"x","")</f>
        <v/>
      </c>
      <c r="P4003" s="52" t="str">
        <f>IF(AND($L4003=$O$7,$B4003&lt;'111'!$N$11),"x","")</f>
        <v/>
      </c>
      <c r="Q4003" s="52" t="str">
        <f>IF(AND($M4003=$O$7,$B4003&lt;'111'!$N$11),"x","")</f>
        <v/>
      </c>
      <c r="R4003" s="52" t="str">
        <f>IF(ISERROR(FIND('112'!$M$9,G4003,1)),"",IF((AND(FIND('112'!$M$9,G4003,1)&gt;=1,$B4003&gt;='112'!$N$8,$B4003&lt;='112'!$O$8,OR($L4003='112'!$I$6,$M4003='112'!$I$6))),"x",""))</f>
        <v/>
      </c>
      <c r="S4003" s="52" t="str">
        <f>IF(ISERROR(FIND('112'!$M$9,G4003,1)),"",IF((AND(LEFT(G4003,2)=LEFT('112'!$M$9,2),B4003&lt;'112'!$N$8,$L4003='112'!$I$6)),"x",""))</f>
        <v/>
      </c>
      <c r="T4003" s="52" t="str">
        <f>IF(ISERROR(FIND('112'!$M$9,G4003,1)),"",IF((AND(RIGHT(G4003,2)=RIGHT('112'!$M$9,2),B4003&lt;'112'!$N$8,$M4003='112'!$I$6)),"x",""))</f>
        <v/>
      </c>
      <c r="U4003" s="52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/>
      </c>
      <c r="V4003" s="52" t="str">
        <f>IF(OR(TH!L4003=TH!$V$7,M4003=TH!$V$7),"x","")</f>
        <v/>
      </c>
      <c r="W4003" s="52" t="str">
        <f>IF(AND(B4003&gt;='IN-NX'!$P$3,B4003&lt;='IN-NX'!$Q$3,'IN-NX'!$D$7=D4003,OR(LEFT(L4003,2)="15",AND(LEFT(M4003,2)&lt;&gt;"15",LEFT(M4003,2)&lt;&gt;"33"))),"x","")</f>
        <v/>
      </c>
      <c r="X4003" s="52" t="str">
        <f>IF(AND(OR(LEFT(TH!L4003,2)="15",LEFT(TH!M4003,2)="15"),'152-CT'!$J$8=TH!F4003),"x","")</f>
        <v/>
      </c>
      <c r="Y4003" s="52" t="str">
        <f>IF(AND(OR(LEFT(TH!L4003,2)="15",LEFT(TH!M4003,2)="15"),TK!$E$7=TH!F4003),"x","")</f>
        <v/>
      </c>
      <c r="Z4003" s="52" t="str">
        <f>IF(AND(B4003&lt;=NKC!$N$8,B4003&gt;=NKC!$M$8),"x","")</f>
        <v/>
      </c>
      <c r="AA4003" s="826"/>
    </row>
    <row r="4004" spans="1:27" ht="15.75" customHeight="1">
      <c r="A4004" s="827" t="str">
        <f>IF(B4004&lt;&gt;"",IF(AND(B4004&gt;=_TM1,B4004&lt;=_TM2,OR(TH!L4004="1111",TH!M4004="1111")),TH!D4004,""),"")</f>
        <v/>
      </c>
      <c r="B4004" s="36" t="str">
        <f t="shared" si="517"/>
        <v/>
      </c>
      <c r="C4004" s="190"/>
      <c r="D4004" s="37"/>
      <c r="E4004" s="740"/>
      <c r="F4004" s="191"/>
      <c r="G4004" s="833"/>
      <c r="H4004" s="192"/>
      <c r="I4004" s="253"/>
      <c r="J4004" s="253"/>
      <c r="K4004" s="584"/>
      <c r="L4004" s="39"/>
      <c r="M4004" s="39"/>
      <c r="N4004" s="52" t="str">
        <f>IF(AND('331-CT'!$E$7=TH!H4004,OR(L4004="331",M4004="331")),"331",IF(AND(OR(L4004="131",M4004="131"),H4004='131-CT'!$E$7),"131",""))</f>
        <v/>
      </c>
      <c r="O4004" s="52" t="str">
        <f>IF(AND($B4004&gt;='111'!$N$11,$B4004&lt;='111'!$O$11,OR($L4004=$O$7,$M4004=$O$7)),"x","")</f>
        <v/>
      </c>
      <c r="P4004" s="52" t="str">
        <f>IF(AND($L4004=$O$7,$B4004&lt;'111'!$N$11),"x","")</f>
        <v/>
      </c>
      <c r="Q4004" s="52" t="str">
        <f>IF(AND($M4004=$O$7,$B4004&lt;'111'!$N$11),"x","")</f>
        <v/>
      </c>
      <c r="R4004" s="52" t="str">
        <f>IF(ISERROR(FIND('112'!$M$9,G4004,1)),"",IF((AND(FIND('112'!$M$9,G4004,1)&gt;=1,$B4004&gt;='112'!$N$8,$B4004&lt;='112'!$O$8,OR($L4004='112'!$I$6,$M4004='112'!$I$6))),"x",""))</f>
        <v/>
      </c>
      <c r="S4004" s="52" t="str">
        <f>IF(ISERROR(FIND('112'!$M$9,G4004,1)),"",IF((AND(LEFT(G4004,2)=LEFT('112'!$M$9,2),B4004&lt;'112'!$N$8,$L4004='112'!$I$6)),"x",""))</f>
        <v/>
      </c>
      <c r="T4004" s="52" t="str">
        <f>IF(ISERROR(FIND('112'!$M$9,G4004,1)),"",IF((AND(RIGHT(G4004,2)=RIGHT('112'!$M$9,2),B4004&lt;'112'!$N$8,$M4004='112'!$I$6)),"x",""))</f>
        <v/>
      </c>
      <c r="U4004" s="52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/>
      </c>
      <c r="V4004" s="52" t="str">
        <f>IF(OR(TH!L4004=TH!$V$7,M4004=TH!$V$7),"x","")</f>
        <v/>
      </c>
      <c r="W4004" s="52" t="str">
        <f>IF(AND(B4004&gt;='IN-NX'!$P$3,B4004&lt;='IN-NX'!$Q$3,'IN-NX'!$D$7=D4004,OR(LEFT(L4004,2)="15",AND(LEFT(M4004,2)&lt;&gt;"15",LEFT(M4004,2)&lt;&gt;"33"))),"x","")</f>
        <v/>
      </c>
      <c r="X4004" s="52" t="str">
        <f>IF(AND(OR(LEFT(TH!L4004,2)="15",LEFT(TH!M4004,2)="15"),'152-CT'!$J$8=TH!F4004),"x","")</f>
        <v/>
      </c>
      <c r="Y4004" s="52" t="str">
        <f>IF(AND(OR(LEFT(TH!L4004,2)="15",LEFT(TH!M4004,2)="15"),TK!$E$7=TH!F4004),"x","")</f>
        <v/>
      </c>
      <c r="Z4004" s="52" t="str">
        <f>IF(AND(B4004&lt;=NKC!$N$8,B4004&gt;=NKC!$M$8),"x","")</f>
        <v/>
      </c>
      <c r="AA4004" s="826"/>
    </row>
    <row r="4005" spans="1:27" ht="15.75" customHeight="1">
      <c r="A4005" s="827" t="str">
        <f>IF(B4005&lt;&gt;"",IF(AND(B4005&gt;=_TM1,B4005&lt;=_TM2,OR(TH!L4005="1111",TH!M4005="1111")),TH!D4005,""),"")</f>
        <v/>
      </c>
      <c r="B4005" s="36" t="str">
        <f t="shared" si="517"/>
        <v/>
      </c>
      <c r="C4005" s="190"/>
      <c r="D4005" s="37"/>
      <c r="E4005" s="740"/>
      <c r="F4005" s="191"/>
      <c r="G4005" s="833"/>
      <c r="H4005" s="192"/>
      <c r="I4005" s="253"/>
      <c r="J4005" s="253"/>
      <c r="K4005" s="584"/>
      <c r="L4005" s="39"/>
      <c r="M4005" s="39"/>
      <c r="N4005" s="52" t="str">
        <f>IF(AND('331-CT'!$E$7=TH!H4005,OR(L4005="331",M4005="331")),"331",IF(AND(OR(L4005="131",M4005="131"),H4005='131-CT'!$E$7),"131",""))</f>
        <v/>
      </c>
      <c r="O4005" s="52" t="str">
        <f>IF(AND($B4005&gt;='111'!$N$11,$B4005&lt;='111'!$O$11,OR($L4005=$O$7,$M4005=$O$7)),"x","")</f>
        <v/>
      </c>
      <c r="P4005" s="52" t="str">
        <f>IF(AND($L4005=$O$7,$B4005&lt;'111'!$N$11),"x","")</f>
        <v/>
      </c>
      <c r="Q4005" s="52" t="str">
        <f>IF(AND($M4005=$O$7,$B4005&lt;'111'!$N$11),"x","")</f>
        <v/>
      </c>
      <c r="R4005" s="52" t="str">
        <f>IF(ISERROR(FIND('112'!$M$9,G4005,1)),"",IF((AND(FIND('112'!$M$9,G4005,1)&gt;=1,$B4005&gt;='112'!$N$8,$B4005&lt;='112'!$O$8,OR($L4005='112'!$I$6,$M4005='112'!$I$6))),"x",""))</f>
        <v/>
      </c>
      <c r="S4005" s="52" t="str">
        <f>IF(ISERROR(FIND('112'!$M$9,G4005,1)),"",IF((AND(LEFT(G4005,2)=LEFT('112'!$M$9,2),B4005&lt;'112'!$N$8,$L4005='112'!$I$6)),"x",""))</f>
        <v/>
      </c>
      <c r="T4005" s="52" t="str">
        <f>IF(ISERROR(FIND('112'!$M$9,G4005,1)),"",IF((AND(RIGHT(G4005,2)=RIGHT('112'!$M$9,2),B4005&lt;'112'!$N$8,$M4005='112'!$I$6)),"x",""))</f>
        <v/>
      </c>
      <c r="U4005" s="52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/>
      </c>
      <c r="V4005" s="52" t="str">
        <f>IF(OR(TH!L4005=TH!$V$7,M4005=TH!$V$7),"x","")</f>
        <v/>
      </c>
      <c r="W4005" s="52" t="str">
        <f>IF(AND(B4005&gt;='IN-NX'!$P$3,B4005&lt;='IN-NX'!$Q$3,'IN-NX'!$D$7=D4005,OR(LEFT(L4005,2)="15",AND(LEFT(M4005,2)&lt;&gt;"15",LEFT(M4005,2)&lt;&gt;"33"))),"x","")</f>
        <v/>
      </c>
      <c r="X4005" s="52" t="str">
        <f>IF(AND(OR(LEFT(TH!L4005,2)="15",LEFT(TH!M4005,2)="15"),'152-CT'!$J$8=TH!F4005),"x","")</f>
        <v/>
      </c>
      <c r="Y4005" s="52" t="str">
        <f>IF(AND(OR(LEFT(TH!L4005,2)="15",LEFT(TH!M4005,2)="15"),TK!$E$7=TH!F4005),"x","")</f>
        <v/>
      </c>
      <c r="Z4005" s="52" t="str">
        <f>IF(AND(B4005&lt;=NKC!$N$8,B4005&gt;=NKC!$M$8),"x","")</f>
        <v/>
      </c>
      <c r="AA4005" s="826"/>
    </row>
    <row r="4006" spans="1:27" ht="15.75" customHeight="1">
      <c r="A4006" s="827" t="str">
        <f>IF(B4006&lt;&gt;"",IF(AND(B4006&gt;=_TM1,B4006&lt;=_TM2,OR(TH!L4006="1111",TH!M4006="1111")),TH!D4006,""),"")</f>
        <v/>
      </c>
      <c r="B4006" s="36" t="str">
        <f t="shared" si="517"/>
        <v/>
      </c>
      <c r="C4006" s="190"/>
      <c r="D4006" s="37"/>
      <c r="E4006" s="740"/>
      <c r="F4006" s="191"/>
      <c r="G4006" s="833"/>
      <c r="H4006" s="192"/>
      <c r="I4006" s="253"/>
      <c r="J4006" s="253"/>
      <c r="K4006" s="584"/>
      <c r="L4006" s="39"/>
      <c r="M4006" s="39"/>
      <c r="N4006" s="52" t="str">
        <f>IF(AND('331-CT'!$E$7=TH!H4006,OR(L4006="331",M4006="331")),"331",IF(AND(OR(L4006="131",M4006="131"),H4006='131-CT'!$E$7),"131",""))</f>
        <v/>
      </c>
      <c r="O4006" s="52" t="str">
        <f>IF(AND($B4006&gt;='111'!$N$11,$B4006&lt;='111'!$O$11,OR($L4006=$O$7,$M4006=$O$7)),"x","")</f>
        <v/>
      </c>
      <c r="P4006" s="52" t="str">
        <f>IF(AND($L4006=$O$7,$B4006&lt;'111'!$N$11),"x","")</f>
        <v/>
      </c>
      <c r="Q4006" s="52" t="str">
        <f>IF(AND($M4006=$O$7,$B4006&lt;'111'!$N$11),"x","")</f>
        <v/>
      </c>
      <c r="R4006" s="52" t="str">
        <f>IF(ISERROR(FIND('112'!$M$9,G4006,1)),"",IF((AND(FIND('112'!$M$9,G4006,1)&gt;=1,$B4006&gt;='112'!$N$8,$B4006&lt;='112'!$O$8,OR($L4006='112'!$I$6,$M4006='112'!$I$6))),"x",""))</f>
        <v/>
      </c>
      <c r="S4006" s="52" t="str">
        <f>IF(ISERROR(FIND('112'!$M$9,G4006,1)),"",IF((AND(LEFT(G4006,2)=LEFT('112'!$M$9,2),B4006&lt;'112'!$N$8,$L4006='112'!$I$6)),"x",""))</f>
        <v/>
      </c>
      <c r="T4006" s="52" t="str">
        <f>IF(ISERROR(FIND('112'!$M$9,G4006,1)),"",IF((AND(RIGHT(G4006,2)=RIGHT('112'!$M$9,2),B4006&lt;'112'!$N$8,$M4006='112'!$I$6)),"x",""))</f>
        <v/>
      </c>
      <c r="U4006" s="52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/>
      </c>
      <c r="V4006" s="52" t="str">
        <f>IF(OR(TH!L4006=TH!$V$7,M4006=TH!$V$7),"x","")</f>
        <v/>
      </c>
      <c r="W4006" s="52" t="str">
        <f>IF(AND(B4006&gt;='IN-NX'!$P$3,B4006&lt;='IN-NX'!$Q$3,'IN-NX'!$D$7=D4006,OR(LEFT(L4006,2)="15",AND(LEFT(M4006,2)&lt;&gt;"15",LEFT(M4006,2)&lt;&gt;"33"))),"x","")</f>
        <v/>
      </c>
      <c r="X4006" s="52" t="str">
        <f>IF(AND(OR(LEFT(TH!L4006,2)="15",LEFT(TH!M4006,2)="15"),'152-CT'!$J$8=TH!F4006),"x","")</f>
        <v/>
      </c>
      <c r="Y4006" s="52" t="str">
        <f>IF(AND(OR(LEFT(TH!L4006,2)="15",LEFT(TH!M4006,2)="15"),TK!$E$7=TH!F4006),"x","")</f>
        <v/>
      </c>
      <c r="Z4006" s="52" t="str">
        <f>IF(AND(B4006&lt;=NKC!$N$8,B4006&gt;=NKC!$M$8),"x","")</f>
        <v/>
      </c>
      <c r="AA4006" s="826"/>
    </row>
    <row r="4007" spans="1:27" ht="15.75" customHeight="1">
      <c r="A4007" s="827" t="str">
        <f>IF(B4007&lt;&gt;"",IF(AND(B4007&gt;=_TM1,B4007&lt;=_TM2,OR(TH!L4007="1111",TH!M4007="1111")),TH!D4007,""),"")</f>
        <v/>
      </c>
      <c r="B4007" s="36" t="str">
        <f t="shared" si="517"/>
        <v/>
      </c>
      <c r="C4007" s="190"/>
      <c r="D4007" s="37"/>
      <c r="E4007" s="740"/>
      <c r="F4007" s="191"/>
      <c r="G4007" s="833"/>
      <c r="H4007" s="192"/>
      <c r="I4007" s="253"/>
      <c r="J4007" s="253"/>
      <c r="K4007" s="584"/>
      <c r="L4007" s="39"/>
      <c r="M4007" s="39"/>
      <c r="N4007" s="52" t="str">
        <f>IF(AND('331-CT'!$E$7=TH!H4007,OR(L4007="331",M4007="331")),"331",IF(AND(OR(L4007="131",M4007="131"),H4007='131-CT'!$E$7),"131",""))</f>
        <v/>
      </c>
      <c r="O4007" s="52" t="str">
        <f>IF(AND($B4007&gt;='111'!$N$11,$B4007&lt;='111'!$O$11,OR($L4007=$O$7,$M4007=$O$7)),"x","")</f>
        <v/>
      </c>
      <c r="P4007" s="52" t="str">
        <f>IF(AND($L4007=$O$7,$B4007&lt;'111'!$N$11),"x","")</f>
        <v/>
      </c>
      <c r="Q4007" s="52" t="str">
        <f>IF(AND($M4007=$O$7,$B4007&lt;'111'!$N$11),"x","")</f>
        <v/>
      </c>
      <c r="R4007" s="52" t="str">
        <f>IF(ISERROR(FIND('112'!$M$9,G4007,1)),"",IF((AND(FIND('112'!$M$9,G4007,1)&gt;=1,$B4007&gt;='112'!$N$8,$B4007&lt;='112'!$O$8,OR($L4007='112'!$I$6,$M4007='112'!$I$6))),"x",""))</f>
        <v/>
      </c>
      <c r="S4007" s="52" t="str">
        <f>IF(ISERROR(FIND('112'!$M$9,G4007,1)),"",IF((AND(LEFT(G4007,2)=LEFT('112'!$M$9,2),B4007&lt;'112'!$N$8,$L4007='112'!$I$6)),"x",""))</f>
        <v/>
      </c>
      <c r="T4007" s="52" t="str">
        <f>IF(ISERROR(FIND('112'!$M$9,G4007,1)),"",IF((AND(RIGHT(G4007,2)=RIGHT('112'!$M$9,2),B4007&lt;'112'!$N$8,$M4007='112'!$I$6)),"x",""))</f>
        <v/>
      </c>
      <c r="U4007" s="52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/>
      </c>
      <c r="V4007" s="52" t="str">
        <f>IF(OR(TH!L4007=TH!$V$7,M4007=TH!$V$7),"x","")</f>
        <v/>
      </c>
      <c r="W4007" s="52" t="str">
        <f>IF(AND(B4007&gt;='IN-NX'!$P$3,B4007&lt;='IN-NX'!$Q$3,'IN-NX'!$D$7=D4007,OR(LEFT(L4007,2)="15",AND(LEFT(M4007,2)&lt;&gt;"15",LEFT(M4007,2)&lt;&gt;"33"))),"x","")</f>
        <v/>
      </c>
      <c r="X4007" s="52" t="str">
        <f>IF(AND(OR(LEFT(TH!L4007,2)="15",LEFT(TH!M4007,2)="15"),'152-CT'!$J$8=TH!F4007),"x","")</f>
        <v/>
      </c>
      <c r="Y4007" s="52" t="str">
        <f>IF(AND(OR(LEFT(TH!L4007,2)="15",LEFT(TH!M4007,2)="15"),TK!$E$7=TH!F4007),"x","")</f>
        <v/>
      </c>
      <c r="Z4007" s="52" t="str">
        <f>IF(AND(B4007&lt;=NKC!$N$8,B4007&gt;=NKC!$M$8),"x","")</f>
        <v/>
      </c>
      <c r="AA4007" s="826"/>
    </row>
    <row r="4008" spans="1:27" ht="15.75" customHeight="1">
      <c r="A4008" s="827" t="str">
        <f>IF(B4008&lt;&gt;"",IF(AND(B4008&gt;=_TM1,B4008&lt;=_TM2,OR(TH!L4008="1111",TH!M4008="1111")),TH!D4008,""),"")</f>
        <v/>
      </c>
      <c r="B4008" s="36" t="str">
        <f t="shared" si="517"/>
        <v/>
      </c>
      <c r="C4008" s="190"/>
      <c r="D4008" s="190"/>
      <c r="E4008" s="740"/>
      <c r="F4008" s="40"/>
      <c r="G4008" s="832"/>
      <c r="H4008" s="7"/>
      <c r="I4008" s="253"/>
      <c r="J4008" s="253"/>
      <c r="K4008" s="584"/>
      <c r="L4008" s="39"/>
      <c r="M4008" s="39"/>
      <c r="N4008" s="52" t="str">
        <f>IF(AND('331-CT'!$E$7=TH!H4008,OR(L4008="331",M4008="331")),"331",IF(AND(OR(L4008="131",M4008="131"),H4008='131-CT'!$E$7),"131",""))</f>
        <v/>
      </c>
      <c r="O4008" s="52" t="str">
        <f>IF(AND($B4008&gt;='111'!$N$11,$B4008&lt;='111'!$O$11,OR($L4008=$O$7,$M4008=$O$7)),"x","")</f>
        <v/>
      </c>
      <c r="P4008" s="52" t="str">
        <f>IF(AND($L4008=$O$7,$B4008&lt;'111'!$N$11),"x","")</f>
        <v/>
      </c>
      <c r="Q4008" s="52" t="str">
        <f>IF(AND($M4008=$O$7,$B4008&lt;'111'!$N$11),"x","")</f>
        <v/>
      </c>
      <c r="R4008" s="52" t="str">
        <f>IF(ISERROR(FIND('112'!$M$9,G4008,1)),"",IF((AND(FIND('112'!$M$9,G4008,1)&gt;=1,$B4008&gt;='112'!$N$8,$B4008&lt;='112'!$O$8,OR($L4008='112'!$I$6,$M4008='112'!$I$6))),"x",""))</f>
        <v/>
      </c>
      <c r="S4008" s="52" t="str">
        <f>IF(ISERROR(FIND('112'!$M$9,G4008,1)),"",IF((AND(LEFT(G4008,2)=LEFT('112'!$M$9,2),B4008&lt;'112'!$N$8,$L4008='112'!$I$6)),"x",""))</f>
        <v/>
      </c>
      <c r="T4008" s="52" t="str">
        <f>IF(ISERROR(FIND('112'!$M$9,G4008,1)),"",IF((AND(RIGHT(G4008,2)=RIGHT('112'!$M$9,2),B4008&lt;'112'!$N$8,$M4008='112'!$I$6)),"x",""))</f>
        <v/>
      </c>
      <c r="U4008" s="52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/>
      </c>
      <c r="V4008" s="52" t="str">
        <f>IF(OR(TH!L4008=TH!$V$7,M4008=TH!$V$7),"x","")</f>
        <v/>
      </c>
      <c r="W4008" s="52" t="str">
        <f>IF(AND(B4008&gt;='IN-NX'!$P$3,B4008&lt;='IN-NX'!$Q$3,'IN-NX'!$D$7=D4008,OR(LEFT(L4008,2)="15",AND(LEFT(M4008,2)&lt;&gt;"15",LEFT(M4008,2)&lt;&gt;"33"))),"x","")</f>
        <v/>
      </c>
      <c r="X4008" s="52" t="str">
        <f>IF(AND(OR(LEFT(TH!L4008,2)="15",LEFT(TH!M4008,2)="15"),'152-CT'!$J$8=TH!F4008),"x","")</f>
        <v/>
      </c>
      <c r="Y4008" s="52" t="str">
        <f>IF(AND(OR(LEFT(TH!L4008,2)="15",LEFT(TH!M4008,2)="15"),TK!$E$7=TH!F4008),"x","")</f>
        <v/>
      </c>
      <c r="Z4008" s="52" t="str">
        <f>IF(AND(B4008&lt;=NKC!$N$8,B4008&gt;=NKC!$M$8),"x","")</f>
        <v/>
      </c>
      <c r="AA4008" s="826"/>
    </row>
    <row r="4009" spans="1:27" ht="15.75" customHeight="1">
      <c r="A4009" s="827" t="str">
        <f>IF(B4009&lt;&gt;"",IF(AND(B4009&gt;=_TM1,B4009&lt;=_TM2,OR(TH!L4009="1111",TH!M4009="1111")),TH!D4009,""),"")</f>
        <v/>
      </c>
      <c r="B4009" s="36" t="str">
        <f t="shared" si="517"/>
        <v/>
      </c>
      <c r="C4009" s="190"/>
      <c r="D4009" s="190"/>
      <c r="E4009" s="740"/>
      <c r="F4009" s="40"/>
      <c r="G4009" s="832"/>
      <c r="H4009" s="7"/>
      <c r="I4009" s="253"/>
      <c r="J4009" s="253"/>
      <c r="K4009" s="584"/>
      <c r="L4009" s="39"/>
      <c r="M4009" s="39"/>
      <c r="N4009" s="52" t="str">
        <f>IF(AND('331-CT'!$E$7=TH!H4009,OR(L4009="331",M4009="331")),"331",IF(AND(OR(L4009="131",M4009="131"),H4009='131-CT'!$E$7),"131",""))</f>
        <v/>
      </c>
      <c r="O4009" s="52" t="str">
        <f>IF(AND($B4009&gt;='111'!$N$11,$B4009&lt;='111'!$O$11,OR($L4009=$O$7,$M4009=$O$7)),"x","")</f>
        <v/>
      </c>
      <c r="P4009" s="52" t="str">
        <f>IF(AND($L4009=$O$7,$B4009&lt;'111'!$N$11),"x","")</f>
        <v/>
      </c>
      <c r="Q4009" s="52" t="str">
        <f>IF(AND($M4009=$O$7,$B4009&lt;'111'!$N$11),"x","")</f>
        <v/>
      </c>
      <c r="R4009" s="52" t="str">
        <f>IF(ISERROR(FIND('112'!$M$9,G4009,1)),"",IF((AND(FIND('112'!$M$9,G4009,1)&gt;=1,$B4009&gt;='112'!$N$8,$B4009&lt;='112'!$O$8,OR($L4009='112'!$I$6,$M4009='112'!$I$6))),"x",""))</f>
        <v/>
      </c>
      <c r="S4009" s="52" t="str">
        <f>IF(ISERROR(FIND('112'!$M$9,G4009,1)),"",IF((AND(LEFT(G4009,2)=LEFT('112'!$M$9,2),B4009&lt;'112'!$N$8,$L4009='112'!$I$6)),"x",""))</f>
        <v/>
      </c>
      <c r="T4009" s="52" t="str">
        <f>IF(ISERROR(FIND('112'!$M$9,G4009,1)),"",IF((AND(RIGHT(G4009,2)=RIGHT('112'!$M$9,2),B4009&lt;'112'!$N$8,$M4009='112'!$I$6)),"x",""))</f>
        <v/>
      </c>
      <c r="U4009" s="52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/>
      </c>
      <c r="V4009" s="52" t="str">
        <f>IF(OR(TH!L4009=TH!$V$7,M4009=TH!$V$7),"x","")</f>
        <v/>
      </c>
      <c r="W4009" s="52" t="str">
        <f>IF(AND(B4009&gt;='IN-NX'!$P$3,B4009&lt;='IN-NX'!$Q$3,'IN-NX'!$D$7=D4009,OR(LEFT(L4009,2)="15",AND(LEFT(M4009,2)&lt;&gt;"15",LEFT(M4009,2)&lt;&gt;"33"))),"x","")</f>
        <v/>
      </c>
      <c r="X4009" s="52" t="str">
        <f>IF(AND(OR(LEFT(TH!L4009,2)="15",LEFT(TH!M4009,2)="15"),'152-CT'!$J$8=TH!F4009),"x","")</f>
        <v/>
      </c>
      <c r="Y4009" s="52" t="str">
        <f>IF(AND(OR(LEFT(TH!L4009,2)="15",LEFT(TH!M4009,2)="15"),TK!$E$7=TH!F4009),"x","")</f>
        <v/>
      </c>
      <c r="Z4009" s="52" t="str">
        <f>IF(AND(B4009&lt;=NKC!$N$8,B4009&gt;=NKC!$M$8),"x","")</f>
        <v/>
      </c>
      <c r="AA4009" s="826"/>
    </row>
    <row r="4010" spans="1:27" ht="15.75" customHeight="1">
      <c r="A4010" s="827" t="str">
        <f>IF(B4010&lt;&gt;"",IF(AND(B4010&gt;=_TM1,B4010&lt;=_TM2,OR(TH!L4010="1111",TH!M4010="1111")),TH!D4010,""),"")</f>
        <v/>
      </c>
      <c r="B4010" s="36" t="str">
        <f t="shared" si="517"/>
        <v/>
      </c>
      <c r="C4010" s="190"/>
      <c r="D4010" s="190"/>
      <c r="E4010" s="740"/>
      <c r="F4010" s="188"/>
      <c r="G4010" s="832"/>
      <c r="H4010" s="7"/>
      <c r="I4010" s="253"/>
      <c r="J4010" s="253"/>
      <c r="K4010" s="584"/>
      <c r="L4010" s="39"/>
      <c r="M4010" s="39"/>
      <c r="N4010" s="52" t="str">
        <f>IF(AND('331-CT'!$E$7=TH!H4010,OR(L4010="331",M4010="331")),"331",IF(AND(OR(L4010="131",M4010="131"),H4010='131-CT'!$E$7),"131",""))</f>
        <v/>
      </c>
      <c r="O4010" s="52" t="str">
        <f>IF(AND($B4010&gt;='111'!$N$11,$B4010&lt;='111'!$O$11,OR($L4010=$O$7,$M4010=$O$7)),"x","")</f>
        <v/>
      </c>
      <c r="P4010" s="52" t="str">
        <f>IF(AND($L4010=$O$7,$B4010&lt;'111'!$N$11),"x","")</f>
        <v/>
      </c>
      <c r="Q4010" s="52" t="str">
        <f>IF(AND($M4010=$O$7,$B4010&lt;'111'!$N$11),"x","")</f>
        <v/>
      </c>
      <c r="R4010" s="52" t="str">
        <f>IF(ISERROR(FIND('112'!$M$9,G4010,1)),"",IF((AND(FIND('112'!$M$9,G4010,1)&gt;=1,$B4010&gt;='112'!$N$8,$B4010&lt;='112'!$O$8,OR($L4010='112'!$I$6,$M4010='112'!$I$6))),"x",""))</f>
        <v/>
      </c>
      <c r="S4010" s="52" t="str">
        <f>IF(ISERROR(FIND('112'!$M$9,G4010,1)),"",IF((AND(LEFT(G4010,2)=LEFT('112'!$M$9,2),B4010&lt;'112'!$N$8,$L4010='112'!$I$6)),"x",""))</f>
        <v/>
      </c>
      <c r="T4010" s="52" t="str">
        <f>IF(ISERROR(FIND('112'!$M$9,G4010,1)),"",IF((AND(RIGHT(G4010,2)=RIGHT('112'!$M$9,2),B4010&lt;'112'!$N$8,$M4010='112'!$I$6)),"x",""))</f>
        <v/>
      </c>
      <c r="U4010" s="52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/>
      </c>
      <c r="V4010" s="52" t="str">
        <f>IF(OR(TH!L4010=TH!$V$7,M4010=TH!$V$7),"x","")</f>
        <v/>
      </c>
      <c r="W4010" s="52" t="str">
        <f>IF(AND(B4010&gt;='IN-NX'!$P$3,B4010&lt;='IN-NX'!$Q$3,'IN-NX'!$D$7=D4010,OR(LEFT(L4010,2)="15",AND(LEFT(M4010,2)&lt;&gt;"15",LEFT(M4010,2)&lt;&gt;"33"))),"x","")</f>
        <v/>
      </c>
      <c r="X4010" s="52" t="str">
        <f>IF(AND(OR(LEFT(TH!L4010,2)="15",LEFT(TH!M4010,2)="15"),'152-CT'!$J$8=TH!F4010),"x","")</f>
        <v/>
      </c>
      <c r="Y4010" s="52" t="str">
        <f>IF(AND(OR(LEFT(TH!L4010,2)="15",LEFT(TH!M4010,2)="15"),TK!$E$7=TH!F4010),"x","")</f>
        <v/>
      </c>
      <c r="Z4010" s="52" t="str">
        <f>IF(AND(B4010&lt;=NKC!$N$8,B4010&gt;=NKC!$M$8),"x","")</f>
        <v/>
      </c>
      <c r="AA4010" s="826"/>
    </row>
    <row r="4011" spans="1:27" ht="15.75" customHeight="1">
      <c r="A4011" s="827" t="str">
        <f>IF(B4011&lt;&gt;"",IF(AND(B4011&gt;=_TM1,B4011&lt;=_TM2,OR(TH!L4011="1111",TH!M4011="1111")),TH!D4011,""),"")</f>
        <v/>
      </c>
      <c r="B4011" s="36" t="str">
        <f t="shared" si="517"/>
        <v/>
      </c>
      <c r="C4011" s="190"/>
      <c r="D4011" s="190"/>
      <c r="E4011" s="740"/>
      <c r="F4011" s="40"/>
      <c r="G4011" s="832"/>
      <c r="H4011" s="7"/>
      <c r="I4011" s="253"/>
      <c r="J4011" s="253"/>
      <c r="K4011" s="584"/>
      <c r="L4011" s="39"/>
      <c r="M4011" s="39"/>
      <c r="N4011" s="52" t="str">
        <f>IF(AND('331-CT'!$E$7=TH!H4011,OR(L4011="331",M4011="331")),"331",IF(AND(OR(L4011="131",M4011="131"),H4011='131-CT'!$E$7),"131",""))</f>
        <v/>
      </c>
      <c r="O4011" s="52" t="str">
        <f>IF(AND($B4011&gt;='111'!$N$11,$B4011&lt;='111'!$O$11,OR($L4011=$O$7,$M4011=$O$7)),"x","")</f>
        <v/>
      </c>
      <c r="P4011" s="52" t="str">
        <f>IF(AND($L4011=$O$7,$B4011&lt;'111'!$N$11),"x","")</f>
        <v/>
      </c>
      <c r="Q4011" s="52" t="str">
        <f>IF(AND($M4011=$O$7,$B4011&lt;'111'!$N$11),"x","")</f>
        <v/>
      </c>
      <c r="R4011" s="52" t="str">
        <f>IF(ISERROR(FIND('112'!$M$9,G4011,1)),"",IF((AND(FIND('112'!$M$9,G4011,1)&gt;=1,$B4011&gt;='112'!$N$8,$B4011&lt;='112'!$O$8,OR($L4011='112'!$I$6,$M4011='112'!$I$6))),"x",""))</f>
        <v/>
      </c>
      <c r="S4011" s="52" t="str">
        <f>IF(ISERROR(FIND('112'!$M$9,G4011,1)),"",IF((AND(LEFT(G4011,2)=LEFT('112'!$M$9,2),B4011&lt;'112'!$N$8,$L4011='112'!$I$6)),"x",""))</f>
        <v/>
      </c>
      <c r="T4011" s="52" t="str">
        <f>IF(ISERROR(FIND('112'!$M$9,G4011,1)),"",IF((AND(RIGHT(G4011,2)=RIGHT('112'!$M$9,2),B4011&lt;'112'!$N$8,$M4011='112'!$I$6)),"x",""))</f>
        <v/>
      </c>
      <c r="U4011" s="52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/>
      </c>
      <c r="V4011" s="52" t="str">
        <f>IF(OR(TH!L4011=TH!$V$7,M4011=TH!$V$7),"x","")</f>
        <v/>
      </c>
      <c r="W4011" s="52" t="str">
        <f>IF(AND(B4011&gt;='IN-NX'!$P$3,B4011&lt;='IN-NX'!$Q$3,'IN-NX'!$D$7=D4011,OR(LEFT(L4011,2)="15",AND(LEFT(M4011,2)&lt;&gt;"15",LEFT(M4011,2)&lt;&gt;"33"))),"x","")</f>
        <v/>
      </c>
      <c r="X4011" s="52" t="str">
        <f>IF(AND(OR(LEFT(TH!L4011,2)="15",LEFT(TH!M4011,2)="15"),'152-CT'!$J$8=TH!F4011),"x","")</f>
        <v/>
      </c>
      <c r="Y4011" s="52" t="str">
        <f>IF(AND(OR(LEFT(TH!L4011,2)="15",LEFT(TH!M4011,2)="15"),TK!$E$7=TH!F4011),"x","")</f>
        <v/>
      </c>
      <c r="Z4011" s="52" t="str">
        <f>IF(AND(B4011&lt;=NKC!$N$8,B4011&gt;=NKC!$M$8),"x","")</f>
        <v/>
      </c>
      <c r="AA4011" s="826"/>
    </row>
    <row r="4012" spans="1:27" ht="15.75" customHeight="1">
      <c r="A4012" s="827" t="str">
        <f>IF(B4012&lt;&gt;"",IF(AND(B4012&gt;=_TM1,B4012&lt;=_TM2,OR(TH!L4012="1111",TH!M4012="1111")),TH!D4012,""),"")</f>
        <v/>
      </c>
      <c r="B4012" s="36" t="str">
        <f t="shared" si="517"/>
        <v/>
      </c>
      <c r="C4012" s="190"/>
      <c r="D4012" s="190"/>
      <c r="E4012" s="740"/>
      <c r="F4012" s="40"/>
      <c r="G4012" s="832"/>
      <c r="H4012" s="7"/>
      <c r="I4012" s="253"/>
      <c r="J4012" s="253"/>
      <c r="K4012" s="584"/>
      <c r="L4012" s="39"/>
      <c r="M4012" s="39"/>
      <c r="N4012" s="52" t="str">
        <f>IF(AND('331-CT'!$E$7=TH!H4012,OR(L4012="331",M4012="331")),"331",IF(AND(OR(L4012="131",M4012="131"),H4012='131-CT'!$E$7),"131",""))</f>
        <v/>
      </c>
      <c r="O4012" s="52" t="str">
        <f>IF(AND($B4012&gt;='111'!$N$11,$B4012&lt;='111'!$O$11,OR($L4012=$O$7,$M4012=$O$7)),"x","")</f>
        <v/>
      </c>
      <c r="P4012" s="52" t="str">
        <f>IF(AND($L4012=$O$7,$B4012&lt;'111'!$N$11),"x","")</f>
        <v/>
      </c>
      <c r="Q4012" s="52" t="str">
        <f>IF(AND($M4012=$O$7,$B4012&lt;'111'!$N$11),"x","")</f>
        <v/>
      </c>
      <c r="R4012" s="52" t="str">
        <f>IF(ISERROR(FIND('112'!$M$9,G4012,1)),"",IF((AND(FIND('112'!$M$9,G4012,1)&gt;=1,$B4012&gt;='112'!$N$8,$B4012&lt;='112'!$O$8,OR($L4012='112'!$I$6,$M4012='112'!$I$6))),"x",""))</f>
        <v/>
      </c>
      <c r="S4012" s="52" t="str">
        <f>IF(ISERROR(FIND('112'!$M$9,G4012,1)),"",IF((AND(LEFT(G4012,2)=LEFT('112'!$M$9,2),B4012&lt;'112'!$N$8,$L4012='112'!$I$6)),"x",""))</f>
        <v/>
      </c>
      <c r="T4012" s="52" t="str">
        <f>IF(ISERROR(FIND('112'!$M$9,G4012,1)),"",IF((AND(RIGHT(G4012,2)=RIGHT('112'!$M$9,2),B4012&lt;'112'!$N$8,$M4012='112'!$I$6)),"x",""))</f>
        <v/>
      </c>
      <c r="U4012" s="52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/>
      </c>
      <c r="V4012" s="52" t="str">
        <f>IF(OR(TH!L4012=TH!$V$7,M4012=TH!$V$7),"x","")</f>
        <v/>
      </c>
      <c r="W4012" s="52" t="str">
        <f>IF(AND(B4012&gt;='IN-NX'!$P$3,B4012&lt;='IN-NX'!$Q$3,'IN-NX'!$D$7=D4012,OR(LEFT(L4012,2)="15",AND(LEFT(M4012,2)&lt;&gt;"15",LEFT(M4012,2)&lt;&gt;"33"))),"x","")</f>
        <v/>
      </c>
      <c r="X4012" s="52" t="str">
        <f>IF(AND(OR(LEFT(TH!L4012,2)="15",LEFT(TH!M4012,2)="15"),'152-CT'!$J$8=TH!F4012),"x","")</f>
        <v/>
      </c>
      <c r="Y4012" s="52" t="str">
        <f>IF(AND(OR(LEFT(TH!L4012,2)="15",LEFT(TH!M4012,2)="15"),TK!$E$7=TH!F4012),"x","")</f>
        <v/>
      </c>
      <c r="Z4012" s="52" t="str">
        <f>IF(AND(B4012&lt;=NKC!$N$8,B4012&gt;=NKC!$M$8),"x","")</f>
        <v/>
      </c>
      <c r="AA4012" s="826"/>
    </row>
    <row r="4013" spans="1:27" ht="15.75" customHeight="1">
      <c r="A4013" s="827" t="str">
        <f>IF(B4013&lt;&gt;"",IF(AND(B4013&gt;=_TM1,B4013&lt;=_TM2,OR(TH!L4013="1111",TH!M4013="1111")),TH!D4013,""),"")</f>
        <v/>
      </c>
      <c r="B4013" s="36" t="str">
        <f t="shared" si="517"/>
        <v/>
      </c>
      <c r="C4013" s="190"/>
      <c r="D4013" s="190"/>
      <c r="E4013" s="740"/>
      <c r="F4013" s="40"/>
      <c r="G4013" s="832"/>
      <c r="H4013" s="7"/>
      <c r="I4013" s="253"/>
      <c r="J4013" s="253"/>
      <c r="K4013" s="584"/>
      <c r="L4013" s="39"/>
      <c r="M4013" s="39"/>
      <c r="N4013" s="52" t="str">
        <f>IF(AND('331-CT'!$E$7=TH!H4013,OR(L4013="331",M4013="331")),"331",IF(AND(OR(L4013="131",M4013="131"),H4013='131-CT'!$E$7),"131",""))</f>
        <v/>
      </c>
      <c r="O4013" s="52" t="str">
        <f>IF(AND($B4013&gt;='111'!$N$11,$B4013&lt;='111'!$O$11,OR($L4013=$O$7,$M4013=$O$7)),"x","")</f>
        <v/>
      </c>
      <c r="P4013" s="52" t="str">
        <f>IF(AND($L4013=$O$7,$B4013&lt;'111'!$N$11),"x","")</f>
        <v/>
      </c>
      <c r="Q4013" s="52" t="str">
        <f>IF(AND($M4013=$O$7,$B4013&lt;'111'!$N$11),"x","")</f>
        <v/>
      </c>
      <c r="R4013" s="52" t="str">
        <f>IF(ISERROR(FIND('112'!$M$9,G4013,1)),"",IF((AND(FIND('112'!$M$9,G4013,1)&gt;=1,$B4013&gt;='112'!$N$8,$B4013&lt;='112'!$O$8,OR($L4013='112'!$I$6,$M4013='112'!$I$6))),"x",""))</f>
        <v/>
      </c>
      <c r="S4013" s="52" t="str">
        <f>IF(ISERROR(FIND('112'!$M$9,G4013,1)),"",IF((AND(LEFT(G4013,2)=LEFT('112'!$M$9,2),B4013&lt;'112'!$N$8,$L4013='112'!$I$6)),"x",""))</f>
        <v/>
      </c>
      <c r="T4013" s="52" t="str">
        <f>IF(ISERROR(FIND('112'!$M$9,G4013,1)),"",IF((AND(RIGHT(G4013,2)=RIGHT('112'!$M$9,2),B4013&lt;'112'!$N$8,$M4013='112'!$I$6)),"x",""))</f>
        <v/>
      </c>
      <c r="U4013" s="52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/>
      </c>
      <c r="V4013" s="52" t="str">
        <f>IF(OR(TH!L4013=TH!$V$7,M4013=TH!$V$7),"x","")</f>
        <v/>
      </c>
      <c r="W4013" s="52" t="str">
        <f>IF(AND(B4013&gt;='IN-NX'!$P$3,B4013&lt;='IN-NX'!$Q$3,'IN-NX'!$D$7=D4013,OR(LEFT(L4013,2)="15",AND(LEFT(M4013,2)&lt;&gt;"15",LEFT(M4013,2)&lt;&gt;"33"))),"x","")</f>
        <v/>
      </c>
      <c r="X4013" s="52" t="str">
        <f>IF(AND(OR(LEFT(TH!L4013,2)="15",LEFT(TH!M4013,2)="15"),'152-CT'!$J$8=TH!F4013),"x","")</f>
        <v/>
      </c>
      <c r="Y4013" s="52" t="str">
        <f>IF(AND(OR(LEFT(TH!L4013,2)="15",LEFT(TH!M4013,2)="15"),TK!$E$7=TH!F4013),"x","")</f>
        <v/>
      </c>
      <c r="Z4013" s="52" t="str">
        <f>IF(AND(B4013&lt;=NKC!$N$8,B4013&gt;=NKC!$M$8),"x","")</f>
        <v/>
      </c>
      <c r="AA4013" s="826"/>
    </row>
    <row r="4014" spans="1:27" ht="15.75" customHeight="1">
      <c r="A4014" s="827" t="str">
        <f>IF(B4014&lt;&gt;"",IF(AND(B4014&gt;=_TM1,B4014&lt;=_TM2,OR(TH!L4014="1111",TH!M4014="1111")),TH!D4014,""),"")</f>
        <v/>
      </c>
      <c r="B4014" s="36" t="str">
        <f t="shared" si="517"/>
        <v/>
      </c>
      <c r="C4014" s="190"/>
      <c r="D4014" s="190"/>
      <c r="E4014" s="740"/>
      <c r="F4014" s="188"/>
      <c r="G4014" s="832"/>
      <c r="H4014" s="7"/>
      <c r="I4014" s="767"/>
      <c r="J4014" s="253"/>
      <c r="K4014" s="584"/>
      <c r="L4014" s="39"/>
      <c r="M4014" s="39"/>
      <c r="N4014" s="52" t="str">
        <f>IF(AND('331-CT'!$E$7=TH!H4014,OR(L4014="331",M4014="331")),"331",IF(AND(OR(L4014="131",M4014="131"),H4014='131-CT'!$E$7),"131",""))</f>
        <v/>
      </c>
      <c r="O4014" s="52" t="str">
        <f>IF(AND($B4014&gt;='111'!$N$11,$B4014&lt;='111'!$O$11,OR($L4014=$O$7,$M4014=$O$7)),"x","")</f>
        <v/>
      </c>
      <c r="P4014" s="52" t="str">
        <f>IF(AND($L4014=$O$7,$B4014&lt;'111'!$N$11),"x","")</f>
        <v/>
      </c>
      <c r="Q4014" s="52" t="str">
        <f>IF(AND($M4014=$O$7,$B4014&lt;'111'!$N$11),"x","")</f>
        <v/>
      </c>
      <c r="R4014" s="52" t="str">
        <f>IF(ISERROR(FIND('112'!$M$9,G4014,1)),"",IF((AND(FIND('112'!$M$9,G4014,1)&gt;=1,$B4014&gt;='112'!$N$8,$B4014&lt;='112'!$O$8,OR($L4014='112'!$I$6,$M4014='112'!$I$6))),"x",""))</f>
        <v/>
      </c>
      <c r="S4014" s="52" t="str">
        <f>IF(ISERROR(FIND('112'!$M$9,G4014,1)),"",IF((AND(LEFT(G4014,2)=LEFT('112'!$M$9,2),B4014&lt;'112'!$N$8,$L4014='112'!$I$6)),"x",""))</f>
        <v/>
      </c>
      <c r="T4014" s="52" t="str">
        <f>IF(ISERROR(FIND('112'!$M$9,G4014,1)),"",IF((AND(RIGHT(G4014,2)=RIGHT('112'!$M$9,2),B4014&lt;'112'!$N$8,$M4014='112'!$I$6)),"x",""))</f>
        <v/>
      </c>
      <c r="U4014" s="52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/>
      </c>
      <c r="V4014" s="52" t="str">
        <f>IF(OR(TH!L4014=TH!$V$7,M4014=TH!$V$7),"x","")</f>
        <v/>
      </c>
      <c r="W4014" s="52" t="str">
        <f>IF(AND(B4014&gt;='IN-NX'!$P$3,B4014&lt;='IN-NX'!$Q$3,'IN-NX'!$D$7=D4014,OR(LEFT(L4014,2)="15",AND(LEFT(M4014,2)&lt;&gt;"15",LEFT(M4014,2)&lt;&gt;"33"))),"x","")</f>
        <v/>
      </c>
      <c r="X4014" s="52" t="str">
        <f>IF(AND(OR(LEFT(TH!L4014,2)="15",LEFT(TH!M4014,2)="15"),'152-CT'!$J$8=TH!F4014),"x","")</f>
        <v/>
      </c>
      <c r="Y4014" s="52" t="str">
        <f>IF(AND(OR(LEFT(TH!L4014,2)="15",LEFT(TH!M4014,2)="15"),TK!$E$7=TH!F4014),"x","")</f>
        <v/>
      </c>
      <c r="Z4014" s="52" t="str">
        <f>IF(AND(B4014&lt;=NKC!$N$8,B4014&gt;=NKC!$M$8),"x","")</f>
        <v/>
      </c>
      <c r="AA4014" s="826"/>
    </row>
    <row r="4015" spans="1:27" ht="15.75" customHeight="1">
      <c r="A4015" s="827" t="str">
        <f>IF(B4015&lt;&gt;"",IF(AND(B4015&gt;=_TM1,B4015&lt;=_TM2,OR(TH!L4015="1111",TH!M4015="1111")),TH!D4015,""),"")</f>
        <v/>
      </c>
      <c r="B4015" s="36" t="str">
        <f t="shared" si="517"/>
        <v/>
      </c>
      <c r="C4015" s="183"/>
      <c r="D4015" s="190"/>
      <c r="E4015" s="792"/>
      <c r="F4015" s="188"/>
      <c r="G4015" s="835"/>
      <c r="H4015" s="192"/>
      <c r="I4015" s="253"/>
      <c r="J4015" s="253"/>
      <c r="K4015" s="584"/>
      <c r="L4015" s="585"/>
      <c r="M4015" s="585"/>
      <c r="N4015" s="52" t="str">
        <f>IF(AND('331-CT'!$E$7=TH!H4015,OR(L4015="331",M4015="331")),"331",IF(AND(OR(L4015="131",M4015="131"),H4015='131-CT'!$E$7),"131",""))</f>
        <v/>
      </c>
      <c r="O4015" s="52" t="str">
        <f>IF(AND($B4015&gt;='111'!$N$11,$B4015&lt;='111'!$O$11,OR($L4015=$O$7,$M4015=$O$7)),"x","")</f>
        <v/>
      </c>
      <c r="P4015" s="52" t="str">
        <f>IF(AND($L4015=$O$7,$B4015&lt;'111'!$N$11),"x","")</f>
        <v/>
      </c>
      <c r="Q4015" s="52" t="str">
        <f>IF(AND($M4015=$O$7,$B4015&lt;'111'!$N$11),"x","")</f>
        <v/>
      </c>
      <c r="R4015" s="52" t="str">
        <f>IF(ISERROR(FIND('112'!$M$9,G4015,1)),"",IF((AND(FIND('112'!$M$9,G4015,1)&gt;=1,$B4015&gt;='112'!$N$8,$B4015&lt;='112'!$O$8,OR($L4015='112'!$I$6,$M4015='112'!$I$6))),"x",""))</f>
        <v/>
      </c>
      <c r="S4015" s="52" t="str">
        <f>IF(ISERROR(FIND('112'!$M$9,G4015,1)),"",IF((AND(LEFT(G4015,2)=LEFT('112'!$M$9,2),B4015&lt;'112'!$N$8,$L4015='112'!$I$6)),"x",""))</f>
        <v/>
      </c>
      <c r="T4015" s="52" t="str">
        <f>IF(ISERROR(FIND('112'!$M$9,G4015,1)),"",IF((AND(RIGHT(G4015,2)=RIGHT('112'!$M$9,2),B4015&lt;'112'!$N$8,$M4015='112'!$I$6)),"x",""))</f>
        <v/>
      </c>
      <c r="U4015" s="52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/>
      </c>
      <c r="V4015" s="52" t="str">
        <f>IF(OR(TH!L4015=TH!$V$7,M4015=TH!$V$7),"x","")</f>
        <v/>
      </c>
      <c r="W4015" s="52" t="str">
        <f>IF(AND(B4015&gt;='IN-NX'!$P$3,B4015&lt;='IN-NX'!$Q$3,'IN-NX'!$D$7=D4015,OR(LEFT(L4015,2)="15",AND(LEFT(M4015,2)&lt;&gt;"15",LEFT(M4015,2)&lt;&gt;"33"))),"x","")</f>
        <v/>
      </c>
      <c r="X4015" s="52" t="str">
        <f>IF(AND(OR(LEFT(TH!L4015,2)="15",LEFT(TH!M4015,2)="15"),'152-CT'!$J$8=TH!F4015),"x","")</f>
        <v/>
      </c>
      <c r="Y4015" s="52" t="str">
        <f>IF(AND(OR(LEFT(TH!L4015,2)="15",LEFT(TH!M4015,2)="15"),TK!$E$7=TH!F4015),"x","")</f>
        <v/>
      </c>
      <c r="Z4015" s="52" t="str">
        <f>IF(AND(B4015&lt;=NKC!$N$8,B4015&gt;=NKC!$M$8),"x","")</f>
        <v/>
      </c>
      <c r="AA4015" s="826"/>
    </row>
    <row r="4016" spans="1:27" ht="15.75" customHeight="1">
      <c r="A4016" s="827" t="str">
        <f>IF(B4016&lt;&gt;"",IF(AND(B4016&gt;=_TM1,B4016&lt;=_TM2,OR(TH!L4016="1111",TH!M4016="1111")),TH!D4016,""),"")</f>
        <v/>
      </c>
      <c r="B4016" s="36" t="str">
        <f t="shared" si="517"/>
        <v/>
      </c>
      <c r="C4016" s="183"/>
      <c r="D4016" s="183"/>
      <c r="E4016" s="792"/>
      <c r="F4016" s="188"/>
      <c r="G4016" s="835"/>
      <c r="H4016" s="7"/>
      <c r="I4016" s="253"/>
      <c r="J4016" s="253"/>
      <c r="K4016" s="584"/>
      <c r="L4016" s="585"/>
      <c r="M4016" s="585"/>
      <c r="N4016" s="52" t="str">
        <f>IF(AND('331-CT'!$E$7=TH!H4016,OR(L4016="331",M4016="331")),"331",IF(AND(OR(L4016="131",M4016="131"),H4016='131-CT'!$E$7),"131",""))</f>
        <v/>
      </c>
      <c r="O4016" s="52" t="str">
        <f>IF(AND($B4016&gt;='111'!$N$11,$B4016&lt;='111'!$O$11,OR($L4016=$O$7,$M4016=$O$7)),"x","")</f>
        <v/>
      </c>
      <c r="P4016" s="52" t="str">
        <f>IF(AND($L4016=$O$7,$B4016&lt;'111'!$N$11),"x","")</f>
        <v/>
      </c>
      <c r="Q4016" s="52" t="str">
        <f>IF(AND($M4016=$O$7,$B4016&lt;'111'!$N$11),"x","")</f>
        <v/>
      </c>
      <c r="R4016" s="52" t="str">
        <f>IF(ISERROR(FIND('112'!$M$9,G4016,1)),"",IF((AND(FIND('112'!$M$9,G4016,1)&gt;=1,$B4016&gt;='112'!$N$8,$B4016&lt;='112'!$O$8,OR($L4016='112'!$I$6,$M4016='112'!$I$6))),"x",""))</f>
        <v/>
      </c>
      <c r="S4016" s="52" t="str">
        <f>IF(ISERROR(FIND('112'!$M$9,G4016,1)),"",IF((AND(LEFT(G4016,2)=LEFT('112'!$M$9,2),B4016&lt;'112'!$N$8,$L4016='112'!$I$6)),"x",""))</f>
        <v/>
      </c>
      <c r="T4016" s="52" t="str">
        <f>IF(ISERROR(FIND('112'!$M$9,G4016,1)),"",IF((AND(RIGHT(G4016,2)=RIGHT('112'!$M$9,2),B4016&lt;'112'!$N$8,$M4016='112'!$I$6)),"x",""))</f>
        <v/>
      </c>
      <c r="U4016" s="52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/>
      </c>
      <c r="V4016" s="52" t="str">
        <f>IF(OR(TH!L4016=TH!$V$7,M4016=TH!$V$7),"x","")</f>
        <v/>
      </c>
      <c r="W4016" s="52" t="str">
        <f>IF(AND(B4016&gt;='IN-NX'!$P$3,B4016&lt;='IN-NX'!$Q$3,'IN-NX'!$D$7=D4016,OR(LEFT(L4016,2)="15",AND(LEFT(M4016,2)&lt;&gt;"15",LEFT(M4016,2)&lt;&gt;"33"))),"x","")</f>
        <v/>
      </c>
      <c r="X4016" s="52" t="str">
        <f>IF(AND(OR(LEFT(TH!L4016,2)="15",LEFT(TH!M4016,2)="15"),'152-CT'!$J$8=TH!F4016),"x","")</f>
        <v/>
      </c>
      <c r="Y4016" s="52" t="str">
        <f>IF(AND(OR(LEFT(TH!L4016,2)="15",LEFT(TH!M4016,2)="15"),TK!$E$7=TH!F4016),"x","")</f>
        <v/>
      </c>
      <c r="Z4016" s="52" t="str">
        <f>IF(AND(B4016&lt;=NKC!$N$8,B4016&gt;=NKC!$M$8),"x","")</f>
        <v/>
      </c>
      <c r="AA4016" s="826"/>
    </row>
    <row r="4017" spans="1:27" ht="15.75" customHeight="1">
      <c r="A4017" s="827" t="str">
        <f>IF(B4017&lt;&gt;"",IF(AND(B4017&gt;=_TM1,B4017&lt;=_TM2,OR(TH!L4017="1111",TH!M4017="1111")),TH!D4017,""),"")</f>
        <v/>
      </c>
      <c r="B4017" s="36" t="str">
        <f t="shared" si="517"/>
        <v/>
      </c>
      <c r="C4017" s="183"/>
      <c r="D4017" s="183"/>
      <c r="E4017" s="792"/>
      <c r="F4017" s="188"/>
      <c r="G4017" s="835"/>
      <c r="H4017" s="7"/>
      <c r="I4017" s="253"/>
      <c r="J4017" s="253"/>
      <c r="K4017" s="584"/>
      <c r="L4017" s="585"/>
      <c r="M4017" s="585"/>
      <c r="N4017" s="52" t="str">
        <f>IF(AND('331-CT'!$E$7=TH!H4017,OR(L4017="331",M4017="331")),"331",IF(AND(OR(L4017="131",M4017="131"),H4017='131-CT'!$E$7),"131",""))</f>
        <v/>
      </c>
      <c r="O4017" s="52" t="str">
        <f>IF(AND($B4017&gt;='111'!$N$11,$B4017&lt;='111'!$O$11,OR($L4017=$O$7,$M4017=$O$7)),"x","")</f>
        <v/>
      </c>
      <c r="P4017" s="52" t="str">
        <f>IF(AND($L4017=$O$7,$B4017&lt;'111'!$N$11),"x","")</f>
        <v/>
      </c>
      <c r="Q4017" s="52" t="str">
        <f>IF(AND($M4017=$O$7,$B4017&lt;'111'!$N$11),"x","")</f>
        <v/>
      </c>
      <c r="R4017" s="52" t="str">
        <f>IF(ISERROR(FIND('112'!$M$9,G4017,1)),"",IF((AND(FIND('112'!$M$9,G4017,1)&gt;=1,$B4017&gt;='112'!$N$8,$B4017&lt;='112'!$O$8,OR($L4017='112'!$I$6,$M4017='112'!$I$6))),"x",""))</f>
        <v/>
      </c>
      <c r="S4017" s="52" t="str">
        <f>IF(ISERROR(FIND('112'!$M$9,G4017,1)),"",IF((AND(LEFT(G4017,2)=LEFT('112'!$M$9,2),B4017&lt;'112'!$N$8,$L4017='112'!$I$6)),"x",""))</f>
        <v/>
      </c>
      <c r="T4017" s="52" t="str">
        <f>IF(ISERROR(FIND('112'!$M$9,G4017,1)),"",IF((AND(RIGHT(G4017,2)=RIGHT('112'!$M$9,2),B4017&lt;'112'!$N$8,$M4017='112'!$I$6)),"x",""))</f>
        <v/>
      </c>
      <c r="U4017" s="52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/>
      </c>
      <c r="V4017" s="52" t="str">
        <f>IF(OR(TH!L4017=TH!$V$7,M4017=TH!$V$7),"x","")</f>
        <v/>
      </c>
      <c r="W4017" s="52" t="str">
        <f>IF(AND(B4017&gt;='IN-NX'!$P$3,B4017&lt;='IN-NX'!$Q$3,'IN-NX'!$D$7=D4017,OR(LEFT(L4017,2)="15",AND(LEFT(M4017,2)&lt;&gt;"15",LEFT(M4017,2)&lt;&gt;"33"))),"x","")</f>
        <v/>
      </c>
      <c r="X4017" s="52" t="str">
        <f>IF(AND(OR(LEFT(TH!L4017,2)="15",LEFT(TH!M4017,2)="15"),'152-CT'!$J$8=TH!F4017),"x","")</f>
        <v/>
      </c>
      <c r="Y4017" s="52" t="str">
        <f>IF(AND(OR(LEFT(TH!L4017,2)="15",LEFT(TH!M4017,2)="15"),TK!$E$7=TH!F4017),"x","")</f>
        <v/>
      </c>
      <c r="Z4017" s="52" t="str">
        <f>IF(AND(B4017&lt;=NKC!$N$8,B4017&gt;=NKC!$M$8),"x","")</f>
        <v/>
      </c>
      <c r="AA4017" s="826"/>
    </row>
    <row r="4018" spans="1:27" ht="15.75" customHeight="1">
      <c r="A4018" s="827" t="str">
        <f>IF(B4018&lt;&gt;"",IF(AND(B4018&gt;=_TM1,B4018&lt;=_TM2,OR(TH!L4018="1111",TH!M4018="1111")),TH!D4018,""),"")</f>
        <v/>
      </c>
      <c r="B4018" s="36" t="str">
        <f t="shared" si="517"/>
        <v/>
      </c>
      <c r="C4018" s="183"/>
      <c r="D4018" s="183"/>
      <c r="E4018" s="792"/>
      <c r="F4018" s="188"/>
      <c r="G4018" s="835"/>
      <c r="H4018" s="7"/>
      <c r="I4018" s="253"/>
      <c r="J4018" s="253"/>
      <c r="K4018" s="584"/>
      <c r="L4018" s="585"/>
      <c r="M4018" s="585"/>
      <c r="N4018" s="52" t="str">
        <f>IF(AND('331-CT'!$E$7=TH!H4018,OR(L4018="331",M4018="331")),"331",IF(AND(OR(L4018="131",M4018="131"),H4018='131-CT'!$E$7),"131",""))</f>
        <v/>
      </c>
      <c r="O4018" s="52" t="str">
        <f>IF(AND($B4018&gt;='111'!$N$11,$B4018&lt;='111'!$O$11,OR($L4018=$O$7,$M4018=$O$7)),"x","")</f>
        <v/>
      </c>
      <c r="P4018" s="52" t="str">
        <f>IF(AND($L4018=$O$7,$B4018&lt;'111'!$N$11),"x","")</f>
        <v/>
      </c>
      <c r="Q4018" s="52" t="str">
        <f>IF(AND($M4018=$O$7,$B4018&lt;'111'!$N$11),"x","")</f>
        <v/>
      </c>
      <c r="R4018" s="52" t="str">
        <f>IF(ISERROR(FIND('112'!$M$9,G4018,1)),"",IF((AND(FIND('112'!$M$9,G4018,1)&gt;=1,$B4018&gt;='112'!$N$8,$B4018&lt;='112'!$O$8,OR($L4018='112'!$I$6,$M4018='112'!$I$6))),"x",""))</f>
        <v/>
      </c>
      <c r="S4018" s="52" t="str">
        <f>IF(ISERROR(FIND('112'!$M$9,G4018,1)),"",IF((AND(LEFT(G4018,2)=LEFT('112'!$M$9,2),B4018&lt;'112'!$N$8,$L4018='112'!$I$6)),"x",""))</f>
        <v/>
      </c>
      <c r="T4018" s="52" t="str">
        <f>IF(ISERROR(FIND('112'!$M$9,G4018,1)),"",IF((AND(RIGHT(G4018,2)=RIGHT('112'!$M$9,2),B4018&lt;'112'!$N$8,$M4018='112'!$I$6)),"x",""))</f>
        <v/>
      </c>
      <c r="U4018" s="52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/>
      </c>
      <c r="V4018" s="52" t="str">
        <f>IF(OR(TH!L4018=TH!$V$7,M4018=TH!$V$7),"x","")</f>
        <v/>
      </c>
      <c r="W4018" s="52" t="str">
        <f>IF(AND(B4018&gt;='IN-NX'!$P$3,B4018&lt;='IN-NX'!$Q$3,'IN-NX'!$D$7=D4018,OR(LEFT(L4018,2)="15",AND(LEFT(M4018,2)&lt;&gt;"15",LEFT(M4018,2)&lt;&gt;"33"))),"x","")</f>
        <v/>
      </c>
      <c r="X4018" s="52" t="str">
        <f>IF(AND(OR(LEFT(TH!L4018,2)="15",LEFT(TH!M4018,2)="15"),'152-CT'!$J$8=TH!F4018),"x","")</f>
        <v/>
      </c>
      <c r="Y4018" s="52" t="str">
        <f>IF(AND(OR(LEFT(TH!L4018,2)="15",LEFT(TH!M4018,2)="15"),TK!$E$7=TH!F4018),"x","")</f>
        <v/>
      </c>
      <c r="Z4018" s="52" t="str">
        <f>IF(AND(B4018&lt;=NKC!$N$8,B4018&gt;=NKC!$M$8),"x","")</f>
        <v/>
      </c>
      <c r="AA4018" s="826"/>
    </row>
    <row r="4019" spans="1:27" ht="15.75" customHeight="1">
      <c r="A4019" s="827" t="str">
        <f>IF(B4019&lt;&gt;"",IF(AND(B4019&gt;=_TM1,B4019&lt;=_TM2,OR(TH!L4019="1111",TH!M4019="1111")),TH!D4019,""),"")</f>
        <v/>
      </c>
      <c r="B4019" s="36" t="str">
        <f t="shared" si="517"/>
        <v/>
      </c>
      <c r="C4019" s="183"/>
      <c r="D4019" s="183"/>
      <c r="E4019" s="792"/>
      <c r="F4019" s="188"/>
      <c r="G4019" s="835"/>
      <c r="H4019" s="7"/>
      <c r="I4019" s="253"/>
      <c r="J4019" s="253"/>
      <c r="K4019" s="584"/>
      <c r="L4019" s="585"/>
      <c r="M4019" s="585"/>
      <c r="N4019" s="52" t="str">
        <f>IF(AND('331-CT'!$E$7=TH!H4019,OR(L4019="331",M4019="331")),"331",IF(AND(OR(L4019="131",M4019="131"),H4019='131-CT'!$E$7),"131",""))</f>
        <v/>
      </c>
      <c r="O4019" s="52" t="str">
        <f>IF(AND($B4019&gt;='111'!$N$11,$B4019&lt;='111'!$O$11,OR($L4019=$O$7,$M4019=$O$7)),"x","")</f>
        <v/>
      </c>
      <c r="P4019" s="52" t="str">
        <f>IF(AND($L4019=$O$7,$B4019&lt;'111'!$N$11),"x","")</f>
        <v/>
      </c>
      <c r="Q4019" s="52" t="str">
        <f>IF(AND($M4019=$O$7,$B4019&lt;'111'!$N$11),"x","")</f>
        <v/>
      </c>
      <c r="R4019" s="52" t="str">
        <f>IF(ISERROR(FIND('112'!$M$9,G4019,1)),"",IF((AND(FIND('112'!$M$9,G4019,1)&gt;=1,$B4019&gt;='112'!$N$8,$B4019&lt;='112'!$O$8,OR($L4019='112'!$I$6,$M4019='112'!$I$6))),"x",""))</f>
        <v/>
      </c>
      <c r="S4019" s="52" t="str">
        <f>IF(ISERROR(FIND('112'!$M$9,G4019,1)),"",IF((AND(LEFT(G4019,2)=LEFT('112'!$M$9,2),B4019&lt;'112'!$N$8,$L4019='112'!$I$6)),"x",""))</f>
        <v/>
      </c>
      <c r="T4019" s="52" t="str">
        <f>IF(ISERROR(FIND('112'!$M$9,G4019,1)),"",IF((AND(RIGHT(G4019,2)=RIGHT('112'!$M$9,2),B4019&lt;'112'!$N$8,$M4019='112'!$I$6)),"x",""))</f>
        <v/>
      </c>
      <c r="U4019" s="52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/>
      </c>
      <c r="V4019" s="52" t="str">
        <f>IF(OR(TH!L4019=TH!$V$7,M4019=TH!$V$7),"x","")</f>
        <v/>
      </c>
      <c r="W4019" s="52" t="str">
        <f>IF(AND(B4019&gt;='IN-NX'!$P$3,B4019&lt;='IN-NX'!$Q$3,'IN-NX'!$D$7=D4019,OR(LEFT(L4019,2)="15",AND(LEFT(M4019,2)&lt;&gt;"15",LEFT(M4019,2)&lt;&gt;"33"))),"x","")</f>
        <v/>
      </c>
      <c r="X4019" s="52" t="str">
        <f>IF(AND(OR(LEFT(TH!L4019,2)="15",LEFT(TH!M4019,2)="15"),'152-CT'!$J$8=TH!F4019),"x","")</f>
        <v/>
      </c>
      <c r="Y4019" s="52" t="str">
        <f>IF(AND(OR(LEFT(TH!L4019,2)="15",LEFT(TH!M4019,2)="15"),TK!$E$7=TH!F4019),"x","")</f>
        <v/>
      </c>
      <c r="Z4019" s="52" t="str">
        <f>IF(AND(B4019&lt;=NKC!$N$8,B4019&gt;=NKC!$M$8),"x","")</f>
        <v/>
      </c>
      <c r="AA4019" s="826"/>
    </row>
    <row r="4020" spans="1:27" ht="15.75" customHeight="1">
      <c r="A4020" s="827" t="str">
        <f>IF(B4020&lt;&gt;"",IF(AND(B4020&gt;=_TM1,B4020&lt;=_TM2,OR(TH!L4020="1111",TH!M4020="1111")),TH!D4020,""),"")</f>
        <v/>
      </c>
      <c r="B4020" s="36" t="str">
        <f t="shared" si="517"/>
        <v/>
      </c>
      <c r="C4020" s="183"/>
      <c r="D4020" s="183"/>
      <c r="E4020" s="792"/>
      <c r="F4020" s="188"/>
      <c r="G4020" s="835"/>
      <c r="H4020" s="7"/>
      <c r="I4020" s="253"/>
      <c r="J4020" s="253"/>
      <c r="K4020" s="584"/>
      <c r="L4020" s="585"/>
      <c r="M4020" s="585"/>
      <c r="N4020" s="52" t="str">
        <f>IF(AND('331-CT'!$E$7=TH!H4020,OR(L4020="331",M4020="331")),"331",IF(AND(OR(L4020="131",M4020="131"),H4020='131-CT'!$E$7),"131",""))</f>
        <v/>
      </c>
      <c r="O4020" s="52" t="str">
        <f>IF(AND($B4020&gt;='111'!$N$11,$B4020&lt;='111'!$O$11,OR($L4020=$O$7,$M4020=$O$7)),"x","")</f>
        <v/>
      </c>
      <c r="P4020" s="52" t="str">
        <f>IF(AND($L4020=$O$7,$B4020&lt;'111'!$N$11),"x","")</f>
        <v/>
      </c>
      <c r="Q4020" s="52" t="str">
        <f>IF(AND($M4020=$O$7,$B4020&lt;'111'!$N$11),"x","")</f>
        <v/>
      </c>
      <c r="R4020" s="52" t="str">
        <f>IF(ISERROR(FIND('112'!$M$9,G4020,1)),"",IF((AND(FIND('112'!$M$9,G4020,1)&gt;=1,$B4020&gt;='112'!$N$8,$B4020&lt;='112'!$O$8,OR($L4020='112'!$I$6,$M4020='112'!$I$6))),"x",""))</f>
        <v/>
      </c>
      <c r="S4020" s="52" t="str">
        <f>IF(ISERROR(FIND('112'!$M$9,G4020,1)),"",IF((AND(LEFT(G4020,2)=LEFT('112'!$M$9,2),B4020&lt;'112'!$N$8,$L4020='112'!$I$6)),"x",""))</f>
        <v/>
      </c>
      <c r="T4020" s="52" t="str">
        <f>IF(ISERROR(FIND('112'!$M$9,G4020,1)),"",IF((AND(RIGHT(G4020,2)=RIGHT('112'!$M$9,2),B4020&lt;'112'!$N$8,$M4020='112'!$I$6)),"x",""))</f>
        <v/>
      </c>
      <c r="U4020" s="52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/>
      </c>
      <c r="V4020" s="52" t="str">
        <f>IF(OR(TH!L4020=TH!$V$7,M4020=TH!$V$7),"x","")</f>
        <v/>
      </c>
      <c r="W4020" s="52" t="str">
        <f>IF(AND(B4020&gt;='IN-NX'!$P$3,B4020&lt;='IN-NX'!$Q$3,'IN-NX'!$D$7=D4020,OR(LEFT(L4020,2)="15",AND(LEFT(M4020,2)&lt;&gt;"15",LEFT(M4020,2)&lt;&gt;"33"))),"x","")</f>
        <v/>
      </c>
      <c r="X4020" s="52" t="str">
        <f>IF(AND(OR(LEFT(TH!L4020,2)="15",LEFT(TH!M4020,2)="15"),'152-CT'!$J$8=TH!F4020),"x","")</f>
        <v/>
      </c>
      <c r="Y4020" s="52" t="str">
        <f>IF(AND(OR(LEFT(TH!L4020,2)="15",LEFT(TH!M4020,2)="15"),TK!$E$7=TH!F4020),"x","")</f>
        <v/>
      </c>
      <c r="Z4020" s="52" t="str">
        <f>IF(AND(B4020&lt;=NKC!$N$8,B4020&gt;=NKC!$M$8),"x","")</f>
        <v/>
      </c>
      <c r="AA4020" s="826"/>
    </row>
    <row r="4021" spans="1:27" ht="15.75" customHeight="1">
      <c r="A4021" s="827" t="str">
        <f>IF(B4021&lt;&gt;"",IF(AND(B4021&gt;=_TM1,B4021&lt;=_TM2,OR(TH!L4021="1111",TH!M4021="1111")),TH!D4021,""),"")</f>
        <v/>
      </c>
      <c r="B4021" s="36" t="str">
        <f t="shared" si="517"/>
        <v/>
      </c>
      <c r="C4021" s="190"/>
      <c r="D4021" s="190"/>
      <c r="E4021" s="785"/>
      <c r="F4021" s="191"/>
      <c r="G4021" s="833"/>
      <c r="H4021" s="7"/>
      <c r="I4021" s="253"/>
      <c r="J4021" s="253"/>
      <c r="K4021" s="584"/>
      <c r="L4021" s="193"/>
      <c r="M4021" s="193"/>
      <c r="N4021" s="52" t="str">
        <f>IF(AND('331-CT'!$E$7=TH!H4021,OR(L4021="331",M4021="331")),"331",IF(AND(OR(L4021="131",M4021="131"),H4021='131-CT'!$E$7),"131",""))</f>
        <v/>
      </c>
      <c r="O4021" s="52" t="str">
        <f>IF(AND($B4021&gt;='111'!$N$11,$B4021&lt;='111'!$O$11,OR($L4021=$O$7,$M4021=$O$7)),"x","")</f>
        <v/>
      </c>
      <c r="P4021" s="52" t="str">
        <f>IF(AND($L4021=$O$7,$B4021&lt;'111'!$N$11),"x","")</f>
        <v/>
      </c>
      <c r="Q4021" s="52" t="str">
        <f>IF(AND($M4021=$O$7,$B4021&lt;'111'!$N$11),"x","")</f>
        <v/>
      </c>
      <c r="R4021" s="52" t="str">
        <f>IF(ISERROR(FIND('112'!$M$9,G4021,1)),"",IF((AND(FIND('112'!$M$9,G4021,1)&gt;=1,$B4021&gt;='112'!$N$8,$B4021&lt;='112'!$O$8,OR($L4021='112'!$I$6,$M4021='112'!$I$6))),"x",""))</f>
        <v/>
      </c>
      <c r="S4021" s="52" t="str">
        <f>IF(ISERROR(FIND('112'!$M$9,G4021,1)),"",IF((AND(LEFT(G4021,2)=LEFT('112'!$M$9,2),B4021&lt;'112'!$N$8,$L4021='112'!$I$6)),"x",""))</f>
        <v/>
      </c>
      <c r="T4021" s="52" t="str">
        <f>IF(ISERROR(FIND('112'!$M$9,G4021,1)),"",IF((AND(RIGHT(G4021,2)=RIGHT('112'!$M$9,2),B4021&lt;'112'!$N$8,$M4021='112'!$I$6)),"x",""))</f>
        <v/>
      </c>
      <c r="U4021" s="52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/>
      </c>
      <c r="V4021" s="52" t="str">
        <f>IF(OR(TH!L4021=TH!$V$7,M4021=TH!$V$7),"x","")</f>
        <v/>
      </c>
      <c r="W4021" s="52" t="str">
        <f>IF(AND(B4021&gt;='IN-NX'!$P$3,B4021&lt;='IN-NX'!$Q$3,'IN-NX'!$D$7=D4021,OR(LEFT(L4021,2)="15",AND(LEFT(M4021,2)&lt;&gt;"15",LEFT(M4021,2)&lt;&gt;"33"))),"x","")</f>
        <v/>
      </c>
      <c r="X4021" s="52" t="str">
        <f>IF(AND(OR(LEFT(TH!L4021,2)="15",LEFT(TH!M4021,2)="15"),'152-CT'!$J$8=TH!F4021),"x","")</f>
        <v/>
      </c>
      <c r="Y4021" s="52" t="str">
        <f>IF(AND(OR(LEFT(TH!L4021,2)="15",LEFT(TH!M4021,2)="15"),TK!$E$7=TH!F4021),"x","")</f>
        <v/>
      </c>
      <c r="Z4021" s="52" t="str">
        <f>IF(AND(B4021&lt;=NKC!$N$8,B4021&gt;=NKC!$M$8),"x","")</f>
        <v/>
      </c>
      <c r="AA4021" s="826"/>
    </row>
    <row r="4022" spans="1:27" ht="15.75" customHeight="1">
      <c r="A4022" s="827" t="str">
        <f>IF(B4022&lt;&gt;"",IF(AND(B4022&gt;=_TM1,B4022&lt;=_TM2,OR(TH!L4022="1111",TH!M4022="1111")),TH!D4022,""),"")</f>
        <v/>
      </c>
      <c r="B4022" s="36" t="str">
        <f t="shared" si="517"/>
        <v/>
      </c>
      <c r="C4022" s="190"/>
      <c r="D4022" s="190"/>
      <c r="E4022" s="785"/>
      <c r="F4022" s="191"/>
      <c r="G4022" s="833"/>
      <c r="H4022" s="7"/>
      <c r="I4022" s="253"/>
      <c r="J4022" s="253"/>
      <c r="K4022" s="38"/>
      <c r="L4022" s="193"/>
      <c r="M4022" s="193"/>
      <c r="N4022" s="52" t="str">
        <f>IF(AND('331-CT'!$E$7=TH!H4022,OR(L4022="331",M4022="331")),"331",IF(AND(OR(L4022="131",M4022="131"),H4022='131-CT'!$E$7),"131",""))</f>
        <v/>
      </c>
      <c r="O4022" s="52" t="str">
        <f>IF(AND($B4022&gt;='111'!$N$11,$B4022&lt;='111'!$O$11,OR($L4022=$O$7,$M4022=$O$7)),"x","")</f>
        <v/>
      </c>
      <c r="P4022" s="52" t="str">
        <f>IF(AND($L4022=$O$7,$B4022&lt;'111'!$N$11),"x","")</f>
        <v/>
      </c>
      <c r="Q4022" s="52" t="str">
        <f>IF(AND($M4022=$O$7,$B4022&lt;'111'!$N$11),"x","")</f>
        <v/>
      </c>
      <c r="R4022" s="52" t="str">
        <f>IF(ISERROR(FIND('112'!$M$9,G4022,1)),"",IF((AND(FIND('112'!$M$9,G4022,1)&gt;=1,$B4022&gt;='112'!$N$8,$B4022&lt;='112'!$O$8,OR($L4022='112'!$I$6,$M4022='112'!$I$6))),"x",""))</f>
        <v/>
      </c>
      <c r="S4022" s="52" t="str">
        <f>IF(ISERROR(FIND('112'!$M$9,G4022,1)),"",IF((AND(LEFT(G4022,2)=LEFT('112'!$M$9,2),B4022&lt;'112'!$N$8,$L4022='112'!$I$6)),"x",""))</f>
        <v/>
      </c>
      <c r="T4022" s="52" t="str">
        <f>IF(ISERROR(FIND('112'!$M$9,G4022,1)),"",IF((AND(RIGHT(G4022,2)=RIGHT('112'!$M$9,2),B4022&lt;'112'!$N$8,$M4022='112'!$I$6)),"x",""))</f>
        <v/>
      </c>
      <c r="U4022" s="52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/>
      </c>
      <c r="V4022" s="52" t="str">
        <f>IF(OR(TH!L4022=TH!$V$7,M4022=TH!$V$7),"x","")</f>
        <v/>
      </c>
      <c r="W4022" s="52" t="str">
        <f>IF(AND(B4022&gt;='IN-NX'!$P$3,B4022&lt;='IN-NX'!$Q$3,'IN-NX'!$D$7=D4022,OR(LEFT(L4022,2)="15",AND(LEFT(M4022,2)&lt;&gt;"15",LEFT(M4022,2)&lt;&gt;"33"))),"x","")</f>
        <v/>
      </c>
      <c r="X4022" s="52" t="str">
        <f>IF(AND(OR(LEFT(TH!L4022,2)="15",LEFT(TH!M4022,2)="15"),'152-CT'!$J$8=TH!F4022),"x","")</f>
        <v/>
      </c>
      <c r="Y4022" s="52" t="str">
        <f>IF(AND(OR(LEFT(TH!L4022,2)="15",LEFT(TH!M4022,2)="15"),TK!$E$7=TH!F4022),"x","")</f>
        <v/>
      </c>
      <c r="Z4022" s="52" t="str">
        <f>IF(AND(B4022&lt;=NKC!$N$8,B4022&gt;=NKC!$M$8),"x","")</f>
        <v/>
      </c>
      <c r="AA4022" s="826"/>
    </row>
    <row r="4023" spans="1:27" ht="15.75" customHeight="1">
      <c r="A4023" s="827" t="str">
        <f>IF(B4023&lt;&gt;"",IF(AND(B4023&gt;=_TM1,B4023&lt;=_TM2,OR(TH!L4023="1111",TH!M4023="1111")),TH!D4023,""),"")</f>
        <v/>
      </c>
      <c r="B4023" s="36" t="str">
        <f t="shared" si="517"/>
        <v/>
      </c>
      <c r="C4023" s="190"/>
      <c r="D4023" s="190"/>
      <c r="E4023" s="785"/>
      <c r="F4023" s="191"/>
      <c r="G4023" s="833"/>
      <c r="H4023" s="192"/>
      <c r="I4023" s="253"/>
      <c r="J4023" s="253"/>
      <c r="K4023" s="584"/>
      <c r="L4023" s="193"/>
      <c r="M4023" s="193"/>
      <c r="N4023" s="52" t="str">
        <f>IF(AND('331-CT'!$E$7=TH!H4023,OR(L4023="331",M4023="331")),"331",IF(AND(OR(L4023="131",M4023="131"),H4023='131-CT'!$E$7),"131",""))</f>
        <v/>
      </c>
      <c r="O4023" s="52" t="str">
        <f>IF(AND($B4023&gt;='111'!$N$11,$B4023&lt;='111'!$O$11,OR($L4023=$O$7,$M4023=$O$7)),"x","")</f>
        <v/>
      </c>
      <c r="P4023" s="52" t="str">
        <f>IF(AND($L4023=$O$7,$B4023&lt;'111'!$N$11),"x","")</f>
        <v/>
      </c>
      <c r="Q4023" s="52" t="str">
        <f>IF(AND($M4023=$O$7,$B4023&lt;'111'!$N$11),"x","")</f>
        <v/>
      </c>
      <c r="R4023" s="52" t="str">
        <f>IF(ISERROR(FIND('112'!$M$9,G4023,1)),"",IF((AND(FIND('112'!$M$9,G4023,1)&gt;=1,$B4023&gt;='112'!$N$8,$B4023&lt;='112'!$O$8,OR($L4023='112'!$I$6,$M4023='112'!$I$6))),"x",""))</f>
        <v/>
      </c>
      <c r="S4023" s="52" t="str">
        <f>IF(ISERROR(FIND('112'!$M$9,G4023,1)),"",IF((AND(LEFT(G4023,2)=LEFT('112'!$M$9,2),B4023&lt;'112'!$N$8,$L4023='112'!$I$6)),"x",""))</f>
        <v/>
      </c>
      <c r="T4023" s="52" t="str">
        <f>IF(ISERROR(FIND('112'!$M$9,G4023,1)),"",IF((AND(RIGHT(G4023,2)=RIGHT('112'!$M$9,2),B4023&lt;'112'!$N$8,$M4023='112'!$I$6)),"x",""))</f>
        <v/>
      </c>
      <c r="U4023" s="52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/>
      </c>
      <c r="V4023" s="52" t="str">
        <f>IF(OR(TH!L4023=TH!$V$7,M4023=TH!$V$7),"x","")</f>
        <v/>
      </c>
      <c r="W4023" s="52" t="str">
        <f>IF(AND(B4023&gt;='IN-NX'!$P$3,B4023&lt;='IN-NX'!$Q$3,'IN-NX'!$D$7=D4023,OR(LEFT(L4023,2)="15",AND(LEFT(M4023,2)&lt;&gt;"15",LEFT(M4023,2)&lt;&gt;"33"))),"x","")</f>
        <v/>
      </c>
      <c r="X4023" s="52" t="str">
        <f>IF(AND(OR(LEFT(TH!L4023,2)="15",LEFT(TH!M4023,2)="15"),'152-CT'!$J$8=TH!F4023),"x","")</f>
        <v/>
      </c>
      <c r="Y4023" s="52" t="str">
        <f>IF(AND(OR(LEFT(TH!L4023,2)="15",LEFT(TH!M4023,2)="15"),TK!$E$7=TH!F4023),"x","")</f>
        <v/>
      </c>
      <c r="Z4023" s="52" t="str">
        <f>IF(AND(B4023&lt;=NKC!$N$8,B4023&gt;=NKC!$M$8),"x","")</f>
        <v/>
      </c>
      <c r="AA4023" s="826"/>
    </row>
    <row r="4024" spans="1:27" ht="15.75" customHeight="1">
      <c r="A4024" s="827" t="str">
        <f>IF(B4024&lt;&gt;"",IF(AND(B4024&gt;=_TM1,B4024&lt;=_TM2,OR(TH!L4024="1111",TH!M4024="1111")),TH!D4024,""),"")</f>
        <v/>
      </c>
      <c r="B4024" s="36" t="str">
        <f t="shared" si="517"/>
        <v/>
      </c>
      <c r="C4024" s="190"/>
      <c r="D4024" s="190"/>
      <c r="E4024" s="785"/>
      <c r="F4024" s="191"/>
      <c r="G4024" s="833"/>
      <c r="H4024" s="192"/>
      <c r="I4024" s="253"/>
      <c r="J4024" s="253"/>
      <c r="K4024" s="38"/>
      <c r="L4024" s="193"/>
      <c r="M4024" s="193"/>
      <c r="N4024" s="52" t="str">
        <f>IF(AND('331-CT'!$E$7=TH!H4024,OR(L4024="331",M4024="331")),"331",IF(AND(OR(L4024="131",M4024="131"),H4024='131-CT'!$E$7),"131",""))</f>
        <v/>
      </c>
      <c r="O4024" s="52" t="str">
        <f>IF(AND($B4024&gt;='111'!$N$11,$B4024&lt;='111'!$O$11,OR($L4024=$O$7,$M4024=$O$7)),"x","")</f>
        <v/>
      </c>
      <c r="P4024" s="52" t="str">
        <f>IF(AND($L4024=$O$7,$B4024&lt;'111'!$N$11),"x","")</f>
        <v/>
      </c>
      <c r="Q4024" s="52" t="str">
        <f>IF(AND($M4024=$O$7,$B4024&lt;'111'!$N$11),"x","")</f>
        <v/>
      </c>
      <c r="R4024" s="52" t="str">
        <f>IF(ISERROR(FIND('112'!$M$9,G4024,1)),"",IF((AND(FIND('112'!$M$9,G4024,1)&gt;=1,$B4024&gt;='112'!$N$8,$B4024&lt;='112'!$O$8,OR($L4024='112'!$I$6,$M4024='112'!$I$6))),"x",""))</f>
        <v/>
      </c>
      <c r="S4024" s="52" t="str">
        <f>IF(ISERROR(FIND('112'!$M$9,G4024,1)),"",IF((AND(LEFT(G4024,2)=LEFT('112'!$M$9,2),B4024&lt;'112'!$N$8,$L4024='112'!$I$6)),"x",""))</f>
        <v/>
      </c>
      <c r="T4024" s="52" t="str">
        <f>IF(ISERROR(FIND('112'!$M$9,G4024,1)),"",IF((AND(RIGHT(G4024,2)=RIGHT('112'!$M$9,2),B4024&lt;'112'!$N$8,$M4024='112'!$I$6)),"x",""))</f>
        <v/>
      </c>
      <c r="U4024" s="52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/>
      </c>
      <c r="V4024" s="52" t="str">
        <f>IF(OR(TH!L4024=TH!$V$7,M4024=TH!$V$7),"x","")</f>
        <v/>
      </c>
      <c r="W4024" s="52" t="str">
        <f>IF(AND(B4024&gt;='IN-NX'!$P$3,B4024&lt;='IN-NX'!$Q$3,'IN-NX'!$D$7=D4024,OR(LEFT(L4024,2)="15",AND(LEFT(M4024,2)&lt;&gt;"15",LEFT(M4024,2)&lt;&gt;"33"))),"x","")</f>
        <v/>
      </c>
      <c r="X4024" s="52" t="str">
        <f>IF(AND(OR(LEFT(TH!L4024,2)="15",LEFT(TH!M4024,2)="15"),'152-CT'!$J$8=TH!F4024),"x","")</f>
        <v/>
      </c>
      <c r="Y4024" s="52" t="str">
        <f>IF(AND(OR(LEFT(TH!L4024,2)="15",LEFT(TH!M4024,2)="15"),TK!$E$7=TH!F4024),"x","")</f>
        <v/>
      </c>
      <c r="Z4024" s="52" t="str">
        <f>IF(AND(B4024&lt;=NKC!$N$8,B4024&gt;=NKC!$M$8),"x","")</f>
        <v/>
      </c>
      <c r="AA4024" s="826"/>
    </row>
    <row r="4025" spans="1:27" ht="15.75" customHeight="1">
      <c r="A4025" s="827" t="str">
        <f>IF(B4025&lt;&gt;"",IF(AND(B4025&gt;=_TM1,B4025&lt;=_TM2,OR(TH!L4025="1111",TH!M4025="1111")),TH!D4025,""),"")</f>
        <v/>
      </c>
      <c r="B4025" s="36" t="str">
        <f t="shared" si="517"/>
        <v/>
      </c>
      <c r="C4025" s="190"/>
      <c r="D4025" s="190"/>
      <c r="E4025" s="785"/>
      <c r="F4025" s="191"/>
      <c r="G4025" s="833"/>
      <c r="H4025" s="192"/>
      <c r="I4025" s="253"/>
      <c r="J4025" s="253"/>
      <c r="K4025" s="584"/>
      <c r="L4025" s="193"/>
      <c r="M4025" s="193"/>
      <c r="N4025" s="52" t="str">
        <f>IF(AND('331-CT'!$E$7=TH!H4025,OR(L4025="331",M4025="331")),"331",IF(AND(OR(L4025="131",M4025="131"),H4025='131-CT'!$E$7),"131",""))</f>
        <v/>
      </c>
      <c r="O4025" s="52" t="str">
        <f>IF(AND($B4025&gt;='111'!$N$11,$B4025&lt;='111'!$O$11,OR($L4025=$O$7,$M4025=$O$7)),"x","")</f>
        <v/>
      </c>
      <c r="P4025" s="52" t="str">
        <f>IF(AND($L4025=$O$7,$B4025&lt;'111'!$N$11),"x","")</f>
        <v/>
      </c>
      <c r="Q4025" s="52" t="str">
        <f>IF(AND($M4025=$O$7,$B4025&lt;'111'!$N$11),"x","")</f>
        <v/>
      </c>
      <c r="R4025" s="52" t="str">
        <f>IF(ISERROR(FIND('112'!$M$9,G4025,1)),"",IF((AND(FIND('112'!$M$9,G4025,1)&gt;=1,$B4025&gt;='112'!$N$8,$B4025&lt;='112'!$O$8,OR($L4025='112'!$I$6,$M4025='112'!$I$6))),"x",""))</f>
        <v/>
      </c>
      <c r="S4025" s="52" t="str">
        <f>IF(ISERROR(FIND('112'!$M$9,G4025,1)),"",IF((AND(LEFT(G4025,2)=LEFT('112'!$M$9,2),B4025&lt;'112'!$N$8,$L4025='112'!$I$6)),"x",""))</f>
        <v/>
      </c>
      <c r="T4025" s="52" t="str">
        <f>IF(ISERROR(FIND('112'!$M$9,G4025,1)),"",IF((AND(RIGHT(G4025,2)=RIGHT('112'!$M$9,2),B4025&lt;'112'!$N$8,$M4025='112'!$I$6)),"x",""))</f>
        <v/>
      </c>
      <c r="U4025" s="52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/>
      </c>
      <c r="V4025" s="52" t="str">
        <f>IF(OR(TH!L4025=TH!$V$7,M4025=TH!$V$7),"x","")</f>
        <v/>
      </c>
      <c r="W4025" s="52" t="str">
        <f>IF(AND(B4025&gt;='IN-NX'!$P$3,B4025&lt;='IN-NX'!$Q$3,'IN-NX'!$D$7=D4025,OR(LEFT(L4025,2)="15",AND(LEFT(M4025,2)&lt;&gt;"15",LEFT(M4025,2)&lt;&gt;"33"))),"x","")</f>
        <v/>
      </c>
      <c r="X4025" s="52" t="str">
        <f>IF(AND(OR(LEFT(TH!L4025,2)="15",LEFT(TH!M4025,2)="15"),'152-CT'!$J$8=TH!F4025),"x","")</f>
        <v/>
      </c>
      <c r="Y4025" s="52" t="str">
        <f>IF(AND(OR(LEFT(TH!L4025,2)="15",LEFT(TH!M4025,2)="15"),TK!$E$7=TH!F4025),"x","")</f>
        <v/>
      </c>
      <c r="Z4025" s="52" t="str">
        <f>IF(AND(B4025&lt;=NKC!$N$8,B4025&gt;=NKC!$M$8),"x","")</f>
        <v/>
      </c>
      <c r="AA4025" s="826"/>
    </row>
    <row r="4026" spans="1:27" ht="15.75" customHeight="1">
      <c r="A4026" s="827" t="str">
        <f>IF(B4026&lt;&gt;"",IF(AND(B4026&gt;=_TM1,B4026&lt;=_TM2,OR(TH!L4026="1111",TH!M4026="1111")),TH!D4026,""),"")</f>
        <v/>
      </c>
      <c r="B4026" s="36" t="str">
        <f t="shared" si="517"/>
        <v/>
      </c>
      <c r="C4026" s="190"/>
      <c r="D4026" s="190"/>
      <c r="E4026" s="785"/>
      <c r="F4026" s="191"/>
      <c r="G4026" s="833"/>
      <c r="H4026" s="192"/>
      <c r="I4026" s="253"/>
      <c r="J4026" s="253"/>
      <c r="K4026" s="584"/>
      <c r="L4026" s="193"/>
      <c r="M4026" s="193"/>
      <c r="N4026" s="52" t="str">
        <f>IF(AND('331-CT'!$E$7=TH!H4026,OR(L4026="331",M4026="331")),"331",IF(AND(OR(L4026="131",M4026="131"),H4026='131-CT'!$E$7),"131",""))</f>
        <v/>
      </c>
      <c r="O4026" s="52" t="str">
        <f>IF(AND($B4026&gt;='111'!$N$11,$B4026&lt;='111'!$O$11,OR($L4026=$O$7,$M4026=$O$7)),"x","")</f>
        <v/>
      </c>
      <c r="P4026" s="52" t="str">
        <f>IF(AND($L4026=$O$7,$B4026&lt;'111'!$N$11),"x","")</f>
        <v/>
      </c>
      <c r="Q4026" s="52" t="str">
        <f>IF(AND($M4026=$O$7,$B4026&lt;'111'!$N$11),"x","")</f>
        <v/>
      </c>
      <c r="R4026" s="52" t="str">
        <f>IF(ISERROR(FIND('112'!$M$9,G4026,1)),"",IF((AND(FIND('112'!$M$9,G4026,1)&gt;=1,$B4026&gt;='112'!$N$8,$B4026&lt;='112'!$O$8,OR($L4026='112'!$I$6,$M4026='112'!$I$6))),"x",""))</f>
        <v/>
      </c>
      <c r="S4026" s="52" t="str">
        <f>IF(ISERROR(FIND('112'!$M$9,G4026,1)),"",IF((AND(LEFT(G4026,2)=LEFT('112'!$M$9,2),B4026&lt;'112'!$N$8,$L4026='112'!$I$6)),"x",""))</f>
        <v/>
      </c>
      <c r="T4026" s="52" t="str">
        <f>IF(ISERROR(FIND('112'!$M$9,G4026,1)),"",IF((AND(RIGHT(G4026,2)=RIGHT('112'!$M$9,2),B4026&lt;'112'!$N$8,$M4026='112'!$I$6)),"x",""))</f>
        <v/>
      </c>
      <c r="U4026" s="52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/>
      </c>
      <c r="V4026" s="52" t="str">
        <f>IF(OR(TH!L4026=TH!$V$7,M4026=TH!$V$7),"x","")</f>
        <v/>
      </c>
      <c r="W4026" s="52" t="str">
        <f>IF(AND(B4026&gt;='IN-NX'!$P$3,B4026&lt;='IN-NX'!$Q$3,'IN-NX'!$D$7=D4026,OR(LEFT(L4026,2)="15",AND(LEFT(M4026,2)&lt;&gt;"15",LEFT(M4026,2)&lt;&gt;"33"))),"x","")</f>
        <v/>
      </c>
      <c r="X4026" s="52" t="str">
        <f>IF(AND(OR(LEFT(TH!L4026,2)="15",LEFT(TH!M4026,2)="15"),'152-CT'!$J$8=TH!F4026),"x","")</f>
        <v/>
      </c>
      <c r="Y4026" s="52" t="str">
        <f>IF(AND(OR(LEFT(TH!L4026,2)="15",LEFT(TH!M4026,2)="15"),TK!$E$7=TH!F4026),"x","")</f>
        <v/>
      </c>
      <c r="Z4026" s="52" t="str">
        <f>IF(AND(B4026&lt;=NKC!$N$8,B4026&gt;=NKC!$M$8),"x","")</f>
        <v/>
      </c>
      <c r="AA4026" s="826"/>
    </row>
    <row r="4027" spans="1:27" ht="15.75" customHeight="1">
      <c r="A4027" s="827" t="str">
        <f>IF(B4027&lt;&gt;"",IF(AND(B4027&gt;=_TM1,B4027&lt;=_TM2,OR(TH!L4027="1111",TH!M4027="1111")),TH!D4027,""),"")</f>
        <v/>
      </c>
      <c r="B4027" s="36" t="str">
        <f t="shared" si="517"/>
        <v/>
      </c>
      <c r="C4027" s="190"/>
      <c r="D4027" s="190"/>
      <c r="E4027" s="785"/>
      <c r="F4027" s="191"/>
      <c r="G4027" s="833"/>
      <c r="H4027" s="192"/>
      <c r="I4027" s="253"/>
      <c r="J4027" s="253"/>
      <c r="K4027" s="584"/>
      <c r="L4027" s="193"/>
      <c r="M4027" s="193"/>
      <c r="N4027" s="52" t="str">
        <f>IF(AND('331-CT'!$E$7=TH!H4027,OR(L4027="331",M4027="331")),"331",IF(AND(OR(L4027="131",M4027="131"),H4027='131-CT'!$E$7),"131",""))</f>
        <v/>
      </c>
      <c r="O4027" s="52" t="str">
        <f>IF(AND($B4027&gt;='111'!$N$11,$B4027&lt;='111'!$O$11,OR($L4027=$O$7,$M4027=$O$7)),"x","")</f>
        <v/>
      </c>
      <c r="P4027" s="52" t="str">
        <f>IF(AND($L4027=$O$7,$B4027&lt;'111'!$N$11),"x","")</f>
        <v/>
      </c>
      <c r="Q4027" s="52" t="str">
        <f>IF(AND($M4027=$O$7,$B4027&lt;'111'!$N$11),"x","")</f>
        <v/>
      </c>
      <c r="R4027" s="52" t="str">
        <f>IF(ISERROR(FIND('112'!$M$9,G4027,1)),"",IF((AND(FIND('112'!$M$9,G4027,1)&gt;=1,$B4027&gt;='112'!$N$8,$B4027&lt;='112'!$O$8,OR($L4027='112'!$I$6,$M4027='112'!$I$6))),"x",""))</f>
        <v/>
      </c>
      <c r="S4027" s="52" t="str">
        <f>IF(ISERROR(FIND('112'!$M$9,G4027,1)),"",IF((AND(LEFT(G4027,2)=LEFT('112'!$M$9,2),B4027&lt;'112'!$N$8,$L4027='112'!$I$6)),"x",""))</f>
        <v/>
      </c>
      <c r="T4027" s="52" t="str">
        <f>IF(ISERROR(FIND('112'!$M$9,G4027,1)),"",IF((AND(RIGHT(G4027,2)=RIGHT('112'!$M$9,2),B4027&lt;'112'!$N$8,$M4027='112'!$I$6)),"x",""))</f>
        <v/>
      </c>
      <c r="U4027" s="52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/>
      </c>
      <c r="V4027" s="52" t="str">
        <f>IF(OR(TH!L4027=TH!$V$7,M4027=TH!$V$7),"x","")</f>
        <v/>
      </c>
      <c r="W4027" s="52" t="str">
        <f>IF(AND(B4027&gt;='IN-NX'!$P$3,B4027&lt;='IN-NX'!$Q$3,'IN-NX'!$D$7=D4027,OR(LEFT(L4027,2)="15",AND(LEFT(M4027,2)&lt;&gt;"15",LEFT(M4027,2)&lt;&gt;"33"))),"x","")</f>
        <v/>
      </c>
      <c r="X4027" s="52" t="str">
        <f>IF(AND(OR(LEFT(TH!L4027,2)="15",LEFT(TH!M4027,2)="15"),'152-CT'!$J$8=TH!F4027),"x","")</f>
        <v/>
      </c>
      <c r="Y4027" s="52" t="str">
        <f>IF(AND(OR(LEFT(TH!L4027,2)="15",LEFT(TH!M4027,2)="15"),TK!$E$7=TH!F4027),"x","")</f>
        <v/>
      </c>
      <c r="Z4027" s="52" t="str">
        <f>IF(AND(B4027&lt;=NKC!$N$8,B4027&gt;=NKC!$M$8),"x","")</f>
        <v/>
      </c>
      <c r="AA4027" s="826"/>
    </row>
    <row r="4028" spans="1:27" ht="15.75" customHeight="1">
      <c r="A4028" s="827" t="str">
        <f>IF(B4028&lt;&gt;"",IF(AND(B4028&gt;=_TM1,B4028&lt;=_TM2,OR(TH!L4028="1111",TH!M4028="1111")),TH!D4028,""),"")</f>
        <v/>
      </c>
      <c r="B4028" s="36" t="str">
        <f t="shared" si="517"/>
        <v/>
      </c>
      <c r="C4028" s="190"/>
      <c r="D4028" s="190"/>
      <c r="E4028" s="785"/>
      <c r="F4028" s="191"/>
      <c r="G4028" s="833"/>
      <c r="H4028" s="192"/>
      <c r="I4028" s="253"/>
      <c r="J4028" s="253"/>
      <c r="K4028" s="584"/>
      <c r="L4028" s="193"/>
      <c r="M4028" s="193"/>
      <c r="N4028" s="52" t="str">
        <f>IF(AND('331-CT'!$E$7=TH!H4028,OR(L4028="331",M4028="331")),"331",IF(AND(OR(L4028="131",M4028="131"),H4028='131-CT'!$E$7),"131",""))</f>
        <v/>
      </c>
      <c r="O4028" s="52" t="str">
        <f>IF(AND($B4028&gt;='111'!$N$11,$B4028&lt;='111'!$O$11,OR($L4028=$O$7,$M4028=$O$7)),"x","")</f>
        <v/>
      </c>
      <c r="P4028" s="52" t="str">
        <f>IF(AND($L4028=$O$7,$B4028&lt;'111'!$N$11),"x","")</f>
        <v/>
      </c>
      <c r="Q4028" s="52" t="str">
        <f>IF(AND($M4028=$O$7,$B4028&lt;'111'!$N$11),"x","")</f>
        <v/>
      </c>
      <c r="R4028" s="52" t="str">
        <f>IF(ISERROR(FIND('112'!$M$9,G4028,1)),"",IF((AND(FIND('112'!$M$9,G4028,1)&gt;=1,$B4028&gt;='112'!$N$8,$B4028&lt;='112'!$O$8,OR($L4028='112'!$I$6,$M4028='112'!$I$6))),"x",""))</f>
        <v/>
      </c>
      <c r="S4028" s="52" t="str">
        <f>IF(ISERROR(FIND('112'!$M$9,G4028,1)),"",IF((AND(LEFT(G4028,2)=LEFT('112'!$M$9,2),B4028&lt;'112'!$N$8,$L4028='112'!$I$6)),"x",""))</f>
        <v/>
      </c>
      <c r="T4028" s="52" t="str">
        <f>IF(ISERROR(FIND('112'!$M$9,G4028,1)),"",IF((AND(RIGHT(G4028,2)=RIGHT('112'!$M$9,2),B4028&lt;'112'!$N$8,$M4028='112'!$I$6)),"x",""))</f>
        <v/>
      </c>
      <c r="U4028" s="52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/>
      </c>
      <c r="V4028" s="52" t="str">
        <f>IF(OR(TH!L4028=TH!$V$7,M4028=TH!$V$7),"x","")</f>
        <v/>
      </c>
      <c r="W4028" s="52" t="str">
        <f>IF(AND(B4028&gt;='IN-NX'!$P$3,B4028&lt;='IN-NX'!$Q$3,'IN-NX'!$D$7=D4028,OR(LEFT(L4028,2)="15",AND(LEFT(M4028,2)&lt;&gt;"15",LEFT(M4028,2)&lt;&gt;"33"))),"x","")</f>
        <v/>
      </c>
      <c r="X4028" s="52" t="str">
        <f>IF(AND(OR(LEFT(TH!L4028,2)="15",LEFT(TH!M4028,2)="15"),'152-CT'!$J$8=TH!F4028),"x","")</f>
        <v/>
      </c>
      <c r="Y4028" s="52" t="str">
        <f>IF(AND(OR(LEFT(TH!L4028,2)="15",LEFT(TH!M4028,2)="15"),TK!$E$7=TH!F4028),"x","")</f>
        <v/>
      </c>
      <c r="Z4028" s="52" t="str">
        <f>IF(AND(B4028&lt;=NKC!$N$8,B4028&gt;=NKC!$M$8),"x","")</f>
        <v/>
      </c>
      <c r="AA4028" s="826"/>
    </row>
    <row r="4029" spans="1:27" ht="15.75" customHeight="1">
      <c r="A4029" s="827" t="str">
        <f>IF(B4029&lt;&gt;"",IF(AND(B4029&gt;=_TM1,B4029&lt;=_TM2,OR(TH!L4029="1111",TH!M4029="1111")),TH!D4029,""),"")</f>
        <v/>
      </c>
      <c r="B4029" s="36" t="str">
        <f t="shared" si="517"/>
        <v/>
      </c>
      <c r="C4029" s="190"/>
      <c r="D4029" s="190"/>
      <c r="E4029" s="785"/>
      <c r="F4029" s="191"/>
      <c r="G4029" s="833"/>
      <c r="H4029" s="192"/>
      <c r="I4029" s="253"/>
      <c r="J4029" s="253"/>
      <c r="K4029" s="584"/>
      <c r="L4029" s="193"/>
      <c r="M4029" s="193"/>
      <c r="N4029" s="52" t="str">
        <f>IF(AND('331-CT'!$E$7=TH!H4029,OR(L4029="331",M4029="331")),"331",IF(AND(OR(L4029="131",M4029="131"),H4029='131-CT'!$E$7),"131",""))</f>
        <v/>
      </c>
      <c r="O4029" s="52" t="str">
        <f>IF(AND($B4029&gt;='111'!$N$11,$B4029&lt;='111'!$O$11,OR($L4029=$O$7,$M4029=$O$7)),"x","")</f>
        <v/>
      </c>
      <c r="P4029" s="52" t="str">
        <f>IF(AND($L4029=$O$7,$B4029&lt;'111'!$N$11),"x","")</f>
        <v/>
      </c>
      <c r="Q4029" s="52" t="str">
        <f>IF(AND($M4029=$O$7,$B4029&lt;'111'!$N$11),"x","")</f>
        <v/>
      </c>
      <c r="R4029" s="52" t="str">
        <f>IF(ISERROR(FIND('112'!$M$9,G4029,1)),"",IF((AND(FIND('112'!$M$9,G4029,1)&gt;=1,$B4029&gt;='112'!$N$8,$B4029&lt;='112'!$O$8,OR($L4029='112'!$I$6,$M4029='112'!$I$6))),"x",""))</f>
        <v/>
      </c>
      <c r="S4029" s="52" t="str">
        <f>IF(ISERROR(FIND('112'!$M$9,G4029,1)),"",IF((AND(LEFT(G4029,2)=LEFT('112'!$M$9,2),B4029&lt;'112'!$N$8,$L4029='112'!$I$6)),"x",""))</f>
        <v/>
      </c>
      <c r="T4029" s="52" t="str">
        <f>IF(ISERROR(FIND('112'!$M$9,G4029,1)),"",IF((AND(RIGHT(G4029,2)=RIGHT('112'!$M$9,2),B4029&lt;'112'!$N$8,$M4029='112'!$I$6)),"x",""))</f>
        <v/>
      </c>
      <c r="U4029" s="52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/>
      </c>
      <c r="V4029" s="52" t="str">
        <f>IF(OR(TH!L4029=TH!$V$7,M4029=TH!$V$7),"x","")</f>
        <v/>
      </c>
      <c r="W4029" s="52" t="str">
        <f>IF(AND(B4029&gt;='IN-NX'!$P$3,B4029&lt;='IN-NX'!$Q$3,'IN-NX'!$D$7=D4029,OR(LEFT(L4029,2)="15",AND(LEFT(M4029,2)&lt;&gt;"15",LEFT(M4029,2)&lt;&gt;"33"))),"x","")</f>
        <v/>
      </c>
      <c r="X4029" s="52" t="str">
        <f>IF(AND(OR(LEFT(TH!L4029,2)="15",LEFT(TH!M4029,2)="15"),'152-CT'!$J$8=TH!F4029),"x","")</f>
        <v/>
      </c>
      <c r="Y4029" s="52" t="str">
        <f>IF(AND(OR(LEFT(TH!L4029,2)="15",LEFT(TH!M4029,2)="15"),TK!$E$7=TH!F4029),"x","")</f>
        <v/>
      </c>
      <c r="Z4029" s="52" t="str">
        <f>IF(AND(B4029&lt;=NKC!$N$8,B4029&gt;=NKC!$M$8),"x","")</f>
        <v/>
      </c>
      <c r="AA4029" s="826"/>
    </row>
    <row r="4030" spans="1:27" ht="15.75" customHeight="1">
      <c r="A4030" s="827" t="str">
        <f>IF(B4030&lt;&gt;"",IF(AND(B4030&gt;=_TM1,B4030&lt;=_TM2,OR(TH!L4030="1111",TH!M4030="1111")),TH!D4030,""),"")</f>
        <v/>
      </c>
      <c r="B4030" s="36" t="str">
        <f t="shared" si="517"/>
        <v/>
      </c>
      <c r="C4030" s="190"/>
      <c r="D4030" s="190"/>
      <c r="E4030" s="785"/>
      <c r="F4030" s="191"/>
      <c r="G4030" s="833"/>
      <c r="H4030" s="192"/>
      <c r="I4030" s="253"/>
      <c r="J4030" s="253"/>
      <c r="K4030" s="584"/>
      <c r="L4030" s="193"/>
      <c r="M4030" s="193"/>
      <c r="N4030" s="52" t="str">
        <f>IF(AND('331-CT'!$E$7=TH!H4030,OR(L4030="331",M4030="331")),"331",IF(AND(OR(L4030="131",M4030="131"),H4030='131-CT'!$E$7),"131",""))</f>
        <v/>
      </c>
      <c r="O4030" s="52" t="str">
        <f>IF(AND($B4030&gt;='111'!$N$11,$B4030&lt;='111'!$O$11,OR($L4030=$O$7,$M4030=$O$7)),"x","")</f>
        <v/>
      </c>
      <c r="P4030" s="52" t="str">
        <f>IF(AND($L4030=$O$7,$B4030&lt;'111'!$N$11),"x","")</f>
        <v/>
      </c>
      <c r="Q4030" s="52" t="str">
        <f>IF(AND($M4030=$O$7,$B4030&lt;'111'!$N$11),"x","")</f>
        <v/>
      </c>
      <c r="R4030" s="52" t="str">
        <f>IF(ISERROR(FIND('112'!$M$9,G4030,1)),"",IF((AND(FIND('112'!$M$9,G4030,1)&gt;=1,$B4030&gt;='112'!$N$8,$B4030&lt;='112'!$O$8,OR($L4030='112'!$I$6,$M4030='112'!$I$6))),"x",""))</f>
        <v/>
      </c>
      <c r="S4030" s="52" t="str">
        <f>IF(ISERROR(FIND('112'!$M$9,G4030,1)),"",IF((AND(LEFT(G4030,2)=LEFT('112'!$M$9,2),B4030&lt;'112'!$N$8,$L4030='112'!$I$6)),"x",""))</f>
        <v/>
      </c>
      <c r="T4030" s="52" t="str">
        <f>IF(ISERROR(FIND('112'!$M$9,G4030,1)),"",IF((AND(RIGHT(G4030,2)=RIGHT('112'!$M$9,2),B4030&lt;'112'!$N$8,$M4030='112'!$I$6)),"x",""))</f>
        <v/>
      </c>
      <c r="U4030" s="52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/>
      </c>
      <c r="V4030" s="52" t="str">
        <f>IF(OR(TH!L4030=TH!$V$7,M4030=TH!$V$7),"x","")</f>
        <v/>
      </c>
      <c r="W4030" s="52" t="str">
        <f>IF(AND(B4030&gt;='IN-NX'!$P$3,B4030&lt;='IN-NX'!$Q$3,'IN-NX'!$D$7=D4030,OR(LEFT(L4030,2)="15",AND(LEFT(M4030,2)&lt;&gt;"15",LEFT(M4030,2)&lt;&gt;"33"))),"x","")</f>
        <v/>
      </c>
      <c r="X4030" s="52" t="str">
        <f>IF(AND(OR(LEFT(TH!L4030,2)="15",LEFT(TH!M4030,2)="15"),'152-CT'!$J$8=TH!F4030),"x","")</f>
        <v/>
      </c>
      <c r="Y4030" s="52" t="str">
        <f>IF(AND(OR(LEFT(TH!L4030,2)="15",LEFT(TH!M4030,2)="15"),TK!$E$7=TH!F4030),"x","")</f>
        <v/>
      </c>
      <c r="Z4030" s="52" t="str">
        <f>IF(AND(B4030&lt;=NKC!$N$8,B4030&gt;=NKC!$M$8),"x","")</f>
        <v/>
      </c>
      <c r="AA4030" s="826"/>
    </row>
    <row r="4031" spans="1:27" ht="15.75" customHeight="1">
      <c r="A4031" s="827" t="str">
        <f>IF(B4031&lt;&gt;"",IF(AND(B4031&gt;=_TM1,B4031&lt;=_TM2,OR(TH!L4031="1111",TH!M4031="1111")),TH!D4031,""),"")</f>
        <v/>
      </c>
      <c r="B4031" s="36" t="str">
        <f t="shared" si="517"/>
        <v/>
      </c>
      <c r="C4031" s="190"/>
      <c r="D4031" s="190"/>
      <c r="E4031" s="785"/>
      <c r="F4031" s="191"/>
      <c r="G4031" s="833"/>
      <c r="H4031" s="192"/>
      <c r="I4031" s="253"/>
      <c r="J4031" s="253"/>
      <c r="K4031" s="584"/>
      <c r="L4031" s="193"/>
      <c r="M4031" s="193"/>
      <c r="N4031" s="52" t="str">
        <f>IF(AND('331-CT'!$E$7=TH!H4031,OR(L4031="331",M4031="331")),"331",IF(AND(OR(L4031="131",M4031="131"),H4031='131-CT'!$E$7),"131",""))</f>
        <v/>
      </c>
      <c r="O4031" s="52" t="str">
        <f>IF(AND($B4031&gt;='111'!$N$11,$B4031&lt;='111'!$O$11,OR($L4031=$O$7,$M4031=$O$7)),"x","")</f>
        <v/>
      </c>
      <c r="P4031" s="52" t="str">
        <f>IF(AND($L4031=$O$7,$B4031&lt;'111'!$N$11),"x","")</f>
        <v/>
      </c>
      <c r="Q4031" s="52" t="str">
        <f>IF(AND($M4031=$O$7,$B4031&lt;'111'!$N$11),"x","")</f>
        <v/>
      </c>
      <c r="R4031" s="52" t="str">
        <f>IF(ISERROR(FIND('112'!$M$9,G4031,1)),"",IF((AND(FIND('112'!$M$9,G4031,1)&gt;=1,$B4031&gt;='112'!$N$8,$B4031&lt;='112'!$O$8,OR($L4031='112'!$I$6,$M4031='112'!$I$6))),"x",""))</f>
        <v/>
      </c>
      <c r="S4031" s="52" t="str">
        <f>IF(ISERROR(FIND('112'!$M$9,G4031,1)),"",IF((AND(LEFT(G4031,2)=LEFT('112'!$M$9,2),B4031&lt;'112'!$N$8,$L4031='112'!$I$6)),"x",""))</f>
        <v/>
      </c>
      <c r="T4031" s="52" t="str">
        <f>IF(ISERROR(FIND('112'!$M$9,G4031,1)),"",IF((AND(RIGHT(G4031,2)=RIGHT('112'!$M$9,2),B4031&lt;'112'!$N$8,$M4031='112'!$I$6)),"x",""))</f>
        <v/>
      </c>
      <c r="U4031" s="52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/>
      </c>
      <c r="V4031" s="52" t="str">
        <f>IF(OR(TH!L4031=TH!$V$7,M4031=TH!$V$7),"x","")</f>
        <v/>
      </c>
      <c r="W4031" s="52" t="str">
        <f>IF(AND(B4031&gt;='IN-NX'!$P$3,B4031&lt;='IN-NX'!$Q$3,'IN-NX'!$D$7=D4031,OR(LEFT(L4031,2)="15",AND(LEFT(M4031,2)&lt;&gt;"15",LEFT(M4031,2)&lt;&gt;"33"))),"x","")</f>
        <v/>
      </c>
      <c r="X4031" s="52" t="str">
        <f>IF(AND(OR(LEFT(TH!L4031,2)="15",LEFT(TH!M4031,2)="15"),'152-CT'!$J$8=TH!F4031),"x","")</f>
        <v/>
      </c>
      <c r="Y4031" s="52" t="str">
        <f>IF(AND(OR(LEFT(TH!L4031,2)="15",LEFT(TH!M4031,2)="15"),TK!$E$7=TH!F4031),"x","")</f>
        <v/>
      </c>
      <c r="Z4031" s="52" t="str">
        <f>IF(AND(B4031&lt;=NKC!$N$8,B4031&gt;=NKC!$M$8),"x","")</f>
        <v/>
      </c>
      <c r="AA4031" s="826"/>
    </row>
    <row r="4032" spans="1:27" ht="15.75" customHeight="1">
      <c r="A4032" s="827" t="str">
        <f>IF(B4032&lt;&gt;"",IF(AND(B4032&gt;=_TM1,B4032&lt;=_TM2,OR(TH!L4032="1111",TH!M4032="1111")),TH!D4032,""),"")</f>
        <v/>
      </c>
      <c r="B4032" s="36" t="str">
        <f t="shared" si="517"/>
        <v/>
      </c>
      <c r="C4032" s="190"/>
      <c r="D4032" s="190"/>
      <c r="E4032" s="785"/>
      <c r="F4032" s="191"/>
      <c r="G4032" s="833"/>
      <c r="H4032" s="192"/>
      <c r="I4032" s="253"/>
      <c r="J4032" s="253"/>
      <c r="K4032" s="584"/>
      <c r="L4032" s="193"/>
      <c r="M4032" s="193"/>
      <c r="N4032" s="52" t="str">
        <f>IF(AND('331-CT'!$E$7=TH!H4032,OR(L4032="331",M4032="331")),"331",IF(AND(OR(L4032="131",M4032="131"),H4032='131-CT'!$E$7),"131",""))</f>
        <v/>
      </c>
      <c r="O4032" s="52" t="str">
        <f>IF(AND($B4032&gt;='111'!$N$11,$B4032&lt;='111'!$O$11,OR($L4032=$O$7,$M4032=$O$7)),"x","")</f>
        <v/>
      </c>
      <c r="P4032" s="52" t="str">
        <f>IF(AND($L4032=$O$7,$B4032&lt;'111'!$N$11),"x","")</f>
        <v/>
      </c>
      <c r="Q4032" s="52" t="str">
        <f>IF(AND($M4032=$O$7,$B4032&lt;'111'!$N$11),"x","")</f>
        <v/>
      </c>
      <c r="R4032" s="52" t="str">
        <f>IF(ISERROR(FIND('112'!$M$9,G4032,1)),"",IF((AND(FIND('112'!$M$9,G4032,1)&gt;=1,$B4032&gt;='112'!$N$8,$B4032&lt;='112'!$O$8,OR($L4032='112'!$I$6,$M4032='112'!$I$6))),"x",""))</f>
        <v/>
      </c>
      <c r="S4032" s="52" t="str">
        <f>IF(ISERROR(FIND('112'!$M$9,G4032,1)),"",IF((AND(LEFT(G4032,2)=LEFT('112'!$M$9,2),B4032&lt;'112'!$N$8,$L4032='112'!$I$6)),"x",""))</f>
        <v/>
      </c>
      <c r="T4032" s="52" t="str">
        <f>IF(ISERROR(FIND('112'!$M$9,G4032,1)),"",IF((AND(RIGHT(G4032,2)=RIGHT('112'!$M$9,2),B4032&lt;'112'!$N$8,$M4032='112'!$I$6)),"x",""))</f>
        <v/>
      </c>
      <c r="U4032" s="52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/>
      </c>
      <c r="V4032" s="52" t="str">
        <f>IF(OR(TH!L4032=TH!$V$7,M4032=TH!$V$7),"x","")</f>
        <v/>
      </c>
      <c r="W4032" s="52" t="str">
        <f>IF(AND(B4032&gt;='IN-NX'!$P$3,B4032&lt;='IN-NX'!$Q$3,'IN-NX'!$D$7=D4032,OR(LEFT(L4032,2)="15",AND(LEFT(M4032,2)&lt;&gt;"15",LEFT(M4032,2)&lt;&gt;"33"))),"x","")</f>
        <v/>
      </c>
      <c r="X4032" s="52" t="str">
        <f>IF(AND(OR(LEFT(TH!L4032,2)="15",LEFT(TH!M4032,2)="15"),'152-CT'!$J$8=TH!F4032),"x","")</f>
        <v/>
      </c>
      <c r="Y4032" s="52" t="str">
        <f>IF(AND(OR(LEFT(TH!L4032,2)="15",LEFT(TH!M4032,2)="15"),TK!$E$7=TH!F4032),"x","")</f>
        <v/>
      </c>
      <c r="Z4032" s="52" t="str">
        <f>IF(AND(B4032&lt;=NKC!$N$8,B4032&gt;=NKC!$M$8),"x","")</f>
        <v/>
      </c>
      <c r="AA4032" s="826"/>
    </row>
    <row r="4033" spans="1:27" ht="15.75" customHeight="1">
      <c r="A4033" s="827" t="str">
        <f>IF(B4033&lt;&gt;"",IF(AND(B4033&gt;=_TM1,B4033&lt;=_TM2,OR(TH!L4033="1111",TH!M4033="1111")),TH!D4033,""),"")</f>
        <v/>
      </c>
      <c r="B4033" s="36" t="str">
        <f t="shared" si="517"/>
        <v/>
      </c>
      <c r="C4033" s="190"/>
      <c r="D4033" s="37"/>
      <c r="E4033" s="740"/>
      <c r="F4033" s="40"/>
      <c r="G4033" s="832"/>
      <c r="H4033" s="7"/>
      <c r="I4033" s="253"/>
      <c r="J4033" s="253"/>
      <c r="K4033" s="584"/>
      <c r="L4033" s="39"/>
      <c r="M4033" s="39"/>
      <c r="N4033" s="52" t="str">
        <f>IF(AND('331-CT'!$E$7=TH!H4033,OR(L4033="331",M4033="331")),"331",IF(AND(OR(L4033="131",M4033="131"),H4033='131-CT'!$E$7),"131",""))</f>
        <v/>
      </c>
      <c r="O4033" s="52" t="str">
        <f>IF(AND($B4033&gt;='111'!$N$11,$B4033&lt;='111'!$O$11,OR($L4033=$O$7,$M4033=$O$7)),"x","")</f>
        <v/>
      </c>
      <c r="P4033" s="52" t="str">
        <f>IF(AND($L4033=$O$7,$B4033&lt;'111'!$N$11),"x","")</f>
        <v/>
      </c>
      <c r="Q4033" s="52" t="str">
        <f>IF(AND($M4033=$O$7,$B4033&lt;'111'!$N$11),"x","")</f>
        <v/>
      </c>
      <c r="R4033" s="52" t="str">
        <f>IF(ISERROR(FIND('112'!$M$9,G4033,1)),"",IF((AND(FIND('112'!$M$9,G4033,1)&gt;=1,$B4033&gt;='112'!$N$8,$B4033&lt;='112'!$O$8,OR($L4033='112'!$I$6,$M4033='112'!$I$6))),"x",""))</f>
        <v/>
      </c>
      <c r="S4033" s="52" t="str">
        <f>IF(ISERROR(FIND('112'!$M$9,G4033,1)),"",IF((AND(LEFT(G4033,2)=LEFT('112'!$M$9,2),B4033&lt;'112'!$N$8,$L4033='112'!$I$6)),"x",""))</f>
        <v/>
      </c>
      <c r="T4033" s="52" t="str">
        <f>IF(ISERROR(FIND('112'!$M$9,G4033,1)),"",IF((AND(RIGHT(G4033,2)=RIGHT('112'!$M$9,2),B4033&lt;'112'!$N$8,$M4033='112'!$I$6)),"x",""))</f>
        <v/>
      </c>
      <c r="U4033" s="52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/>
      </c>
      <c r="V4033" s="52" t="str">
        <f>IF(OR(TH!L4033=TH!$V$7,M4033=TH!$V$7),"x","")</f>
        <v/>
      </c>
      <c r="W4033" s="52" t="str">
        <f>IF(AND(B4033&gt;='IN-NX'!$P$3,B4033&lt;='IN-NX'!$Q$3,'IN-NX'!$D$7=D4033,OR(LEFT(L4033,2)="15",AND(LEFT(M4033,2)&lt;&gt;"15",LEFT(M4033,2)&lt;&gt;"33"))),"x","")</f>
        <v/>
      </c>
      <c r="X4033" s="52" t="str">
        <f>IF(AND(OR(LEFT(TH!L4033,2)="15",LEFT(TH!M4033,2)="15"),'152-CT'!$J$8=TH!F4033),"x","")</f>
        <v/>
      </c>
      <c r="Y4033" s="52" t="str">
        <f>IF(AND(OR(LEFT(TH!L4033,2)="15",LEFT(TH!M4033,2)="15"),TK!$E$7=TH!F4033),"x","")</f>
        <v/>
      </c>
      <c r="Z4033" s="52" t="str">
        <f>IF(AND(B4033&lt;=NKC!$N$8,B4033&gt;=NKC!$M$8),"x","")</f>
        <v/>
      </c>
      <c r="AA4033" s="826"/>
    </row>
    <row r="4034" spans="1:27" ht="15.75" customHeight="1">
      <c r="A4034" s="827" t="str">
        <f>IF(B4034&lt;&gt;"",IF(AND(B4034&gt;=_TM1,B4034&lt;=_TM2,OR(TH!L4034="1111",TH!M4034="1111")),TH!D4034,""),"")</f>
        <v/>
      </c>
      <c r="B4034" s="36" t="str">
        <f t="shared" si="517"/>
        <v/>
      </c>
      <c r="C4034" s="190"/>
      <c r="D4034" s="37"/>
      <c r="E4034" s="740"/>
      <c r="F4034" s="40"/>
      <c r="G4034" s="832"/>
      <c r="H4034" s="7"/>
      <c r="I4034" s="253"/>
      <c r="J4034" s="253"/>
      <c r="K4034" s="584"/>
      <c r="L4034" s="39"/>
      <c r="M4034" s="39"/>
      <c r="N4034" s="52" t="str">
        <f>IF(AND('331-CT'!$E$7=TH!H4034,OR(L4034="331",M4034="331")),"331",IF(AND(OR(L4034="131",M4034="131"),H4034='131-CT'!$E$7),"131",""))</f>
        <v/>
      </c>
      <c r="O4034" s="52" t="str">
        <f>IF(AND($B4034&gt;='111'!$N$11,$B4034&lt;='111'!$O$11,OR($L4034=$O$7,$M4034=$O$7)),"x","")</f>
        <v/>
      </c>
      <c r="P4034" s="52" t="str">
        <f>IF(AND($L4034=$O$7,$B4034&lt;'111'!$N$11),"x","")</f>
        <v/>
      </c>
      <c r="Q4034" s="52" t="str">
        <f>IF(AND($M4034=$O$7,$B4034&lt;'111'!$N$11),"x","")</f>
        <v/>
      </c>
      <c r="R4034" s="52" t="str">
        <f>IF(ISERROR(FIND('112'!$M$9,G4034,1)),"",IF((AND(FIND('112'!$M$9,G4034,1)&gt;=1,$B4034&gt;='112'!$N$8,$B4034&lt;='112'!$O$8,OR($L4034='112'!$I$6,$M4034='112'!$I$6))),"x",""))</f>
        <v/>
      </c>
      <c r="S4034" s="52" t="str">
        <f>IF(ISERROR(FIND('112'!$M$9,G4034,1)),"",IF((AND(LEFT(G4034,2)=LEFT('112'!$M$9,2),B4034&lt;'112'!$N$8,$L4034='112'!$I$6)),"x",""))</f>
        <v/>
      </c>
      <c r="T4034" s="52" t="str">
        <f>IF(ISERROR(FIND('112'!$M$9,G4034,1)),"",IF((AND(RIGHT(G4034,2)=RIGHT('112'!$M$9,2),B4034&lt;'112'!$N$8,$M4034='112'!$I$6)),"x",""))</f>
        <v/>
      </c>
      <c r="U4034" s="52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/>
      </c>
      <c r="V4034" s="52" t="str">
        <f>IF(OR(TH!L4034=TH!$V$7,M4034=TH!$V$7),"x","")</f>
        <v/>
      </c>
      <c r="W4034" s="52" t="str">
        <f>IF(AND(B4034&gt;='IN-NX'!$P$3,B4034&lt;='IN-NX'!$Q$3,'IN-NX'!$D$7=D4034,OR(LEFT(L4034,2)="15",AND(LEFT(M4034,2)&lt;&gt;"15",LEFT(M4034,2)&lt;&gt;"33"))),"x","")</f>
        <v/>
      </c>
      <c r="X4034" s="52" t="str">
        <f>IF(AND(OR(LEFT(TH!L4034,2)="15",LEFT(TH!M4034,2)="15"),'152-CT'!$J$8=TH!F4034),"x","")</f>
        <v/>
      </c>
      <c r="Y4034" s="52" t="str">
        <f>IF(AND(OR(LEFT(TH!L4034,2)="15",LEFT(TH!M4034,2)="15"),TK!$E$7=TH!F4034),"x","")</f>
        <v/>
      </c>
      <c r="Z4034" s="52" t="str">
        <f>IF(AND(B4034&lt;=NKC!$N$8,B4034&gt;=NKC!$M$8),"x","")</f>
        <v/>
      </c>
      <c r="AA4034" s="826"/>
    </row>
    <row r="4035" spans="1:27" ht="15.75" customHeight="1">
      <c r="A4035" s="827" t="str">
        <f>IF(B4035&lt;&gt;"",IF(AND(B4035&gt;=_TM1,B4035&lt;=_TM2,OR(TH!L4035="1111",TH!M4035="1111")),TH!D4035,""),"")</f>
        <v/>
      </c>
      <c r="B4035" s="36" t="str">
        <f t="shared" si="517"/>
        <v/>
      </c>
      <c r="C4035" s="190"/>
      <c r="D4035" s="37"/>
      <c r="E4035" s="740"/>
      <c r="F4035" s="40"/>
      <c r="G4035" s="832"/>
      <c r="H4035" s="7"/>
      <c r="I4035" s="253"/>
      <c r="J4035" s="253"/>
      <c r="K4035" s="584"/>
      <c r="L4035" s="39"/>
      <c r="M4035" s="39"/>
      <c r="N4035" s="52" t="str">
        <f>IF(AND('331-CT'!$E$7=TH!H4035,OR(L4035="331",M4035="331")),"331",IF(AND(OR(L4035="131",M4035="131"),H4035='131-CT'!$E$7),"131",""))</f>
        <v/>
      </c>
      <c r="O4035" s="52" t="str">
        <f>IF(AND($B4035&gt;='111'!$N$11,$B4035&lt;='111'!$O$11,OR($L4035=$O$7,$M4035=$O$7)),"x","")</f>
        <v/>
      </c>
      <c r="P4035" s="52" t="str">
        <f>IF(AND($L4035=$O$7,$B4035&lt;'111'!$N$11),"x","")</f>
        <v/>
      </c>
      <c r="Q4035" s="52" t="str">
        <f>IF(AND($M4035=$O$7,$B4035&lt;'111'!$N$11),"x","")</f>
        <v/>
      </c>
      <c r="R4035" s="52" t="str">
        <f>IF(ISERROR(FIND('112'!$M$9,G4035,1)),"",IF((AND(FIND('112'!$M$9,G4035,1)&gt;=1,$B4035&gt;='112'!$N$8,$B4035&lt;='112'!$O$8,OR($L4035='112'!$I$6,$M4035='112'!$I$6))),"x",""))</f>
        <v/>
      </c>
      <c r="S4035" s="52" t="str">
        <f>IF(ISERROR(FIND('112'!$M$9,G4035,1)),"",IF((AND(LEFT(G4035,2)=LEFT('112'!$M$9,2),B4035&lt;'112'!$N$8,$L4035='112'!$I$6)),"x",""))</f>
        <v/>
      </c>
      <c r="T4035" s="52" t="str">
        <f>IF(ISERROR(FIND('112'!$M$9,G4035,1)),"",IF((AND(RIGHT(G4035,2)=RIGHT('112'!$M$9,2),B4035&lt;'112'!$N$8,$M4035='112'!$I$6)),"x",""))</f>
        <v/>
      </c>
      <c r="U4035" s="52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/>
      </c>
      <c r="V4035" s="52" t="str">
        <f>IF(OR(TH!L4035=TH!$V$7,M4035=TH!$V$7),"x","")</f>
        <v/>
      </c>
      <c r="W4035" s="52" t="str">
        <f>IF(AND(B4035&gt;='IN-NX'!$P$3,B4035&lt;='IN-NX'!$Q$3,'IN-NX'!$D$7=D4035,OR(LEFT(L4035,2)="15",AND(LEFT(M4035,2)&lt;&gt;"15",LEFT(M4035,2)&lt;&gt;"33"))),"x","")</f>
        <v/>
      </c>
      <c r="X4035" s="52" t="str">
        <f>IF(AND(OR(LEFT(TH!L4035,2)="15",LEFT(TH!M4035,2)="15"),'152-CT'!$J$8=TH!F4035),"x","")</f>
        <v/>
      </c>
      <c r="Y4035" s="52" t="str">
        <f>IF(AND(OR(LEFT(TH!L4035,2)="15",LEFT(TH!M4035,2)="15"),TK!$E$7=TH!F4035),"x","")</f>
        <v/>
      </c>
      <c r="Z4035" s="52" t="str">
        <f>IF(AND(B4035&lt;=NKC!$N$8,B4035&gt;=NKC!$M$8),"x","")</f>
        <v/>
      </c>
      <c r="AA4035" s="826"/>
    </row>
    <row r="4036" spans="1:27" ht="15.75" customHeight="1">
      <c r="A4036" s="827" t="str">
        <f>IF(B4036&lt;&gt;"",IF(AND(B4036&gt;=_TM1,B4036&lt;=_TM2,OR(TH!L4036="1111",TH!M4036="1111")),TH!D4036,""),"")</f>
        <v/>
      </c>
      <c r="B4036" s="36" t="str">
        <f t="shared" si="517"/>
        <v/>
      </c>
      <c r="C4036" s="190"/>
      <c r="D4036" s="37"/>
      <c r="E4036" s="740"/>
      <c r="F4036" s="40"/>
      <c r="G4036" s="832"/>
      <c r="H4036" s="7"/>
      <c r="I4036" s="253"/>
      <c r="J4036" s="253"/>
      <c r="K4036" s="584"/>
      <c r="L4036" s="39"/>
      <c r="M4036" s="39"/>
      <c r="N4036" s="52" t="str">
        <f>IF(AND('331-CT'!$E$7=TH!H4036,OR(L4036="331",M4036="331")),"331",IF(AND(OR(L4036="131",M4036="131"),H4036='131-CT'!$E$7),"131",""))</f>
        <v/>
      </c>
      <c r="O4036" s="52" t="str">
        <f>IF(AND($B4036&gt;='111'!$N$11,$B4036&lt;='111'!$O$11,OR($L4036=$O$7,$M4036=$O$7)),"x","")</f>
        <v/>
      </c>
      <c r="P4036" s="52" t="str">
        <f>IF(AND($L4036=$O$7,$B4036&lt;'111'!$N$11),"x","")</f>
        <v/>
      </c>
      <c r="Q4036" s="52" t="str">
        <f>IF(AND($M4036=$O$7,$B4036&lt;'111'!$N$11),"x","")</f>
        <v/>
      </c>
      <c r="R4036" s="52" t="str">
        <f>IF(ISERROR(FIND('112'!$M$9,G4036,1)),"",IF((AND(FIND('112'!$M$9,G4036,1)&gt;=1,$B4036&gt;='112'!$N$8,$B4036&lt;='112'!$O$8,OR($L4036='112'!$I$6,$M4036='112'!$I$6))),"x",""))</f>
        <v/>
      </c>
      <c r="S4036" s="52" t="str">
        <f>IF(ISERROR(FIND('112'!$M$9,G4036,1)),"",IF((AND(LEFT(G4036,2)=LEFT('112'!$M$9,2),B4036&lt;'112'!$N$8,$L4036='112'!$I$6)),"x",""))</f>
        <v/>
      </c>
      <c r="T4036" s="52" t="str">
        <f>IF(ISERROR(FIND('112'!$M$9,G4036,1)),"",IF((AND(RIGHT(G4036,2)=RIGHT('112'!$M$9,2),B4036&lt;'112'!$N$8,$M4036='112'!$I$6)),"x",""))</f>
        <v/>
      </c>
      <c r="U4036" s="52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/>
      </c>
      <c r="V4036" s="52" t="str">
        <f>IF(OR(TH!L4036=TH!$V$7,M4036=TH!$V$7),"x","")</f>
        <v/>
      </c>
      <c r="W4036" s="52" t="str">
        <f>IF(AND(B4036&gt;='IN-NX'!$P$3,B4036&lt;='IN-NX'!$Q$3,'IN-NX'!$D$7=D4036,OR(LEFT(L4036,2)="15",AND(LEFT(M4036,2)&lt;&gt;"15",LEFT(M4036,2)&lt;&gt;"33"))),"x","")</f>
        <v/>
      </c>
      <c r="X4036" s="52" t="str">
        <f>IF(AND(OR(LEFT(TH!L4036,2)="15",LEFT(TH!M4036,2)="15"),'152-CT'!$J$8=TH!F4036),"x","")</f>
        <v/>
      </c>
      <c r="Y4036" s="52" t="str">
        <f>IF(AND(OR(LEFT(TH!L4036,2)="15",LEFT(TH!M4036,2)="15"),TK!$E$7=TH!F4036),"x","")</f>
        <v/>
      </c>
      <c r="Z4036" s="52" t="str">
        <f>IF(AND(B4036&lt;=NKC!$N$8,B4036&gt;=NKC!$M$8),"x","")</f>
        <v/>
      </c>
      <c r="AA4036" s="826"/>
    </row>
    <row r="4037" spans="1:27" ht="15.75" customHeight="1">
      <c r="A4037" s="827" t="str">
        <f>IF(B4037&lt;&gt;"",IF(AND(B4037&gt;=_TM1,B4037&lt;=_TM2,OR(TH!L4037="1111",TH!M4037="1111")),TH!D4037,""),"")</f>
        <v/>
      </c>
      <c r="B4037" s="36" t="str">
        <f t="shared" si="517"/>
        <v/>
      </c>
      <c r="C4037" s="190"/>
      <c r="D4037" s="37"/>
      <c r="E4037" s="740"/>
      <c r="F4037" s="40"/>
      <c r="G4037" s="832"/>
      <c r="H4037" s="7"/>
      <c r="I4037" s="253"/>
      <c r="J4037" s="253"/>
      <c r="K4037" s="584"/>
      <c r="L4037" s="39"/>
      <c r="M4037" s="39"/>
      <c r="N4037" s="52" t="str">
        <f>IF(AND('331-CT'!$E$7=TH!H4037,OR(L4037="331",M4037="331")),"331",IF(AND(OR(L4037="131",M4037="131"),H4037='131-CT'!$E$7),"131",""))</f>
        <v/>
      </c>
      <c r="O4037" s="52" t="str">
        <f>IF(AND($B4037&gt;='111'!$N$11,$B4037&lt;='111'!$O$11,OR($L4037=$O$7,$M4037=$O$7)),"x","")</f>
        <v/>
      </c>
      <c r="P4037" s="52" t="str">
        <f>IF(AND($L4037=$O$7,$B4037&lt;'111'!$N$11),"x","")</f>
        <v/>
      </c>
      <c r="Q4037" s="52" t="str">
        <f>IF(AND($M4037=$O$7,$B4037&lt;'111'!$N$11),"x","")</f>
        <v/>
      </c>
      <c r="R4037" s="52" t="str">
        <f>IF(ISERROR(FIND('112'!$M$9,G4037,1)),"",IF((AND(FIND('112'!$M$9,G4037,1)&gt;=1,$B4037&gt;='112'!$N$8,$B4037&lt;='112'!$O$8,OR($L4037='112'!$I$6,$M4037='112'!$I$6))),"x",""))</f>
        <v/>
      </c>
      <c r="S4037" s="52" t="str">
        <f>IF(ISERROR(FIND('112'!$M$9,G4037,1)),"",IF((AND(LEFT(G4037,2)=LEFT('112'!$M$9,2),B4037&lt;'112'!$N$8,$L4037='112'!$I$6)),"x",""))</f>
        <v/>
      </c>
      <c r="T4037" s="52" t="str">
        <f>IF(ISERROR(FIND('112'!$M$9,G4037,1)),"",IF((AND(RIGHT(G4037,2)=RIGHT('112'!$M$9,2),B4037&lt;'112'!$N$8,$M4037='112'!$I$6)),"x",""))</f>
        <v/>
      </c>
      <c r="U4037" s="52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/>
      </c>
      <c r="V4037" s="52" t="str">
        <f>IF(OR(TH!L4037=TH!$V$7,M4037=TH!$V$7),"x","")</f>
        <v/>
      </c>
      <c r="W4037" s="52" t="str">
        <f>IF(AND(B4037&gt;='IN-NX'!$P$3,B4037&lt;='IN-NX'!$Q$3,'IN-NX'!$D$7=D4037,OR(LEFT(L4037,2)="15",AND(LEFT(M4037,2)&lt;&gt;"15",LEFT(M4037,2)&lt;&gt;"33"))),"x","")</f>
        <v/>
      </c>
      <c r="X4037" s="52" t="str">
        <f>IF(AND(OR(LEFT(TH!L4037,2)="15",LEFT(TH!M4037,2)="15"),'152-CT'!$J$8=TH!F4037),"x","")</f>
        <v/>
      </c>
      <c r="Y4037" s="52" t="str">
        <f>IF(AND(OR(LEFT(TH!L4037,2)="15",LEFT(TH!M4037,2)="15"),TK!$E$7=TH!F4037),"x","")</f>
        <v/>
      </c>
      <c r="Z4037" s="52" t="str">
        <f>IF(AND(B4037&lt;=NKC!$N$8,B4037&gt;=NKC!$M$8),"x","")</f>
        <v/>
      </c>
      <c r="AA4037" s="826"/>
    </row>
    <row r="4038" spans="1:27" ht="15.75" customHeight="1">
      <c r="A4038" s="827" t="str">
        <f>IF(B4038&lt;&gt;"",IF(AND(B4038&gt;=_TM1,B4038&lt;=_TM2,OR(TH!L4038="1111",TH!M4038="1111")),TH!D4038,""),"")</f>
        <v/>
      </c>
      <c r="B4038" s="36" t="str">
        <f t="shared" si="517"/>
        <v/>
      </c>
      <c r="C4038" s="190"/>
      <c r="D4038" s="37"/>
      <c r="E4038" s="740"/>
      <c r="F4038" s="40"/>
      <c r="G4038" s="832"/>
      <c r="H4038" s="7"/>
      <c r="I4038" s="253"/>
      <c r="J4038" s="253"/>
      <c r="K4038" s="584"/>
      <c r="L4038" s="39"/>
      <c r="M4038" s="39"/>
      <c r="N4038" s="52" t="str">
        <f>IF(AND('331-CT'!$E$7=TH!H4038,OR(L4038="331",M4038="331")),"331",IF(AND(OR(L4038="131",M4038="131"),H4038='131-CT'!$E$7),"131",""))</f>
        <v/>
      </c>
      <c r="O4038" s="52" t="str">
        <f>IF(AND($B4038&gt;='111'!$N$11,$B4038&lt;='111'!$O$11,OR($L4038=$O$7,$M4038=$O$7)),"x","")</f>
        <v/>
      </c>
      <c r="P4038" s="52" t="str">
        <f>IF(AND($L4038=$O$7,$B4038&lt;'111'!$N$11),"x","")</f>
        <v/>
      </c>
      <c r="Q4038" s="52" t="str">
        <f>IF(AND($M4038=$O$7,$B4038&lt;'111'!$N$11),"x","")</f>
        <v/>
      </c>
      <c r="R4038" s="52" t="str">
        <f>IF(ISERROR(FIND('112'!$M$9,G4038,1)),"",IF((AND(FIND('112'!$M$9,G4038,1)&gt;=1,$B4038&gt;='112'!$N$8,$B4038&lt;='112'!$O$8,OR($L4038='112'!$I$6,$M4038='112'!$I$6))),"x",""))</f>
        <v/>
      </c>
      <c r="S4038" s="52" t="str">
        <f>IF(ISERROR(FIND('112'!$M$9,G4038,1)),"",IF((AND(LEFT(G4038,2)=LEFT('112'!$M$9,2),B4038&lt;'112'!$N$8,$L4038='112'!$I$6)),"x",""))</f>
        <v/>
      </c>
      <c r="T4038" s="52" t="str">
        <f>IF(ISERROR(FIND('112'!$M$9,G4038,1)),"",IF((AND(RIGHT(G4038,2)=RIGHT('112'!$M$9,2),B4038&lt;'112'!$N$8,$M4038='112'!$I$6)),"x",""))</f>
        <v/>
      </c>
      <c r="U4038" s="52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/>
      </c>
      <c r="V4038" s="52" t="str">
        <f>IF(OR(TH!L4038=TH!$V$7,M4038=TH!$V$7),"x","")</f>
        <v/>
      </c>
      <c r="W4038" s="52" t="str">
        <f>IF(AND(B4038&gt;='IN-NX'!$P$3,B4038&lt;='IN-NX'!$Q$3,'IN-NX'!$D$7=D4038,OR(LEFT(L4038,2)="15",AND(LEFT(M4038,2)&lt;&gt;"15",LEFT(M4038,2)&lt;&gt;"33"))),"x","")</f>
        <v/>
      </c>
      <c r="X4038" s="52" t="str">
        <f>IF(AND(OR(LEFT(TH!L4038,2)="15",LEFT(TH!M4038,2)="15"),'152-CT'!$J$8=TH!F4038),"x","")</f>
        <v/>
      </c>
      <c r="Y4038" s="52" t="str">
        <f>IF(AND(OR(LEFT(TH!L4038,2)="15",LEFT(TH!M4038,2)="15"),TK!$E$7=TH!F4038),"x","")</f>
        <v/>
      </c>
      <c r="Z4038" s="52" t="str">
        <f>IF(AND(B4038&lt;=NKC!$N$8,B4038&gt;=NKC!$M$8),"x","")</f>
        <v/>
      </c>
      <c r="AA4038" s="826"/>
    </row>
    <row r="4039" spans="1:27" ht="15.75" customHeight="1">
      <c r="A4039" s="827" t="str">
        <f>IF(B4039&lt;&gt;"",IF(AND(B4039&gt;=_TM1,B4039&lt;=_TM2,OR(TH!L4039="1111",TH!M4039="1111")),TH!D4039,""),"")</f>
        <v/>
      </c>
      <c r="B4039" s="36" t="str">
        <f t="shared" si="517"/>
        <v/>
      </c>
      <c r="C4039" s="190"/>
      <c r="D4039" s="37"/>
      <c r="E4039" s="740"/>
      <c r="F4039" s="40"/>
      <c r="G4039" s="832"/>
      <c r="H4039" s="7"/>
      <c r="I4039" s="253"/>
      <c r="J4039" s="253"/>
      <c r="K4039" s="584"/>
      <c r="L4039" s="39"/>
      <c r="M4039" s="39"/>
      <c r="N4039" s="52" t="str">
        <f>IF(AND('331-CT'!$E$7=TH!H4039,OR(L4039="331",M4039="331")),"331",IF(AND(OR(L4039="131",M4039="131"),H4039='131-CT'!$E$7),"131",""))</f>
        <v/>
      </c>
      <c r="O4039" s="52" t="str">
        <f>IF(AND($B4039&gt;='111'!$N$11,$B4039&lt;='111'!$O$11,OR($L4039=$O$7,$M4039=$O$7)),"x","")</f>
        <v/>
      </c>
      <c r="P4039" s="52" t="str">
        <f>IF(AND($L4039=$O$7,$B4039&lt;'111'!$N$11),"x","")</f>
        <v/>
      </c>
      <c r="Q4039" s="52" t="str">
        <f>IF(AND($M4039=$O$7,$B4039&lt;'111'!$N$11),"x","")</f>
        <v/>
      </c>
      <c r="R4039" s="52" t="str">
        <f>IF(ISERROR(FIND('112'!$M$9,G4039,1)),"",IF((AND(FIND('112'!$M$9,G4039,1)&gt;=1,$B4039&gt;='112'!$N$8,$B4039&lt;='112'!$O$8,OR($L4039='112'!$I$6,$M4039='112'!$I$6))),"x",""))</f>
        <v/>
      </c>
      <c r="S4039" s="52" t="str">
        <f>IF(ISERROR(FIND('112'!$M$9,G4039,1)),"",IF((AND(LEFT(G4039,2)=LEFT('112'!$M$9,2),B4039&lt;'112'!$N$8,$L4039='112'!$I$6)),"x",""))</f>
        <v/>
      </c>
      <c r="T4039" s="52" t="str">
        <f>IF(ISERROR(FIND('112'!$M$9,G4039,1)),"",IF((AND(RIGHT(G4039,2)=RIGHT('112'!$M$9,2),B4039&lt;'112'!$N$8,$M4039='112'!$I$6)),"x",""))</f>
        <v/>
      </c>
      <c r="U4039" s="52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/>
      </c>
      <c r="V4039" s="52" t="str">
        <f>IF(OR(TH!L4039=TH!$V$7,M4039=TH!$V$7),"x","")</f>
        <v/>
      </c>
      <c r="W4039" s="52" t="str">
        <f>IF(AND(B4039&gt;='IN-NX'!$P$3,B4039&lt;='IN-NX'!$Q$3,'IN-NX'!$D$7=D4039,OR(LEFT(L4039,2)="15",AND(LEFT(M4039,2)&lt;&gt;"15",LEFT(M4039,2)&lt;&gt;"33"))),"x","")</f>
        <v/>
      </c>
      <c r="X4039" s="52" t="str">
        <f>IF(AND(OR(LEFT(TH!L4039,2)="15",LEFT(TH!M4039,2)="15"),'152-CT'!$J$8=TH!F4039),"x","")</f>
        <v/>
      </c>
      <c r="Y4039" s="52" t="str">
        <f>IF(AND(OR(LEFT(TH!L4039,2)="15",LEFT(TH!M4039,2)="15"),TK!$E$7=TH!F4039),"x","")</f>
        <v/>
      </c>
      <c r="Z4039" s="52" t="str">
        <f>IF(AND(B4039&lt;=NKC!$N$8,B4039&gt;=NKC!$M$8),"x","")</f>
        <v/>
      </c>
      <c r="AA4039" s="826"/>
    </row>
    <row r="4040" spans="1:27" ht="15.75" customHeight="1">
      <c r="A4040" s="827" t="str">
        <f>IF(B4040&lt;&gt;"",IF(AND(B4040&gt;=_TM1,B4040&lt;=_TM2,OR(TH!L4040="1111",TH!M4040="1111")),TH!D4040,""),"")</f>
        <v/>
      </c>
      <c r="B4040" s="36" t="str">
        <f t="shared" si="517"/>
        <v/>
      </c>
      <c r="C4040" s="190"/>
      <c r="D4040" s="37"/>
      <c r="E4040" s="740"/>
      <c r="F4040" s="191"/>
      <c r="G4040" s="833"/>
      <c r="H4040" s="192"/>
      <c r="I4040" s="253"/>
      <c r="J4040" s="253"/>
      <c r="K4040" s="584"/>
      <c r="L4040" s="39"/>
      <c r="M4040" s="39"/>
      <c r="N4040" s="52" t="str">
        <f>IF(AND('331-CT'!$E$7=TH!H4040,OR(L4040="331",M4040="331")),"331",IF(AND(OR(L4040="131",M4040="131"),H4040='131-CT'!$E$7),"131",""))</f>
        <v/>
      </c>
      <c r="O4040" s="52" t="str">
        <f>IF(AND($B4040&gt;='111'!$N$11,$B4040&lt;='111'!$O$11,OR($L4040=$O$7,$M4040=$O$7)),"x","")</f>
        <v/>
      </c>
      <c r="P4040" s="52" t="str">
        <f>IF(AND($L4040=$O$7,$B4040&lt;'111'!$N$11),"x","")</f>
        <v/>
      </c>
      <c r="Q4040" s="52" t="str">
        <f>IF(AND($M4040=$O$7,$B4040&lt;'111'!$N$11),"x","")</f>
        <v/>
      </c>
      <c r="R4040" s="52" t="str">
        <f>IF(ISERROR(FIND('112'!$M$9,G4040,1)),"",IF((AND(FIND('112'!$M$9,G4040,1)&gt;=1,$B4040&gt;='112'!$N$8,$B4040&lt;='112'!$O$8,OR($L4040='112'!$I$6,$M4040='112'!$I$6))),"x",""))</f>
        <v/>
      </c>
      <c r="S4040" s="52" t="str">
        <f>IF(ISERROR(FIND('112'!$M$9,G4040,1)),"",IF((AND(LEFT(G4040,2)=LEFT('112'!$M$9,2),B4040&lt;'112'!$N$8,$L4040='112'!$I$6)),"x",""))</f>
        <v/>
      </c>
      <c r="T4040" s="52" t="str">
        <f>IF(ISERROR(FIND('112'!$M$9,G4040,1)),"",IF((AND(RIGHT(G4040,2)=RIGHT('112'!$M$9,2),B4040&lt;'112'!$N$8,$M4040='112'!$I$6)),"x",""))</f>
        <v/>
      </c>
      <c r="U4040" s="52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/>
      </c>
      <c r="V4040" s="52" t="str">
        <f>IF(OR(TH!L4040=TH!$V$7,M4040=TH!$V$7),"x","")</f>
        <v/>
      </c>
      <c r="W4040" s="52" t="str">
        <f>IF(AND(B4040&gt;='IN-NX'!$P$3,B4040&lt;='IN-NX'!$Q$3,'IN-NX'!$D$7=D4040,OR(LEFT(L4040,2)="15",AND(LEFT(M4040,2)&lt;&gt;"15",LEFT(M4040,2)&lt;&gt;"33"))),"x","")</f>
        <v/>
      </c>
      <c r="X4040" s="52" t="str">
        <f>IF(AND(OR(LEFT(TH!L4040,2)="15",LEFT(TH!M4040,2)="15"),'152-CT'!$J$8=TH!F4040),"x","")</f>
        <v/>
      </c>
      <c r="Y4040" s="52" t="str">
        <f>IF(AND(OR(LEFT(TH!L4040,2)="15",LEFT(TH!M4040,2)="15"),TK!$E$7=TH!F4040),"x","")</f>
        <v/>
      </c>
      <c r="Z4040" s="52" t="str">
        <f>IF(AND(B4040&lt;=NKC!$N$8,B4040&gt;=NKC!$M$8),"x","")</f>
        <v/>
      </c>
      <c r="AA4040" s="826"/>
    </row>
    <row r="4041" spans="1:27" ht="15.75" customHeight="1">
      <c r="A4041" s="827" t="str">
        <f>IF(B4041&lt;&gt;"",IF(AND(B4041&gt;=_TM1,B4041&lt;=_TM2,OR(TH!L4041="1111",TH!M4041="1111")),TH!D4041,""),"")</f>
        <v/>
      </c>
      <c r="B4041" s="36" t="str">
        <f t="shared" si="517"/>
        <v/>
      </c>
      <c r="C4041" s="190"/>
      <c r="D4041" s="37"/>
      <c r="E4041" s="740"/>
      <c r="F4041" s="191"/>
      <c r="G4041" s="833"/>
      <c r="H4041" s="192"/>
      <c r="I4041" s="253"/>
      <c r="J4041" s="253"/>
      <c r="K4041" s="584"/>
      <c r="L4041" s="39"/>
      <c r="M4041" s="39"/>
      <c r="N4041" s="52" t="str">
        <f>IF(AND('331-CT'!$E$7=TH!H4041,OR(L4041="331",M4041="331")),"331",IF(AND(OR(L4041="131",M4041="131"),H4041='131-CT'!$E$7),"131",""))</f>
        <v/>
      </c>
      <c r="O4041" s="52" t="str">
        <f>IF(AND($B4041&gt;='111'!$N$11,$B4041&lt;='111'!$O$11,OR($L4041=$O$7,$M4041=$O$7)),"x","")</f>
        <v/>
      </c>
      <c r="P4041" s="52" t="str">
        <f>IF(AND($L4041=$O$7,$B4041&lt;'111'!$N$11),"x","")</f>
        <v/>
      </c>
      <c r="Q4041" s="52" t="str">
        <f>IF(AND($M4041=$O$7,$B4041&lt;'111'!$N$11),"x","")</f>
        <v/>
      </c>
      <c r="R4041" s="52" t="str">
        <f>IF(ISERROR(FIND('112'!$M$9,G4041,1)),"",IF((AND(FIND('112'!$M$9,G4041,1)&gt;=1,$B4041&gt;='112'!$N$8,$B4041&lt;='112'!$O$8,OR($L4041='112'!$I$6,$M4041='112'!$I$6))),"x",""))</f>
        <v/>
      </c>
      <c r="S4041" s="52" t="str">
        <f>IF(ISERROR(FIND('112'!$M$9,G4041,1)),"",IF((AND(LEFT(G4041,2)=LEFT('112'!$M$9,2),B4041&lt;'112'!$N$8,$L4041='112'!$I$6)),"x",""))</f>
        <v/>
      </c>
      <c r="T4041" s="52" t="str">
        <f>IF(ISERROR(FIND('112'!$M$9,G4041,1)),"",IF((AND(RIGHT(G4041,2)=RIGHT('112'!$M$9,2),B4041&lt;'112'!$N$8,$M4041='112'!$I$6)),"x",""))</f>
        <v/>
      </c>
      <c r="U4041" s="52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/>
      </c>
      <c r="V4041" s="52" t="str">
        <f>IF(OR(TH!L4041=TH!$V$7,M4041=TH!$V$7),"x","")</f>
        <v/>
      </c>
      <c r="W4041" s="52" t="str">
        <f>IF(AND(B4041&gt;='IN-NX'!$P$3,B4041&lt;='IN-NX'!$Q$3,'IN-NX'!$D$7=D4041,OR(LEFT(L4041,2)="15",AND(LEFT(M4041,2)&lt;&gt;"15",LEFT(M4041,2)&lt;&gt;"33"))),"x","")</f>
        <v/>
      </c>
      <c r="X4041" s="52" t="str">
        <f>IF(AND(OR(LEFT(TH!L4041,2)="15",LEFT(TH!M4041,2)="15"),'152-CT'!$J$8=TH!F4041),"x","")</f>
        <v/>
      </c>
      <c r="Y4041" s="52" t="str">
        <f>IF(AND(OR(LEFT(TH!L4041,2)="15",LEFT(TH!M4041,2)="15"),TK!$E$7=TH!F4041),"x","")</f>
        <v/>
      </c>
      <c r="Z4041" s="52" t="str">
        <f>IF(AND(B4041&lt;=NKC!$N$8,B4041&gt;=NKC!$M$8),"x","")</f>
        <v/>
      </c>
      <c r="AA4041" s="826"/>
    </row>
    <row r="4042" spans="1:27" ht="15.75" customHeight="1">
      <c r="A4042" s="827" t="str">
        <f>IF(B4042&lt;&gt;"",IF(AND(B4042&gt;=_TM1,B4042&lt;=_TM2,OR(TH!L4042="1111",TH!M4042="1111")),TH!D4042,""),"")</f>
        <v/>
      </c>
      <c r="B4042" s="36" t="str">
        <f t="shared" si="517"/>
        <v/>
      </c>
      <c r="C4042" s="190"/>
      <c r="D4042" s="37"/>
      <c r="E4042" s="740"/>
      <c r="F4042" s="191"/>
      <c r="G4042" s="833"/>
      <c r="H4042" s="192"/>
      <c r="I4042" s="253"/>
      <c r="J4042" s="253"/>
      <c r="K4042" s="584"/>
      <c r="L4042" s="39"/>
      <c r="M4042" s="39"/>
      <c r="N4042" s="52" t="str">
        <f>IF(AND('331-CT'!$E$7=TH!H4042,OR(L4042="331",M4042="331")),"331",IF(AND(OR(L4042="131",M4042="131"),H4042='131-CT'!$E$7),"131",""))</f>
        <v/>
      </c>
      <c r="O4042" s="52" t="str">
        <f>IF(AND($B4042&gt;='111'!$N$11,$B4042&lt;='111'!$O$11,OR($L4042=$O$7,$M4042=$O$7)),"x","")</f>
        <v/>
      </c>
      <c r="P4042" s="52" t="str">
        <f>IF(AND($L4042=$O$7,$B4042&lt;'111'!$N$11),"x","")</f>
        <v/>
      </c>
      <c r="Q4042" s="52" t="str">
        <f>IF(AND($M4042=$O$7,$B4042&lt;'111'!$N$11),"x","")</f>
        <v/>
      </c>
      <c r="R4042" s="52" t="str">
        <f>IF(ISERROR(FIND('112'!$M$9,G4042,1)),"",IF((AND(FIND('112'!$M$9,G4042,1)&gt;=1,$B4042&gt;='112'!$N$8,$B4042&lt;='112'!$O$8,OR($L4042='112'!$I$6,$M4042='112'!$I$6))),"x",""))</f>
        <v/>
      </c>
      <c r="S4042" s="52" t="str">
        <f>IF(ISERROR(FIND('112'!$M$9,G4042,1)),"",IF((AND(LEFT(G4042,2)=LEFT('112'!$M$9,2),B4042&lt;'112'!$N$8,$L4042='112'!$I$6)),"x",""))</f>
        <v/>
      </c>
      <c r="T4042" s="52" t="str">
        <f>IF(ISERROR(FIND('112'!$M$9,G4042,1)),"",IF((AND(RIGHT(G4042,2)=RIGHT('112'!$M$9,2),B4042&lt;'112'!$N$8,$M4042='112'!$I$6)),"x",""))</f>
        <v/>
      </c>
      <c r="U4042" s="52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/>
      </c>
      <c r="V4042" s="52" t="str">
        <f>IF(OR(TH!L4042=TH!$V$7,M4042=TH!$V$7),"x","")</f>
        <v/>
      </c>
      <c r="W4042" s="52" t="str">
        <f>IF(AND(B4042&gt;='IN-NX'!$P$3,B4042&lt;='IN-NX'!$Q$3,'IN-NX'!$D$7=D4042,OR(LEFT(L4042,2)="15",AND(LEFT(M4042,2)&lt;&gt;"15",LEFT(M4042,2)&lt;&gt;"33"))),"x","")</f>
        <v/>
      </c>
      <c r="X4042" s="52" t="str">
        <f>IF(AND(OR(LEFT(TH!L4042,2)="15",LEFT(TH!M4042,2)="15"),'152-CT'!$J$8=TH!F4042),"x","")</f>
        <v/>
      </c>
      <c r="Y4042" s="52" t="str">
        <f>IF(AND(OR(LEFT(TH!L4042,2)="15",LEFT(TH!M4042,2)="15"),TK!$E$7=TH!F4042),"x","")</f>
        <v/>
      </c>
      <c r="Z4042" s="52" t="str">
        <f>IF(AND(B4042&lt;=NKC!$N$8,B4042&gt;=NKC!$M$8),"x","")</f>
        <v/>
      </c>
      <c r="AA4042" s="826"/>
    </row>
    <row r="4043" spans="1:27" ht="15.75" customHeight="1">
      <c r="A4043" s="827" t="str">
        <f>IF(B4043&lt;&gt;"",IF(AND(B4043&gt;=_TM1,B4043&lt;=_TM2,OR(TH!L4043="1111",TH!M4043="1111")),TH!D4043,""),"")</f>
        <v/>
      </c>
      <c r="B4043" s="36" t="str">
        <f t="shared" si="517"/>
        <v/>
      </c>
      <c r="C4043" s="190"/>
      <c r="D4043" s="37"/>
      <c r="E4043" s="740"/>
      <c r="F4043" s="191"/>
      <c r="G4043" s="833"/>
      <c r="H4043" s="192"/>
      <c r="I4043" s="253"/>
      <c r="J4043" s="253"/>
      <c r="K4043" s="584"/>
      <c r="L4043" s="39"/>
      <c r="M4043" s="39"/>
      <c r="N4043" s="52" t="str">
        <f>IF(AND('331-CT'!$E$7=TH!H4043,OR(L4043="331",M4043="331")),"331",IF(AND(OR(L4043="131",M4043="131"),H4043='131-CT'!$E$7),"131",""))</f>
        <v/>
      </c>
      <c r="O4043" s="52" t="str">
        <f>IF(AND($B4043&gt;='111'!$N$11,$B4043&lt;='111'!$O$11,OR($L4043=$O$7,$M4043=$O$7)),"x","")</f>
        <v/>
      </c>
      <c r="P4043" s="52" t="str">
        <f>IF(AND($L4043=$O$7,$B4043&lt;'111'!$N$11),"x","")</f>
        <v/>
      </c>
      <c r="Q4043" s="52" t="str">
        <f>IF(AND($M4043=$O$7,$B4043&lt;'111'!$N$11),"x","")</f>
        <v/>
      </c>
      <c r="R4043" s="52" t="str">
        <f>IF(ISERROR(FIND('112'!$M$9,G4043,1)),"",IF((AND(FIND('112'!$M$9,G4043,1)&gt;=1,$B4043&gt;='112'!$N$8,$B4043&lt;='112'!$O$8,OR($L4043='112'!$I$6,$M4043='112'!$I$6))),"x",""))</f>
        <v/>
      </c>
      <c r="S4043" s="52" t="str">
        <f>IF(ISERROR(FIND('112'!$M$9,G4043,1)),"",IF((AND(LEFT(G4043,2)=LEFT('112'!$M$9,2),B4043&lt;'112'!$N$8,$L4043='112'!$I$6)),"x",""))</f>
        <v/>
      </c>
      <c r="T4043" s="52" t="str">
        <f>IF(ISERROR(FIND('112'!$M$9,G4043,1)),"",IF((AND(RIGHT(G4043,2)=RIGHT('112'!$M$9,2),B4043&lt;'112'!$N$8,$M4043='112'!$I$6)),"x",""))</f>
        <v/>
      </c>
      <c r="U4043" s="52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/>
      </c>
      <c r="V4043" s="52" t="str">
        <f>IF(OR(TH!L4043=TH!$V$7,M4043=TH!$V$7),"x","")</f>
        <v/>
      </c>
      <c r="W4043" s="52" t="str">
        <f>IF(AND(B4043&gt;='IN-NX'!$P$3,B4043&lt;='IN-NX'!$Q$3,'IN-NX'!$D$7=D4043,OR(LEFT(L4043,2)="15",AND(LEFT(M4043,2)&lt;&gt;"15",LEFT(M4043,2)&lt;&gt;"33"))),"x","")</f>
        <v/>
      </c>
      <c r="X4043" s="52" t="str">
        <f>IF(AND(OR(LEFT(TH!L4043,2)="15",LEFT(TH!M4043,2)="15"),'152-CT'!$J$8=TH!F4043),"x","")</f>
        <v/>
      </c>
      <c r="Y4043" s="52" t="str">
        <f>IF(AND(OR(LEFT(TH!L4043,2)="15",LEFT(TH!M4043,2)="15"),TK!$E$7=TH!F4043),"x","")</f>
        <v/>
      </c>
      <c r="Z4043" s="52" t="str">
        <f>IF(AND(B4043&lt;=NKC!$N$8,B4043&gt;=NKC!$M$8),"x","")</f>
        <v/>
      </c>
      <c r="AA4043" s="826"/>
    </row>
    <row r="4044" spans="1:27" ht="15.75" customHeight="1">
      <c r="A4044" s="827" t="str">
        <f>IF(B4044&lt;&gt;"",IF(AND(B4044&gt;=_TM1,B4044&lt;=_TM2,OR(TH!L4044="1111",TH!M4044="1111")),TH!D4044,""),"")</f>
        <v/>
      </c>
      <c r="B4044" s="36" t="str">
        <f t="shared" si="517"/>
        <v/>
      </c>
      <c r="C4044" s="190"/>
      <c r="D4044" s="37"/>
      <c r="E4044" s="740"/>
      <c r="F4044" s="191"/>
      <c r="G4044" s="833"/>
      <c r="H4044" s="192"/>
      <c r="I4044" s="253"/>
      <c r="J4044" s="253"/>
      <c r="K4044" s="584"/>
      <c r="L4044" s="39"/>
      <c r="M4044" s="39"/>
      <c r="N4044" s="52" t="str">
        <f>IF(AND('331-CT'!$E$7=TH!H4044,OR(L4044="331",M4044="331")),"331",IF(AND(OR(L4044="131",M4044="131"),H4044='131-CT'!$E$7),"131",""))</f>
        <v/>
      </c>
      <c r="O4044" s="52" t="str">
        <f>IF(AND($B4044&gt;='111'!$N$11,$B4044&lt;='111'!$O$11,OR($L4044=$O$7,$M4044=$O$7)),"x","")</f>
        <v/>
      </c>
      <c r="P4044" s="52" t="str">
        <f>IF(AND($L4044=$O$7,$B4044&lt;'111'!$N$11),"x","")</f>
        <v/>
      </c>
      <c r="Q4044" s="52" t="str">
        <f>IF(AND($M4044=$O$7,$B4044&lt;'111'!$N$11),"x","")</f>
        <v/>
      </c>
      <c r="R4044" s="52" t="str">
        <f>IF(ISERROR(FIND('112'!$M$9,G4044,1)),"",IF((AND(FIND('112'!$M$9,G4044,1)&gt;=1,$B4044&gt;='112'!$N$8,$B4044&lt;='112'!$O$8,OR($L4044='112'!$I$6,$M4044='112'!$I$6))),"x",""))</f>
        <v/>
      </c>
      <c r="S4044" s="52" t="str">
        <f>IF(ISERROR(FIND('112'!$M$9,G4044,1)),"",IF((AND(LEFT(G4044,2)=LEFT('112'!$M$9,2),B4044&lt;'112'!$N$8,$L4044='112'!$I$6)),"x",""))</f>
        <v/>
      </c>
      <c r="T4044" s="52" t="str">
        <f>IF(ISERROR(FIND('112'!$M$9,G4044,1)),"",IF((AND(RIGHT(G4044,2)=RIGHT('112'!$M$9,2),B4044&lt;'112'!$N$8,$M4044='112'!$I$6)),"x",""))</f>
        <v/>
      </c>
      <c r="U4044" s="52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/>
      </c>
      <c r="V4044" s="52" t="str">
        <f>IF(OR(TH!L4044=TH!$V$7,M4044=TH!$V$7),"x","")</f>
        <v/>
      </c>
      <c r="W4044" s="52" t="str">
        <f>IF(AND(B4044&gt;='IN-NX'!$P$3,B4044&lt;='IN-NX'!$Q$3,'IN-NX'!$D$7=D4044,OR(LEFT(L4044,2)="15",AND(LEFT(M4044,2)&lt;&gt;"15",LEFT(M4044,2)&lt;&gt;"33"))),"x","")</f>
        <v/>
      </c>
      <c r="X4044" s="52" t="str">
        <f>IF(AND(OR(LEFT(TH!L4044,2)="15",LEFT(TH!M4044,2)="15"),'152-CT'!$J$8=TH!F4044),"x","")</f>
        <v/>
      </c>
      <c r="Y4044" s="52" t="str">
        <f>IF(AND(OR(LEFT(TH!L4044,2)="15",LEFT(TH!M4044,2)="15"),TK!$E$7=TH!F4044),"x","")</f>
        <v/>
      </c>
      <c r="Z4044" s="52" t="str">
        <f>IF(AND(B4044&lt;=NKC!$N$8,B4044&gt;=NKC!$M$8),"x","")</f>
        <v/>
      </c>
      <c r="AA4044" s="826"/>
    </row>
    <row r="4045" spans="1:27" ht="15.75" customHeight="1">
      <c r="A4045" s="827" t="str">
        <f>IF(B4045&lt;&gt;"",IF(AND(B4045&gt;=_TM1,B4045&lt;=_TM2,OR(TH!L4045="1111",TH!M4045="1111")),TH!D4045,""),"")</f>
        <v/>
      </c>
      <c r="B4045" s="36" t="str">
        <f t="shared" si="517"/>
        <v/>
      </c>
      <c r="C4045" s="190"/>
      <c r="D4045" s="37"/>
      <c r="E4045" s="740"/>
      <c r="F4045" s="191"/>
      <c r="G4045" s="833"/>
      <c r="H4045" s="192"/>
      <c r="I4045" s="253"/>
      <c r="J4045" s="253"/>
      <c r="K4045" s="584"/>
      <c r="L4045" s="39"/>
      <c r="M4045" s="39"/>
      <c r="N4045" s="52" t="str">
        <f>IF(AND('331-CT'!$E$7=TH!H4045,OR(L4045="331",M4045="331")),"331",IF(AND(OR(L4045="131",M4045="131"),H4045='131-CT'!$E$7),"131",""))</f>
        <v/>
      </c>
      <c r="O4045" s="52" t="str">
        <f>IF(AND($B4045&gt;='111'!$N$11,$B4045&lt;='111'!$O$11,OR($L4045=$O$7,$M4045=$O$7)),"x","")</f>
        <v/>
      </c>
      <c r="P4045" s="52" t="str">
        <f>IF(AND($L4045=$O$7,$B4045&lt;'111'!$N$11),"x","")</f>
        <v/>
      </c>
      <c r="Q4045" s="52" t="str">
        <f>IF(AND($M4045=$O$7,$B4045&lt;'111'!$N$11),"x","")</f>
        <v/>
      </c>
      <c r="R4045" s="52" t="str">
        <f>IF(ISERROR(FIND('112'!$M$9,G4045,1)),"",IF((AND(FIND('112'!$M$9,G4045,1)&gt;=1,$B4045&gt;='112'!$N$8,$B4045&lt;='112'!$O$8,OR($L4045='112'!$I$6,$M4045='112'!$I$6))),"x",""))</f>
        <v/>
      </c>
      <c r="S4045" s="52" t="str">
        <f>IF(ISERROR(FIND('112'!$M$9,G4045,1)),"",IF((AND(LEFT(G4045,2)=LEFT('112'!$M$9,2),B4045&lt;'112'!$N$8,$L4045='112'!$I$6)),"x",""))</f>
        <v/>
      </c>
      <c r="T4045" s="52" t="str">
        <f>IF(ISERROR(FIND('112'!$M$9,G4045,1)),"",IF((AND(RIGHT(G4045,2)=RIGHT('112'!$M$9,2),B4045&lt;'112'!$N$8,$M4045='112'!$I$6)),"x",""))</f>
        <v/>
      </c>
      <c r="U4045" s="52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/>
      </c>
      <c r="V4045" s="52" t="str">
        <f>IF(OR(TH!L4045=TH!$V$7,M4045=TH!$V$7),"x","")</f>
        <v/>
      </c>
      <c r="W4045" s="52" t="str">
        <f>IF(AND(B4045&gt;='IN-NX'!$P$3,B4045&lt;='IN-NX'!$Q$3,'IN-NX'!$D$7=D4045,OR(LEFT(L4045,2)="15",AND(LEFT(M4045,2)&lt;&gt;"15",LEFT(M4045,2)&lt;&gt;"33"))),"x","")</f>
        <v/>
      </c>
      <c r="X4045" s="52" t="str">
        <f>IF(AND(OR(LEFT(TH!L4045,2)="15",LEFT(TH!M4045,2)="15"),'152-CT'!$J$8=TH!F4045),"x","")</f>
        <v/>
      </c>
      <c r="Y4045" s="52" t="str">
        <f>IF(AND(OR(LEFT(TH!L4045,2)="15",LEFT(TH!M4045,2)="15"),TK!$E$7=TH!F4045),"x","")</f>
        <v/>
      </c>
      <c r="Z4045" s="52" t="str">
        <f>IF(AND(B4045&lt;=NKC!$N$8,B4045&gt;=NKC!$M$8),"x","")</f>
        <v/>
      </c>
      <c r="AA4045" s="826"/>
    </row>
    <row r="4046" spans="1:27" ht="15.75" customHeight="1">
      <c r="A4046" s="827" t="str">
        <f>IF(B4046&lt;&gt;"",IF(AND(B4046&gt;=_TM1,B4046&lt;=_TM2,OR(TH!L4046="1111",TH!M4046="1111")),TH!D4046,""),"")</f>
        <v/>
      </c>
      <c r="B4046" s="36" t="str">
        <f t="shared" si="517"/>
        <v/>
      </c>
      <c r="C4046" s="190"/>
      <c r="D4046" s="37"/>
      <c r="E4046" s="740"/>
      <c r="F4046" s="191"/>
      <c r="G4046" s="833"/>
      <c r="H4046" s="192"/>
      <c r="I4046" s="253"/>
      <c r="J4046" s="253"/>
      <c r="K4046" s="584"/>
      <c r="L4046" s="39"/>
      <c r="M4046" s="39"/>
      <c r="N4046" s="52" t="str">
        <f>IF(AND('331-CT'!$E$7=TH!H4046,OR(L4046="331",M4046="331")),"331",IF(AND(OR(L4046="131",M4046="131"),H4046='131-CT'!$E$7),"131",""))</f>
        <v/>
      </c>
      <c r="O4046" s="52" t="str">
        <f>IF(AND($B4046&gt;='111'!$N$11,$B4046&lt;='111'!$O$11,OR($L4046=$O$7,$M4046=$O$7)),"x","")</f>
        <v/>
      </c>
      <c r="P4046" s="52" t="str">
        <f>IF(AND($L4046=$O$7,$B4046&lt;'111'!$N$11),"x","")</f>
        <v/>
      </c>
      <c r="Q4046" s="52" t="str">
        <f>IF(AND($M4046=$O$7,$B4046&lt;'111'!$N$11),"x","")</f>
        <v/>
      </c>
      <c r="R4046" s="52" t="str">
        <f>IF(ISERROR(FIND('112'!$M$9,G4046,1)),"",IF((AND(FIND('112'!$M$9,G4046,1)&gt;=1,$B4046&gt;='112'!$N$8,$B4046&lt;='112'!$O$8,OR($L4046='112'!$I$6,$M4046='112'!$I$6))),"x",""))</f>
        <v/>
      </c>
      <c r="S4046" s="52" t="str">
        <f>IF(ISERROR(FIND('112'!$M$9,G4046,1)),"",IF((AND(LEFT(G4046,2)=LEFT('112'!$M$9,2),B4046&lt;'112'!$N$8,$L4046='112'!$I$6)),"x",""))</f>
        <v/>
      </c>
      <c r="T4046" s="52" t="str">
        <f>IF(ISERROR(FIND('112'!$M$9,G4046,1)),"",IF((AND(RIGHT(G4046,2)=RIGHT('112'!$M$9,2),B4046&lt;'112'!$N$8,$M4046='112'!$I$6)),"x",""))</f>
        <v/>
      </c>
      <c r="U4046" s="52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/>
      </c>
      <c r="V4046" s="52" t="str">
        <f>IF(OR(TH!L4046=TH!$V$7,M4046=TH!$V$7),"x","")</f>
        <v/>
      </c>
      <c r="W4046" s="52" t="str">
        <f>IF(AND(B4046&gt;='IN-NX'!$P$3,B4046&lt;='IN-NX'!$Q$3,'IN-NX'!$D$7=D4046,OR(LEFT(L4046,2)="15",AND(LEFT(M4046,2)&lt;&gt;"15",LEFT(M4046,2)&lt;&gt;"33"))),"x","")</f>
        <v/>
      </c>
      <c r="X4046" s="52" t="str">
        <f>IF(AND(OR(LEFT(TH!L4046,2)="15",LEFT(TH!M4046,2)="15"),'152-CT'!$J$8=TH!F4046),"x","")</f>
        <v/>
      </c>
      <c r="Y4046" s="52" t="str">
        <f>IF(AND(OR(LEFT(TH!L4046,2)="15",LEFT(TH!M4046,2)="15"),TK!$E$7=TH!F4046),"x","")</f>
        <v/>
      </c>
      <c r="Z4046" s="52" t="str">
        <f>IF(AND(B4046&lt;=NKC!$N$8,B4046&gt;=NKC!$M$8),"x","")</f>
        <v/>
      </c>
      <c r="AA4046" s="826"/>
    </row>
    <row r="4047" spans="1:27" ht="15.75" customHeight="1">
      <c r="A4047" s="827" t="str">
        <f>IF(B4047&lt;&gt;"",IF(AND(B4047&gt;=_TM1,B4047&lt;=_TM2,OR(TH!L4047="1111",TH!M4047="1111")),TH!D4047,""),"")</f>
        <v/>
      </c>
      <c r="B4047" s="36" t="str">
        <f t="shared" si="517"/>
        <v/>
      </c>
      <c r="C4047" s="190"/>
      <c r="D4047" s="190"/>
      <c r="E4047" s="785"/>
      <c r="F4047" s="191"/>
      <c r="G4047" s="833"/>
      <c r="H4047" s="192"/>
      <c r="I4047" s="253"/>
      <c r="J4047" s="253"/>
      <c r="K4047" s="584"/>
      <c r="L4047" s="193"/>
      <c r="M4047" s="193"/>
      <c r="N4047" s="52" t="str">
        <f>IF(AND('331-CT'!$E$7=TH!H4047,OR(L4047="331",M4047="331")),"331",IF(AND(OR(L4047="131",M4047="131"),H4047='131-CT'!$E$7),"131",""))</f>
        <v/>
      </c>
      <c r="O4047" s="52" t="str">
        <f>IF(AND($B4047&gt;='111'!$N$11,$B4047&lt;='111'!$O$11,OR($L4047=$O$7,$M4047=$O$7)),"x","")</f>
        <v/>
      </c>
      <c r="P4047" s="52" t="str">
        <f>IF(AND($L4047=$O$7,$B4047&lt;'111'!$N$11),"x","")</f>
        <v/>
      </c>
      <c r="Q4047" s="52" t="str">
        <f>IF(AND($M4047=$O$7,$B4047&lt;'111'!$N$11),"x","")</f>
        <v/>
      </c>
      <c r="R4047" s="52" t="str">
        <f>IF(ISERROR(FIND('112'!$M$9,G4047,1)),"",IF((AND(FIND('112'!$M$9,G4047,1)&gt;=1,$B4047&gt;='112'!$N$8,$B4047&lt;='112'!$O$8,OR($L4047='112'!$I$6,$M4047='112'!$I$6))),"x",""))</f>
        <v/>
      </c>
      <c r="S4047" s="52" t="str">
        <f>IF(ISERROR(FIND('112'!$M$9,G4047,1)),"",IF((AND(LEFT(G4047,2)=LEFT('112'!$M$9,2),B4047&lt;'112'!$N$8,$L4047='112'!$I$6)),"x",""))</f>
        <v/>
      </c>
      <c r="T4047" s="52" t="str">
        <f>IF(ISERROR(FIND('112'!$M$9,G4047,1)),"",IF((AND(RIGHT(G4047,2)=RIGHT('112'!$M$9,2),B4047&lt;'112'!$N$8,$M4047='112'!$I$6)),"x",""))</f>
        <v/>
      </c>
      <c r="U4047" s="52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/>
      </c>
      <c r="V4047" s="52" t="str">
        <f>IF(OR(TH!L4047=TH!$V$7,M4047=TH!$V$7),"x","")</f>
        <v/>
      </c>
      <c r="W4047" s="52" t="str">
        <f>IF(AND(B4047&gt;='IN-NX'!$P$3,B4047&lt;='IN-NX'!$Q$3,'IN-NX'!$D$7=D4047,OR(LEFT(L4047,2)="15",AND(LEFT(M4047,2)&lt;&gt;"15",LEFT(M4047,2)&lt;&gt;"33"))),"x","")</f>
        <v/>
      </c>
      <c r="X4047" s="52" t="str">
        <f>IF(AND(OR(LEFT(TH!L4047,2)="15",LEFT(TH!M4047,2)="15"),'152-CT'!$J$8=TH!F4047),"x","")</f>
        <v/>
      </c>
      <c r="Y4047" s="52" t="str">
        <f>IF(AND(OR(LEFT(TH!L4047,2)="15",LEFT(TH!M4047,2)="15"),TK!$E$7=TH!F4047),"x","")</f>
        <v/>
      </c>
      <c r="Z4047" s="52" t="str">
        <f>IF(AND(B4047&lt;=NKC!$N$8,B4047&gt;=NKC!$M$8),"x","")</f>
        <v/>
      </c>
      <c r="AA4047" s="826"/>
    </row>
    <row r="4048" spans="1:27" ht="15.75" customHeight="1">
      <c r="A4048" s="827" t="str">
        <f>IF(B4048&lt;&gt;"",IF(AND(B4048&gt;=_TM1,B4048&lt;=_TM2,OR(TH!L4048="1111",TH!M4048="1111")),TH!D4048,""),"")</f>
        <v/>
      </c>
      <c r="B4048" s="36" t="str">
        <f t="shared" si="517"/>
        <v/>
      </c>
      <c r="C4048" s="190"/>
      <c r="D4048" s="190"/>
      <c r="E4048" s="785"/>
      <c r="F4048" s="191"/>
      <c r="G4048" s="833"/>
      <c r="H4048" s="192"/>
      <c r="I4048" s="253"/>
      <c r="J4048" s="253"/>
      <c r="K4048" s="38"/>
      <c r="L4048" s="193"/>
      <c r="M4048" s="193"/>
      <c r="N4048" s="52" t="str">
        <f>IF(AND('331-CT'!$E$7=TH!H4048,OR(L4048="331",M4048="331")),"331",IF(AND(OR(L4048="131",M4048="131"),H4048='131-CT'!$E$7),"131",""))</f>
        <v/>
      </c>
      <c r="O4048" s="52" t="str">
        <f>IF(AND($B4048&gt;='111'!$N$11,$B4048&lt;='111'!$O$11,OR($L4048=$O$7,$M4048=$O$7)),"x","")</f>
        <v/>
      </c>
      <c r="P4048" s="52" t="str">
        <f>IF(AND($L4048=$O$7,$B4048&lt;'111'!$N$11),"x","")</f>
        <v/>
      </c>
      <c r="Q4048" s="52" t="str">
        <f>IF(AND($M4048=$O$7,$B4048&lt;'111'!$N$11),"x","")</f>
        <v/>
      </c>
      <c r="R4048" s="52" t="str">
        <f>IF(ISERROR(FIND('112'!$M$9,G4048,1)),"",IF((AND(FIND('112'!$M$9,G4048,1)&gt;=1,$B4048&gt;='112'!$N$8,$B4048&lt;='112'!$O$8,OR($L4048='112'!$I$6,$M4048='112'!$I$6))),"x",""))</f>
        <v/>
      </c>
      <c r="S4048" s="52" t="str">
        <f>IF(ISERROR(FIND('112'!$M$9,G4048,1)),"",IF((AND(LEFT(G4048,2)=LEFT('112'!$M$9,2),B4048&lt;'112'!$N$8,$L4048='112'!$I$6)),"x",""))</f>
        <v/>
      </c>
      <c r="T4048" s="52" t="str">
        <f>IF(ISERROR(FIND('112'!$M$9,G4048,1)),"",IF((AND(RIGHT(G4048,2)=RIGHT('112'!$M$9,2),B4048&lt;'112'!$N$8,$M4048='112'!$I$6)),"x",""))</f>
        <v/>
      </c>
      <c r="U4048" s="52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/>
      </c>
      <c r="V4048" s="52" t="str">
        <f>IF(OR(TH!L4048=TH!$V$7,M4048=TH!$V$7),"x","")</f>
        <v/>
      </c>
      <c r="W4048" s="52" t="str">
        <f>IF(AND(B4048&gt;='IN-NX'!$P$3,B4048&lt;='IN-NX'!$Q$3,'IN-NX'!$D$7=D4048,OR(LEFT(L4048,2)="15",AND(LEFT(M4048,2)&lt;&gt;"15",LEFT(M4048,2)&lt;&gt;"33"))),"x","")</f>
        <v/>
      </c>
      <c r="X4048" s="52" t="str">
        <f>IF(AND(OR(LEFT(TH!L4048,2)="15",LEFT(TH!M4048,2)="15"),'152-CT'!$J$8=TH!F4048),"x","")</f>
        <v/>
      </c>
      <c r="Y4048" s="52" t="str">
        <f>IF(AND(OR(LEFT(TH!L4048,2)="15",LEFT(TH!M4048,2)="15"),TK!$E$7=TH!F4048),"x","")</f>
        <v/>
      </c>
      <c r="Z4048" s="52" t="str">
        <f>IF(AND(B4048&lt;=NKC!$N$8,B4048&gt;=NKC!$M$8),"x","")</f>
        <v/>
      </c>
      <c r="AA4048" s="826"/>
    </row>
    <row r="4049" spans="1:27" ht="15.75" customHeight="1">
      <c r="A4049" s="827" t="str">
        <f>IF(B4049&lt;&gt;"",IF(AND(B4049&gt;=_TM1,B4049&lt;=_TM2,OR(TH!L4049="1111",TH!M4049="1111")),TH!D4049,""),"")</f>
        <v/>
      </c>
      <c r="B4049" s="36" t="str">
        <f t="shared" si="517"/>
        <v/>
      </c>
      <c r="C4049" s="190"/>
      <c r="D4049" s="190"/>
      <c r="E4049" s="785"/>
      <c r="F4049" s="191"/>
      <c r="G4049" s="833"/>
      <c r="H4049" s="7"/>
      <c r="I4049" s="254"/>
      <c r="J4049" s="254"/>
      <c r="K4049" s="584"/>
      <c r="L4049" s="193"/>
      <c r="M4049" s="193"/>
      <c r="N4049" s="52" t="str">
        <f>IF(AND('331-CT'!$E$7=TH!H4049,OR(L4049="331",M4049="331")),"331",IF(AND(OR(L4049="131",M4049="131"),H4049='131-CT'!$E$7),"131",""))</f>
        <v/>
      </c>
      <c r="O4049" s="52" t="str">
        <f>IF(AND($B4049&gt;='111'!$N$11,$B4049&lt;='111'!$O$11,OR($L4049=$O$7,$M4049=$O$7)),"x","")</f>
        <v/>
      </c>
      <c r="P4049" s="52" t="str">
        <f>IF(AND($L4049=$O$7,$B4049&lt;'111'!$N$11),"x","")</f>
        <v/>
      </c>
      <c r="Q4049" s="52" t="str">
        <f>IF(AND($M4049=$O$7,$B4049&lt;'111'!$N$11),"x","")</f>
        <v/>
      </c>
      <c r="R4049" s="52" t="str">
        <f>IF(ISERROR(FIND('112'!$M$9,G4049,1)),"",IF((AND(FIND('112'!$M$9,G4049,1)&gt;=1,$B4049&gt;='112'!$N$8,$B4049&lt;='112'!$O$8,OR($L4049='112'!$I$6,$M4049='112'!$I$6))),"x",""))</f>
        <v/>
      </c>
      <c r="S4049" s="52" t="str">
        <f>IF(ISERROR(FIND('112'!$M$9,G4049,1)),"",IF((AND(LEFT(G4049,2)=LEFT('112'!$M$9,2),B4049&lt;'112'!$N$8,$L4049='112'!$I$6)),"x",""))</f>
        <v/>
      </c>
      <c r="T4049" s="52" t="str">
        <f>IF(ISERROR(FIND('112'!$M$9,G4049,1)),"",IF((AND(RIGHT(G4049,2)=RIGHT('112'!$M$9,2),B4049&lt;'112'!$N$8,$M4049='112'!$I$6)),"x",""))</f>
        <v/>
      </c>
      <c r="U4049" s="52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/>
      </c>
      <c r="V4049" s="52" t="str">
        <f>IF(OR(TH!L4049=TH!$V$7,M4049=TH!$V$7),"x","")</f>
        <v/>
      </c>
      <c r="W4049" s="52" t="str">
        <f>IF(AND(B4049&gt;='IN-NX'!$P$3,B4049&lt;='IN-NX'!$Q$3,'IN-NX'!$D$7=D4049,OR(LEFT(L4049,2)="15",AND(LEFT(M4049,2)&lt;&gt;"15",LEFT(M4049,2)&lt;&gt;"33"))),"x","")</f>
        <v/>
      </c>
      <c r="X4049" s="52" t="str">
        <f>IF(AND(OR(LEFT(TH!L4049,2)="15",LEFT(TH!M4049,2)="15"),'152-CT'!$J$8=TH!F4049),"x","")</f>
        <v/>
      </c>
      <c r="Y4049" s="52" t="str">
        <f>IF(AND(OR(LEFT(TH!L4049,2)="15",LEFT(TH!M4049,2)="15"),TK!$E$7=TH!F4049),"x","")</f>
        <v/>
      </c>
      <c r="Z4049" s="52" t="str">
        <f>IF(AND(B4049&lt;=NKC!$N$8,B4049&gt;=NKC!$M$8),"x","")</f>
        <v/>
      </c>
      <c r="AA4049" s="826"/>
    </row>
    <row r="4050" spans="1:27" ht="15.75" customHeight="1">
      <c r="A4050" s="827" t="str">
        <f>IF(B4050&lt;&gt;"",IF(AND(B4050&gt;=_TM1,B4050&lt;=_TM2,OR(TH!L4050="1111",TH!M4050="1111")),TH!D4050,""),"")</f>
        <v/>
      </c>
      <c r="B4050" s="36" t="str">
        <f t="shared" si="517"/>
        <v/>
      </c>
      <c r="C4050" s="190"/>
      <c r="D4050" s="190"/>
      <c r="E4050" s="785"/>
      <c r="F4050" s="191"/>
      <c r="G4050" s="833"/>
      <c r="H4050" s="7"/>
      <c r="I4050" s="254"/>
      <c r="J4050" s="254"/>
      <c r="K4050" s="38"/>
      <c r="L4050" s="193"/>
      <c r="M4050" s="193"/>
      <c r="N4050" s="52" t="str">
        <f>IF(AND('331-CT'!$E$7=TH!H4050,OR(L4050="331",M4050="331")),"331",IF(AND(OR(L4050="131",M4050="131"),H4050='131-CT'!$E$7),"131",""))</f>
        <v/>
      </c>
      <c r="O4050" s="52" t="str">
        <f>IF(AND($B4050&gt;='111'!$N$11,$B4050&lt;='111'!$O$11,OR($L4050=$O$7,$M4050=$O$7)),"x","")</f>
        <v/>
      </c>
      <c r="P4050" s="52" t="str">
        <f>IF(AND($L4050=$O$7,$B4050&lt;'111'!$N$11),"x","")</f>
        <v/>
      </c>
      <c r="Q4050" s="52" t="str">
        <f>IF(AND($M4050=$O$7,$B4050&lt;'111'!$N$11),"x","")</f>
        <v/>
      </c>
      <c r="R4050" s="52" t="str">
        <f>IF(ISERROR(FIND('112'!$M$9,G4050,1)),"",IF((AND(FIND('112'!$M$9,G4050,1)&gt;=1,$B4050&gt;='112'!$N$8,$B4050&lt;='112'!$O$8,OR($L4050='112'!$I$6,$M4050='112'!$I$6))),"x",""))</f>
        <v/>
      </c>
      <c r="S4050" s="52" t="str">
        <f>IF(ISERROR(FIND('112'!$M$9,G4050,1)),"",IF((AND(LEFT(G4050,2)=LEFT('112'!$M$9,2),B4050&lt;'112'!$N$8,$L4050='112'!$I$6)),"x",""))</f>
        <v/>
      </c>
      <c r="T4050" s="52" t="str">
        <f>IF(ISERROR(FIND('112'!$M$9,G4050,1)),"",IF((AND(RIGHT(G4050,2)=RIGHT('112'!$M$9,2),B4050&lt;'112'!$N$8,$M4050='112'!$I$6)),"x",""))</f>
        <v/>
      </c>
      <c r="U4050" s="52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/>
      </c>
      <c r="V4050" s="52" t="str">
        <f>IF(OR(TH!L4050=TH!$V$7,M4050=TH!$V$7),"x","")</f>
        <v/>
      </c>
      <c r="W4050" s="52" t="str">
        <f>IF(AND(B4050&gt;='IN-NX'!$P$3,B4050&lt;='IN-NX'!$Q$3,'IN-NX'!$D$7=D4050,OR(LEFT(L4050,2)="15",AND(LEFT(M4050,2)&lt;&gt;"15",LEFT(M4050,2)&lt;&gt;"33"))),"x","")</f>
        <v/>
      </c>
      <c r="X4050" s="52" t="str">
        <f>IF(AND(OR(LEFT(TH!L4050,2)="15",LEFT(TH!M4050,2)="15"),'152-CT'!$J$8=TH!F4050),"x","")</f>
        <v/>
      </c>
      <c r="Y4050" s="52" t="str">
        <f>IF(AND(OR(LEFT(TH!L4050,2)="15",LEFT(TH!M4050,2)="15"),TK!$E$7=TH!F4050),"x","")</f>
        <v/>
      </c>
      <c r="Z4050" s="52" t="str">
        <f>IF(AND(B4050&lt;=NKC!$N$8,B4050&gt;=NKC!$M$8),"x","")</f>
        <v/>
      </c>
      <c r="AA4050" s="826"/>
    </row>
    <row r="4051" spans="1:27" ht="15.75" customHeight="1">
      <c r="A4051" s="827" t="str">
        <f>IF(B4051&lt;&gt;"",IF(AND(B4051&gt;=_TM1,B4051&lt;=_TM2,OR(TH!L4051="1111",TH!M4051="1111")),TH!D4051,""),"")</f>
        <v/>
      </c>
      <c r="B4051" s="36" t="str">
        <f t="shared" si="517"/>
        <v/>
      </c>
      <c r="C4051" s="183"/>
      <c r="D4051" s="183"/>
      <c r="E4051" s="792"/>
      <c r="F4051" s="188"/>
      <c r="G4051" s="835"/>
      <c r="H4051" s="7"/>
      <c r="I4051" s="253"/>
      <c r="J4051" s="253"/>
      <c r="K4051" s="584"/>
      <c r="L4051" s="585"/>
      <c r="M4051" s="585"/>
      <c r="N4051" s="52" t="str">
        <f>IF(AND('331-CT'!$E$7=TH!H4051,OR(L4051="331",M4051="331")),"331",IF(AND(OR(L4051="131",M4051="131"),H4051='131-CT'!$E$7),"131",""))</f>
        <v/>
      </c>
      <c r="O4051" s="52" t="str">
        <f>IF(AND($B4051&gt;='111'!$N$11,$B4051&lt;='111'!$O$11,OR($L4051=$O$7,$M4051=$O$7)),"x","")</f>
        <v/>
      </c>
      <c r="P4051" s="52" t="str">
        <f>IF(AND($L4051=$O$7,$B4051&lt;'111'!$N$11),"x","")</f>
        <v/>
      </c>
      <c r="Q4051" s="52" t="str">
        <f>IF(AND($M4051=$O$7,$B4051&lt;'111'!$N$11),"x","")</f>
        <v/>
      </c>
      <c r="R4051" s="52" t="str">
        <f>IF(ISERROR(FIND('112'!$M$9,G4051,1)),"",IF((AND(FIND('112'!$M$9,G4051,1)&gt;=1,$B4051&gt;='112'!$N$8,$B4051&lt;='112'!$O$8,OR($L4051='112'!$I$6,$M4051='112'!$I$6))),"x",""))</f>
        <v/>
      </c>
      <c r="S4051" s="52" t="str">
        <f>IF(ISERROR(FIND('112'!$M$9,G4051,1)),"",IF((AND(LEFT(G4051,2)=LEFT('112'!$M$9,2),B4051&lt;'112'!$N$8,$L4051='112'!$I$6)),"x",""))</f>
        <v/>
      </c>
      <c r="T4051" s="52" t="str">
        <f>IF(ISERROR(FIND('112'!$M$9,G4051,1)),"",IF((AND(RIGHT(G4051,2)=RIGHT('112'!$M$9,2),B4051&lt;'112'!$N$8,$M4051='112'!$I$6)),"x",""))</f>
        <v/>
      </c>
      <c r="U4051" s="52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/>
      </c>
      <c r="V4051" s="52" t="str">
        <f>IF(OR(TH!L4051=TH!$V$7,M4051=TH!$V$7),"x","")</f>
        <v/>
      </c>
      <c r="W4051" s="52" t="str">
        <f>IF(AND(B4051&gt;='IN-NX'!$P$3,B4051&lt;='IN-NX'!$Q$3,'IN-NX'!$D$7=D4051,OR(LEFT(L4051,2)="15",AND(LEFT(M4051,2)&lt;&gt;"15",LEFT(M4051,2)&lt;&gt;"33"))),"x","")</f>
        <v/>
      </c>
      <c r="X4051" s="52" t="str">
        <f>IF(AND(OR(LEFT(TH!L4051,2)="15",LEFT(TH!M4051,2)="15"),'152-CT'!$J$8=TH!F4051),"x","")</f>
        <v/>
      </c>
      <c r="Y4051" s="52" t="str">
        <f>IF(AND(OR(LEFT(TH!L4051,2)="15",LEFT(TH!M4051,2)="15"),TK!$E$7=TH!F4051),"x","")</f>
        <v/>
      </c>
      <c r="Z4051" s="52" t="str">
        <f>IF(AND(B4051&lt;=NKC!$N$8,B4051&gt;=NKC!$M$8),"x","")</f>
        <v/>
      </c>
      <c r="AA4051" s="826"/>
    </row>
    <row r="4052" spans="1:27" ht="15.75" customHeight="1">
      <c r="A4052" s="827" t="str">
        <f>IF(B4052&lt;&gt;"",IF(AND(B4052&gt;=_TM1,B4052&lt;=_TM2,OR(TH!L4052="1111",TH!M4052="1111")),TH!D4052,""),"")</f>
        <v/>
      </c>
      <c r="B4052" s="36" t="str">
        <f t="shared" ref="B4052:B4115" si="518">IF(C4052&lt;&gt;"",MONTH(C4052),"")</f>
        <v/>
      </c>
      <c r="C4052" s="190"/>
      <c r="D4052" s="190"/>
      <c r="E4052" s="785"/>
      <c r="F4052" s="191"/>
      <c r="G4052" s="833"/>
      <c r="H4052" s="192"/>
      <c r="I4052" s="253"/>
      <c r="J4052" s="253"/>
      <c r="K4052" s="584"/>
      <c r="L4052" s="193"/>
      <c r="M4052" s="193"/>
      <c r="N4052" s="52" t="str">
        <f>IF(AND('331-CT'!$E$7=TH!H4052,OR(L4052="331",M4052="331")),"331",IF(AND(OR(L4052="131",M4052="131"),H4052='131-CT'!$E$7),"131",""))</f>
        <v/>
      </c>
      <c r="O4052" s="52" t="str">
        <f>IF(AND($B4052&gt;='111'!$N$11,$B4052&lt;='111'!$O$11,OR($L4052=$O$7,$M4052=$O$7)),"x","")</f>
        <v/>
      </c>
      <c r="P4052" s="52" t="str">
        <f>IF(AND($L4052=$O$7,$B4052&lt;'111'!$N$11),"x","")</f>
        <v/>
      </c>
      <c r="Q4052" s="52" t="str">
        <f>IF(AND($M4052=$O$7,$B4052&lt;'111'!$N$11),"x","")</f>
        <v/>
      </c>
      <c r="R4052" s="52" t="str">
        <f>IF(ISERROR(FIND('112'!$M$9,G4052,1)),"",IF((AND(FIND('112'!$M$9,G4052,1)&gt;=1,$B4052&gt;='112'!$N$8,$B4052&lt;='112'!$O$8,OR($L4052='112'!$I$6,$M4052='112'!$I$6))),"x",""))</f>
        <v/>
      </c>
      <c r="S4052" s="52" t="str">
        <f>IF(ISERROR(FIND('112'!$M$9,G4052,1)),"",IF((AND(LEFT(G4052,2)=LEFT('112'!$M$9,2),B4052&lt;'112'!$N$8,$L4052='112'!$I$6)),"x",""))</f>
        <v/>
      </c>
      <c r="T4052" s="52" t="str">
        <f>IF(ISERROR(FIND('112'!$M$9,G4052,1)),"",IF((AND(RIGHT(G4052,2)=RIGHT('112'!$M$9,2),B4052&lt;'112'!$N$8,$M4052='112'!$I$6)),"x",""))</f>
        <v/>
      </c>
      <c r="U4052" s="52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/>
      </c>
      <c r="V4052" s="52" t="str">
        <f>IF(OR(TH!L4052=TH!$V$7,M4052=TH!$V$7),"x","")</f>
        <v/>
      </c>
      <c r="W4052" s="52" t="str">
        <f>IF(AND(B4052&gt;='IN-NX'!$P$3,B4052&lt;='IN-NX'!$Q$3,'IN-NX'!$D$7=D4052,OR(LEFT(L4052,2)="15",AND(LEFT(M4052,2)&lt;&gt;"15",LEFT(M4052,2)&lt;&gt;"33"))),"x","")</f>
        <v/>
      </c>
      <c r="X4052" s="52" t="str">
        <f>IF(AND(OR(LEFT(TH!L4052,2)="15",LEFT(TH!M4052,2)="15"),'152-CT'!$J$8=TH!F4052),"x","")</f>
        <v/>
      </c>
      <c r="Y4052" s="52" t="str">
        <f>IF(AND(OR(LEFT(TH!L4052,2)="15",LEFT(TH!M4052,2)="15"),TK!$E$7=TH!F4052),"x","")</f>
        <v/>
      </c>
      <c r="Z4052" s="52" t="str">
        <f>IF(AND(B4052&lt;=NKC!$N$8,B4052&gt;=NKC!$M$8),"x","")</f>
        <v/>
      </c>
      <c r="AA4052" s="826"/>
    </row>
    <row r="4053" spans="1:27" ht="15.75" customHeight="1">
      <c r="A4053" s="827" t="str">
        <f>IF(B4053&lt;&gt;"",IF(AND(B4053&gt;=_TM1,B4053&lt;=_TM2,OR(TH!L4053="1111",TH!M4053="1111")),TH!D4053,""),"")</f>
        <v/>
      </c>
      <c r="B4053" s="36" t="str">
        <f t="shared" si="518"/>
        <v/>
      </c>
      <c r="C4053" s="190"/>
      <c r="D4053" s="190"/>
      <c r="E4053" s="785"/>
      <c r="F4053" s="191"/>
      <c r="G4053" s="833"/>
      <c r="H4053" s="192"/>
      <c r="I4053" s="253"/>
      <c r="J4053" s="253"/>
      <c r="K4053" s="584"/>
      <c r="L4053" s="193"/>
      <c r="M4053" s="193"/>
      <c r="N4053" s="52" t="str">
        <f>IF(AND('331-CT'!$E$7=TH!H4053,OR(L4053="331",M4053="331")),"331",IF(AND(OR(L4053="131",M4053="131"),H4053='131-CT'!$E$7),"131",""))</f>
        <v/>
      </c>
      <c r="O4053" s="52" t="str">
        <f>IF(AND($B4053&gt;='111'!$N$11,$B4053&lt;='111'!$O$11,OR($L4053=$O$7,$M4053=$O$7)),"x","")</f>
        <v/>
      </c>
      <c r="P4053" s="52" t="str">
        <f>IF(AND($L4053=$O$7,$B4053&lt;'111'!$N$11),"x","")</f>
        <v/>
      </c>
      <c r="Q4053" s="52" t="str">
        <f>IF(AND($M4053=$O$7,$B4053&lt;'111'!$N$11),"x","")</f>
        <v/>
      </c>
      <c r="R4053" s="52" t="str">
        <f>IF(ISERROR(FIND('112'!$M$9,G4053,1)),"",IF((AND(FIND('112'!$M$9,G4053,1)&gt;=1,$B4053&gt;='112'!$N$8,$B4053&lt;='112'!$O$8,OR($L4053='112'!$I$6,$M4053='112'!$I$6))),"x",""))</f>
        <v/>
      </c>
      <c r="S4053" s="52" t="str">
        <f>IF(ISERROR(FIND('112'!$M$9,G4053,1)),"",IF((AND(LEFT(G4053,2)=LEFT('112'!$M$9,2),B4053&lt;'112'!$N$8,$L4053='112'!$I$6)),"x",""))</f>
        <v/>
      </c>
      <c r="T4053" s="52" t="str">
        <f>IF(ISERROR(FIND('112'!$M$9,G4053,1)),"",IF((AND(RIGHT(G4053,2)=RIGHT('112'!$M$9,2),B4053&lt;'112'!$N$8,$M4053='112'!$I$6)),"x",""))</f>
        <v/>
      </c>
      <c r="U4053" s="52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/>
      </c>
      <c r="V4053" s="52" t="str">
        <f>IF(OR(TH!L4053=TH!$V$7,M4053=TH!$V$7),"x","")</f>
        <v/>
      </c>
      <c r="W4053" s="52" t="str">
        <f>IF(AND(B4053&gt;='IN-NX'!$P$3,B4053&lt;='IN-NX'!$Q$3,'IN-NX'!$D$7=D4053,OR(LEFT(L4053,2)="15",AND(LEFT(M4053,2)&lt;&gt;"15",LEFT(M4053,2)&lt;&gt;"33"))),"x","")</f>
        <v/>
      </c>
      <c r="X4053" s="52" t="str">
        <f>IF(AND(OR(LEFT(TH!L4053,2)="15",LEFT(TH!M4053,2)="15"),'152-CT'!$J$8=TH!F4053),"x","")</f>
        <v/>
      </c>
      <c r="Y4053" s="52" t="str">
        <f>IF(AND(OR(LEFT(TH!L4053,2)="15",LEFT(TH!M4053,2)="15"),TK!$E$7=TH!F4053),"x","")</f>
        <v/>
      </c>
      <c r="Z4053" s="52" t="str">
        <f>IF(AND(B4053&lt;=NKC!$N$8,B4053&gt;=NKC!$M$8),"x","")</f>
        <v/>
      </c>
      <c r="AA4053" s="826"/>
    </row>
    <row r="4054" spans="1:27" ht="15.75" customHeight="1">
      <c r="A4054" s="827" t="str">
        <f>IF(B4054&lt;&gt;"",IF(AND(B4054&gt;=_TM1,B4054&lt;=_TM2,OR(TH!L4054="1111",TH!M4054="1111")),TH!D4054,""),"")</f>
        <v/>
      </c>
      <c r="B4054" s="36" t="str">
        <f t="shared" si="518"/>
        <v/>
      </c>
      <c r="C4054" s="190"/>
      <c r="D4054" s="190"/>
      <c r="E4054" s="785"/>
      <c r="F4054" s="191"/>
      <c r="G4054" s="833"/>
      <c r="H4054" s="192"/>
      <c r="I4054" s="253"/>
      <c r="J4054" s="253"/>
      <c r="K4054" s="584"/>
      <c r="L4054" s="193"/>
      <c r="M4054" s="193"/>
      <c r="N4054" s="52" t="str">
        <f>IF(AND('331-CT'!$E$7=TH!H4054,OR(L4054="331",M4054="331")),"331",IF(AND(OR(L4054="131",M4054="131"),H4054='131-CT'!$E$7),"131",""))</f>
        <v/>
      </c>
      <c r="O4054" s="52" t="str">
        <f>IF(AND($B4054&gt;='111'!$N$11,$B4054&lt;='111'!$O$11,OR($L4054=$O$7,$M4054=$O$7)),"x","")</f>
        <v/>
      </c>
      <c r="P4054" s="52" t="str">
        <f>IF(AND($L4054=$O$7,$B4054&lt;'111'!$N$11),"x","")</f>
        <v/>
      </c>
      <c r="Q4054" s="52" t="str">
        <f>IF(AND($M4054=$O$7,$B4054&lt;'111'!$N$11),"x","")</f>
        <v/>
      </c>
      <c r="R4054" s="52" t="str">
        <f>IF(ISERROR(FIND('112'!$M$9,G4054,1)),"",IF((AND(FIND('112'!$M$9,G4054,1)&gt;=1,$B4054&gt;='112'!$N$8,$B4054&lt;='112'!$O$8,OR($L4054='112'!$I$6,$M4054='112'!$I$6))),"x",""))</f>
        <v/>
      </c>
      <c r="S4054" s="52" t="str">
        <f>IF(ISERROR(FIND('112'!$M$9,G4054,1)),"",IF((AND(LEFT(G4054,2)=LEFT('112'!$M$9,2),B4054&lt;'112'!$N$8,$L4054='112'!$I$6)),"x",""))</f>
        <v/>
      </c>
      <c r="T4054" s="52" t="str">
        <f>IF(ISERROR(FIND('112'!$M$9,G4054,1)),"",IF((AND(RIGHT(G4054,2)=RIGHT('112'!$M$9,2),B4054&lt;'112'!$N$8,$M4054='112'!$I$6)),"x",""))</f>
        <v/>
      </c>
      <c r="U4054" s="52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/>
      </c>
      <c r="V4054" s="52" t="str">
        <f>IF(OR(TH!L4054=TH!$V$7,M4054=TH!$V$7),"x","")</f>
        <v/>
      </c>
      <c r="W4054" s="52" t="str">
        <f>IF(AND(B4054&gt;='IN-NX'!$P$3,B4054&lt;='IN-NX'!$Q$3,'IN-NX'!$D$7=D4054,OR(LEFT(L4054,2)="15",AND(LEFT(M4054,2)&lt;&gt;"15",LEFT(M4054,2)&lt;&gt;"33"))),"x","")</f>
        <v/>
      </c>
      <c r="X4054" s="52" t="str">
        <f>IF(AND(OR(LEFT(TH!L4054,2)="15",LEFT(TH!M4054,2)="15"),'152-CT'!$J$8=TH!F4054),"x","")</f>
        <v/>
      </c>
      <c r="Y4054" s="52" t="str">
        <f>IF(AND(OR(LEFT(TH!L4054,2)="15",LEFT(TH!M4054,2)="15"),TK!$E$7=TH!F4054),"x","")</f>
        <v/>
      </c>
      <c r="Z4054" s="52" t="str">
        <f>IF(AND(B4054&lt;=NKC!$N$8,B4054&gt;=NKC!$M$8),"x","")</f>
        <v/>
      </c>
      <c r="AA4054" s="826"/>
    </row>
    <row r="4055" spans="1:27" ht="15.75" customHeight="1">
      <c r="A4055" s="827" t="str">
        <f>IF(B4055&lt;&gt;"",IF(AND(B4055&gt;=_TM1,B4055&lt;=_TM2,OR(TH!L4055="1111",TH!M4055="1111")),TH!D4055,""),"")</f>
        <v/>
      </c>
      <c r="B4055" s="36" t="str">
        <f t="shared" si="518"/>
        <v/>
      </c>
      <c r="C4055" s="190"/>
      <c r="D4055" s="190"/>
      <c r="E4055" s="785"/>
      <c r="F4055" s="191"/>
      <c r="G4055" s="833"/>
      <c r="H4055" s="192"/>
      <c r="I4055" s="253"/>
      <c r="J4055" s="253"/>
      <c r="K4055" s="38"/>
      <c r="L4055" s="193"/>
      <c r="M4055" s="193"/>
      <c r="N4055" s="52" t="str">
        <f>IF(AND('331-CT'!$E$7=TH!H4055,OR(L4055="331",M4055="331")),"331",IF(AND(OR(L4055="131",M4055="131"),H4055='131-CT'!$E$7),"131",""))</f>
        <v/>
      </c>
      <c r="O4055" s="52" t="str">
        <f>IF(AND($B4055&gt;='111'!$N$11,$B4055&lt;='111'!$O$11,OR($L4055=$O$7,$M4055=$O$7)),"x","")</f>
        <v/>
      </c>
      <c r="P4055" s="52" t="str">
        <f>IF(AND($L4055=$O$7,$B4055&lt;'111'!$N$11),"x","")</f>
        <v/>
      </c>
      <c r="Q4055" s="52" t="str">
        <f>IF(AND($M4055=$O$7,$B4055&lt;'111'!$N$11),"x","")</f>
        <v/>
      </c>
      <c r="R4055" s="52" t="str">
        <f>IF(ISERROR(FIND('112'!$M$9,G4055,1)),"",IF((AND(FIND('112'!$M$9,G4055,1)&gt;=1,$B4055&gt;='112'!$N$8,$B4055&lt;='112'!$O$8,OR($L4055='112'!$I$6,$M4055='112'!$I$6))),"x",""))</f>
        <v/>
      </c>
      <c r="S4055" s="52" t="str">
        <f>IF(ISERROR(FIND('112'!$M$9,G4055,1)),"",IF((AND(LEFT(G4055,2)=LEFT('112'!$M$9,2),B4055&lt;'112'!$N$8,$L4055='112'!$I$6)),"x",""))</f>
        <v/>
      </c>
      <c r="T4055" s="52" t="str">
        <f>IF(ISERROR(FIND('112'!$M$9,G4055,1)),"",IF((AND(RIGHT(G4055,2)=RIGHT('112'!$M$9,2),B4055&lt;'112'!$N$8,$M4055='112'!$I$6)),"x",""))</f>
        <v/>
      </c>
      <c r="U4055" s="52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/>
      </c>
      <c r="V4055" s="52" t="str">
        <f>IF(OR(TH!L4055=TH!$V$7,M4055=TH!$V$7),"x","")</f>
        <v/>
      </c>
      <c r="W4055" s="52" t="str">
        <f>IF(AND(B4055&gt;='IN-NX'!$P$3,B4055&lt;='IN-NX'!$Q$3,'IN-NX'!$D$7=D4055,OR(LEFT(L4055,2)="15",AND(LEFT(M4055,2)&lt;&gt;"15",LEFT(M4055,2)&lt;&gt;"33"))),"x","")</f>
        <v/>
      </c>
      <c r="X4055" s="52" t="str">
        <f>IF(AND(OR(LEFT(TH!L4055,2)="15",LEFT(TH!M4055,2)="15"),'152-CT'!$J$8=TH!F4055),"x","")</f>
        <v/>
      </c>
      <c r="Y4055" s="52" t="str">
        <f>IF(AND(OR(LEFT(TH!L4055,2)="15",LEFT(TH!M4055,2)="15"),TK!$E$7=TH!F4055),"x","")</f>
        <v/>
      </c>
      <c r="Z4055" s="52" t="str">
        <f>IF(AND(B4055&lt;=NKC!$N$8,B4055&gt;=NKC!$M$8),"x","")</f>
        <v/>
      </c>
      <c r="AA4055" s="826"/>
    </row>
    <row r="4056" spans="1:27" ht="15.75" customHeight="1">
      <c r="A4056" s="827" t="str">
        <f>IF(B4056&lt;&gt;"",IF(AND(B4056&gt;=_TM1,B4056&lt;=_TM2,OR(TH!L4056="1111",TH!M4056="1111")),TH!D4056,""),"")</f>
        <v/>
      </c>
      <c r="B4056" s="36" t="str">
        <f t="shared" si="518"/>
        <v/>
      </c>
      <c r="C4056" s="190"/>
      <c r="D4056" s="190"/>
      <c r="E4056" s="740"/>
      <c r="F4056" s="188"/>
      <c r="G4056" s="832"/>
      <c r="H4056" s="7"/>
      <c r="I4056" s="767"/>
      <c r="J4056" s="253"/>
      <c r="K4056" s="584"/>
      <c r="L4056" s="39"/>
      <c r="M4056" s="39"/>
      <c r="N4056" s="52" t="str">
        <f>IF(AND('331-CT'!$E$7=TH!H4056,OR(L4056="331",M4056="331")),"331",IF(AND(OR(L4056="131",M4056="131"),H4056='131-CT'!$E$7),"131",""))</f>
        <v/>
      </c>
      <c r="O4056" s="52" t="str">
        <f>IF(AND($B4056&gt;='111'!$N$11,$B4056&lt;='111'!$O$11,OR($L4056=$O$7,$M4056=$O$7)),"x","")</f>
        <v/>
      </c>
      <c r="P4056" s="52" t="str">
        <f>IF(AND($L4056=$O$7,$B4056&lt;'111'!$N$11),"x","")</f>
        <v/>
      </c>
      <c r="Q4056" s="52" t="str">
        <f>IF(AND($M4056=$O$7,$B4056&lt;'111'!$N$11),"x","")</f>
        <v/>
      </c>
      <c r="R4056" s="52" t="str">
        <f>IF(ISERROR(FIND('112'!$M$9,G4056,1)),"",IF((AND(FIND('112'!$M$9,G4056,1)&gt;=1,$B4056&gt;='112'!$N$8,$B4056&lt;='112'!$O$8,OR($L4056='112'!$I$6,$M4056='112'!$I$6))),"x",""))</f>
        <v/>
      </c>
      <c r="S4056" s="52" t="str">
        <f>IF(ISERROR(FIND('112'!$M$9,G4056,1)),"",IF((AND(LEFT(G4056,2)=LEFT('112'!$M$9,2),B4056&lt;'112'!$N$8,$L4056='112'!$I$6)),"x",""))</f>
        <v/>
      </c>
      <c r="T4056" s="52" t="str">
        <f>IF(ISERROR(FIND('112'!$M$9,G4056,1)),"",IF((AND(RIGHT(G4056,2)=RIGHT('112'!$M$9,2),B4056&lt;'112'!$N$8,$M4056='112'!$I$6)),"x",""))</f>
        <v/>
      </c>
      <c r="U4056" s="52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/>
      </c>
      <c r="V4056" s="52" t="str">
        <f>IF(OR(TH!L4056=TH!$V$7,M4056=TH!$V$7),"x","")</f>
        <v/>
      </c>
      <c r="W4056" s="52" t="str">
        <f>IF(AND(B4056&gt;='IN-NX'!$P$3,B4056&lt;='IN-NX'!$Q$3,'IN-NX'!$D$7=D4056,OR(LEFT(L4056,2)="15",AND(LEFT(M4056,2)&lt;&gt;"15",LEFT(M4056,2)&lt;&gt;"33"))),"x","")</f>
        <v/>
      </c>
      <c r="X4056" s="52" t="str">
        <f>IF(AND(OR(LEFT(TH!L4056,2)="15",LEFT(TH!M4056,2)="15"),'152-CT'!$J$8=TH!F4056),"x","")</f>
        <v/>
      </c>
      <c r="Y4056" s="52" t="str">
        <f>IF(AND(OR(LEFT(TH!L4056,2)="15",LEFT(TH!M4056,2)="15"),TK!$E$7=TH!F4056),"x","")</f>
        <v/>
      </c>
      <c r="Z4056" s="52" t="str">
        <f>IF(AND(B4056&lt;=NKC!$N$8,B4056&gt;=NKC!$M$8),"x","")</f>
        <v/>
      </c>
      <c r="AA4056" s="826"/>
    </row>
    <row r="4057" spans="1:27" ht="15.75" customHeight="1">
      <c r="A4057" s="827" t="str">
        <f>IF(B4057&lt;&gt;"",IF(AND(B4057&gt;=_TM1,B4057&lt;=_TM2,OR(TH!L4057="1111",TH!M4057="1111")),TH!D4057,""),"")</f>
        <v/>
      </c>
      <c r="B4057" s="36" t="str">
        <f t="shared" si="518"/>
        <v/>
      </c>
      <c r="C4057" s="190"/>
      <c r="D4057" s="190"/>
      <c r="E4057" s="740"/>
      <c r="F4057" s="188"/>
      <c r="G4057" s="832"/>
      <c r="H4057" s="7"/>
      <c r="I4057" s="767"/>
      <c r="J4057" s="253"/>
      <c r="K4057" s="584"/>
      <c r="L4057" s="39"/>
      <c r="M4057" s="39"/>
      <c r="N4057" s="52" t="str">
        <f>IF(AND('331-CT'!$E$7=TH!H4057,OR(L4057="331",M4057="331")),"331",IF(AND(OR(L4057="131",M4057="131"),H4057='131-CT'!$E$7),"131",""))</f>
        <v/>
      </c>
      <c r="O4057" s="52" t="str">
        <f>IF(AND($B4057&gt;='111'!$N$11,$B4057&lt;='111'!$O$11,OR($L4057=$O$7,$M4057=$O$7)),"x","")</f>
        <v/>
      </c>
      <c r="P4057" s="52" t="str">
        <f>IF(AND($L4057=$O$7,$B4057&lt;'111'!$N$11),"x","")</f>
        <v/>
      </c>
      <c r="Q4057" s="52" t="str">
        <f>IF(AND($M4057=$O$7,$B4057&lt;'111'!$N$11),"x","")</f>
        <v/>
      </c>
      <c r="R4057" s="52" t="str">
        <f>IF(ISERROR(FIND('112'!$M$9,G4057,1)),"",IF((AND(FIND('112'!$M$9,G4057,1)&gt;=1,$B4057&gt;='112'!$N$8,$B4057&lt;='112'!$O$8,OR($L4057='112'!$I$6,$M4057='112'!$I$6))),"x",""))</f>
        <v/>
      </c>
      <c r="S4057" s="52" t="str">
        <f>IF(ISERROR(FIND('112'!$M$9,G4057,1)),"",IF((AND(LEFT(G4057,2)=LEFT('112'!$M$9,2),B4057&lt;'112'!$N$8,$L4057='112'!$I$6)),"x",""))</f>
        <v/>
      </c>
      <c r="T4057" s="52" t="str">
        <f>IF(ISERROR(FIND('112'!$M$9,G4057,1)),"",IF((AND(RIGHT(G4057,2)=RIGHT('112'!$M$9,2),B4057&lt;'112'!$N$8,$M4057='112'!$I$6)),"x",""))</f>
        <v/>
      </c>
      <c r="U4057" s="52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/>
      </c>
      <c r="V4057" s="52" t="str">
        <f>IF(OR(TH!L4057=TH!$V$7,M4057=TH!$V$7),"x","")</f>
        <v/>
      </c>
      <c r="W4057" s="52" t="str">
        <f>IF(AND(B4057&gt;='IN-NX'!$P$3,B4057&lt;='IN-NX'!$Q$3,'IN-NX'!$D$7=D4057,OR(LEFT(L4057,2)="15",AND(LEFT(M4057,2)&lt;&gt;"15",LEFT(M4057,2)&lt;&gt;"33"))),"x","")</f>
        <v/>
      </c>
      <c r="X4057" s="52" t="str">
        <f>IF(AND(OR(LEFT(TH!L4057,2)="15",LEFT(TH!M4057,2)="15"),'152-CT'!$J$8=TH!F4057),"x","")</f>
        <v/>
      </c>
      <c r="Y4057" s="52" t="str">
        <f>IF(AND(OR(LEFT(TH!L4057,2)="15",LEFT(TH!M4057,2)="15"),TK!$E$7=TH!F4057),"x","")</f>
        <v/>
      </c>
      <c r="Z4057" s="52" t="str">
        <f>IF(AND(B4057&lt;=NKC!$N$8,B4057&gt;=NKC!$M$8),"x","")</f>
        <v/>
      </c>
      <c r="AA4057" s="826"/>
    </row>
    <row r="4058" spans="1:27" ht="15.75" customHeight="1">
      <c r="A4058" s="827" t="str">
        <f>IF(B4058&lt;&gt;"",IF(AND(B4058&gt;=_TM1,B4058&lt;=_TM2,OR(TH!L4058="1111",TH!M4058="1111")),TH!D4058,""),"")</f>
        <v/>
      </c>
      <c r="B4058" s="36" t="str">
        <f t="shared" si="518"/>
        <v/>
      </c>
      <c r="C4058" s="190"/>
      <c r="D4058" s="190"/>
      <c r="E4058" s="740"/>
      <c r="F4058" s="188"/>
      <c r="G4058" s="832"/>
      <c r="H4058" s="7"/>
      <c r="I4058" s="253"/>
      <c r="J4058" s="253"/>
      <c r="K4058" s="584"/>
      <c r="L4058" s="39"/>
      <c r="M4058" s="39"/>
      <c r="N4058" s="52" t="str">
        <f>IF(AND('331-CT'!$E$7=TH!H4058,OR(L4058="331",M4058="331")),"331",IF(AND(OR(L4058="131",M4058="131"),H4058='131-CT'!$E$7),"131",""))</f>
        <v/>
      </c>
      <c r="O4058" s="52" t="str">
        <f>IF(AND($B4058&gt;='111'!$N$11,$B4058&lt;='111'!$O$11,OR($L4058=$O$7,$M4058=$O$7)),"x","")</f>
        <v/>
      </c>
      <c r="P4058" s="52" t="str">
        <f>IF(AND($L4058=$O$7,$B4058&lt;'111'!$N$11),"x","")</f>
        <v/>
      </c>
      <c r="Q4058" s="52" t="str">
        <f>IF(AND($M4058=$O$7,$B4058&lt;'111'!$N$11),"x","")</f>
        <v/>
      </c>
      <c r="R4058" s="52" t="str">
        <f>IF(ISERROR(FIND('112'!$M$9,G4058,1)),"",IF((AND(FIND('112'!$M$9,G4058,1)&gt;=1,$B4058&gt;='112'!$N$8,$B4058&lt;='112'!$O$8,OR($L4058='112'!$I$6,$M4058='112'!$I$6))),"x",""))</f>
        <v/>
      </c>
      <c r="S4058" s="52" t="str">
        <f>IF(ISERROR(FIND('112'!$M$9,G4058,1)),"",IF((AND(LEFT(G4058,2)=LEFT('112'!$M$9,2),B4058&lt;'112'!$N$8,$L4058='112'!$I$6)),"x",""))</f>
        <v/>
      </c>
      <c r="T4058" s="52" t="str">
        <f>IF(ISERROR(FIND('112'!$M$9,G4058,1)),"",IF((AND(RIGHT(G4058,2)=RIGHT('112'!$M$9,2),B4058&lt;'112'!$N$8,$M4058='112'!$I$6)),"x",""))</f>
        <v/>
      </c>
      <c r="U4058" s="52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/>
      </c>
      <c r="V4058" s="52" t="str">
        <f>IF(OR(TH!L4058=TH!$V$7,M4058=TH!$V$7),"x","")</f>
        <v/>
      </c>
      <c r="W4058" s="52" t="str">
        <f>IF(AND(B4058&gt;='IN-NX'!$P$3,B4058&lt;='IN-NX'!$Q$3,'IN-NX'!$D$7=D4058,OR(LEFT(L4058,2)="15",AND(LEFT(M4058,2)&lt;&gt;"15",LEFT(M4058,2)&lt;&gt;"33"))),"x","")</f>
        <v/>
      </c>
      <c r="X4058" s="52" t="str">
        <f>IF(AND(OR(LEFT(TH!L4058,2)="15",LEFT(TH!M4058,2)="15"),'152-CT'!$J$8=TH!F4058),"x","")</f>
        <v/>
      </c>
      <c r="Y4058" s="52" t="str">
        <f>IF(AND(OR(LEFT(TH!L4058,2)="15",LEFT(TH!M4058,2)="15"),TK!$E$7=TH!F4058),"x","")</f>
        <v/>
      </c>
      <c r="Z4058" s="52" t="str">
        <f>IF(AND(B4058&lt;=NKC!$N$8,B4058&gt;=NKC!$M$8),"x","")</f>
        <v/>
      </c>
      <c r="AA4058" s="826"/>
    </row>
    <row r="4059" spans="1:27" ht="15.75" customHeight="1">
      <c r="A4059" s="827" t="str">
        <f>IF(B4059&lt;&gt;"",IF(AND(B4059&gt;=_TM1,B4059&lt;=_TM2,OR(TH!L4059="1111",TH!M4059="1111")),TH!D4059,""),"")</f>
        <v/>
      </c>
      <c r="B4059" s="36" t="str">
        <f t="shared" si="518"/>
        <v/>
      </c>
      <c r="C4059" s="190"/>
      <c r="D4059" s="190"/>
      <c r="E4059" s="740"/>
      <c r="F4059" s="40"/>
      <c r="G4059" s="832"/>
      <c r="H4059" s="7"/>
      <c r="I4059" s="253"/>
      <c r="J4059" s="253"/>
      <c r="K4059" s="584"/>
      <c r="L4059" s="39"/>
      <c r="M4059" s="39"/>
      <c r="N4059" s="52" t="str">
        <f>IF(AND('331-CT'!$E$7=TH!H4059,OR(L4059="331",M4059="331")),"331",IF(AND(OR(L4059="131",M4059="131"),H4059='131-CT'!$E$7),"131",""))</f>
        <v/>
      </c>
      <c r="O4059" s="52" t="str">
        <f>IF(AND($B4059&gt;='111'!$N$11,$B4059&lt;='111'!$O$11,OR($L4059=$O$7,$M4059=$O$7)),"x","")</f>
        <v/>
      </c>
      <c r="P4059" s="52" t="str">
        <f>IF(AND($L4059=$O$7,$B4059&lt;'111'!$N$11),"x","")</f>
        <v/>
      </c>
      <c r="Q4059" s="52" t="str">
        <f>IF(AND($M4059=$O$7,$B4059&lt;'111'!$N$11),"x","")</f>
        <v/>
      </c>
      <c r="R4059" s="52" t="str">
        <f>IF(ISERROR(FIND('112'!$M$9,G4059,1)),"",IF((AND(FIND('112'!$M$9,G4059,1)&gt;=1,$B4059&gt;='112'!$N$8,$B4059&lt;='112'!$O$8,OR($L4059='112'!$I$6,$M4059='112'!$I$6))),"x",""))</f>
        <v/>
      </c>
      <c r="S4059" s="52" t="str">
        <f>IF(ISERROR(FIND('112'!$M$9,G4059,1)),"",IF((AND(LEFT(G4059,2)=LEFT('112'!$M$9,2),B4059&lt;'112'!$N$8,$L4059='112'!$I$6)),"x",""))</f>
        <v/>
      </c>
      <c r="T4059" s="52" t="str">
        <f>IF(ISERROR(FIND('112'!$M$9,G4059,1)),"",IF((AND(RIGHT(G4059,2)=RIGHT('112'!$M$9,2),B4059&lt;'112'!$N$8,$M4059='112'!$I$6)),"x",""))</f>
        <v/>
      </c>
      <c r="U4059" s="52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/>
      </c>
      <c r="V4059" s="52" t="str">
        <f>IF(OR(TH!L4059=TH!$V$7,M4059=TH!$V$7),"x","")</f>
        <v/>
      </c>
      <c r="W4059" s="52" t="str">
        <f>IF(AND(B4059&gt;='IN-NX'!$P$3,B4059&lt;='IN-NX'!$Q$3,'IN-NX'!$D$7=D4059,OR(LEFT(L4059,2)="15",AND(LEFT(M4059,2)&lt;&gt;"15",LEFT(M4059,2)&lt;&gt;"33"))),"x","")</f>
        <v/>
      </c>
      <c r="X4059" s="52" t="str">
        <f>IF(AND(OR(LEFT(TH!L4059,2)="15",LEFT(TH!M4059,2)="15"),'152-CT'!$J$8=TH!F4059),"x","")</f>
        <v/>
      </c>
      <c r="Y4059" s="52" t="str">
        <f>IF(AND(OR(LEFT(TH!L4059,2)="15",LEFT(TH!M4059,2)="15"),TK!$E$7=TH!F4059),"x","")</f>
        <v/>
      </c>
      <c r="Z4059" s="52" t="str">
        <f>IF(AND(B4059&lt;=NKC!$N$8,B4059&gt;=NKC!$M$8),"x","")</f>
        <v/>
      </c>
      <c r="AA4059" s="826"/>
    </row>
    <row r="4060" spans="1:27" ht="15.75" customHeight="1">
      <c r="A4060" s="827" t="str">
        <f>IF(B4060&lt;&gt;"",IF(AND(B4060&gt;=_TM1,B4060&lt;=_TM2,OR(TH!L4060="1111",TH!M4060="1111")),TH!D4060,""),"")</f>
        <v/>
      </c>
      <c r="B4060" s="36" t="str">
        <f t="shared" si="518"/>
        <v/>
      </c>
      <c r="C4060" s="190"/>
      <c r="D4060" s="190"/>
      <c r="E4060" s="740"/>
      <c r="F4060" s="40"/>
      <c r="G4060" s="832"/>
      <c r="H4060" s="7"/>
      <c r="I4060" s="253"/>
      <c r="J4060" s="253"/>
      <c r="K4060" s="584"/>
      <c r="L4060" s="39"/>
      <c r="M4060" s="39"/>
      <c r="N4060" s="52" t="str">
        <f>IF(AND('331-CT'!$E$7=TH!H4060,OR(L4060="331",M4060="331")),"331",IF(AND(OR(L4060="131",M4060="131"),H4060='131-CT'!$E$7),"131",""))</f>
        <v/>
      </c>
      <c r="O4060" s="52" t="str">
        <f>IF(AND($B4060&gt;='111'!$N$11,$B4060&lt;='111'!$O$11,OR($L4060=$O$7,$M4060=$O$7)),"x","")</f>
        <v/>
      </c>
      <c r="P4060" s="52" t="str">
        <f>IF(AND($L4060=$O$7,$B4060&lt;'111'!$N$11),"x","")</f>
        <v/>
      </c>
      <c r="Q4060" s="52" t="str">
        <f>IF(AND($M4060=$O$7,$B4060&lt;'111'!$N$11),"x","")</f>
        <v/>
      </c>
      <c r="R4060" s="52" t="str">
        <f>IF(ISERROR(FIND('112'!$M$9,G4060,1)),"",IF((AND(FIND('112'!$M$9,G4060,1)&gt;=1,$B4060&gt;='112'!$N$8,$B4060&lt;='112'!$O$8,OR($L4060='112'!$I$6,$M4060='112'!$I$6))),"x",""))</f>
        <v/>
      </c>
      <c r="S4060" s="52" t="str">
        <f>IF(ISERROR(FIND('112'!$M$9,G4060,1)),"",IF((AND(LEFT(G4060,2)=LEFT('112'!$M$9,2),B4060&lt;'112'!$N$8,$L4060='112'!$I$6)),"x",""))</f>
        <v/>
      </c>
      <c r="T4060" s="52" t="str">
        <f>IF(ISERROR(FIND('112'!$M$9,G4060,1)),"",IF((AND(RIGHT(G4060,2)=RIGHT('112'!$M$9,2),B4060&lt;'112'!$N$8,$M4060='112'!$I$6)),"x",""))</f>
        <v/>
      </c>
      <c r="U4060" s="52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/>
      </c>
      <c r="V4060" s="52" t="str">
        <f>IF(OR(TH!L4060=TH!$V$7,M4060=TH!$V$7),"x","")</f>
        <v/>
      </c>
      <c r="W4060" s="52" t="str">
        <f>IF(AND(B4060&gt;='IN-NX'!$P$3,B4060&lt;='IN-NX'!$Q$3,'IN-NX'!$D$7=D4060,OR(LEFT(L4060,2)="15",AND(LEFT(M4060,2)&lt;&gt;"15",LEFT(M4060,2)&lt;&gt;"33"))),"x","")</f>
        <v/>
      </c>
      <c r="X4060" s="52" t="str">
        <f>IF(AND(OR(LEFT(TH!L4060,2)="15",LEFT(TH!M4060,2)="15"),'152-CT'!$J$8=TH!F4060),"x","")</f>
        <v/>
      </c>
      <c r="Y4060" s="52" t="str">
        <f>IF(AND(OR(LEFT(TH!L4060,2)="15",LEFT(TH!M4060,2)="15"),TK!$E$7=TH!F4060),"x","")</f>
        <v/>
      </c>
      <c r="Z4060" s="52" t="str">
        <f>IF(AND(B4060&lt;=NKC!$N$8,B4060&gt;=NKC!$M$8),"x","")</f>
        <v/>
      </c>
      <c r="AA4060" s="826"/>
    </row>
    <row r="4061" spans="1:27" ht="15.75" customHeight="1">
      <c r="A4061" s="827" t="str">
        <f>IF(B4061&lt;&gt;"",IF(AND(B4061&gt;=_TM1,B4061&lt;=_TM2,OR(TH!L4061="1111",TH!M4061="1111")),TH!D4061,""),"")</f>
        <v/>
      </c>
      <c r="B4061" s="36" t="str">
        <f t="shared" si="518"/>
        <v/>
      </c>
      <c r="C4061" s="190"/>
      <c r="D4061" s="190"/>
      <c r="E4061" s="785"/>
      <c r="F4061" s="191"/>
      <c r="G4061" s="833"/>
      <c r="H4061" s="192"/>
      <c r="I4061" s="253"/>
      <c r="J4061" s="253"/>
      <c r="K4061" s="584"/>
      <c r="L4061" s="193"/>
      <c r="M4061" s="193"/>
      <c r="N4061" s="52" t="str">
        <f>IF(AND('331-CT'!$E$7=TH!H4061,OR(L4061="331",M4061="331")),"331",IF(AND(OR(L4061="131",M4061="131"),H4061='131-CT'!$E$7),"131",""))</f>
        <v/>
      </c>
      <c r="O4061" s="52" t="str">
        <f>IF(AND($B4061&gt;='111'!$N$11,$B4061&lt;='111'!$O$11,OR($L4061=$O$7,$M4061=$O$7)),"x","")</f>
        <v/>
      </c>
      <c r="P4061" s="52" t="str">
        <f>IF(AND($L4061=$O$7,$B4061&lt;'111'!$N$11),"x","")</f>
        <v/>
      </c>
      <c r="Q4061" s="52" t="str">
        <f>IF(AND($M4061=$O$7,$B4061&lt;'111'!$N$11),"x","")</f>
        <v/>
      </c>
      <c r="R4061" s="52" t="str">
        <f>IF(ISERROR(FIND('112'!$M$9,G4061,1)),"",IF((AND(FIND('112'!$M$9,G4061,1)&gt;=1,$B4061&gt;='112'!$N$8,$B4061&lt;='112'!$O$8,OR($L4061='112'!$I$6,$M4061='112'!$I$6))),"x",""))</f>
        <v/>
      </c>
      <c r="S4061" s="52" t="str">
        <f>IF(ISERROR(FIND('112'!$M$9,G4061,1)),"",IF((AND(LEFT(G4061,2)=LEFT('112'!$M$9,2),B4061&lt;'112'!$N$8,$L4061='112'!$I$6)),"x",""))</f>
        <v/>
      </c>
      <c r="T4061" s="52" t="str">
        <f>IF(ISERROR(FIND('112'!$M$9,G4061,1)),"",IF((AND(RIGHT(G4061,2)=RIGHT('112'!$M$9,2),B4061&lt;'112'!$N$8,$M4061='112'!$I$6)),"x",""))</f>
        <v/>
      </c>
      <c r="U4061" s="52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/>
      </c>
      <c r="V4061" s="52" t="str">
        <f>IF(OR(TH!L4061=TH!$V$7,M4061=TH!$V$7),"x","")</f>
        <v/>
      </c>
      <c r="W4061" s="52" t="str">
        <f>IF(AND(B4061&gt;='IN-NX'!$P$3,B4061&lt;='IN-NX'!$Q$3,'IN-NX'!$D$7=D4061,OR(LEFT(L4061,2)="15",AND(LEFT(M4061,2)&lt;&gt;"15",LEFT(M4061,2)&lt;&gt;"33"))),"x","")</f>
        <v/>
      </c>
      <c r="X4061" s="52" t="str">
        <f>IF(AND(OR(LEFT(TH!L4061,2)="15",LEFT(TH!M4061,2)="15"),'152-CT'!$J$8=TH!F4061),"x","")</f>
        <v/>
      </c>
      <c r="Y4061" s="52" t="str">
        <f>IF(AND(OR(LEFT(TH!L4061,2)="15",LEFT(TH!M4061,2)="15"),TK!$E$7=TH!F4061),"x","")</f>
        <v/>
      </c>
      <c r="Z4061" s="52" t="str">
        <f>IF(AND(B4061&lt;=NKC!$N$8,B4061&gt;=NKC!$M$8),"x","")</f>
        <v/>
      </c>
      <c r="AA4061" s="826"/>
    </row>
    <row r="4062" spans="1:27" ht="15.75" customHeight="1">
      <c r="A4062" s="827" t="str">
        <f>IF(B4062&lt;&gt;"",IF(AND(B4062&gt;=_TM1,B4062&lt;=_TM2,OR(TH!L4062="1111",TH!M4062="1111")),TH!D4062,""),"")</f>
        <v/>
      </c>
      <c r="B4062" s="36" t="str">
        <f t="shared" si="518"/>
        <v/>
      </c>
      <c r="C4062" s="190"/>
      <c r="D4062" s="190"/>
      <c r="E4062" s="785"/>
      <c r="F4062" s="191"/>
      <c r="G4062" s="833"/>
      <c r="H4062" s="192"/>
      <c r="I4062" s="253"/>
      <c r="J4062" s="253"/>
      <c r="K4062" s="38"/>
      <c r="L4062" s="193"/>
      <c r="M4062" s="193"/>
      <c r="N4062" s="52" t="str">
        <f>IF(AND('331-CT'!$E$7=TH!H4062,OR(L4062="331",M4062="331")),"331",IF(AND(OR(L4062="131",M4062="131"),H4062='131-CT'!$E$7),"131",""))</f>
        <v/>
      </c>
      <c r="O4062" s="52" t="str">
        <f>IF(AND($B4062&gt;='111'!$N$11,$B4062&lt;='111'!$O$11,OR($L4062=$O$7,$M4062=$O$7)),"x","")</f>
        <v/>
      </c>
      <c r="P4062" s="52" t="str">
        <f>IF(AND($L4062=$O$7,$B4062&lt;'111'!$N$11),"x","")</f>
        <v/>
      </c>
      <c r="Q4062" s="52" t="str">
        <f>IF(AND($M4062=$O$7,$B4062&lt;'111'!$N$11),"x","")</f>
        <v/>
      </c>
      <c r="R4062" s="52" t="str">
        <f>IF(ISERROR(FIND('112'!$M$9,G4062,1)),"",IF((AND(FIND('112'!$M$9,G4062,1)&gt;=1,$B4062&gt;='112'!$N$8,$B4062&lt;='112'!$O$8,OR($L4062='112'!$I$6,$M4062='112'!$I$6))),"x",""))</f>
        <v/>
      </c>
      <c r="S4062" s="52" t="str">
        <f>IF(ISERROR(FIND('112'!$M$9,G4062,1)),"",IF((AND(LEFT(G4062,2)=LEFT('112'!$M$9,2),B4062&lt;'112'!$N$8,$L4062='112'!$I$6)),"x",""))</f>
        <v/>
      </c>
      <c r="T4062" s="52" t="str">
        <f>IF(ISERROR(FIND('112'!$M$9,G4062,1)),"",IF((AND(RIGHT(G4062,2)=RIGHT('112'!$M$9,2),B4062&lt;'112'!$N$8,$M4062='112'!$I$6)),"x",""))</f>
        <v/>
      </c>
      <c r="U4062" s="52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/>
      </c>
      <c r="V4062" s="52" t="str">
        <f>IF(OR(TH!L4062=TH!$V$7,M4062=TH!$V$7),"x","")</f>
        <v/>
      </c>
      <c r="W4062" s="52" t="str">
        <f>IF(AND(B4062&gt;='IN-NX'!$P$3,B4062&lt;='IN-NX'!$Q$3,'IN-NX'!$D$7=D4062,OR(LEFT(L4062,2)="15",AND(LEFT(M4062,2)&lt;&gt;"15",LEFT(M4062,2)&lt;&gt;"33"))),"x","")</f>
        <v/>
      </c>
      <c r="X4062" s="52" t="str">
        <f>IF(AND(OR(LEFT(TH!L4062,2)="15",LEFT(TH!M4062,2)="15"),'152-CT'!$J$8=TH!F4062),"x","")</f>
        <v/>
      </c>
      <c r="Y4062" s="52" t="str">
        <f>IF(AND(OR(LEFT(TH!L4062,2)="15",LEFT(TH!M4062,2)="15"),TK!$E$7=TH!F4062),"x","")</f>
        <v/>
      </c>
      <c r="Z4062" s="52" t="str">
        <f>IF(AND(B4062&lt;=NKC!$N$8,B4062&gt;=NKC!$M$8),"x","")</f>
        <v/>
      </c>
      <c r="AA4062" s="826"/>
    </row>
    <row r="4063" spans="1:27" ht="15.75" customHeight="1">
      <c r="A4063" s="827" t="str">
        <f>IF(B4063&lt;&gt;"",IF(AND(B4063&gt;=_TM1,B4063&lt;=_TM2,OR(TH!L4063="1111",TH!M4063="1111")),TH!D4063,""),"")</f>
        <v/>
      </c>
      <c r="B4063" s="36" t="str">
        <f t="shared" si="518"/>
        <v/>
      </c>
      <c r="C4063" s="190"/>
      <c r="D4063" s="190"/>
      <c r="E4063" s="785"/>
      <c r="F4063" s="191"/>
      <c r="G4063" s="833"/>
      <c r="H4063" s="45"/>
      <c r="I4063" s="253"/>
      <c r="J4063" s="253"/>
      <c r="K4063" s="38"/>
      <c r="L4063" s="193"/>
      <c r="M4063" s="585"/>
      <c r="N4063" s="52" t="str">
        <f>IF(AND('331-CT'!$E$7=TH!H4063,OR(L4063="331",M4063="331")),"331",IF(AND(OR(L4063="131",M4063="131"),H4063='131-CT'!$E$7),"131",""))</f>
        <v/>
      </c>
      <c r="O4063" s="52" t="str">
        <f>IF(AND($B4063&gt;='111'!$N$11,$B4063&lt;='111'!$O$11,OR($L4063=$O$7,$M4063=$O$7)),"x","")</f>
        <v/>
      </c>
      <c r="P4063" s="52" t="str">
        <f>IF(AND($L4063=$O$7,$B4063&lt;'111'!$N$11),"x","")</f>
        <v/>
      </c>
      <c r="Q4063" s="52" t="str">
        <f>IF(AND($M4063=$O$7,$B4063&lt;'111'!$N$11),"x","")</f>
        <v/>
      </c>
      <c r="R4063" s="52" t="str">
        <f>IF(ISERROR(FIND('112'!$M$9,G4063,1)),"",IF((AND(FIND('112'!$M$9,G4063,1)&gt;=1,$B4063&gt;='112'!$N$8,$B4063&lt;='112'!$O$8,OR($L4063='112'!$I$6,$M4063='112'!$I$6))),"x",""))</f>
        <v/>
      </c>
      <c r="S4063" s="52" t="str">
        <f>IF(ISERROR(FIND('112'!$M$9,G4063,1)),"",IF((AND(LEFT(G4063,2)=LEFT('112'!$M$9,2),B4063&lt;'112'!$N$8,$L4063='112'!$I$6)),"x",""))</f>
        <v/>
      </c>
      <c r="T4063" s="52" t="str">
        <f>IF(ISERROR(FIND('112'!$M$9,G4063,1)),"",IF((AND(RIGHT(G4063,2)=RIGHT('112'!$M$9,2),B4063&lt;'112'!$N$8,$M4063='112'!$I$6)),"x",""))</f>
        <v/>
      </c>
      <c r="U4063" s="52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/>
      </c>
      <c r="V4063" s="52" t="str">
        <f>IF(OR(TH!L4063=TH!$V$7,M4063=TH!$V$7),"x","")</f>
        <v/>
      </c>
      <c r="W4063" s="52" t="str">
        <f>IF(AND(B4063&gt;='IN-NX'!$P$3,B4063&lt;='IN-NX'!$Q$3,'IN-NX'!$D$7=D4063,OR(LEFT(L4063,2)="15",AND(LEFT(M4063,2)&lt;&gt;"15",LEFT(M4063,2)&lt;&gt;"33"))),"x","")</f>
        <v/>
      </c>
      <c r="X4063" s="52" t="str">
        <f>IF(AND(OR(LEFT(TH!L4063,2)="15",LEFT(TH!M4063,2)="15"),'152-CT'!$J$8=TH!F4063),"x","")</f>
        <v/>
      </c>
      <c r="Y4063" s="52" t="str">
        <f>IF(AND(OR(LEFT(TH!L4063,2)="15",LEFT(TH!M4063,2)="15"),TK!$E$7=TH!F4063),"x","")</f>
        <v/>
      </c>
      <c r="Z4063" s="52" t="str">
        <f>IF(AND(B4063&lt;=NKC!$N$8,B4063&gt;=NKC!$M$8),"x","")</f>
        <v/>
      </c>
      <c r="AA4063" s="826"/>
    </row>
    <row r="4064" spans="1:27" ht="15.75" customHeight="1">
      <c r="A4064" s="827" t="str">
        <f>IF(B4064&lt;&gt;"",IF(AND(B4064&gt;=_TM1,B4064&lt;=_TM2,OR(TH!L4064="1111",TH!M4064="1111")),TH!D4064,""),"")</f>
        <v/>
      </c>
      <c r="B4064" s="36" t="str">
        <f t="shared" si="518"/>
        <v/>
      </c>
      <c r="C4064" s="190"/>
      <c r="D4064" s="190"/>
      <c r="E4064" s="785"/>
      <c r="F4064" s="191"/>
      <c r="G4064" s="833"/>
      <c r="H4064" s="192"/>
      <c r="I4064" s="253"/>
      <c r="J4064" s="253"/>
      <c r="K4064" s="584"/>
      <c r="L4064" s="193"/>
      <c r="M4064" s="193"/>
      <c r="N4064" s="52" t="str">
        <f>IF(AND('331-CT'!$E$7=TH!H4064,OR(L4064="331",M4064="331")),"331",IF(AND(OR(L4064="131",M4064="131"),H4064='131-CT'!$E$7),"131",""))</f>
        <v/>
      </c>
      <c r="O4064" s="52" t="str">
        <f>IF(AND($B4064&gt;='111'!$N$11,$B4064&lt;='111'!$O$11,OR($L4064=$O$7,$M4064=$O$7)),"x","")</f>
        <v/>
      </c>
      <c r="P4064" s="52" t="str">
        <f>IF(AND($L4064=$O$7,$B4064&lt;'111'!$N$11),"x","")</f>
        <v/>
      </c>
      <c r="Q4064" s="52" t="str">
        <f>IF(AND($M4064=$O$7,$B4064&lt;'111'!$N$11),"x","")</f>
        <v/>
      </c>
      <c r="R4064" s="52" t="str">
        <f>IF(ISERROR(FIND('112'!$M$9,G4064,1)),"",IF((AND(FIND('112'!$M$9,G4064,1)&gt;=1,$B4064&gt;='112'!$N$8,$B4064&lt;='112'!$O$8,OR($L4064='112'!$I$6,$M4064='112'!$I$6))),"x",""))</f>
        <v/>
      </c>
      <c r="S4064" s="52" t="str">
        <f>IF(ISERROR(FIND('112'!$M$9,G4064,1)),"",IF((AND(LEFT(G4064,2)=LEFT('112'!$M$9,2),B4064&lt;'112'!$N$8,$L4064='112'!$I$6)),"x",""))</f>
        <v/>
      </c>
      <c r="T4064" s="52" t="str">
        <f>IF(ISERROR(FIND('112'!$M$9,G4064,1)),"",IF((AND(RIGHT(G4064,2)=RIGHT('112'!$M$9,2),B4064&lt;'112'!$N$8,$M4064='112'!$I$6)),"x",""))</f>
        <v/>
      </c>
      <c r="U4064" s="52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/>
      </c>
      <c r="V4064" s="52" t="str">
        <f>IF(OR(TH!L4064=TH!$V$7,M4064=TH!$V$7),"x","")</f>
        <v/>
      </c>
      <c r="W4064" s="52" t="str">
        <f>IF(AND(B4064&gt;='IN-NX'!$P$3,B4064&lt;='IN-NX'!$Q$3,'IN-NX'!$D$7=D4064,OR(LEFT(L4064,2)="15",AND(LEFT(M4064,2)&lt;&gt;"15",LEFT(M4064,2)&lt;&gt;"33"))),"x","")</f>
        <v/>
      </c>
      <c r="X4064" s="52" t="str">
        <f>IF(AND(OR(LEFT(TH!L4064,2)="15",LEFT(TH!M4064,2)="15"),'152-CT'!$J$8=TH!F4064),"x","")</f>
        <v/>
      </c>
      <c r="Y4064" s="52" t="str">
        <f>IF(AND(OR(LEFT(TH!L4064,2)="15",LEFT(TH!M4064,2)="15"),TK!$E$7=TH!F4064),"x","")</f>
        <v/>
      </c>
      <c r="Z4064" s="52" t="str">
        <f>IF(AND(B4064&lt;=NKC!$N$8,B4064&gt;=NKC!$M$8),"x","")</f>
        <v/>
      </c>
      <c r="AA4064" s="826"/>
    </row>
    <row r="4065" spans="1:27" ht="15.75" customHeight="1">
      <c r="A4065" s="827" t="str">
        <f>IF(B4065&lt;&gt;"",IF(AND(B4065&gt;=_TM1,B4065&lt;=_TM2,OR(TH!L4065="1111",TH!M4065="1111")),TH!D4065,""),"")</f>
        <v/>
      </c>
      <c r="B4065" s="36" t="str">
        <f t="shared" si="518"/>
        <v/>
      </c>
      <c r="C4065" s="190"/>
      <c r="D4065" s="190"/>
      <c r="E4065" s="785"/>
      <c r="F4065" s="191"/>
      <c r="G4065" s="833"/>
      <c r="H4065" s="192"/>
      <c r="I4065" s="253"/>
      <c r="J4065" s="253"/>
      <c r="K4065" s="584"/>
      <c r="L4065" s="193"/>
      <c r="M4065" s="193"/>
      <c r="N4065" s="52" t="str">
        <f>IF(AND('331-CT'!$E$7=TH!H4065,OR(L4065="331",M4065="331")),"331",IF(AND(OR(L4065="131",M4065="131"),H4065='131-CT'!$E$7),"131",""))</f>
        <v/>
      </c>
      <c r="O4065" s="52" t="str">
        <f>IF(AND($B4065&gt;='111'!$N$11,$B4065&lt;='111'!$O$11,OR($L4065=$O$7,$M4065=$O$7)),"x","")</f>
        <v/>
      </c>
      <c r="P4065" s="52" t="str">
        <f>IF(AND($L4065=$O$7,$B4065&lt;'111'!$N$11),"x","")</f>
        <v/>
      </c>
      <c r="Q4065" s="52" t="str">
        <f>IF(AND($M4065=$O$7,$B4065&lt;'111'!$N$11),"x","")</f>
        <v/>
      </c>
      <c r="R4065" s="52" t="str">
        <f>IF(ISERROR(FIND('112'!$M$9,G4065,1)),"",IF((AND(FIND('112'!$M$9,G4065,1)&gt;=1,$B4065&gt;='112'!$N$8,$B4065&lt;='112'!$O$8,OR($L4065='112'!$I$6,$M4065='112'!$I$6))),"x",""))</f>
        <v/>
      </c>
      <c r="S4065" s="52" t="str">
        <f>IF(ISERROR(FIND('112'!$M$9,G4065,1)),"",IF((AND(LEFT(G4065,2)=LEFT('112'!$M$9,2),B4065&lt;'112'!$N$8,$L4065='112'!$I$6)),"x",""))</f>
        <v/>
      </c>
      <c r="T4065" s="52" t="str">
        <f>IF(ISERROR(FIND('112'!$M$9,G4065,1)),"",IF((AND(RIGHT(G4065,2)=RIGHT('112'!$M$9,2),B4065&lt;'112'!$N$8,$M4065='112'!$I$6)),"x",""))</f>
        <v/>
      </c>
      <c r="U4065" s="52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/>
      </c>
      <c r="V4065" s="52" t="str">
        <f>IF(OR(TH!L4065=TH!$V$7,M4065=TH!$V$7),"x","")</f>
        <v/>
      </c>
      <c r="W4065" s="52" t="str">
        <f>IF(AND(B4065&gt;='IN-NX'!$P$3,B4065&lt;='IN-NX'!$Q$3,'IN-NX'!$D$7=D4065,OR(LEFT(L4065,2)="15",AND(LEFT(M4065,2)&lt;&gt;"15",LEFT(M4065,2)&lt;&gt;"33"))),"x","")</f>
        <v/>
      </c>
      <c r="X4065" s="52" t="str">
        <f>IF(AND(OR(LEFT(TH!L4065,2)="15",LEFT(TH!M4065,2)="15"),'152-CT'!$J$8=TH!F4065),"x","")</f>
        <v/>
      </c>
      <c r="Y4065" s="52" t="str">
        <f>IF(AND(OR(LEFT(TH!L4065,2)="15",LEFT(TH!M4065,2)="15"),TK!$E$7=TH!F4065),"x","")</f>
        <v/>
      </c>
      <c r="Z4065" s="52" t="str">
        <f>IF(AND(B4065&lt;=NKC!$N$8,B4065&gt;=NKC!$M$8),"x","")</f>
        <v/>
      </c>
      <c r="AA4065" s="826"/>
    </row>
    <row r="4066" spans="1:27" ht="15.75" customHeight="1">
      <c r="A4066" s="827" t="str">
        <f>IF(B4066&lt;&gt;"",IF(AND(B4066&gt;=_TM1,B4066&lt;=_TM2,OR(TH!L4066="1111",TH!M4066="1111")),TH!D4066,""),"")</f>
        <v/>
      </c>
      <c r="B4066" s="36" t="str">
        <f t="shared" si="518"/>
        <v/>
      </c>
      <c r="C4066" s="190"/>
      <c r="D4066" s="190"/>
      <c r="E4066" s="785"/>
      <c r="F4066" s="191"/>
      <c r="G4066" s="833"/>
      <c r="H4066" s="192"/>
      <c r="I4066" s="253"/>
      <c r="J4066" s="253"/>
      <c r="K4066" s="38"/>
      <c r="L4066" s="193"/>
      <c r="M4066" s="193"/>
      <c r="N4066" s="52" t="str">
        <f>IF(AND('331-CT'!$E$7=TH!H4066,OR(L4066="331",M4066="331")),"331",IF(AND(OR(L4066="131",M4066="131"),H4066='131-CT'!$E$7),"131",""))</f>
        <v/>
      </c>
      <c r="O4066" s="52" t="str">
        <f>IF(AND($B4066&gt;='111'!$N$11,$B4066&lt;='111'!$O$11,OR($L4066=$O$7,$M4066=$O$7)),"x","")</f>
        <v/>
      </c>
      <c r="P4066" s="52" t="str">
        <f>IF(AND($L4066=$O$7,$B4066&lt;'111'!$N$11),"x","")</f>
        <v/>
      </c>
      <c r="Q4066" s="52" t="str">
        <f>IF(AND($M4066=$O$7,$B4066&lt;'111'!$N$11),"x","")</f>
        <v/>
      </c>
      <c r="R4066" s="52" t="str">
        <f>IF(ISERROR(FIND('112'!$M$9,G4066,1)),"",IF((AND(FIND('112'!$M$9,G4066,1)&gt;=1,$B4066&gt;='112'!$N$8,$B4066&lt;='112'!$O$8,OR($L4066='112'!$I$6,$M4066='112'!$I$6))),"x",""))</f>
        <v/>
      </c>
      <c r="S4066" s="52" t="str">
        <f>IF(ISERROR(FIND('112'!$M$9,G4066,1)),"",IF((AND(LEFT(G4066,2)=LEFT('112'!$M$9,2),B4066&lt;'112'!$N$8,$L4066='112'!$I$6)),"x",""))</f>
        <v/>
      </c>
      <c r="T4066" s="52" t="str">
        <f>IF(ISERROR(FIND('112'!$M$9,G4066,1)),"",IF((AND(RIGHT(G4066,2)=RIGHT('112'!$M$9,2),B4066&lt;'112'!$N$8,$M4066='112'!$I$6)),"x",""))</f>
        <v/>
      </c>
      <c r="U4066" s="52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/>
      </c>
      <c r="V4066" s="52" t="str">
        <f>IF(OR(TH!L4066=TH!$V$7,M4066=TH!$V$7),"x","")</f>
        <v/>
      </c>
      <c r="W4066" s="52" t="str">
        <f>IF(AND(B4066&gt;='IN-NX'!$P$3,B4066&lt;='IN-NX'!$Q$3,'IN-NX'!$D$7=D4066,OR(LEFT(L4066,2)="15",AND(LEFT(M4066,2)&lt;&gt;"15",LEFT(M4066,2)&lt;&gt;"33"))),"x","")</f>
        <v/>
      </c>
      <c r="X4066" s="52" t="str">
        <f>IF(AND(OR(LEFT(TH!L4066,2)="15",LEFT(TH!M4066,2)="15"),'152-CT'!$J$8=TH!F4066),"x","")</f>
        <v/>
      </c>
      <c r="Y4066" s="52" t="str">
        <f>IF(AND(OR(LEFT(TH!L4066,2)="15",LEFT(TH!M4066,2)="15"),TK!$E$7=TH!F4066),"x","")</f>
        <v/>
      </c>
      <c r="Z4066" s="52" t="str">
        <f>IF(AND(B4066&lt;=NKC!$N$8,B4066&gt;=NKC!$M$8),"x","")</f>
        <v/>
      </c>
      <c r="AA4066" s="826"/>
    </row>
    <row r="4067" spans="1:27" ht="15.75" customHeight="1">
      <c r="A4067" s="827" t="str">
        <f>IF(B4067&lt;&gt;"",IF(AND(B4067&gt;=_TM1,B4067&lt;=_TM2,OR(TH!L4067="1111",TH!M4067="1111")),TH!D4067,""),"")</f>
        <v/>
      </c>
      <c r="B4067" s="36" t="str">
        <f t="shared" si="518"/>
        <v/>
      </c>
      <c r="C4067" s="183"/>
      <c r="D4067" s="183"/>
      <c r="E4067" s="785"/>
      <c r="F4067" s="188"/>
      <c r="G4067" s="835"/>
      <c r="H4067" s="7"/>
      <c r="I4067" s="253"/>
      <c r="J4067" s="253"/>
      <c r="K4067" s="584"/>
      <c r="L4067" s="585"/>
      <c r="M4067" s="585"/>
      <c r="N4067" s="52" t="str">
        <f>IF(AND('331-CT'!$E$7=TH!H4067,OR(L4067="331",M4067="331")),"331",IF(AND(OR(L4067="131",M4067="131"),H4067='131-CT'!$E$7),"131",""))</f>
        <v/>
      </c>
      <c r="O4067" s="52" t="str">
        <f>IF(AND($B4067&gt;='111'!$N$11,$B4067&lt;='111'!$O$11,OR($L4067=$O$7,$M4067=$O$7)),"x","")</f>
        <v/>
      </c>
      <c r="P4067" s="52" t="str">
        <f>IF(AND($L4067=$O$7,$B4067&lt;'111'!$N$11),"x","")</f>
        <v/>
      </c>
      <c r="Q4067" s="52" t="str">
        <f>IF(AND($M4067=$O$7,$B4067&lt;'111'!$N$11),"x","")</f>
        <v/>
      </c>
      <c r="R4067" s="52" t="str">
        <f>IF(ISERROR(FIND('112'!$M$9,G4067,1)),"",IF((AND(FIND('112'!$M$9,G4067,1)&gt;=1,$B4067&gt;='112'!$N$8,$B4067&lt;='112'!$O$8,OR($L4067='112'!$I$6,$M4067='112'!$I$6))),"x",""))</f>
        <v/>
      </c>
      <c r="S4067" s="52" t="str">
        <f>IF(ISERROR(FIND('112'!$M$9,G4067,1)),"",IF((AND(LEFT(G4067,2)=LEFT('112'!$M$9,2),B4067&lt;'112'!$N$8,$L4067='112'!$I$6)),"x",""))</f>
        <v/>
      </c>
      <c r="T4067" s="52" t="str">
        <f>IF(ISERROR(FIND('112'!$M$9,G4067,1)),"",IF((AND(RIGHT(G4067,2)=RIGHT('112'!$M$9,2),B4067&lt;'112'!$N$8,$M4067='112'!$I$6)),"x",""))</f>
        <v/>
      </c>
      <c r="U4067" s="52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/>
      </c>
      <c r="V4067" s="52" t="str">
        <f>IF(OR(TH!L4067=TH!$V$7,M4067=TH!$V$7),"x","")</f>
        <v/>
      </c>
      <c r="W4067" s="52" t="str">
        <f>IF(AND(B4067&gt;='IN-NX'!$P$3,B4067&lt;='IN-NX'!$Q$3,'IN-NX'!$D$7=D4067,OR(LEFT(L4067,2)="15",AND(LEFT(M4067,2)&lt;&gt;"15",LEFT(M4067,2)&lt;&gt;"33"))),"x","")</f>
        <v/>
      </c>
      <c r="X4067" s="52" t="str">
        <f>IF(AND(OR(LEFT(TH!L4067,2)="15",LEFT(TH!M4067,2)="15"),'152-CT'!$J$8=TH!F4067),"x","")</f>
        <v/>
      </c>
      <c r="Y4067" s="52" t="str">
        <f>IF(AND(OR(LEFT(TH!L4067,2)="15",LEFT(TH!M4067,2)="15"),TK!$E$7=TH!F4067),"x","")</f>
        <v/>
      </c>
      <c r="Z4067" s="52" t="str">
        <f>IF(AND(B4067&lt;=NKC!$N$8,B4067&gt;=NKC!$M$8),"x","")</f>
        <v/>
      </c>
      <c r="AA4067" s="826"/>
    </row>
    <row r="4068" spans="1:27" ht="15.75" customHeight="1">
      <c r="A4068" s="827" t="str">
        <f>IF(B4068&lt;&gt;"",IF(AND(B4068&gt;=_TM1,B4068&lt;=_TM2,OR(TH!L4068="1111",TH!M4068="1111")),TH!D4068,""),"")</f>
        <v/>
      </c>
      <c r="B4068" s="36" t="str">
        <f t="shared" si="518"/>
        <v/>
      </c>
      <c r="C4068" s="183"/>
      <c r="D4068" s="183"/>
      <c r="E4068" s="785"/>
      <c r="F4068" s="188"/>
      <c r="G4068" s="835"/>
      <c r="H4068" s="7"/>
      <c r="I4068" s="253"/>
      <c r="J4068" s="253"/>
      <c r="K4068" s="584"/>
      <c r="L4068" s="585"/>
      <c r="M4068" s="585"/>
      <c r="N4068" s="52" t="str">
        <f>IF(AND('331-CT'!$E$7=TH!H4068,OR(L4068="331",M4068="331")),"331",IF(AND(OR(L4068="131",M4068="131"),H4068='131-CT'!$E$7),"131",""))</f>
        <v/>
      </c>
      <c r="O4068" s="52" t="str">
        <f>IF(AND($B4068&gt;='111'!$N$11,$B4068&lt;='111'!$O$11,OR($L4068=$O$7,$M4068=$O$7)),"x","")</f>
        <v/>
      </c>
      <c r="P4068" s="52" t="str">
        <f>IF(AND($L4068=$O$7,$B4068&lt;'111'!$N$11),"x","")</f>
        <v/>
      </c>
      <c r="Q4068" s="52" t="str">
        <f>IF(AND($M4068=$O$7,$B4068&lt;'111'!$N$11),"x","")</f>
        <v/>
      </c>
      <c r="R4068" s="52" t="str">
        <f>IF(ISERROR(FIND('112'!$M$9,G4068,1)),"",IF((AND(FIND('112'!$M$9,G4068,1)&gt;=1,$B4068&gt;='112'!$N$8,$B4068&lt;='112'!$O$8,OR($L4068='112'!$I$6,$M4068='112'!$I$6))),"x",""))</f>
        <v/>
      </c>
      <c r="S4068" s="52" t="str">
        <f>IF(ISERROR(FIND('112'!$M$9,G4068,1)),"",IF((AND(LEFT(G4068,2)=LEFT('112'!$M$9,2),B4068&lt;'112'!$N$8,$L4068='112'!$I$6)),"x",""))</f>
        <v/>
      </c>
      <c r="T4068" s="52" t="str">
        <f>IF(ISERROR(FIND('112'!$M$9,G4068,1)),"",IF((AND(RIGHT(G4068,2)=RIGHT('112'!$M$9,2),B4068&lt;'112'!$N$8,$M4068='112'!$I$6)),"x",""))</f>
        <v/>
      </c>
      <c r="U4068" s="52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/>
      </c>
      <c r="V4068" s="52" t="str">
        <f>IF(OR(TH!L4068=TH!$V$7,M4068=TH!$V$7),"x","")</f>
        <v/>
      </c>
      <c r="W4068" s="52" t="str">
        <f>IF(AND(B4068&gt;='IN-NX'!$P$3,B4068&lt;='IN-NX'!$Q$3,'IN-NX'!$D$7=D4068,OR(LEFT(L4068,2)="15",AND(LEFT(M4068,2)&lt;&gt;"15",LEFT(M4068,2)&lt;&gt;"33"))),"x","")</f>
        <v/>
      </c>
      <c r="X4068" s="52" t="str">
        <f>IF(AND(OR(LEFT(TH!L4068,2)="15",LEFT(TH!M4068,2)="15"),'152-CT'!$J$8=TH!F4068),"x","")</f>
        <v/>
      </c>
      <c r="Y4068" s="52" t="str">
        <f>IF(AND(OR(LEFT(TH!L4068,2)="15",LEFT(TH!M4068,2)="15"),TK!$E$7=TH!F4068),"x","")</f>
        <v/>
      </c>
      <c r="Z4068" s="52" t="str">
        <f>IF(AND(B4068&lt;=NKC!$N$8,B4068&gt;=NKC!$M$8),"x","")</f>
        <v/>
      </c>
      <c r="AA4068" s="826"/>
    </row>
    <row r="4069" spans="1:27" ht="15.75" customHeight="1">
      <c r="A4069" s="827" t="str">
        <f>IF(B4069&lt;&gt;"",IF(AND(B4069&gt;=_TM1,B4069&lt;=_TM2,OR(TH!L4069="1111",TH!M4069="1111")),TH!D4069,""),"")</f>
        <v/>
      </c>
      <c r="B4069" s="36" t="str">
        <f t="shared" si="518"/>
        <v/>
      </c>
      <c r="C4069" s="183"/>
      <c r="D4069" s="183"/>
      <c r="E4069" s="785"/>
      <c r="F4069" s="188"/>
      <c r="G4069" s="835"/>
      <c r="H4069" s="7"/>
      <c r="I4069" s="253"/>
      <c r="J4069" s="253"/>
      <c r="K4069" s="584"/>
      <c r="L4069" s="585"/>
      <c r="M4069" s="585"/>
      <c r="N4069" s="52" t="str">
        <f>IF(AND('331-CT'!$E$7=TH!H4069,OR(L4069="331",M4069="331")),"331",IF(AND(OR(L4069="131",M4069="131"),H4069='131-CT'!$E$7),"131",""))</f>
        <v/>
      </c>
      <c r="O4069" s="52" t="str">
        <f>IF(AND($B4069&gt;='111'!$N$11,$B4069&lt;='111'!$O$11,OR($L4069=$O$7,$M4069=$O$7)),"x","")</f>
        <v/>
      </c>
      <c r="P4069" s="52" t="str">
        <f>IF(AND($L4069=$O$7,$B4069&lt;'111'!$N$11),"x","")</f>
        <v/>
      </c>
      <c r="Q4069" s="52" t="str">
        <f>IF(AND($M4069=$O$7,$B4069&lt;'111'!$N$11),"x","")</f>
        <v/>
      </c>
      <c r="R4069" s="52" t="str">
        <f>IF(ISERROR(FIND('112'!$M$9,G4069,1)),"",IF((AND(FIND('112'!$M$9,G4069,1)&gt;=1,$B4069&gt;='112'!$N$8,$B4069&lt;='112'!$O$8,OR($L4069='112'!$I$6,$M4069='112'!$I$6))),"x",""))</f>
        <v/>
      </c>
      <c r="S4069" s="52" t="str">
        <f>IF(ISERROR(FIND('112'!$M$9,G4069,1)),"",IF((AND(LEFT(G4069,2)=LEFT('112'!$M$9,2),B4069&lt;'112'!$N$8,$L4069='112'!$I$6)),"x",""))</f>
        <v/>
      </c>
      <c r="T4069" s="52" t="str">
        <f>IF(ISERROR(FIND('112'!$M$9,G4069,1)),"",IF((AND(RIGHT(G4069,2)=RIGHT('112'!$M$9,2),B4069&lt;'112'!$N$8,$M4069='112'!$I$6)),"x",""))</f>
        <v/>
      </c>
      <c r="U4069" s="52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/>
      </c>
      <c r="V4069" s="52" t="str">
        <f>IF(OR(TH!L4069=TH!$V$7,M4069=TH!$V$7),"x","")</f>
        <v/>
      </c>
      <c r="W4069" s="52" t="str">
        <f>IF(AND(B4069&gt;='IN-NX'!$P$3,B4069&lt;='IN-NX'!$Q$3,'IN-NX'!$D$7=D4069,OR(LEFT(L4069,2)="15",AND(LEFT(M4069,2)&lt;&gt;"15",LEFT(M4069,2)&lt;&gt;"33"))),"x","")</f>
        <v/>
      </c>
      <c r="X4069" s="52" t="str">
        <f>IF(AND(OR(LEFT(TH!L4069,2)="15",LEFT(TH!M4069,2)="15"),'152-CT'!$J$8=TH!F4069),"x","")</f>
        <v/>
      </c>
      <c r="Y4069" s="52" t="str">
        <f>IF(AND(OR(LEFT(TH!L4069,2)="15",LEFT(TH!M4069,2)="15"),TK!$E$7=TH!F4069),"x","")</f>
        <v/>
      </c>
      <c r="Z4069" s="52" t="str">
        <f>IF(AND(B4069&lt;=NKC!$N$8,B4069&gt;=NKC!$M$8),"x","")</f>
        <v/>
      </c>
      <c r="AA4069" s="826"/>
    </row>
    <row r="4070" spans="1:27" ht="15.75" customHeight="1">
      <c r="A4070" s="827" t="str">
        <f>IF(B4070&lt;&gt;"",IF(AND(B4070&gt;=_TM1,B4070&lt;=_TM2,OR(TH!L4070="1111",TH!M4070="1111")),TH!D4070,""),"")</f>
        <v/>
      </c>
      <c r="B4070" s="36" t="str">
        <f t="shared" si="518"/>
        <v/>
      </c>
      <c r="C4070" s="190"/>
      <c r="D4070" s="190"/>
      <c r="E4070" s="785"/>
      <c r="F4070" s="191"/>
      <c r="G4070" s="833"/>
      <c r="H4070" s="192"/>
      <c r="I4070" s="253"/>
      <c r="J4070" s="253"/>
      <c r="K4070" s="584"/>
      <c r="L4070" s="193"/>
      <c r="M4070" s="193"/>
      <c r="N4070" s="52" t="str">
        <f>IF(AND('331-CT'!$E$7=TH!H4070,OR(L4070="331",M4070="331")),"331",IF(AND(OR(L4070="131",M4070="131"),H4070='131-CT'!$E$7),"131",""))</f>
        <v/>
      </c>
      <c r="O4070" s="52" t="str">
        <f>IF(AND($B4070&gt;='111'!$N$11,$B4070&lt;='111'!$O$11,OR($L4070=$O$7,$M4070=$O$7)),"x","")</f>
        <v/>
      </c>
      <c r="P4070" s="52" t="str">
        <f>IF(AND($L4070=$O$7,$B4070&lt;'111'!$N$11),"x","")</f>
        <v/>
      </c>
      <c r="Q4070" s="52" t="str">
        <f>IF(AND($M4070=$O$7,$B4070&lt;'111'!$N$11),"x","")</f>
        <v/>
      </c>
      <c r="R4070" s="52" t="str">
        <f>IF(ISERROR(FIND('112'!$M$9,G4070,1)),"",IF((AND(FIND('112'!$M$9,G4070,1)&gt;=1,$B4070&gt;='112'!$N$8,$B4070&lt;='112'!$O$8,OR($L4070='112'!$I$6,$M4070='112'!$I$6))),"x",""))</f>
        <v/>
      </c>
      <c r="S4070" s="52" t="str">
        <f>IF(ISERROR(FIND('112'!$M$9,G4070,1)),"",IF((AND(LEFT(G4070,2)=LEFT('112'!$M$9,2),B4070&lt;'112'!$N$8,$L4070='112'!$I$6)),"x",""))</f>
        <v/>
      </c>
      <c r="T4070" s="52" t="str">
        <f>IF(ISERROR(FIND('112'!$M$9,G4070,1)),"",IF((AND(RIGHT(G4070,2)=RIGHT('112'!$M$9,2),B4070&lt;'112'!$N$8,$M4070='112'!$I$6)),"x",""))</f>
        <v/>
      </c>
      <c r="U4070" s="52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/>
      </c>
      <c r="V4070" s="52" t="str">
        <f>IF(OR(TH!L4070=TH!$V$7,M4070=TH!$V$7),"x","")</f>
        <v/>
      </c>
      <c r="W4070" s="52" t="str">
        <f>IF(AND(B4070&gt;='IN-NX'!$P$3,B4070&lt;='IN-NX'!$Q$3,'IN-NX'!$D$7=D4070,OR(LEFT(L4070,2)="15",AND(LEFT(M4070,2)&lt;&gt;"15",LEFT(M4070,2)&lt;&gt;"33"))),"x","")</f>
        <v/>
      </c>
      <c r="X4070" s="52" t="str">
        <f>IF(AND(OR(LEFT(TH!L4070,2)="15",LEFT(TH!M4070,2)="15"),'152-CT'!$J$8=TH!F4070),"x","")</f>
        <v/>
      </c>
      <c r="Y4070" s="52" t="str">
        <f>IF(AND(OR(LEFT(TH!L4070,2)="15",LEFT(TH!M4070,2)="15"),TK!$E$7=TH!F4070),"x","")</f>
        <v/>
      </c>
      <c r="Z4070" s="52" t="str">
        <f>IF(AND(B4070&lt;=NKC!$N$8,B4070&gt;=NKC!$M$8),"x","")</f>
        <v/>
      </c>
      <c r="AA4070" s="826"/>
    </row>
    <row r="4071" spans="1:27" ht="15.75" customHeight="1">
      <c r="A4071" s="827" t="str">
        <f>IF(B4071&lt;&gt;"",IF(AND(B4071&gt;=_TM1,B4071&lt;=_TM2,OR(TH!L4071="1111",TH!M4071="1111")),TH!D4071,""),"")</f>
        <v/>
      </c>
      <c r="B4071" s="36" t="str">
        <f t="shared" si="518"/>
        <v/>
      </c>
      <c r="C4071" s="190"/>
      <c r="D4071" s="190"/>
      <c r="E4071" s="785"/>
      <c r="F4071" s="191"/>
      <c r="G4071" s="833"/>
      <c r="H4071" s="192"/>
      <c r="I4071" s="253"/>
      <c r="J4071" s="253"/>
      <c r="K4071" s="584"/>
      <c r="L4071" s="193"/>
      <c r="M4071" s="193"/>
      <c r="N4071" s="52" t="str">
        <f>IF(AND('331-CT'!$E$7=TH!H4071,OR(L4071="331",M4071="331")),"331",IF(AND(OR(L4071="131",M4071="131"),H4071='131-CT'!$E$7),"131",""))</f>
        <v/>
      </c>
      <c r="O4071" s="52" t="str">
        <f>IF(AND($B4071&gt;='111'!$N$11,$B4071&lt;='111'!$O$11,OR($L4071=$O$7,$M4071=$O$7)),"x","")</f>
        <v/>
      </c>
      <c r="P4071" s="52" t="str">
        <f>IF(AND($L4071=$O$7,$B4071&lt;'111'!$N$11),"x","")</f>
        <v/>
      </c>
      <c r="Q4071" s="52" t="str">
        <f>IF(AND($M4071=$O$7,$B4071&lt;'111'!$N$11),"x","")</f>
        <v/>
      </c>
      <c r="R4071" s="52" t="str">
        <f>IF(ISERROR(FIND('112'!$M$9,G4071,1)),"",IF((AND(FIND('112'!$M$9,G4071,1)&gt;=1,$B4071&gt;='112'!$N$8,$B4071&lt;='112'!$O$8,OR($L4071='112'!$I$6,$M4071='112'!$I$6))),"x",""))</f>
        <v/>
      </c>
      <c r="S4071" s="52" t="str">
        <f>IF(ISERROR(FIND('112'!$M$9,G4071,1)),"",IF((AND(LEFT(G4071,2)=LEFT('112'!$M$9,2),B4071&lt;'112'!$N$8,$L4071='112'!$I$6)),"x",""))</f>
        <v/>
      </c>
      <c r="T4071" s="52" t="str">
        <f>IF(ISERROR(FIND('112'!$M$9,G4071,1)),"",IF((AND(RIGHT(G4071,2)=RIGHT('112'!$M$9,2),B4071&lt;'112'!$N$8,$M4071='112'!$I$6)),"x",""))</f>
        <v/>
      </c>
      <c r="U4071" s="52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/>
      </c>
      <c r="V4071" s="52" t="str">
        <f>IF(OR(TH!L4071=TH!$V$7,M4071=TH!$V$7),"x","")</f>
        <v/>
      </c>
      <c r="W4071" s="52" t="str">
        <f>IF(AND(B4071&gt;='IN-NX'!$P$3,B4071&lt;='IN-NX'!$Q$3,'IN-NX'!$D$7=D4071,OR(LEFT(L4071,2)="15",AND(LEFT(M4071,2)&lt;&gt;"15",LEFT(M4071,2)&lt;&gt;"33"))),"x","")</f>
        <v/>
      </c>
      <c r="X4071" s="52" t="str">
        <f>IF(AND(OR(LEFT(TH!L4071,2)="15",LEFT(TH!M4071,2)="15"),'152-CT'!$J$8=TH!F4071),"x","")</f>
        <v/>
      </c>
      <c r="Y4071" s="52" t="str">
        <f>IF(AND(OR(LEFT(TH!L4071,2)="15",LEFT(TH!M4071,2)="15"),TK!$E$7=TH!F4071),"x","")</f>
        <v/>
      </c>
      <c r="Z4071" s="52" t="str">
        <f>IF(AND(B4071&lt;=NKC!$N$8,B4071&gt;=NKC!$M$8),"x","")</f>
        <v/>
      </c>
      <c r="AA4071" s="826"/>
    </row>
    <row r="4072" spans="1:27" ht="15.75" customHeight="1">
      <c r="A4072" s="827" t="str">
        <f>IF(B4072&lt;&gt;"",IF(AND(B4072&gt;=_TM1,B4072&lt;=_TM2,OR(TH!L4072="1111",TH!M4072="1111")),TH!D4072,""),"")</f>
        <v/>
      </c>
      <c r="B4072" s="36" t="str">
        <f t="shared" si="518"/>
        <v/>
      </c>
      <c r="C4072" s="190"/>
      <c r="D4072" s="190"/>
      <c r="E4072" s="785"/>
      <c r="F4072" s="191"/>
      <c r="G4072" s="833"/>
      <c r="H4072" s="192"/>
      <c r="I4072" s="253"/>
      <c r="J4072" s="253"/>
      <c r="K4072" s="584"/>
      <c r="L4072" s="193"/>
      <c r="M4072" s="193"/>
      <c r="N4072" s="52" t="str">
        <f>IF(AND('331-CT'!$E$7=TH!H4072,OR(L4072="331",M4072="331")),"331",IF(AND(OR(L4072="131",M4072="131"),H4072='131-CT'!$E$7),"131",""))</f>
        <v/>
      </c>
      <c r="O4072" s="52" t="str">
        <f>IF(AND($B4072&gt;='111'!$N$11,$B4072&lt;='111'!$O$11,OR($L4072=$O$7,$M4072=$O$7)),"x","")</f>
        <v/>
      </c>
      <c r="P4072" s="52" t="str">
        <f>IF(AND($L4072=$O$7,$B4072&lt;'111'!$N$11),"x","")</f>
        <v/>
      </c>
      <c r="Q4072" s="52" t="str">
        <f>IF(AND($M4072=$O$7,$B4072&lt;'111'!$N$11),"x","")</f>
        <v/>
      </c>
      <c r="R4072" s="52" t="str">
        <f>IF(ISERROR(FIND('112'!$M$9,G4072,1)),"",IF((AND(FIND('112'!$M$9,G4072,1)&gt;=1,$B4072&gt;='112'!$N$8,$B4072&lt;='112'!$O$8,OR($L4072='112'!$I$6,$M4072='112'!$I$6))),"x",""))</f>
        <v/>
      </c>
      <c r="S4072" s="52" t="str">
        <f>IF(ISERROR(FIND('112'!$M$9,G4072,1)),"",IF((AND(LEFT(G4072,2)=LEFT('112'!$M$9,2),B4072&lt;'112'!$N$8,$L4072='112'!$I$6)),"x",""))</f>
        <v/>
      </c>
      <c r="T4072" s="52" t="str">
        <f>IF(ISERROR(FIND('112'!$M$9,G4072,1)),"",IF((AND(RIGHT(G4072,2)=RIGHT('112'!$M$9,2),B4072&lt;'112'!$N$8,$M4072='112'!$I$6)),"x",""))</f>
        <v/>
      </c>
      <c r="U4072" s="52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/>
      </c>
      <c r="V4072" s="52" t="str">
        <f>IF(OR(TH!L4072=TH!$V$7,M4072=TH!$V$7),"x","")</f>
        <v/>
      </c>
      <c r="W4072" s="52" t="str">
        <f>IF(AND(B4072&gt;='IN-NX'!$P$3,B4072&lt;='IN-NX'!$Q$3,'IN-NX'!$D$7=D4072,OR(LEFT(L4072,2)="15",AND(LEFT(M4072,2)&lt;&gt;"15",LEFT(M4072,2)&lt;&gt;"33"))),"x","")</f>
        <v/>
      </c>
      <c r="X4072" s="52" t="str">
        <f>IF(AND(OR(LEFT(TH!L4072,2)="15",LEFT(TH!M4072,2)="15"),'152-CT'!$J$8=TH!F4072),"x","")</f>
        <v/>
      </c>
      <c r="Y4072" s="52" t="str">
        <f>IF(AND(OR(LEFT(TH!L4072,2)="15",LEFT(TH!M4072,2)="15"),TK!$E$7=TH!F4072),"x","")</f>
        <v/>
      </c>
      <c r="Z4072" s="52" t="str">
        <f>IF(AND(B4072&lt;=NKC!$N$8,B4072&gt;=NKC!$M$8),"x","")</f>
        <v/>
      </c>
      <c r="AA4072" s="826"/>
    </row>
    <row r="4073" spans="1:27" ht="15.75" customHeight="1">
      <c r="A4073" s="827" t="str">
        <f>IF(B4073&lt;&gt;"",IF(AND(B4073&gt;=_TM1,B4073&lt;=_TM2,OR(TH!L4073="1111",TH!M4073="1111")),TH!D4073,""),"")</f>
        <v/>
      </c>
      <c r="B4073" s="36" t="str">
        <f t="shared" si="518"/>
        <v/>
      </c>
      <c r="C4073" s="190"/>
      <c r="D4073" s="190"/>
      <c r="E4073" s="785"/>
      <c r="F4073" s="191"/>
      <c r="G4073" s="833"/>
      <c r="H4073" s="192"/>
      <c r="I4073" s="253"/>
      <c r="J4073" s="253"/>
      <c r="K4073" s="584"/>
      <c r="L4073" s="193"/>
      <c r="M4073" s="193"/>
      <c r="N4073" s="52" t="str">
        <f>IF(AND('331-CT'!$E$7=TH!H4073,OR(L4073="331",M4073="331")),"331",IF(AND(OR(L4073="131",M4073="131"),H4073='131-CT'!$E$7),"131",""))</f>
        <v/>
      </c>
      <c r="O4073" s="52" t="str">
        <f>IF(AND($B4073&gt;='111'!$N$11,$B4073&lt;='111'!$O$11,OR($L4073=$O$7,$M4073=$O$7)),"x","")</f>
        <v/>
      </c>
      <c r="P4073" s="52" t="str">
        <f>IF(AND($L4073=$O$7,$B4073&lt;'111'!$N$11),"x","")</f>
        <v/>
      </c>
      <c r="Q4073" s="52" t="str">
        <f>IF(AND($M4073=$O$7,$B4073&lt;'111'!$N$11),"x","")</f>
        <v/>
      </c>
      <c r="R4073" s="52" t="str">
        <f>IF(ISERROR(FIND('112'!$M$9,G4073,1)),"",IF((AND(FIND('112'!$M$9,G4073,1)&gt;=1,$B4073&gt;='112'!$N$8,$B4073&lt;='112'!$O$8,OR($L4073='112'!$I$6,$M4073='112'!$I$6))),"x",""))</f>
        <v/>
      </c>
      <c r="S4073" s="52" t="str">
        <f>IF(ISERROR(FIND('112'!$M$9,G4073,1)),"",IF((AND(LEFT(G4073,2)=LEFT('112'!$M$9,2),B4073&lt;'112'!$N$8,$L4073='112'!$I$6)),"x",""))</f>
        <v/>
      </c>
      <c r="T4073" s="52" t="str">
        <f>IF(ISERROR(FIND('112'!$M$9,G4073,1)),"",IF((AND(RIGHT(G4073,2)=RIGHT('112'!$M$9,2),B4073&lt;'112'!$N$8,$M4073='112'!$I$6)),"x",""))</f>
        <v/>
      </c>
      <c r="U4073" s="52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/>
      </c>
      <c r="V4073" s="52" t="str">
        <f>IF(OR(TH!L4073=TH!$V$7,M4073=TH!$V$7),"x","")</f>
        <v/>
      </c>
      <c r="W4073" s="52" t="str">
        <f>IF(AND(B4073&gt;='IN-NX'!$P$3,B4073&lt;='IN-NX'!$Q$3,'IN-NX'!$D$7=D4073,OR(LEFT(L4073,2)="15",AND(LEFT(M4073,2)&lt;&gt;"15",LEFT(M4073,2)&lt;&gt;"33"))),"x","")</f>
        <v/>
      </c>
      <c r="X4073" s="52" t="str">
        <f>IF(AND(OR(LEFT(TH!L4073,2)="15",LEFT(TH!M4073,2)="15"),'152-CT'!$J$8=TH!F4073),"x","")</f>
        <v/>
      </c>
      <c r="Y4073" s="52" t="str">
        <f>IF(AND(OR(LEFT(TH!L4073,2)="15",LEFT(TH!M4073,2)="15"),TK!$E$7=TH!F4073),"x","")</f>
        <v/>
      </c>
      <c r="Z4073" s="52" t="str">
        <f>IF(AND(B4073&lt;=NKC!$N$8,B4073&gt;=NKC!$M$8),"x","")</f>
        <v/>
      </c>
      <c r="AA4073" s="826"/>
    </row>
    <row r="4074" spans="1:27" ht="15.75" customHeight="1">
      <c r="A4074" s="827" t="str">
        <f>IF(B4074&lt;&gt;"",IF(AND(B4074&gt;=_TM1,B4074&lt;=_TM2,OR(TH!L4074="1111",TH!M4074="1111")),TH!D4074,""),"")</f>
        <v/>
      </c>
      <c r="B4074" s="36" t="str">
        <f t="shared" si="518"/>
        <v/>
      </c>
      <c r="C4074" s="190"/>
      <c r="D4074" s="190"/>
      <c r="E4074" s="785"/>
      <c r="F4074" s="191"/>
      <c r="G4074" s="833"/>
      <c r="H4074" s="192"/>
      <c r="I4074" s="253"/>
      <c r="J4074" s="253"/>
      <c r="K4074" s="584"/>
      <c r="L4074" s="193"/>
      <c r="M4074" s="193"/>
      <c r="N4074" s="52" t="str">
        <f>IF(AND('331-CT'!$E$7=TH!H4074,OR(L4074="331",M4074="331")),"331",IF(AND(OR(L4074="131",M4074="131"),H4074='131-CT'!$E$7),"131",""))</f>
        <v/>
      </c>
      <c r="O4074" s="52" t="str">
        <f>IF(AND($B4074&gt;='111'!$N$11,$B4074&lt;='111'!$O$11,OR($L4074=$O$7,$M4074=$O$7)),"x","")</f>
        <v/>
      </c>
      <c r="P4074" s="52" t="str">
        <f>IF(AND($L4074=$O$7,$B4074&lt;'111'!$N$11),"x","")</f>
        <v/>
      </c>
      <c r="Q4074" s="52" t="str">
        <f>IF(AND($M4074=$O$7,$B4074&lt;'111'!$N$11),"x","")</f>
        <v/>
      </c>
      <c r="R4074" s="52" t="str">
        <f>IF(ISERROR(FIND('112'!$M$9,G4074,1)),"",IF((AND(FIND('112'!$M$9,G4074,1)&gt;=1,$B4074&gt;='112'!$N$8,$B4074&lt;='112'!$O$8,OR($L4074='112'!$I$6,$M4074='112'!$I$6))),"x",""))</f>
        <v/>
      </c>
      <c r="S4074" s="52" t="str">
        <f>IF(ISERROR(FIND('112'!$M$9,G4074,1)),"",IF((AND(LEFT(G4074,2)=LEFT('112'!$M$9,2),B4074&lt;'112'!$N$8,$L4074='112'!$I$6)),"x",""))</f>
        <v/>
      </c>
      <c r="T4074" s="52" t="str">
        <f>IF(ISERROR(FIND('112'!$M$9,G4074,1)),"",IF((AND(RIGHT(G4074,2)=RIGHT('112'!$M$9,2),B4074&lt;'112'!$N$8,$M4074='112'!$I$6)),"x",""))</f>
        <v/>
      </c>
      <c r="U4074" s="52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/>
      </c>
      <c r="V4074" s="52" t="str">
        <f>IF(OR(TH!L4074=TH!$V$7,M4074=TH!$V$7),"x","")</f>
        <v/>
      </c>
      <c r="W4074" s="52" t="str">
        <f>IF(AND(B4074&gt;='IN-NX'!$P$3,B4074&lt;='IN-NX'!$Q$3,'IN-NX'!$D$7=D4074,OR(LEFT(L4074,2)="15",AND(LEFT(M4074,2)&lt;&gt;"15",LEFT(M4074,2)&lt;&gt;"33"))),"x","")</f>
        <v/>
      </c>
      <c r="X4074" s="52" t="str">
        <f>IF(AND(OR(LEFT(TH!L4074,2)="15",LEFT(TH!M4074,2)="15"),'152-CT'!$J$8=TH!F4074),"x","")</f>
        <v/>
      </c>
      <c r="Y4074" s="52" t="str">
        <f>IF(AND(OR(LEFT(TH!L4074,2)="15",LEFT(TH!M4074,2)="15"),TK!$E$7=TH!F4074),"x","")</f>
        <v/>
      </c>
      <c r="Z4074" s="52" t="str">
        <f>IF(AND(B4074&lt;=NKC!$N$8,B4074&gt;=NKC!$M$8),"x","")</f>
        <v/>
      </c>
      <c r="AA4074" s="826"/>
    </row>
    <row r="4075" spans="1:27" ht="15.75" customHeight="1">
      <c r="A4075" s="827" t="str">
        <f>IF(B4075&lt;&gt;"",IF(AND(B4075&gt;=_TM1,B4075&lt;=_TM2,OR(TH!L4075="1111",TH!M4075="1111")),TH!D4075,""),"")</f>
        <v/>
      </c>
      <c r="B4075" s="36" t="str">
        <f t="shared" si="518"/>
        <v/>
      </c>
      <c r="C4075" s="190"/>
      <c r="D4075" s="190"/>
      <c r="E4075" s="785"/>
      <c r="F4075" s="191"/>
      <c r="G4075" s="833"/>
      <c r="H4075" s="192"/>
      <c r="I4075" s="253"/>
      <c r="J4075" s="253"/>
      <c r="K4075" s="584"/>
      <c r="L4075" s="193"/>
      <c r="M4075" s="193"/>
      <c r="N4075" s="52" t="str">
        <f>IF(AND('331-CT'!$E$7=TH!H4075,OR(L4075="331",M4075="331")),"331",IF(AND(OR(L4075="131",M4075="131"),H4075='131-CT'!$E$7),"131",""))</f>
        <v/>
      </c>
      <c r="O4075" s="52" t="str">
        <f>IF(AND($B4075&gt;='111'!$N$11,$B4075&lt;='111'!$O$11,OR($L4075=$O$7,$M4075=$O$7)),"x","")</f>
        <v/>
      </c>
      <c r="P4075" s="52" t="str">
        <f>IF(AND($L4075=$O$7,$B4075&lt;'111'!$N$11),"x","")</f>
        <v/>
      </c>
      <c r="Q4075" s="52" t="str">
        <f>IF(AND($M4075=$O$7,$B4075&lt;'111'!$N$11),"x","")</f>
        <v/>
      </c>
      <c r="R4075" s="52" t="str">
        <f>IF(ISERROR(FIND('112'!$M$9,G4075,1)),"",IF((AND(FIND('112'!$M$9,G4075,1)&gt;=1,$B4075&gt;='112'!$N$8,$B4075&lt;='112'!$O$8,OR($L4075='112'!$I$6,$M4075='112'!$I$6))),"x",""))</f>
        <v/>
      </c>
      <c r="S4075" s="52" t="str">
        <f>IF(ISERROR(FIND('112'!$M$9,G4075,1)),"",IF((AND(LEFT(G4075,2)=LEFT('112'!$M$9,2),B4075&lt;'112'!$N$8,$L4075='112'!$I$6)),"x",""))</f>
        <v/>
      </c>
      <c r="T4075" s="52" t="str">
        <f>IF(ISERROR(FIND('112'!$M$9,G4075,1)),"",IF((AND(RIGHT(G4075,2)=RIGHT('112'!$M$9,2),B4075&lt;'112'!$N$8,$M4075='112'!$I$6)),"x",""))</f>
        <v/>
      </c>
      <c r="U4075" s="52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/>
      </c>
      <c r="V4075" s="52" t="str">
        <f>IF(OR(TH!L4075=TH!$V$7,M4075=TH!$V$7),"x","")</f>
        <v/>
      </c>
      <c r="W4075" s="52" t="str">
        <f>IF(AND(B4075&gt;='IN-NX'!$P$3,B4075&lt;='IN-NX'!$Q$3,'IN-NX'!$D$7=D4075,OR(LEFT(L4075,2)="15",AND(LEFT(M4075,2)&lt;&gt;"15",LEFT(M4075,2)&lt;&gt;"33"))),"x","")</f>
        <v/>
      </c>
      <c r="X4075" s="52" t="str">
        <f>IF(AND(OR(LEFT(TH!L4075,2)="15",LEFT(TH!M4075,2)="15"),'152-CT'!$J$8=TH!F4075),"x","")</f>
        <v/>
      </c>
      <c r="Y4075" s="52" t="str">
        <f>IF(AND(OR(LEFT(TH!L4075,2)="15",LEFT(TH!M4075,2)="15"),TK!$E$7=TH!F4075),"x","")</f>
        <v/>
      </c>
      <c r="Z4075" s="52" t="str">
        <f>IF(AND(B4075&lt;=NKC!$N$8,B4075&gt;=NKC!$M$8),"x","")</f>
        <v/>
      </c>
      <c r="AA4075" s="826"/>
    </row>
    <row r="4076" spans="1:27" ht="15.75" customHeight="1">
      <c r="A4076" s="827" t="str">
        <f>IF(B4076&lt;&gt;"",IF(AND(B4076&gt;=_TM1,B4076&lt;=_TM2,OR(TH!L4076="1111",TH!M4076="1111")),TH!D4076,""),"")</f>
        <v/>
      </c>
      <c r="B4076" s="36" t="str">
        <f t="shared" si="518"/>
        <v/>
      </c>
      <c r="C4076" s="190"/>
      <c r="D4076" s="190"/>
      <c r="E4076" s="785"/>
      <c r="F4076" s="191"/>
      <c r="G4076" s="833"/>
      <c r="H4076" s="192"/>
      <c r="I4076" s="253"/>
      <c r="J4076" s="253"/>
      <c r="K4076" s="584"/>
      <c r="L4076" s="193"/>
      <c r="M4076" s="193"/>
      <c r="N4076" s="52" t="str">
        <f>IF(AND('331-CT'!$E$7=TH!H4076,OR(L4076="331",M4076="331")),"331",IF(AND(OR(L4076="131",M4076="131"),H4076='131-CT'!$E$7),"131",""))</f>
        <v/>
      </c>
      <c r="O4076" s="52" t="str">
        <f>IF(AND($B4076&gt;='111'!$N$11,$B4076&lt;='111'!$O$11,OR($L4076=$O$7,$M4076=$O$7)),"x","")</f>
        <v/>
      </c>
      <c r="P4076" s="52" t="str">
        <f>IF(AND($L4076=$O$7,$B4076&lt;'111'!$N$11),"x","")</f>
        <v/>
      </c>
      <c r="Q4076" s="52" t="str">
        <f>IF(AND($M4076=$O$7,$B4076&lt;'111'!$N$11),"x","")</f>
        <v/>
      </c>
      <c r="R4076" s="52" t="str">
        <f>IF(ISERROR(FIND('112'!$M$9,G4076,1)),"",IF((AND(FIND('112'!$M$9,G4076,1)&gt;=1,$B4076&gt;='112'!$N$8,$B4076&lt;='112'!$O$8,OR($L4076='112'!$I$6,$M4076='112'!$I$6))),"x",""))</f>
        <v/>
      </c>
      <c r="S4076" s="52" t="str">
        <f>IF(ISERROR(FIND('112'!$M$9,G4076,1)),"",IF((AND(LEFT(G4076,2)=LEFT('112'!$M$9,2),B4076&lt;'112'!$N$8,$L4076='112'!$I$6)),"x",""))</f>
        <v/>
      </c>
      <c r="T4076" s="52" t="str">
        <f>IF(ISERROR(FIND('112'!$M$9,G4076,1)),"",IF((AND(RIGHT(G4076,2)=RIGHT('112'!$M$9,2),B4076&lt;'112'!$N$8,$M4076='112'!$I$6)),"x",""))</f>
        <v/>
      </c>
      <c r="U4076" s="52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/>
      </c>
      <c r="V4076" s="52" t="str">
        <f>IF(OR(TH!L4076=TH!$V$7,M4076=TH!$V$7),"x","")</f>
        <v/>
      </c>
      <c r="W4076" s="52" t="str">
        <f>IF(AND(B4076&gt;='IN-NX'!$P$3,B4076&lt;='IN-NX'!$Q$3,'IN-NX'!$D$7=D4076,OR(LEFT(L4076,2)="15",AND(LEFT(M4076,2)&lt;&gt;"15",LEFT(M4076,2)&lt;&gt;"33"))),"x","")</f>
        <v/>
      </c>
      <c r="X4076" s="52" t="str">
        <f>IF(AND(OR(LEFT(TH!L4076,2)="15",LEFT(TH!M4076,2)="15"),'152-CT'!$J$8=TH!F4076),"x","")</f>
        <v/>
      </c>
      <c r="Y4076" s="52" t="str">
        <f>IF(AND(OR(LEFT(TH!L4076,2)="15",LEFT(TH!M4076,2)="15"),TK!$E$7=TH!F4076),"x","")</f>
        <v/>
      </c>
      <c r="Z4076" s="52" t="str">
        <f>IF(AND(B4076&lt;=NKC!$N$8,B4076&gt;=NKC!$M$8),"x","")</f>
        <v/>
      </c>
      <c r="AA4076" s="826"/>
    </row>
    <row r="4077" spans="1:27" ht="15.75" customHeight="1">
      <c r="A4077" s="827" t="str">
        <f>IF(B4077&lt;&gt;"",IF(AND(B4077&gt;=_TM1,B4077&lt;=_TM2,OR(TH!L4077="1111",TH!M4077="1111")),TH!D4077,""),"")</f>
        <v/>
      </c>
      <c r="B4077" s="36" t="str">
        <f t="shared" si="518"/>
        <v/>
      </c>
      <c r="C4077" s="190"/>
      <c r="D4077" s="190"/>
      <c r="E4077" s="785"/>
      <c r="F4077" s="191"/>
      <c r="G4077" s="833"/>
      <c r="H4077" s="192"/>
      <c r="I4077" s="253"/>
      <c r="J4077" s="253"/>
      <c r="K4077" s="584"/>
      <c r="L4077" s="193"/>
      <c r="M4077" s="193"/>
      <c r="N4077" s="52" t="str">
        <f>IF(AND('331-CT'!$E$7=TH!H4077,OR(L4077="331",M4077="331")),"331",IF(AND(OR(L4077="131",M4077="131"),H4077='131-CT'!$E$7),"131",""))</f>
        <v/>
      </c>
      <c r="O4077" s="52" t="str">
        <f>IF(AND($B4077&gt;='111'!$N$11,$B4077&lt;='111'!$O$11,OR($L4077=$O$7,$M4077=$O$7)),"x","")</f>
        <v/>
      </c>
      <c r="P4077" s="52" t="str">
        <f>IF(AND($L4077=$O$7,$B4077&lt;'111'!$N$11),"x","")</f>
        <v/>
      </c>
      <c r="Q4077" s="52" t="str">
        <f>IF(AND($M4077=$O$7,$B4077&lt;'111'!$N$11),"x","")</f>
        <v/>
      </c>
      <c r="R4077" s="52" t="str">
        <f>IF(ISERROR(FIND('112'!$M$9,G4077,1)),"",IF((AND(FIND('112'!$M$9,G4077,1)&gt;=1,$B4077&gt;='112'!$N$8,$B4077&lt;='112'!$O$8,OR($L4077='112'!$I$6,$M4077='112'!$I$6))),"x",""))</f>
        <v/>
      </c>
      <c r="S4077" s="52" t="str">
        <f>IF(ISERROR(FIND('112'!$M$9,G4077,1)),"",IF((AND(LEFT(G4077,2)=LEFT('112'!$M$9,2),B4077&lt;'112'!$N$8,$L4077='112'!$I$6)),"x",""))</f>
        <v/>
      </c>
      <c r="T4077" s="52" t="str">
        <f>IF(ISERROR(FIND('112'!$M$9,G4077,1)),"",IF((AND(RIGHT(G4077,2)=RIGHT('112'!$M$9,2),B4077&lt;'112'!$N$8,$M4077='112'!$I$6)),"x",""))</f>
        <v/>
      </c>
      <c r="U4077" s="52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/>
      </c>
      <c r="V4077" s="52" t="str">
        <f>IF(OR(TH!L4077=TH!$V$7,M4077=TH!$V$7),"x","")</f>
        <v/>
      </c>
      <c r="W4077" s="52" t="str">
        <f>IF(AND(B4077&gt;='IN-NX'!$P$3,B4077&lt;='IN-NX'!$Q$3,'IN-NX'!$D$7=D4077,OR(LEFT(L4077,2)="15",AND(LEFT(M4077,2)&lt;&gt;"15",LEFT(M4077,2)&lt;&gt;"33"))),"x","")</f>
        <v/>
      </c>
      <c r="X4077" s="52" t="str">
        <f>IF(AND(OR(LEFT(TH!L4077,2)="15",LEFT(TH!M4077,2)="15"),'152-CT'!$J$8=TH!F4077),"x","")</f>
        <v/>
      </c>
      <c r="Y4077" s="52" t="str">
        <f>IF(AND(OR(LEFT(TH!L4077,2)="15",LEFT(TH!M4077,2)="15"),TK!$E$7=TH!F4077),"x","")</f>
        <v/>
      </c>
      <c r="Z4077" s="52" t="str">
        <f>IF(AND(B4077&lt;=NKC!$N$8,B4077&gt;=NKC!$M$8),"x","")</f>
        <v/>
      </c>
      <c r="AA4077" s="826"/>
    </row>
    <row r="4078" spans="1:27" ht="15.75" customHeight="1">
      <c r="A4078" s="827" t="str">
        <f>IF(B4078&lt;&gt;"",IF(AND(B4078&gt;=_TM1,B4078&lt;=_TM2,OR(TH!L4078="1111",TH!M4078="1111")),TH!D4078,""),"")</f>
        <v/>
      </c>
      <c r="B4078" s="36" t="str">
        <f t="shared" si="518"/>
        <v/>
      </c>
      <c r="C4078" s="190"/>
      <c r="D4078" s="190"/>
      <c r="E4078" s="785"/>
      <c r="F4078" s="191"/>
      <c r="G4078" s="833"/>
      <c r="H4078" s="192"/>
      <c r="I4078" s="253"/>
      <c r="J4078" s="253"/>
      <c r="K4078" s="38"/>
      <c r="L4078" s="193"/>
      <c r="M4078" s="193"/>
      <c r="N4078" s="52" t="str">
        <f>IF(AND('331-CT'!$E$7=TH!H4078,OR(L4078="331",M4078="331")),"331",IF(AND(OR(L4078="131",M4078="131"),H4078='131-CT'!$E$7),"131",""))</f>
        <v/>
      </c>
      <c r="O4078" s="52" t="str">
        <f>IF(AND($B4078&gt;='111'!$N$11,$B4078&lt;='111'!$O$11,OR($L4078=$O$7,$M4078=$O$7)),"x","")</f>
        <v/>
      </c>
      <c r="P4078" s="52" t="str">
        <f>IF(AND($L4078=$O$7,$B4078&lt;'111'!$N$11),"x","")</f>
        <v/>
      </c>
      <c r="Q4078" s="52" t="str">
        <f>IF(AND($M4078=$O$7,$B4078&lt;'111'!$N$11),"x","")</f>
        <v/>
      </c>
      <c r="R4078" s="52" t="str">
        <f>IF(ISERROR(FIND('112'!$M$9,G4078,1)),"",IF((AND(FIND('112'!$M$9,G4078,1)&gt;=1,$B4078&gt;='112'!$N$8,$B4078&lt;='112'!$O$8,OR($L4078='112'!$I$6,$M4078='112'!$I$6))),"x",""))</f>
        <v/>
      </c>
      <c r="S4078" s="52" t="str">
        <f>IF(ISERROR(FIND('112'!$M$9,G4078,1)),"",IF((AND(LEFT(G4078,2)=LEFT('112'!$M$9,2),B4078&lt;'112'!$N$8,$L4078='112'!$I$6)),"x",""))</f>
        <v/>
      </c>
      <c r="T4078" s="52" t="str">
        <f>IF(ISERROR(FIND('112'!$M$9,G4078,1)),"",IF((AND(RIGHT(G4078,2)=RIGHT('112'!$M$9,2),B4078&lt;'112'!$N$8,$M4078='112'!$I$6)),"x",""))</f>
        <v/>
      </c>
      <c r="U4078" s="52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/>
      </c>
      <c r="V4078" s="52" t="str">
        <f>IF(OR(TH!L4078=TH!$V$7,M4078=TH!$V$7),"x","")</f>
        <v/>
      </c>
      <c r="W4078" s="52" t="str">
        <f>IF(AND(B4078&gt;='IN-NX'!$P$3,B4078&lt;='IN-NX'!$Q$3,'IN-NX'!$D$7=D4078,OR(LEFT(L4078,2)="15",AND(LEFT(M4078,2)&lt;&gt;"15",LEFT(M4078,2)&lt;&gt;"33"))),"x","")</f>
        <v/>
      </c>
      <c r="X4078" s="52" t="str">
        <f>IF(AND(OR(LEFT(TH!L4078,2)="15",LEFT(TH!M4078,2)="15"),'152-CT'!$J$8=TH!F4078),"x","")</f>
        <v/>
      </c>
      <c r="Y4078" s="52" t="str">
        <f>IF(AND(OR(LEFT(TH!L4078,2)="15",LEFT(TH!M4078,2)="15"),TK!$E$7=TH!F4078),"x","")</f>
        <v/>
      </c>
      <c r="Z4078" s="52" t="str">
        <f>IF(AND(B4078&lt;=NKC!$N$8,B4078&gt;=NKC!$M$8),"x","")</f>
        <v/>
      </c>
      <c r="AA4078" s="826"/>
    </row>
    <row r="4079" spans="1:27" ht="15.75" customHeight="1">
      <c r="A4079" s="827" t="str">
        <f>IF(B4079&lt;&gt;"",IF(AND(B4079&gt;=_TM1,B4079&lt;=_TM2,OR(TH!L4079="1111",TH!M4079="1111")),TH!D4079,""),"")</f>
        <v/>
      </c>
      <c r="B4079" s="36" t="str">
        <f t="shared" si="518"/>
        <v/>
      </c>
      <c r="C4079" s="190"/>
      <c r="D4079" s="190"/>
      <c r="E4079" s="785"/>
      <c r="F4079" s="191"/>
      <c r="G4079" s="833"/>
      <c r="H4079" s="192"/>
      <c r="I4079" s="253"/>
      <c r="J4079" s="253"/>
      <c r="K4079" s="584"/>
      <c r="L4079" s="193"/>
      <c r="M4079" s="193"/>
      <c r="N4079" s="52" t="str">
        <f>IF(AND('331-CT'!$E$7=TH!H4079,OR(L4079="331",M4079="331")),"331",IF(AND(OR(L4079="131",M4079="131"),H4079='131-CT'!$E$7),"131",""))</f>
        <v/>
      </c>
      <c r="O4079" s="52" t="str">
        <f>IF(AND($B4079&gt;='111'!$N$11,$B4079&lt;='111'!$O$11,OR($L4079=$O$7,$M4079=$O$7)),"x","")</f>
        <v/>
      </c>
      <c r="P4079" s="52" t="str">
        <f>IF(AND($L4079=$O$7,$B4079&lt;'111'!$N$11),"x","")</f>
        <v/>
      </c>
      <c r="Q4079" s="52" t="str">
        <f>IF(AND($M4079=$O$7,$B4079&lt;'111'!$N$11),"x","")</f>
        <v/>
      </c>
      <c r="R4079" s="52" t="str">
        <f>IF(ISERROR(FIND('112'!$M$9,G4079,1)),"",IF((AND(FIND('112'!$M$9,G4079,1)&gt;=1,$B4079&gt;='112'!$N$8,$B4079&lt;='112'!$O$8,OR($L4079='112'!$I$6,$M4079='112'!$I$6))),"x",""))</f>
        <v/>
      </c>
      <c r="S4079" s="52" t="str">
        <f>IF(ISERROR(FIND('112'!$M$9,G4079,1)),"",IF((AND(LEFT(G4079,2)=LEFT('112'!$M$9,2),B4079&lt;'112'!$N$8,$L4079='112'!$I$6)),"x",""))</f>
        <v/>
      </c>
      <c r="T4079" s="52" t="str">
        <f>IF(ISERROR(FIND('112'!$M$9,G4079,1)),"",IF((AND(RIGHT(G4079,2)=RIGHT('112'!$M$9,2),B4079&lt;'112'!$N$8,$M4079='112'!$I$6)),"x",""))</f>
        <v/>
      </c>
      <c r="U4079" s="52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/>
      </c>
      <c r="V4079" s="52" t="str">
        <f>IF(OR(TH!L4079=TH!$V$7,M4079=TH!$V$7),"x","")</f>
        <v/>
      </c>
      <c r="W4079" s="52" t="str">
        <f>IF(AND(B4079&gt;='IN-NX'!$P$3,B4079&lt;='IN-NX'!$Q$3,'IN-NX'!$D$7=D4079,OR(LEFT(L4079,2)="15",AND(LEFT(M4079,2)&lt;&gt;"15",LEFT(M4079,2)&lt;&gt;"33"))),"x","")</f>
        <v/>
      </c>
      <c r="X4079" s="52" t="str">
        <f>IF(AND(OR(LEFT(TH!L4079,2)="15",LEFT(TH!M4079,2)="15"),'152-CT'!$J$8=TH!F4079),"x","")</f>
        <v/>
      </c>
      <c r="Y4079" s="52" t="str">
        <f>IF(AND(OR(LEFT(TH!L4079,2)="15",LEFT(TH!M4079,2)="15"),TK!$E$7=TH!F4079),"x","")</f>
        <v/>
      </c>
      <c r="Z4079" s="52" t="str">
        <f>IF(AND(B4079&lt;=NKC!$N$8,B4079&gt;=NKC!$M$8),"x","")</f>
        <v/>
      </c>
      <c r="AA4079" s="826"/>
    </row>
    <row r="4080" spans="1:27" ht="15.75" customHeight="1">
      <c r="A4080" s="827" t="str">
        <f>IF(B4080&lt;&gt;"",IF(AND(B4080&gt;=_TM1,B4080&lt;=_TM2,OR(TH!L4080="1111",TH!M4080="1111")),TH!D4080,""),"")</f>
        <v/>
      </c>
      <c r="B4080" s="36" t="str">
        <f t="shared" si="518"/>
        <v/>
      </c>
      <c r="C4080" s="190"/>
      <c r="D4080" s="190"/>
      <c r="E4080" s="785"/>
      <c r="F4080" s="191"/>
      <c r="G4080" s="833"/>
      <c r="H4080" s="192"/>
      <c r="I4080" s="253"/>
      <c r="J4080" s="253"/>
      <c r="K4080" s="584"/>
      <c r="L4080" s="193"/>
      <c r="M4080" s="193"/>
      <c r="N4080" s="52" t="str">
        <f>IF(AND('331-CT'!$E$7=TH!H4080,OR(L4080="331",M4080="331")),"331",IF(AND(OR(L4080="131",M4080="131"),H4080='131-CT'!$E$7),"131",""))</f>
        <v/>
      </c>
      <c r="O4080" s="52" t="str">
        <f>IF(AND($B4080&gt;='111'!$N$11,$B4080&lt;='111'!$O$11,OR($L4080=$O$7,$M4080=$O$7)),"x","")</f>
        <v/>
      </c>
      <c r="P4080" s="52" t="str">
        <f>IF(AND($L4080=$O$7,$B4080&lt;'111'!$N$11),"x","")</f>
        <v/>
      </c>
      <c r="Q4080" s="52" t="str">
        <f>IF(AND($M4080=$O$7,$B4080&lt;'111'!$N$11),"x","")</f>
        <v/>
      </c>
      <c r="R4080" s="52" t="str">
        <f>IF(ISERROR(FIND('112'!$M$9,G4080,1)),"",IF((AND(FIND('112'!$M$9,G4080,1)&gt;=1,$B4080&gt;='112'!$N$8,$B4080&lt;='112'!$O$8,OR($L4080='112'!$I$6,$M4080='112'!$I$6))),"x",""))</f>
        <v/>
      </c>
      <c r="S4080" s="52" t="str">
        <f>IF(ISERROR(FIND('112'!$M$9,G4080,1)),"",IF((AND(LEFT(G4080,2)=LEFT('112'!$M$9,2),B4080&lt;'112'!$N$8,$L4080='112'!$I$6)),"x",""))</f>
        <v/>
      </c>
      <c r="T4080" s="52" t="str">
        <f>IF(ISERROR(FIND('112'!$M$9,G4080,1)),"",IF((AND(RIGHT(G4080,2)=RIGHT('112'!$M$9,2),B4080&lt;'112'!$N$8,$M4080='112'!$I$6)),"x",""))</f>
        <v/>
      </c>
      <c r="U4080" s="52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/>
      </c>
      <c r="V4080" s="52" t="str">
        <f>IF(OR(TH!L4080=TH!$V$7,M4080=TH!$V$7),"x","")</f>
        <v/>
      </c>
      <c r="W4080" s="52" t="str">
        <f>IF(AND(B4080&gt;='IN-NX'!$P$3,B4080&lt;='IN-NX'!$Q$3,'IN-NX'!$D$7=D4080,OR(LEFT(L4080,2)="15",AND(LEFT(M4080,2)&lt;&gt;"15",LEFT(M4080,2)&lt;&gt;"33"))),"x","")</f>
        <v/>
      </c>
      <c r="X4080" s="52" t="str">
        <f>IF(AND(OR(LEFT(TH!L4080,2)="15",LEFT(TH!M4080,2)="15"),'152-CT'!$J$8=TH!F4080),"x","")</f>
        <v/>
      </c>
      <c r="Y4080" s="52" t="str">
        <f>IF(AND(OR(LEFT(TH!L4080,2)="15",LEFT(TH!M4080,2)="15"),TK!$E$7=TH!F4080),"x","")</f>
        <v/>
      </c>
      <c r="Z4080" s="52" t="str">
        <f>IF(AND(B4080&lt;=NKC!$N$8,B4080&gt;=NKC!$M$8),"x","")</f>
        <v/>
      </c>
      <c r="AA4080" s="826"/>
    </row>
    <row r="4081" spans="1:27" ht="15.75" customHeight="1">
      <c r="A4081" s="827" t="str">
        <f>IF(B4081&lt;&gt;"",IF(AND(B4081&gt;=_TM1,B4081&lt;=_TM2,OR(TH!L4081="1111",TH!M4081="1111")),TH!D4081,""),"")</f>
        <v/>
      </c>
      <c r="B4081" s="36" t="str">
        <f t="shared" si="518"/>
        <v/>
      </c>
      <c r="C4081" s="190"/>
      <c r="D4081" s="190"/>
      <c r="E4081" s="785"/>
      <c r="F4081" s="191"/>
      <c r="G4081" s="833"/>
      <c r="H4081" s="192"/>
      <c r="I4081" s="253"/>
      <c r="J4081" s="253"/>
      <c r="K4081" s="38"/>
      <c r="L4081" s="193"/>
      <c r="M4081" s="193"/>
      <c r="N4081" s="52" t="str">
        <f>IF(AND('331-CT'!$E$7=TH!H4081,OR(L4081="331",M4081="331")),"331",IF(AND(OR(L4081="131",M4081="131"),H4081='131-CT'!$E$7),"131",""))</f>
        <v/>
      </c>
      <c r="O4081" s="52" t="str">
        <f>IF(AND($B4081&gt;='111'!$N$11,$B4081&lt;='111'!$O$11,OR($L4081=$O$7,$M4081=$O$7)),"x","")</f>
        <v/>
      </c>
      <c r="P4081" s="52" t="str">
        <f>IF(AND($L4081=$O$7,$B4081&lt;'111'!$N$11),"x","")</f>
        <v/>
      </c>
      <c r="Q4081" s="52" t="str">
        <f>IF(AND($M4081=$O$7,$B4081&lt;'111'!$N$11),"x","")</f>
        <v/>
      </c>
      <c r="R4081" s="52" t="str">
        <f>IF(ISERROR(FIND('112'!$M$9,G4081,1)),"",IF((AND(FIND('112'!$M$9,G4081,1)&gt;=1,$B4081&gt;='112'!$N$8,$B4081&lt;='112'!$O$8,OR($L4081='112'!$I$6,$M4081='112'!$I$6))),"x",""))</f>
        <v/>
      </c>
      <c r="S4081" s="52" t="str">
        <f>IF(ISERROR(FIND('112'!$M$9,G4081,1)),"",IF((AND(LEFT(G4081,2)=LEFT('112'!$M$9,2),B4081&lt;'112'!$N$8,$L4081='112'!$I$6)),"x",""))</f>
        <v/>
      </c>
      <c r="T4081" s="52" t="str">
        <f>IF(ISERROR(FIND('112'!$M$9,G4081,1)),"",IF((AND(RIGHT(G4081,2)=RIGHT('112'!$M$9,2),B4081&lt;'112'!$N$8,$M4081='112'!$I$6)),"x",""))</f>
        <v/>
      </c>
      <c r="U4081" s="52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/>
      </c>
      <c r="V4081" s="52" t="str">
        <f>IF(OR(TH!L4081=TH!$V$7,M4081=TH!$V$7),"x","")</f>
        <v/>
      </c>
      <c r="W4081" s="52" t="str">
        <f>IF(AND(B4081&gt;='IN-NX'!$P$3,B4081&lt;='IN-NX'!$Q$3,'IN-NX'!$D$7=D4081,OR(LEFT(L4081,2)="15",AND(LEFT(M4081,2)&lt;&gt;"15",LEFT(M4081,2)&lt;&gt;"33"))),"x","")</f>
        <v/>
      </c>
      <c r="X4081" s="52" t="str">
        <f>IF(AND(OR(LEFT(TH!L4081,2)="15",LEFT(TH!M4081,2)="15"),'152-CT'!$J$8=TH!F4081),"x","")</f>
        <v/>
      </c>
      <c r="Y4081" s="52" t="str">
        <f>IF(AND(OR(LEFT(TH!L4081,2)="15",LEFT(TH!M4081,2)="15"),TK!$E$7=TH!F4081),"x","")</f>
        <v/>
      </c>
      <c r="Z4081" s="52" t="str">
        <f>IF(AND(B4081&lt;=NKC!$N$8,B4081&gt;=NKC!$M$8),"x","")</f>
        <v/>
      </c>
      <c r="AA4081" s="826"/>
    </row>
    <row r="4082" spans="1:27" ht="15.75" customHeight="1">
      <c r="A4082" s="827" t="str">
        <f>IF(B4082&lt;&gt;"",IF(AND(B4082&gt;=_TM1,B4082&lt;=_TM2,OR(TH!L4082="1111",TH!M4082="1111")),TH!D4082,""),"")</f>
        <v/>
      </c>
      <c r="B4082" s="36" t="str">
        <f t="shared" si="518"/>
        <v/>
      </c>
      <c r="C4082" s="190"/>
      <c r="D4082" s="190"/>
      <c r="E4082" s="785"/>
      <c r="F4082" s="191"/>
      <c r="G4082" s="833"/>
      <c r="H4082" s="192"/>
      <c r="I4082" s="253"/>
      <c r="J4082" s="253"/>
      <c r="K4082" s="584"/>
      <c r="L4082" s="193"/>
      <c r="M4082" s="193"/>
      <c r="N4082" s="52" t="str">
        <f>IF(AND('331-CT'!$E$7=TH!H4082,OR(L4082="331",M4082="331")),"331",IF(AND(OR(L4082="131",M4082="131"),H4082='131-CT'!$E$7),"131",""))</f>
        <v/>
      </c>
      <c r="O4082" s="52" t="str">
        <f>IF(AND($B4082&gt;='111'!$N$11,$B4082&lt;='111'!$O$11,OR($L4082=$O$7,$M4082=$O$7)),"x","")</f>
        <v/>
      </c>
      <c r="P4082" s="52" t="str">
        <f>IF(AND($L4082=$O$7,$B4082&lt;'111'!$N$11),"x","")</f>
        <v/>
      </c>
      <c r="Q4082" s="52" t="str">
        <f>IF(AND($M4082=$O$7,$B4082&lt;'111'!$N$11),"x","")</f>
        <v/>
      </c>
      <c r="R4082" s="52" t="str">
        <f>IF(ISERROR(FIND('112'!$M$9,G4082,1)),"",IF((AND(FIND('112'!$M$9,G4082,1)&gt;=1,$B4082&gt;='112'!$N$8,$B4082&lt;='112'!$O$8,OR($L4082='112'!$I$6,$M4082='112'!$I$6))),"x",""))</f>
        <v/>
      </c>
      <c r="S4082" s="52" t="str">
        <f>IF(ISERROR(FIND('112'!$M$9,G4082,1)),"",IF((AND(LEFT(G4082,2)=LEFT('112'!$M$9,2),B4082&lt;'112'!$N$8,$L4082='112'!$I$6)),"x",""))</f>
        <v/>
      </c>
      <c r="T4082" s="52" t="str">
        <f>IF(ISERROR(FIND('112'!$M$9,G4082,1)),"",IF((AND(RIGHT(G4082,2)=RIGHT('112'!$M$9,2),B4082&lt;'112'!$N$8,$M4082='112'!$I$6)),"x",""))</f>
        <v/>
      </c>
      <c r="U4082" s="52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/>
      </c>
      <c r="V4082" s="52" t="str">
        <f>IF(OR(TH!L4082=TH!$V$7,M4082=TH!$V$7),"x","")</f>
        <v/>
      </c>
      <c r="W4082" s="52" t="str">
        <f>IF(AND(B4082&gt;='IN-NX'!$P$3,B4082&lt;='IN-NX'!$Q$3,'IN-NX'!$D$7=D4082,OR(LEFT(L4082,2)="15",AND(LEFT(M4082,2)&lt;&gt;"15",LEFT(M4082,2)&lt;&gt;"33"))),"x","")</f>
        <v/>
      </c>
      <c r="X4082" s="52" t="str">
        <f>IF(AND(OR(LEFT(TH!L4082,2)="15",LEFT(TH!M4082,2)="15"),'152-CT'!$J$8=TH!F4082),"x","")</f>
        <v/>
      </c>
      <c r="Y4082" s="52" t="str">
        <f>IF(AND(OR(LEFT(TH!L4082,2)="15",LEFT(TH!M4082,2)="15"),TK!$E$7=TH!F4082),"x","")</f>
        <v/>
      </c>
      <c r="Z4082" s="52" t="str">
        <f>IF(AND(B4082&lt;=NKC!$N$8,B4082&gt;=NKC!$M$8),"x","")</f>
        <v/>
      </c>
      <c r="AA4082" s="826"/>
    </row>
    <row r="4083" spans="1:27" ht="15.75" customHeight="1">
      <c r="A4083" s="827" t="str">
        <f>IF(B4083&lt;&gt;"",IF(AND(B4083&gt;=_TM1,B4083&lt;=_TM2,OR(TH!L4083="1111",TH!M4083="1111")),TH!D4083,""),"")</f>
        <v/>
      </c>
      <c r="B4083" s="36" t="str">
        <f t="shared" si="518"/>
        <v/>
      </c>
      <c r="C4083" s="190"/>
      <c r="D4083" s="190"/>
      <c r="E4083" s="785"/>
      <c r="F4083" s="191"/>
      <c r="G4083" s="833"/>
      <c r="H4083" s="192"/>
      <c r="I4083" s="253"/>
      <c r="J4083" s="253"/>
      <c r="K4083" s="584"/>
      <c r="L4083" s="193"/>
      <c r="M4083" s="193"/>
      <c r="N4083" s="52" t="str">
        <f>IF(AND('331-CT'!$E$7=TH!H4083,OR(L4083="331",M4083="331")),"331",IF(AND(OR(L4083="131",M4083="131"),H4083='131-CT'!$E$7),"131",""))</f>
        <v/>
      </c>
      <c r="O4083" s="52" t="str">
        <f>IF(AND($B4083&gt;='111'!$N$11,$B4083&lt;='111'!$O$11,OR($L4083=$O$7,$M4083=$O$7)),"x","")</f>
        <v/>
      </c>
      <c r="P4083" s="52" t="str">
        <f>IF(AND($L4083=$O$7,$B4083&lt;'111'!$N$11),"x","")</f>
        <v/>
      </c>
      <c r="Q4083" s="52" t="str">
        <f>IF(AND($M4083=$O$7,$B4083&lt;'111'!$N$11),"x","")</f>
        <v/>
      </c>
      <c r="R4083" s="52" t="str">
        <f>IF(ISERROR(FIND('112'!$M$9,G4083,1)),"",IF((AND(FIND('112'!$M$9,G4083,1)&gt;=1,$B4083&gt;='112'!$N$8,$B4083&lt;='112'!$O$8,OR($L4083='112'!$I$6,$M4083='112'!$I$6))),"x",""))</f>
        <v/>
      </c>
      <c r="S4083" s="52" t="str">
        <f>IF(ISERROR(FIND('112'!$M$9,G4083,1)),"",IF((AND(LEFT(G4083,2)=LEFT('112'!$M$9,2),B4083&lt;'112'!$N$8,$L4083='112'!$I$6)),"x",""))</f>
        <v/>
      </c>
      <c r="T4083" s="52" t="str">
        <f>IF(ISERROR(FIND('112'!$M$9,G4083,1)),"",IF((AND(RIGHT(G4083,2)=RIGHT('112'!$M$9,2),B4083&lt;'112'!$N$8,$M4083='112'!$I$6)),"x",""))</f>
        <v/>
      </c>
      <c r="U4083" s="52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/>
      </c>
      <c r="V4083" s="52" t="str">
        <f>IF(OR(TH!L4083=TH!$V$7,M4083=TH!$V$7),"x","")</f>
        <v/>
      </c>
      <c r="W4083" s="52" t="str">
        <f>IF(AND(B4083&gt;='IN-NX'!$P$3,B4083&lt;='IN-NX'!$Q$3,'IN-NX'!$D$7=D4083,OR(LEFT(L4083,2)="15",AND(LEFT(M4083,2)&lt;&gt;"15",LEFT(M4083,2)&lt;&gt;"33"))),"x","")</f>
        <v/>
      </c>
      <c r="X4083" s="52" t="str">
        <f>IF(AND(OR(LEFT(TH!L4083,2)="15",LEFT(TH!M4083,2)="15"),'152-CT'!$J$8=TH!F4083),"x","")</f>
        <v/>
      </c>
      <c r="Y4083" s="52" t="str">
        <f>IF(AND(OR(LEFT(TH!L4083,2)="15",LEFT(TH!M4083,2)="15"),TK!$E$7=TH!F4083),"x","")</f>
        <v/>
      </c>
      <c r="Z4083" s="52" t="str">
        <f>IF(AND(B4083&lt;=NKC!$N$8,B4083&gt;=NKC!$M$8),"x","")</f>
        <v/>
      </c>
      <c r="AA4083" s="826"/>
    </row>
    <row r="4084" spans="1:27" ht="15.75" customHeight="1">
      <c r="A4084" s="827" t="str">
        <f>IF(B4084&lt;&gt;"",IF(AND(B4084&gt;=_TM1,B4084&lt;=_TM2,OR(TH!L4084="1111",TH!M4084="1111")),TH!D4084,""),"")</f>
        <v/>
      </c>
      <c r="B4084" s="36" t="str">
        <f t="shared" si="518"/>
        <v/>
      </c>
      <c r="C4084" s="190"/>
      <c r="D4084" s="190"/>
      <c r="E4084" s="785"/>
      <c r="F4084" s="191"/>
      <c r="G4084" s="833"/>
      <c r="H4084" s="192"/>
      <c r="I4084" s="253"/>
      <c r="J4084" s="253"/>
      <c r="K4084" s="584"/>
      <c r="L4084" s="193"/>
      <c r="M4084" s="193"/>
      <c r="N4084" s="52" t="str">
        <f>IF(AND('331-CT'!$E$7=TH!H4084,OR(L4084="331",M4084="331")),"331",IF(AND(OR(L4084="131",M4084="131"),H4084='131-CT'!$E$7),"131",""))</f>
        <v/>
      </c>
      <c r="O4084" s="52" t="str">
        <f>IF(AND($B4084&gt;='111'!$N$11,$B4084&lt;='111'!$O$11,OR($L4084=$O$7,$M4084=$O$7)),"x","")</f>
        <v/>
      </c>
      <c r="P4084" s="52" t="str">
        <f>IF(AND($L4084=$O$7,$B4084&lt;'111'!$N$11),"x","")</f>
        <v/>
      </c>
      <c r="Q4084" s="52" t="str">
        <f>IF(AND($M4084=$O$7,$B4084&lt;'111'!$N$11),"x","")</f>
        <v/>
      </c>
      <c r="R4084" s="52" t="str">
        <f>IF(ISERROR(FIND('112'!$M$9,G4084,1)),"",IF((AND(FIND('112'!$M$9,G4084,1)&gt;=1,$B4084&gt;='112'!$N$8,$B4084&lt;='112'!$O$8,OR($L4084='112'!$I$6,$M4084='112'!$I$6))),"x",""))</f>
        <v/>
      </c>
      <c r="S4084" s="52" t="str">
        <f>IF(ISERROR(FIND('112'!$M$9,G4084,1)),"",IF((AND(LEFT(G4084,2)=LEFT('112'!$M$9,2),B4084&lt;'112'!$N$8,$L4084='112'!$I$6)),"x",""))</f>
        <v/>
      </c>
      <c r="T4084" s="52" t="str">
        <f>IF(ISERROR(FIND('112'!$M$9,G4084,1)),"",IF((AND(RIGHT(G4084,2)=RIGHT('112'!$M$9,2),B4084&lt;'112'!$N$8,$M4084='112'!$I$6)),"x",""))</f>
        <v/>
      </c>
      <c r="U4084" s="52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/>
      </c>
      <c r="V4084" s="52" t="str">
        <f>IF(OR(TH!L4084=TH!$V$7,M4084=TH!$V$7),"x","")</f>
        <v/>
      </c>
      <c r="W4084" s="52" t="str">
        <f>IF(AND(B4084&gt;='IN-NX'!$P$3,B4084&lt;='IN-NX'!$Q$3,'IN-NX'!$D$7=D4084,OR(LEFT(L4084,2)="15",AND(LEFT(M4084,2)&lt;&gt;"15",LEFT(M4084,2)&lt;&gt;"33"))),"x","")</f>
        <v/>
      </c>
      <c r="X4084" s="52" t="str">
        <f>IF(AND(OR(LEFT(TH!L4084,2)="15",LEFT(TH!M4084,2)="15"),'152-CT'!$J$8=TH!F4084),"x","")</f>
        <v/>
      </c>
      <c r="Y4084" s="52" t="str">
        <f>IF(AND(OR(LEFT(TH!L4084,2)="15",LEFT(TH!M4084,2)="15"),TK!$E$7=TH!F4084),"x","")</f>
        <v/>
      </c>
      <c r="Z4084" s="52" t="str">
        <f>IF(AND(B4084&lt;=NKC!$N$8,B4084&gt;=NKC!$M$8),"x","")</f>
        <v/>
      </c>
      <c r="AA4084" s="826"/>
    </row>
    <row r="4085" spans="1:27" ht="15.75" customHeight="1">
      <c r="A4085" s="827" t="str">
        <f>IF(B4085&lt;&gt;"",IF(AND(B4085&gt;=_TM1,B4085&lt;=_TM2,OR(TH!L4085="1111",TH!M4085="1111")),TH!D4085,""),"")</f>
        <v/>
      </c>
      <c r="B4085" s="36" t="str">
        <f t="shared" si="518"/>
        <v/>
      </c>
      <c r="C4085" s="190"/>
      <c r="D4085" s="190"/>
      <c r="E4085" s="785"/>
      <c r="F4085" s="191"/>
      <c r="G4085" s="833"/>
      <c r="H4085" s="192"/>
      <c r="I4085" s="254"/>
      <c r="J4085" s="254"/>
      <c r="K4085" s="584"/>
      <c r="L4085" s="193"/>
      <c r="M4085" s="193"/>
      <c r="N4085" s="52" t="str">
        <f>IF(AND('331-CT'!$E$7=TH!H4085,OR(L4085="331",M4085="331")),"331",IF(AND(OR(L4085="131",M4085="131"),H4085='131-CT'!$E$7),"131",""))</f>
        <v/>
      </c>
      <c r="O4085" s="52" t="str">
        <f>IF(AND($B4085&gt;='111'!$N$11,$B4085&lt;='111'!$O$11,OR($L4085=$O$7,$M4085=$O$7)),"x","")</f>
        <v/>
      </c>
      <c r="P4085" s="52" t="str">
        <f>IF(AND($L4085=$O$7,$B4085&lt;'111'!$N$11),"x","")</f>
        <v/>
      </c>
      <c r="Q4085" s="52" t="str">
        <f>IF(AND($M4085=$O$7,$B4085&lt;'111'!$N$11),"x","")</f>
        <v/>
      </c>
      <c r="R4085" s="52" t="str">
        <f>IF(ISERROR(FIND('112'!$M$9,G4085,1)),"",IF((AND(FIND('112'!$M$9,G4085,1)&gt;=1,$B4085&gt;='112'!$N$8,$B4085&lt;='112'!$O$8,OR($L4085='112'!$I$6,$M4085='112'!$I$6))),"x",""))</f>
        <v/>
      </c>
      <c r="S4085" s="52" t="str">
        <f>IF(ISERROR(FIND('112'!$M$9,G4085,1)),"",IF((AND(LEFT(G4085,2)=LEFT('112'!$M$9,2),B4085&lt;'112'!$N$8,$L4085='112'!$I$6)),"x",""))</f>
        <v/>
      </c>
      <c r="T4085" s="52" t="str">
        <f>IF(ISERROR(FIND('112'!$M$9,G4085,1)),"",IF((AND(RIGHT(G4085,2)=RIGHT('112'!$M$9,2),B4085&lt;'112'!$N$8,$M4085='112'!$I$6)),"x",""))</f>
        <v/>
      </c>
      <c r="U4085" s="52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/>
      </c>
      <c r="V4085" s="52" t="str">
        <f>IF(OR(TH!L4085=TH!$V$7,M4085=TH!$V$7),"x","")</f>
        <v/>
      </c>
      <c r="W4085" s="52" t="str">
        <f>IF(AND(B4085&gt;='IN-NX'!$P$3,B4085&lt;='IN-NX'!$Q$3,'IN-NX'!$D$7=D4085,OR(LEFT(L4085,2)="15",AND(LEFT(M4085,2)&lt;&gt;"15",LEFT(M4085,2)&lt;&gt;"33"))),"x","")</f>
        <v/>
      </c>
      <c r="X4085" s="52" t="str">
        <f>IF(AND(OR(LEFT(TH!L4085,2)="15",LEFT(TH!M4085,2)="15"),'152-CT'!$J$8=TH!F4085),"x","")</f>
        <v/>
      </c>
      <c r="Y4085" s="52" t="str">
        <f>IF(AND(OR(LEFT(TH!L4085,2)="15",LEFT(TH!M4085,2)="15"),TK!$E$7=TH!F4085),"x","")</f>
        <v/>
      </c>
      <c r="Z4085" s="52" t="str">
        <f>IF(AND(B4085&lt;=NKC!$N$8,B4085&gt;=NKC!$M$8),"x","")</f>
        <v/>
      </c>
      <c r="AA4085" s="826"/>
    </row>
    <row r="4086" spans="1:27" ht="15.75" customHeight="1">
      <c r="A4086" s="827" t="str">
        <f>IF(B4086&lt;&gt;"",IF(AND(B4086&gt;=_TM1,B4086&lt;=_TM2,OR(TH!L4086="1111",TH!M4086="1111")),TH!D4086,""),"")</f>
        <v/>
      </c>
      <c r="B4086" s="36" t="str">
        <f t="shared" si="518"/>
        <v/>
      </c>
      <c r="C4086" s="190"/>
      <c r="D4086" s="190"/>
      <c r="E4086" s="785"/>
      <c r="F4086" s="191"/>
      <c r="G4086" s="833"/>
      <c r="H4086" s="7"/>
      <c r="I4086" s="253"/>
      <c r="J4086" s="253"/>
      <c r="K4086" s="584"/>
      <c r="L4086" s="193"/>
      <c r="M4086" s="193"/>
      <c r="N4086" s="52" t="str">
        <f>IF(AND('331-CT'!$E$7=TH!H4086,OR(L4086="331",M4086="331")),"331",IF(AND(OR(L4086="131",M4086="131"),H4086='131-CT'!$E$7),"131",""))</f>
        <v/>
      </c>
      <c r="O4086" s="52" t="str">
        <f>IF(AND($B4086&gt;='111'!$N$11,$B4086&lt;='111'!$O$11,OR($L4086=$O$7,$M4086=$O$7)),"x","")</f>
        <v/>
      </c>
      <c r="P4086" s="52" t="str">
        <f>IF(AND($L4086=$O$7,$B4086&lt;'111'!$N$11),"x","")</f>
        <v/>
      </c>
      <c r="Q4086" s="52" t="str">
        <f>IF(AND($M4086=$O$7,$B4086&lt;'111'!$N$11),"x","")</f>
        <v/>
      </c>
      <c r="R4086" s="52" t="str">
        <f>IF(ISERROR(FIND('112'!$M$9,G4086,1)),"",IF((AND(FIND('112'!$M$9,G4086,1)&gt;=1,$B4086&gt;='112'!$N$8,$B4086&lt;='112'!$O$8,OR($L4086='112'!$I$6,$M4086='112'!$I$6))),"x",""))</f>
        <v/>
      </c>
      <c r="S4086" s="52" t="str">
        <f>IF(ISERROR(FIND('112'!$M$9,G4086,1)),"",IF((AND(LEFT(G4086,2)=LEFT('112'!$M$9,2),B4086&lt;'112'!$N$8,$L4086='112'!$I$6)),"x",""))</f>
        <v/>
      </c>
      <c r="T4086" s="52" t="str">
        <f>IF(ISERROR(FIND('112'!$M$9,G4086,1)),"",IF((AND(RIGHT(G4086,2)=RIGHT('112'!$M$9,2),B4086&lt;'112'!$N$8,$M4086='112'!$I$6)),"x",""))</f>
        <v/>
      </c>
      <c r="U4086" s="52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/>
      </c>
      <c r="V4086" s="52" t="str">
        <f>IF(OR(TH!L4086=TH!$V$7,M4086=TH!$V$7),"x","")</f>
        <v/>
      </c>
      <c r="W4086" s="52" t="str">
        <f>IF(AND(B4086&gt;='IN-NX'!$P$3,B4086&lt;='IN-NX'!$Q$3,'IN-NX'!$D$7=D4086,OR(LEFT(L4086,2)="15",AND(LEFT(M4086,2)&lt;&gt;"15",LEFT(M4086,2)&lt;&gt;"33"))),"x","")</f>
        <v/>
      </c>
      <c r="X4086" s="52" t="str">
        <f>IF(AND(OR(LEFT(TH!L4086,2)="15",LEFT(TH!M4086,2)="15"),'152-CT'!$J$8=TH!F4086),"x","")</f>
        <v/>
      </c>
      <c r="Y4086" s="52" t="str">
        <f>IF(AND(OR(LEFT(TH!L4086,2)="15",LEFT(TH!M4086,2)="15"),TK!$E$7=TH!F4086),"x","")</f>
        <v/>
      </c>
      <c r="Z4086" s="52" t="str">
        <f>IF(AND(B4086&lt;=NKC!$N$8,B4086&gt;=NKC!$M$8),"x","")</f>
        <v/>
      </c>
      <c r="AA4086" s="826"/>
    </row>
    <row r="4087" spans="1:27" ht="15.75" customHeight="1">
      <c r="A4087" s="827" t="str">
        <f>IF(B4087&lt;&gt;"",IF(AND(B4087&gt;=_TM1,B4087&lt;=_TM2,OR(TH!L4087="1111",TH!M4087="1111")),TH!D4087,""),"")</f>
        <v/>
      </c>
      <c r="B4087" s="36" t="str">
        <f t="shared" si="518"/>
        <v/>
      </c>
      <c r="C4087" s="190"/>
      <c r="D4087" s="190"/>
      <c r="E4087" s="785"/>
      <c r="F4087" s="191"/>
      <c r="G4087" s="833"/>
      <c r="H4087" s="7"/>
      <c r="I4087" s="253"/>
      <c r="J4087" s="253"/>
      <c r="K4087" s="584"/>
      <c r="L4087" s="193"/>
      <c r="M4087" s="193"/>
      <c r="N4087" s="52" t="str">
        <f>IF(AND('331-CT'!$E$7=TH!H4087,OR(L4087="331",M4087="331")),"331",IF(AND(OR(L4087="131",M4087="131"),H4087='131-CT'!$E$7),"131",""))</f>
        <v/>
      </c>
      <c r="O4087" s="52" t="str">
        <f>IF(AND($B4087&gt;='111'!$N$11,$B4087&lt;='111'!$O$11,OR($L4087=$O$7,$M4087=$O$7)),"x","")</f>
        <v/>
      </c>
      <c r="P4087" s="52" t="str">
        <f>IF(AND($L4087=$O$7,$B4087&lt;'111'!$N$11),"x","")</f>
        <v/>
      </c>
      <c r="Q4087" s="52" t="str">
        <f>IF(AND($M4087=$O$7,$B4087&lt;'111'!$N$11),"x","")</f>
        <v/>
      </c>
      <c r="R4087" s="52" t="str">
        <f>IF(ISERROR(FIND('112'!$M$9,G4087,1)),"",IF((AND(FIND('112'!$M$9,G4087,1)&gt;=1,$B4087&gt;='112'!$N$8,$B4087&lt;='112'!$O$8,OR($L4087='112'!$I$6,$M4087='112'!$I$6))),"x",""))</f>
        <v/>
      </c>
      <c r="S4087" s="52" t="str">
        <f>IF(ISERROR(FIND('112'!$M$9,G4087,1)),"",IF((AND(LEFT(G4087,2)=LEFT('112'!$M$9,2),B4087&lt;'112'!$N$8,$L4087='112'!$I$6)),"x",""))</f>
        <v/>
      </c>
      <c r="T4087" s="52" t="str">
        <f>IF(ISERROR(FIND('112'!$M$9,G4087,1)),"",IF((AND(RIGHT(G4087,2)=RIGHT('112'!$M$9,2),B4087&lt;'112'!$N$8,$M4087='112'!$I$6)),"x",""))</f>
        <v/>
      </c>
      <c r="U4087" s="52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/>
      </c>
      <c r="V4087" s="52" t="str">
        <f>IF(OR(TH!L4087=TH!$V$7,M4087=TH!$V$7),"x","")</f>
        <v/>
      </c>
      <c r="W4087" s="52" t="str">
        <f>IF(AND(B4087&gt;='IN-NX'!$P$3,B4087&lt;='IN-NX'!$Q$3,'IN-NX'!$D$7=D4087,OR(LEFT(L4087,2)="15",AND(LEFT(M4087,2)&lt;&gt;"15",LEFT(M4087,2)&lt;&gt;"33"))),"x","")</f>
        <v/>
      </c>
      <c r="X4087" s="52" t="str">
        <f>IF(AND(OR(LEFT(TH!L4087,2)="15",LEFT(TH!M4087,2)="15"),'152-CT'!$J$8=TH!F4087),"x","")</f>
        <v/>
      </c>
      <c r="Y4087" s="52" t="str">
        <f>IF(AND(OR(LEFT(TH!L4087,2)="15",LEFT(TH!M4087,2)="15"),TK!$E$7=TH!F4087),"x","")</f>
        <v/>
      </c>
      <c r="Z4087" s="52" t="str">
        <f>IF(AND(B4087&lt;=NKC!$N$8,B4087&gt;=NKC!$M$8),"x","")</f>
        <v/>
      </c>
      <c r="AA4087" s="826"/>
    </row>
    <row r="4088" spans="1:27" ht="15.75" customHeight="1">
      <c r="A4088" s="827" t="str">
        <f>IF(B4088&lt;&gt;"",IF(AND(B4088&gt;=_TM1,B4088&lt;=_TM2,OR(TH!L4088="1111",TH!M4088="1111")),TH!D4088,""),"")</f>
        <v/>
      </c>
      <c r="B4088" s="36" t="str">
        <f t="shared" si="518"/>
        <v/>
      </c>
      <c r="C4088" s="190"/>
      <c r="D4088" s="190"/>
      <c r="E4088" s="785"/>
      <c r="F4088" s="191"/>
      <c r="G4088" s="833"/>
      <c r="H4088" s="7"/>
      <c r="I4088" s="253"/>
      <c r="J4088" s="253"/>
      <c r="K4088" s="584"/>
      <c r="L4088" s="193"/>
      <c r="M4088" s="193"/>
      <c r="N4088" s="52" t="str">
        <f>IF(AND('331-CT'!$E$7=TH!H4088,OR(L4088="331",M4088="331")),"331",IF(AND(OR(L4088="131",M4088="131"),H4088='131-CT'!$E$7),"131",""))</f>
        <v/>
      </c>
      <c r="O4088" s="52" t="str">
        <f>IF(AND($B4088&gt;='111'!$N$11,$B4088&lt;='111'!$O$11,OR($L4088=$O$7,$M4088=$O$7)),"x","")</f>
        <v/>
      </c>
      <c r="P4088" s="52" t="str">
        <f>IF(AND($L4088=$O$7,$B4088&lt;'111'!$N$11),"x","")</f>
        <v/>
      </c>
      <c r="Q4088" s="52" t="str">
        <f>IF(AND($M4088=$O$7,$B4088&lt;'111'!$N$11),"x","")</f>
        <v/>
      </c>
      <c r="R4088" s="52" t="str">
        <f>IF(ISERROR(FIND('112'!$M$9,G4088,1)),"",IF((AND(FIND('112'!$M$9,G4088,1)&gt;=1,$B4088&gt;='112'!$N$8,$B4088&lt;='112'!$O$8,OR($L4088='112'!$I$6,$M4088='112'!$I$6))),"x",""))</f>
        <v/>
      </c>
      <c r="S4088" s="52" t="str">
        <f>IF(ISERROR(FIND('112'!$M$9,G4088,1)),"",IF((AND(LEFT(G4088,2)=LEFT('112'!$M$9,2),B4088&lt;'112'!$N$8,$L4088='112'!$I$6)),"x",""))</f>
        <v/>
      </c>
      <c r="T4088" s="52" t="str">
        <f>IF(ISERROR(FIND('112'!$M$9,G4088,1)),"",IF((AND(RIGHT(G4088,2)=RIGHT('112'!$M$9,2),B4088&lt;'112'!$N$8,$M4088='112'!$I$6)),"x",""))</f>
        <v/>
      </c>
      <c r="U4088" s="52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/>
      </c>
      <c r="V4088" s="52" t="str">
        <f>IF(OR(TH!L4088=TH!$V$7,M4088=TH!$V$7),"x","")</f>
        <v/>
      </c>
      <c r="W4088" s="52" t="str">
        <f>IF(AND(B4088&gt;='IN-NX'!$P$3,B4088&lt;='IN-NX'!$Q$3,'IN-NX'!$D$7=D4088,OR(LEFT(L4088,2)="15",AND(LEFT(M4088,2)&lt;&gt;"15",LEFT(M4088,2)&lt;&gt;"33"))),"x","")</f>
        <v/>
      </c>
      <c r="X4088" s="52" t="str">
        <f>IF(AND(OR(LEFT(TH!L4088,2)="15",LEFT(TH!M4088,2)="15"),'152-CT'!$J$8=TH!F4088),"x","")</f>
        <v/>
      </c>
      <c r="Y4088" s="52" t="str">
        <f>IF(AND(OR(LEFT(TH!L4088,2)="15",LEFT(TH!M4088,2)="15"),TK!$E$7=TH!F4088),"x","")</f>
        <v/>
      </c>
      <c r="Z4088" s="52" t="str">
        <f>IF(AND(B4088&lt;=NKC!$N$8,B4088&gt;=NKC!$M$8),"x","")</f>
        <v/>
      </c>
      <c r="AA4088" s="826"/>
    </row>
    <row r="4089" spans="1:27" ht="15.75" customHeight="1">
      <c r="A4089" s="827" t="str">
        <f>IF(B4089&lt;&gt;"",IF(AND(B4089&gt;=_TM1,B4089&lt;=_TM2,OR(TH!L4089="1111",TH!M4089="1111")),TH!D4089,""),"")</f>
        <v/>
      </c>
      <c r="B4089" s="36" t="str">
        <f t="shared" si="518"/>
        <v/>
      </c>
      <c r="C4089" s="190"/>
      <c r="D4089" s="37"/>
      <c r="E4089" s="740"/>
      <c r="F4089" s="40"/>
      <c r="G4089" s="832"/>
      <c r="H4089" s="7"/>
      <c r="I4089" s="253"/>
      <c r="J4089" s="253"/>
      <c r="K4089" s="584"/>
      <c r="L4089" s="39"/>
      <c r="M4089" s="39"/>
      <c r="N4089" s="52" t="str">
        <f>IF(AND('331-CT'!$E$7=TH!H4089,OR(L4089="331",M4089="331")),"331",IF(AND(OR(L4089="131",M4089="131"),H4089='131-CT'!$E$7),"131",""))</f>
        <v/>
      </c>
      <c r="O4089" s="52" t="str">
        <f>IF(AND($B4089&gt;='111'!$N$11,$B4089&lt;='111'!$O$11,OR($L4089=$O$7,$M4089=$O$7)),"x","")</f>
        <v/>
      </c>
      <c r="P4089" s="52" t="str">
        <f>IF(AND($L4089=$O$7,$B4089&lt;'111'!$N$11),"x","")</f>
        <v/>
      </c>
      <c r="Q4089" s="52" t="str">
        <f>IF(AND($M4089=$O$7,$B4089&lt;'111'!$N$11),"x","")</f>
        <v/>
      </c>
      <c r="R4089" s="52" t="str">
        <f>IF(ISERROR(FIND('112'!$M$9,G4089,1)),"",IF((AND(FIND('112'!$M$9,G4089,1)&gt;=1,$B4089&gt;='112'!$N$8,$B4089&lt;='112'!$O$8,OR($L4089='112'!$I$6,$M4089='112'!$I$6))),"x",""))</f>
        <v/>
      </c>
      <c r="S4089" s="52" t="str">
        <f>IF(ISERROR(FIND('112'!$M$9,G4089,1)),"",IF((AND(LEFT(G4089,2)=LEFT('112'!$M$9,2),B4089&lt;'112'!$N$8,$L4089='112'!$I$6)),"x",""))</f>
        <v/>
      </c>
      <c r="T4089" s="52" t="str">
        <f>IF(ISERROR(FIND('112'!$M$9,G4089,1)),"",IF((AND(RIGHT(G4089,2)=RIGHT('112'!$M$9,2),B4089&lt;'112'!$N$8,$M4089='112'!$I$6)),"x",""))</f>
        <v/>
      </c>
      <c r="U4089" s="52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/>
      </c>
      <c r="V4089" s="52" t="str">
        <f>IF(OR(TH!L4089=TH!$V$7,M4089=TH!$V$7),"x","")</f>
        <v/>
      </c>
      <c r="W4089" s="52" t="str">
        <f>IF(AND(B4089&gt;='IN-NX'!$P$3,B4089&lt;='IN-NX'!$Q$3,'IN-NX'!$D$7=D4089,OR(LEFT(L4089,2)="15",AND(LEFT(M4089,2)&lt;&gt;"15",LEFT(M4089,2)&lt;&gt;"33"))),"x","")</f>
        <v/>
      </c>
      <c r="X4089" s="52" t="str">
        <f>IF(AND(OR(LEFT(TH!L4089,2)="15",LEFT(TH!M4089,2)="15"),'152-CT'!$J$8=TH!F4089),"x","")</f>
        <v/>
      </c>
      <c r="Y4089" s="52" t="str">
        <f>IF(AND(OR(LEFT(TH!L4089,2)="15",LEFT(TH!M4089,2)="15"),TK!$E$7=TH!F4089),"x","")</f>
        <v/>
      </c>
      <c r="Z4089" s="52" t="str">
        <f>IF(AND(B4089&lt;=NKC!$N$8,B4089&gt;=NKC!$M$8),"x","")</f>
        <v/>
      </c>
      <c r="AA4089" s="826"/>
    </row>
    <row r="4090" spans="1:27" ht="15.75" customHeight="1">
      <c r="A4090" s="827" t="str">
        <f>IF(B4090&lt;&gt;"",IF(AND(B4090&gt;=_TM1,B4090&lt;=_TM2,OR(TH!L4090="1111",TH!M4090="1111")),TH!D4090,""),"")</f>
        <v/>
      </c>
      <c r="B4090" s="36" t="str">
        <f t="shared" si="518"/>
        <v/>
      </c>
      <c r="C4090" s="190"/>
      <c r="D4090" s="37"/>
      <c r="E4090" s="740"/>
      <c r="F4090" s="40"/>
      <c r="G4090" s="832"/>
      <c r="H4090" s="7"/>
      <c r="I4090" s="253"/>
      <c r="J4090" s="253"/>
      <c r="K4090" s="584"/>
      <c r="L4090" s="39"/>
      <c r="M4090" s="39"/>
      <c r="N4090" s="52" t="str">
        <f>IF(AND('331-CT'!$E$7=TH!H4090,OR(L4090="331",M4090="331")),"331",IF(AND(OR(L4090="131",M4090="131"),H4090='131-CT'!$E$7),"131",""))</f>
        <v/>
      </c>
      <c r="O4090" s="52" t="str">
        <f>IF(AND($B4090&gt;='111'!$N$11,$B4090&lt;='111'!$O$11,OR($L4090=$O$7,$M4090=$O$7)),"x","")</f>
        <v/>
      </c>
      <c r="P4090" s="52" t="str">
        <f>IF(AND($L4090=$O$7,$B4090&lt;'111'!$N$11),"x","")</f>
        <v/>
      </c>
      <c r="Q4090" s="52" t="str">
        <f>IF(AND($M4090=$O$7,$B4090&lt;'111'!$N$11),"x","")</f>
        <v/>
      </c>
      <c r="R4090" s="52" t="str">
        <f>IF(ISERROR(FIND('112'!$M$9,G4090,1)),"",IF((AND(FIND('112'!$M$9,G4090,1)&gt;=1,$B4090&gt;='112'!$N$8,$B4090&lt;='112'!$O$8,OR($L4090='112'!$I$6,$M4090='112'!$I$6))),"x",""))</f>
        <v/>
      </c>
      <c r="S4090" s="52" t="str">
        <f>IF(ISERROR(FIND('112'!$M$9,G4090,1)),"",IF((AND(LEFT(G4090,2)=LEFT('112'!$M$9,2),B4090&lt;'112'!$N$8,$L4090='112'!$I$6)),"x",""))</f>
        <v/>
      </c>
      <c r="T4090" s="52" t="str">
        <f>IF(ISERROR(FIND('112'!$M$9,G4090,1)),"",IF((AND(RIGHT(G4090,2)=RIGHT('112'!$M$9,2),B4090&lt;'112'!$N$8,$M4090='112'!$I$6)),"x",""))</f>
        <v/>
      </c>
      <c r="U4090" s="52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/>
      </c>
      <c r="V4090" s="52" t="str">
        <f>IF(OR(TH!L4090=TH!$V$7,M4090=TH!$V$7),"x","")</f>
        <v/>
      </c>
      <c r="W4090" s="52" t="str">
        <f>IF(AND(B4090&gt;='IN-NX'!$P$3,B4090&lt;='IN-NX'!$Q$3,'IN-NX'!$D$7=D4090,OR(LEFT(L4090,2)="15",AND(LEFT(M4090,2)&lt;&gt;"15",LEFT(M4090,2)&lt;&gt;"33"))),"x","")</f>
        <v/>
      </c>
      <c r="X4090" s="52" t="str">
        <f>IF(AND(OR(LEFT(TH!L4090,2)="15",LEFT(TH!M4090,2)="15"),'152-CT'!$J$8=TH!F4090),"x","")</f>
        <v/>
      </c>
      <c r="Y4090" s="52" t="str">
        <f>IF(AND(OR(LEFT(TH!L4090,2)="15",LEFT(TH!M4090,2)="15"),TK!$E$7=TH!F4090),"x","")</f>
        <v/>
      </c>
      <c r="Z4090" s="52" t="str">
        <f>IF(AND(B4090&lt;=NKC!$N$8,B4090&gt;=NKC!$M$8),"x","")</f>
        <v/>
      </c>
      <c r="AA4090" s="826"/>
    </row>
    <row r="4091" spans="1:27" ht="15.75" customHeight="1">
      <c r="A4091" s="827" t="str">
        <f>IF(B4091&lt;&gt;"",IF(AND(B4091&gt;=_TM1,B4091&lt;=_TM2,OR(TH!L4091="1111",TH!M4091="1111")),TH!D4091,""),"")</f>
        <v/>
      </c>
      <c r="B4091" s="36" t="str">
        <f t="shared" si="518"/>
        <v/>
      </c>
      <c r="C4091" s="190"/>
      <c r="D4091" s="37"/>
      <c r="E4091" s="740"/>
      <c r="F4091" s="40"/>
      <c r="G4091" s="832"/>
      <c r="H4091" s="7"/>
      <c r="I4091" s="253"/>
      <c r="J4091" s="253"/>
      <c r="K4091" s="584"/>
      <c r="L4091" s="39"/>
      <c r="M4091" s="39"/>
      <c r="N4091" s="52" t="str">
        <f>IF(AND('331-CT'!$E$7=TH!H4091,OR(L4091="331",M4091="331")),"331",IF(AND(OR(L4091="131",M4091="131"),H4091='131-CT'!$E$7),"131",""))</f>
        <v/>
      </c>
      <c r="O4091" s="52" t="str">
        <f>IF(AND($B4091&gt;='111'!$N$11,$B4091&lt;='111'!$O$11,OR($L4091=$O$7,$M4091=$O$7)),"x","")</f>
        <v/>
      </c>
      <c r="P4091" s="52" t="str">
        <f>IF(AND($L4091=$O$7,$B4091&lt;'111'!$N$11),"x","")</f>
        <v/>
      </c>
      <c r="Q4091" s="52" t="str">
        <f>IF(AND($M4091=$O$7,$B4091&lt;'111'!$N$11),"x","")</f>
        <v/>
      </c>
      <c r="R4091" s="52" t="str">
        <f>IF(ISERROR(FIND('112'!$M$9,G4091,1)),"",IF((AND(FIND('112'!$M$9,G4091,1)&gt;=1,$B4091&gt;='112'!$N$8,$B4091&lt;='112'!$O$8,OR($L4091='112'!$I$6,$M4091='112'!$I$6))),"x",""))</f>
        <v/>
      </c>
      <c r="S4091" s="52" t="str">
        <f>IF(ISERROR(FIND('112'!$M$9,G4091,1)),"",IF((AND(LEFT(G4091,2)=LEFT('112'!$M$9,2),B4091&lt;'112'!$N$8,$L4091='112'!$I$6)),"x",""))</f>
        <v/>
      </c>
      <c r="T4091" s="52" t="str">
        <f>IF(ISERROR(FIND('112'!$M$9,G4091,1)),"",IF((AND(RIGHT(G4091,2)=RIGHT('112'!$M$9,2),B4091&lt;'112'!$N$8,$M4091='112'!$I$6)),"x",""))</f>
        <v/>
      </c>
      <c r="U4091" s="52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/>
      </c>
      <c r="V4091" s="52" t="str">
        <f>IF(OR(TH!L4091=TH!$V$7,M4091=TH!$V$7),"x","")</f>
        <v/>
      </c>
      <c r="W4091" s="52" t="str">
        <f>IF(AND(B4091&gt;='IN-NX'!$P$3,B4091&lt;='IN-NX'!$Q$3,'IN-NX'!$D$7=D4091,OR(LEFT(L4091,2)="15",AND(LEFT(M4091,2)&lt;&gt;"15",LEFT(M4091,2)&lt;&gt;"33"))),"x","")</f>
        <v/>
      </c>
      <c r="X4091" s="52" t="str">
        <f>IF(AND(OR(LEFT(TH!L4091,2)="15",LEFT(TH!M4091,2)="15"),'152-CT'!$J$8=TH!F4091),"x","")</f>
        <v/>
      </c>
      <c r="Y4091" s="52" t="str">
        <f>IF(AND(OR(LEFT(TH!L4091,2)="15",LEFT(TH!M4091,2)="15"),TK!$E$7=TH!F4091),"x","")</f>
        <v/>
      </c>
      <c r="Z4091" s="52" t="str">
        <f>IF(AND(B4091&lt;=NKC!$N$8,B4091&gt;=NKC!$M$8),"x","")</f>
        <v/>
      </c>
      <c r="AA4091" s="826"/>
    </row>
    <row r="4092" spans="1:27" ht="15.75" customHeight="1">
      <c r="A4092" s="827" t="str">
        <f>IF(B4092&lt;&gt;"",IF(AND(B4092&gt;=_TM1,B4092&lt;=_TM2,OR(TH!L4092="1111",TH!M4092="1111")),TH!D4092,""),"")</f>
        <v/>
      </c>
      <c r="B4092" s="36" t="str">
        <f t="shared" si="518"/>
        <v/>
      </c>
      <c r="C4092" s="190"/>
      <c r="D4092" s="37"/>
      <c r="E4092" s="740"/>
      <c r="F4092" s="40"/>
      <c r="G4092" s="832"/>
      <c r="H4092" s="7"/>
      <c r="I4092" s="253"/>
      <c r="J4092" s="253"/>
      <c r="K4092" s="584"/>
      <c r="L4092" s="39"/>
      <c r="M4092" s="39"/>
      <c r="N4092" s="52" t="str">
        <f>IF(AND('331-CT'!$E$7=TH!H4092,OR(L4092="331",M4092="331")),"331",IF(AND(OR(L4092="131",M4092="131"),H4092='131-CT'!$E$7),"131",""))</f>
        <v/>
      </c>
      <c r="O4092" s="52" t="str">
        <f>IF(AND($B4092&gt;='111'!$N$11,$B4092&lt;='111'!$O$11,OR($L4092=$O$7,$M4092=$O$7)),"x","")</f>
        <v/>
      </c>
      <c r="P4092" s="52" t="str">
        <f>IF(AND($L4092=$O$7,$B4092&lt;'111'!$N$11),"x","")</f>
        <v/>
      </c>
      <c r="Q4092" s="52" t="str">
        <f>IF(AND($M4092=$O$7,$B4092&lt;'111'!$N$11),"x","")</f>
        <v/>
      </c>
      <c r="R4092" s="52" t="str">
        <f>IF(ISERROR(FIND('112'!$M$9,G4092,1)),"",IF((AND(FIND('112'!$M$9,G4092,1)&gt;=1,$B4092&gt;='112'!$N$8,$B4092&lt;='112'!$O$8,OR($L4092='112'!$I$6,$M4092='112'!$I$6))),"x",""))</f>
        <v/>
      </c>
      <c r="S4092" s="52" t="str">
        <f>IF(ISERROR(FIND('112'!$M$9,G4092,1)),"",IF((AND(LEFT(G4092,2)=LEFT('112'!$M$9,2),B4092&lt;'112'!$N$8,$L4092='112'!$I$6)),"x",""))</f>
        <v/>
      </c>
      <c r="T4092" s="52" t="str">
        <f>IF(ISERROR(FIND('112'!$M$9,G4092,1)),"",IF((AND(RIGHT(G4092,2)=RIGHT('112'!$M$9,2),B4092&lt;'112'!$N$8,$M4092='112'!$I$6)),"x",""))</f>
        <v/>
      </c>
      <c r="U4092" s="52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/>
      </c>
      <c r="V4092" s="52" t="str">
        <f>IF(OR(TH!L4092=TH!$V$7,M4092=TH!$V$7),"x","")</f>
        <v/>
      </c>
      <c r="W4092" s="52" t="str">
        <f>IF(AND(B4092&gt;='IN-NX'!$P$3,B4092&lt;='IN-NX'!$Q$3,'IN-NX'!$D$7=D4092,OR(LEFT(L4092,2)="15",AND(LEFT(M4092,2)&lt;&gt;"15",LEFT(M4092,2)&lt;&gt;"33"))),"x","")</f>
        <v/>
      </c>
      <c r="X4092" s="52" t="str">
        <f>IF(AND(OR(LEFT(TH!L4092,2)="15",LEFT(TH!M4092,2)="15"),'152-CT'!$J$8=TH!F4092),"x","")</f>
        <v/>
      </c>
      <c r="Y4092" s="52" t="str">
        <f>IF(AND(OR(LEFT(TH!L4092,2)="15",LEFT(TH!M4092,2)="15"),TK!$E$7=TH!F4092),"x","")</f>
        <v/>
      </c>
      <c r="Z4092" s="52" t="str">
        <f>IF(AND(B4092&lt;=NKC!$N$8,B4092&gt;=NKC!$M$8),"x","")</f>
        <v/>
      </c>
      <c r="AA4092" s="826"/>
    </row>
    <row r="4093" spans="1:27" ht="15.75" customHeight="1">
      <c r="A4093" s="827" t="str">
        <f>IF(B4093&lt;&gt;"",IF(AND(B4093&gt;=_TM1,B4093&lt;=_TM2,OR(TH!L4093="1111",TH!M4093="1111")),TH!D4093,""),"")</f>
        <v/>
      </c>
      <c r="B4093" s="36" t="str">
        <f t="shared" si="518"/>
        <v/>
      </c>
      <c r="C4093" s="190"/>
      <c r="D4093" s="37"/>
      <c r="E4093" s="740"/>
      <c r="F4093" s="40"/>
      <c r="G4093" s="832"/>
      <c r="H4093" s="7"/>
      <c r="I4093" s="253"/>
      <c r="J4093" s="253"/>
      <c r="K4093" s="584"/>
      <c r="L4093" s="39"/>
      <c r="M4093" s="39"/>
      <c r="N4093" s="52" t="str">
        <f>IF(AND('331-CT'!$E$7=TH!H4093,OR(L4093="331",M4093="331")),"331",IF(AND(OR(L4093="131",M4093="131"),H4093='131-CT'!$E$7),"131",""))</f>
        <v/>
      </c>
      <c r="O4093" s="52" t="str">
        <f>IF(AND($B4093&gt;='111'!$N$11,$B4093&lt;='111'!$O$11,OR($L4093=$O$7,$M4093=$O$7)),"x","")</f>
        <v/>
      </c>
      <c r="P4093" s="52" t="str">
        <f>IF(AND($L4093=$O$7,$B4093&lt;'111'!$N$11),"x","")</f>
        <v/>
      </c>
      <c r="Q4093" s="52" t="str">
        <f>IF(AND($M4093=$O$7,$B4093&lt;'111'!$N$11),"x","")</f>
        <v/>
      </c>
      <c r="R4093" s="52" t="str">
        <f>IF(ISERROR(FIND('112'!$M$9,G4093,1)),"",IF((AND(FIND('112'!$M$9,G4093,1)&gt;=1,$B4093&gt;='112'!$N$8,$B4093&lt;='112'!$O$8,OR($L4093='112'!$I$6,$M4093='112'!$I$6))),"x",""))</f>
        <v/>
      </c>
      <c r="S4093" s="52" t="str">
        <f>IF(ISERROR(FIND('112'!$M$9,G4093,1)),"",IF((AND(LEFT(G4093,2)=LEFT('112'!$M$9,2),B4093&lt;'112'!$N$8,$L4093='112'!$I$6)),"x",""))</f>
        <v/>
      </c>
      <c r="T4093" s="52" t="str">
        <f>IF(ISERROR(FIND('112'!$M$9,G4093,1)),"",IF((AND(RIGHT(G4093,2)=RIGHT('112'!$M$9,2),B4093&lt;'112'!$N$8,$M4093='112'!$I$6)),"x",""))</f>
        <v/>
      </c>
      <c r="U4093" s="52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/>
      </c>
      <c r="V4093" s="52" t="str">
        <f>IF(OR(TH!L4093=TH!$V$7,M4093=TH!$V$7),"x","")</f>
        <v/>
      </c>
      <c r="W4093" s="52" t="str">
        <f>IF(AND(B4093&gt;='IN-NX'!$P$3,B4093&lt;='IN-NX'!$Q$3,'IN-NX'!$D$7=D4093,OR(LEFT(L4093,2)="15",AND(LEFT(M4093,2)&lt;&gt;"15",LEFT(M4093,2)&lt;&gt;"33"))),"x","")</f>
        <v/>
      </c>
      <c r="X4093" s="52" t="str">
        <f>IF(AND(OR(LEFT(TH!L4093,2)="15",LEFT(TH!M4093,2)="15"),'152-CT'!$J$8=TH!F4093),"x","")</f>
        <v/>
      </c>
      <c r="Y4093" s="52" t="str">
        <f>IF(AND(OR(LEFT(TH!L4093,2)="15",LEFT(TH!M4093,2)="15"),TK!$E$7=TH!F4093),"x","")</f>
        <v/>
      </c>
      <c r="Z4093" s="52" t="str">
        <f>IF(AND(B4093&lt;=NKC!$N$8,B4093&gt;=NKC!$M$8),"x","")</f>
        <v/>
      </c>
      <c r="AA4093" s="826"/>
    </row>
    <row r="4094" spans="1:27" ht="15.75" customHeight="1">
      <c r="A4094" s="827" t="str">
        <f>IF(B4094&lt;&gt;"",IF(AND(B4094&gt;=_TM1,B4094&lt;=_TM2,OR(TH!L4094="1111",TH!M4094="1111")),TH!D4094,""),"")</f>
        <v/>
      </c>
      <c r="B4094" s="36" t="str">
        <f t="shared" si="518"/>
        <v/>
      </c>
      <c r="C4094" s="190"/>
      <c r="D4094" s="37"/>
      <c r="E4094" s="740"/>
      <c r="F4094" s="191"/>
      <c r="G4094" s="833"/>
      <c r="H4094" s="192"/>
      <c r="I4094" s="253"/>
      <c r="J4094" s="253"/>
      <c r="K4094" s="584"/>
      <c r="L4094" s="39"/>
      <c r="M4094" s="39"/>
      <c r="N4094" s="52" t="str">
        <f>IF(AND('331-CT'!$E$7=TH!H4094,OR(L4094="331",M4094="331")),"331",IF(AND(OR(L4094="131",M4094="131"),H4094='131-CT'!$E$7),"131",""))</f>
        <v/>
      </c>
      <c r="O4094" s="52" t="str">
        <f>IF(AND($B4094&gt;='111'!$N$11,$B4094&lt;='111'!$O$11,OR($L4094=$O$7,$M4094=$O$7)),"x","")</f>
        <v/>
      </c>
      <c r="P4094" s="52" t="str">
        <f>IF(AND($L4094=$O$7,$B4094&lt;'111'!$N$11),"x","")</f>
        <v/>
      </c>
      <c r="Q4094" s="52" t="str">
        <f>IF(AND($M4094=$O$7,$B4094&lt;'111'!$N$11),"x","")</f>
        <v/>
      </c>
      <c r="R4094" s="52" t="str">
        <f>IF(ISERROR(FIND('112'!$M$9,G4094,1)),"",IF((AND(FIND('112'!$M$9,G4094,1)&gt;=1,$B4094&gt;='112'!$N$8,$B4094&lt;='112'!$O$8,OR($L4094='112'!$I$6,$M4094='112'!$I$6))),"x",""))</f>
        <v/>
      </c>
      <c r="S4094" s="52" t="str">
        <f>IF(ISERROR(FIND('112'!$M$9,G4094,1)),"",IF((AND(LEFT(G4094,2)=LEFT('112'!$M$9,2),B4094&lt;'112'!$N$8,$L4094='112'!$I$6)),"x",""))</f>
        <v/>
      </c>
      <c r="T4094" s="52" t="str">
        <f>IF(ISERROR(FIND('112'!$M$9,G4094,1)),"",IF((AND(RIGHT(G4094,2)=RIGHT('112'!$M$9,2),B4094&lt;'112'!$N$8,$M4094='112'!$I$6)),"x",""))</f>
        <v/>
      </c>
      <c r="U4094" s="52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/>
      </c>
      <c r="V4094" s="52" t="str">
        <f>IF(OR(TH!L4094=TH!$V$7,M4094=TH!$V$7),"x","")</f>
        <v/>
      </c>
      <c r="W4094" s="52" t="str">
        <f>IF(AND(B4094&gt;='IN-NX'!$P$3,B4094&lt;='IN-NX'!$Q$3,'IN-NX'!$D$7=D4094,OR(LEFT(L4094,2)="15",AND(LEFT(M4094,2)&lt;&gt;"15",LEFT(M4094,2)&lt;&gt;"33"))),"x","")</f>
        <v/>
      </c>
      <c r="X4094" s="52" t="str">
        <f>IF(AND(OR(LEFT(TH!L4094,2)="15",LEFT(TH!M4094,2)="15"),'152-CT'!$J$8=TH!F4094),"x","")</f>
        <v/>
      </c>
      <c r="Y4094" s="52" t="str">
        <f>IF(AND(OR(LEFT(TH!L4094,2)="15",LEFT(TH!M4094,2)="15"),TK!$E$7=TH!F4094),"x","")</f>
        <v/>
      </c>
      <c r="Z4094" s="52" t="str">
        <f>IF(AND(B4094&lt;=NKC!$N$8,B4094&gt;=NKC!$M$8),"x","")</f>
        <v/>
      </c>
      <c r="AA4094" s="826"/>
    </row>
    <row r="4095" spans="1:27" ht="15.75" customHeight="1">
      <c r="A4095" s="827" t="str">
        <f>IF(B4095&lt;&gt;"",IF(AND(B4095&gt;=_TM1,B4095&lt;=_TM2,OR(TH!L4095="1111",TH!M4095="1111")),TH!D4095,""),"")</f>
        <v/>
      </c>
      <c r="B4095" s="36" t="str">
        <f t="shared" si="518"/>
        <v/>
      </c>
      <c r="C4095" s="190"/>
      <c r="D4095" s="37"/>
      <c r="E4095" s="740"/>
      <c r="F4095" s="191"/>
      <c r="G4095" s="833"/>
      <c r="H4095" s="192"/>
      <c r="I4095" s="253"/>
      <c r="J4095" s="253"/>
      <c r="K4095" s="584"/>
      <c r="L4095" s="39"/>
      <c r="M4095" s="39"/>
      <c r="N4095" s="52" t="str">
        <f>IF(AND('331-CT'!$E$7=TH!H4095,OR(L4095="331",M4095="331")),"331",IF(AND(OR(L4095="131",M4095="131"),H4095='131-CT'!$E$7),"131",""))</f>
        <v/>
      </c>
      <c r="O4095" s="52" t="str">
        <f>IF(AND($B4095&gt;='111'!$N$11,$B4095&lt;='111'!$O$11,OR($L4095=$O$7,$M4095=$O$7)),"x","")</f>
        <v/>
      </c>
      <c r="P4095" s="52" t="str">
        <f>IF(AND($L4095=$O$7,$B4095&lt;'111'!$N$11),"x","")</f>
        <v/>
      </c>
      <c r="Q4095" s="52" t="str">
        <f>IF(AND($M4095=$O$7,$B4095&lt;'111'!$N$11),"x","")</f>
        <v/>
      </c>
      <c r="R4095" s="52" t="str">
        <f>IF(ISERROR(FIND('112'!$M$9,G4095,1)),"",IF((AND(FIND('112'!$M$9,G4095,1)&gt;=1,$B4095&gt;='112'!$N$8,$B4095&lt;='112'!$O$8,OR($L4095='112'!$I$6,$M4095='112'!$I$6))),"x",""))</f>
        <v/>
      </c>
      <c r="S4095" s="52" t="str">
        <f>IF(ISERROR(FIND('112'!$M$9,G4095,1)),"",IF((AND(LEFT(G4095,2)=LEFT('112'!$M$9,2),B4095&lt;'112'!$N$8,$L4095='112'!$I$6)),"x",""))</f>
        <v/>
      </c>
      <c r="T4095" s="52" t="str">
        <f>IF(ISERROR(FIND('112'!$M$9,G4095,1)),"",IF((AND(RIGHT(G4095,2)=RIGHT('112'!$M$9,2),B4095&lt;'112'!$N$8,$M4095='112'!$I$6)),"x",""))</f>
        <v/>
      </c>
      <c r="U4095" s="52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/>
      </c>
      <c r="V4095" s="52" t="str">
        <f>IF(OR(TH!L4095=TH!$V$7,M4095=TH!$V$7),"x","")</f>
        <v/>
      </c>
      <c r="W4095" s="52" t="str">
        <f>IF(AND(B4095&gt;='IN-NX'!$P$3,B4095&lt;='IN-NX'!$Q$3,'IN-NX'!$D$7=D4095,OR(LEFT(L4095,2)="15",AND(LEFT(M4095,2)&lt;&gt;"15",LEFT(M4095,2)&lt;&gt;"33"))),"x","")</f>
        <v/>
      </c>
      <c r="X4095" s="52" t="str">
        <f>IF(AND(OR(LEFT(TH!L4095,2)="15",LEFT(TH!M4095,2)="15"),'152-CT'!$J$8=TH!F4095),"x","")</f>
        <v/>
      </c>
      <c r="Y4095" s="52" t="str">
        <f>IF(AND(OR(LEFT(TH!L4095,2)="15",LEFT(TH!M4095,2)="15"),TK!$E$7=TH!F4095),"x","")</f>
        <v/>
      </c>
      <c r="Z4095" s="52" t="str">
        <f>IF(AND(B4095&lt;=NKC!$N$8,B4095&gt;=NKC!$M$8),"x","")</f>
        <v/>
      </c>
      <c r="AA4095" s="826"/>
    </row>
    <row r="4096" spans="1:27" ht="15.75" customHeight="1">
      <c r="A4096" s="827" t="str">
        <f>IF(B4096&lt;&gt;"",IF(AND(B4096&gt;=_TM1,B4096&lt;=_TM2,OR(TH!L4096="1111",TH!M4096="1111")),TH!D4096,""),"")</f>
        <v/>
      </c>
      <c r="B4096" s="36" t="str">
        <f t="shared" si="518"/>
        <v/>
      </c>
      <c r="C4096" s="190"/>
      <c r="D4096" s="37"/>
      <c r="E4096" s="740"/>
      <c r="F4096" s="191"/>
      <c r="G4096" s="833"/>
      <c r="H4096" s="192"/>
      <c r="I4096" s="253"/>
      <c r="J4096" s="253"/>
      <c r="K4096" s="584"/>
      <c r="L4096" s="39"/>
      <c r="M4096" s="39"/>
      <c r="N4096" s="52" t="str">
        <f>IF(AND('331-CT'!$E$7=TH!H4096,OR(L4096="331",M4096="331")),"331",IF(AND(OR(L4096="131",M4096="131"),H4096='131-CT'!$E$7),"131",""))</f>
        <v/>
      </c>
      <c r="O4096" s="52" t="str">
        <f>IF(AND($B4096&gt;='111'!$N$11,$B4096&lt;='111'!$O$11,OR($L4096=$O$7,$M4096=$O$7)),"x","")</f>
        <v/>
      </c>
      <c r="P4096" s="52" t="str">
        <f>IF(AND($L4096=$O$7,$B4096&lt;'111'!$N$11),"x","")</f>
        <v/>
      </c>
      <c r="Q4096" s="52" t="str">
        <f>IF(AND($M4096=$O$7,$B4096&lt;'111'!$N$11),"x","")</f>
        <v/>
      </c>
      <c r="R4096" s="52" t="str">
        <f>IF(ISERROR(FIND('112'!$M$9,G4096,1)),"",IF((AND(FIND('112'!$M$9,G4096,1)&gt;=1,$B4096&gt;='112'!$N$8,$B4096&lt;='112'!$O$8,OR($L4096='112'!$I$6,$M4096='112'!$I$6))),"x",""))</f>
        <v/>
      </c>
      <c r="S4096" s="52" t="str">
        <f>IF(ISERROR(FIND('112'!$M$9,G4096,1)),"",IF((AND(LEFT(G4096,2)=LEFT('112'!$M$9,2),B4096&lt;'112'!$N$8,$L4096='112'!$I$6)),"x",""))</f>
        <v/>
      </c>
      <c r="T4096" s="52" t="str">
        <f>IF(ISERROR(FIND('112'!$M$9,G4096,1)),"",IF((AND(RIGHT(G4096,2)=RIGHT('112'!$M$9,2),B4096&lt;'112'!$N$8,$M4096='112'!$I$6)),"x",""))</f>
        <v/>
      </c>
      <c r="U4096" s="52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/>
      </c>
      <c r="V4096" s="52" t="str">
        <f>IF(OR(TH!L4096=TH!$V$7,M4096=TH!$V$7),"x","")</f>
        <v/>
      </c>
      <c r="W4096" s="52" t="str">
        <f>IF(AND(B4096&gt;='IN-NX'!$P$3,B4096&lt;='IN-NX'!$Q$3,'IN-NX'!$D$7=D4096,OR(LEFT(L4096,2)="15",AND(LEFT(M4096,2)&lt;&gt;"15",LEFT(M4096,2)&lt;&gt;"33"))),"x","")</f>
        <v/>
      </c>
      <c r="X4096" s="52" t="str">
        <f>IF(AND(OR(LEFT(TH!L4096,2)="15",LEFT(TH!M4096,2)="15"),'152-CT'!$J$8=TH!F4096),"x","")</f>
        <v/>
      </c>
      <c r="Y4096" s="52" t="str">
        <f>IF(AND(OR(LEFT(TH!L4096,2)="15",LEFT(TH!M4096,2)="15"),TK!$E$7=TH!F4096),"x","")</f>
        <v/>
      </c>
      <c r="Z4096" s="52" t="str">
        <f>IF(AND(B4096&lt;=NKC!$N$8,B4096&gt;=NKC!$M$8),"x","")</f>
        <v/>
      </c>
      <c r="AA4096" s="826"/>
    </row>
    <row r="4097" spans="1:27" ht="15.75" customHeight="1">
      <c r="A4097" s="827" t="str">
        <f>IF(B4097&lt;&gt;"",IF(AND(B4097&gt;=_TM1,B4097&lt;=_TM2,OR(TH!L4097="1111",TH!M4097="1111")),TH!D4097,""),"")</f>
        <v/>
      </c>
      <c r="B4097" s="36" t="str">
        <f t="shared" si="518"/>
        <v/>
      </c>
      <c r="C4097" s="190"/>
      <c r="D4097" s="37"/>
      <c r="E4097" s="740"/>
      <c r="F4097" s="191"/>
      <c r="G4097" s="833"/>
      <c r="H4097" s="7"/>
      <c r="I4097" s="253"/>
      <c r="J4097" s="253"/>
      <c r="K4097" s="584"/>
      <c r="L4097" s="39"/>
      <c r="M4097" s="39"/>
      <c r="N4097" s="52" t="str">
        <f>IF(AND('331-CT'!$E$7=TH!H4097,OR(L4097="331",M4097="331")),"331",IF(AND(OR(L4097="131",M4097="131"),H4097='131-CT'!$E$7),"131",""))</f>
        <v/>
      </c>
      <c r="O4097" s="52" t="str">
        <f>IF(AND($B4097&gt;='111'!$N$11,$B4097&lt;='111'!$O$11,OR($L4097=$O$7,$M4097=$O$7)),"x","")</f>
        <v/>
      </c>
      <c r="P4097" s="52" t="str">
        <f>IF(AND($L4097=$O$7,$B4097&lt;'111'!$N$11),"x","")</f>
        <v/>
      </c>
      <c r="Q4097" s="52" t="str">
        <f>IF(AND($M4097=$O$7,$B4097&lt;'111'!$N$11),"x","")</f>
        <v/>
      </c>
      <c r="R4097" s="52" t="str">
        <f>IF(ISERROR(FIND('112'!$M$9,G4097,1)),"",IF((AND(FIND('112'!$M$9,G4097,1)&gt;=1,$B4097&gt;='112'!$N$8,$B4097&lt;='112'!$O$8,OR($L4097='112'!$I$6,$M4097='112'!$I$6))),"x",""))</f>
        <v/>
      </c>
      <c r="S4097" s="52" t="str">
        <f>IF(ISERROR(FIND('112'!$M$9,G4097,1)),"",IF((AND(LEFT(G4097,2)=LEFT('112'!$M$9,2),B4097&lt;'112'!$N$8,$L4097='112'!$I$6)),"x",""))</f>
        <v/>
      </c>
      <c r="T4097" s="52" t="str">
        <f>IF(ISERROR(FIND('112'!$M$9,G4097,1)),"",IF((AND(RIGHT(G4097,2)=RIGHT('112'!$M$9,2),B4097&lt;'112'!$N$8,$M4097='112'!$I$6)),"x",""))</f>
        <v/>
      </c>
      <c r="U4097" s="52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/>
      </c>
      <c r="V4097" s="52" t="str">
        <f>IF(OR(TH!L4097=TH!$V$7,M4097=TH!$V$7),"x","")</f>
        <v/>
      </c>
      <c r="W4097" s="52" t="str">
        <f>IF(AND(B4097&gt;='IN-NX'!$P$3,B4097&lt;='IN-NX'!$Q$3,'IN-NX'!$D$7=D4097,OR(LEFT(L4097,2)="15",AND(LEFT(M4097,2)&lt;&gt;"15",LEFT(M4097,2)&lt;&gt;"33"))),"x","")</f>
        <v/>
      </c>
      <c r="X4097" s="52" t="str">
        <f>IF(AND(OR(LEFT(TH!L4097,2)="15",LEFT(TH!M4097,2)="15"),'152-CT'!$J$8=TH!F4097),"x","")</f>
        <v/>
      </c>
      <c r="Y4097" s="52" t="str">
        <f>IF(AND(OR(LEFT(TH!L4097,2)="15",LEFT(TH!M4097,2)="15"),TK!$E$7=TH!F4097),"x","")</f>
        <v/>
      </c>
      <c r="Z4097" s="52" t="str">
        <f>IF(AND(B4097&lt;=NKC!$N$8,B4097&gt;=NKC!$M$8),"x","")</f>
        <v/>
      </c>
      <c r="AA4097" s="826"/>
    </row>
    <row r="4098" spans="1:27" ht="15.75" customHeight="1">
      <c r="A4098" s="827" t="str">
        <f>IF(B4098&lt;&gt;"",IF(AND(B4098&gt;=_TM1,B4098&lt;=_TM2,OR(TH!L4098="1111",TH!M4098="1111")),TH!D4098,""),"")</f>
        <v/>
      </c>
      <c r="B4098" s="36" t="str">
        <f t="shared" si="518"/>
        <v/>
      </c>
      <c r="C4098" s="190"/>
      <c r="D4098" s="37"/>
      <c r="E4098" s="740"/>
      <c r="F4098" s="191"/>
      <c r="G4098" s="833"/>
      <c r="H4098" s="7"/>
      <c r="I4098" s="253"/>
      <c r="J4098" s="253"/>
      <c r="K4098" s="584"/>
      <c r="L4098" s="39"/>
      <c r="M4098" s="39"/>
      <c r="N4098" s="52" t="str">
        <f>IF(AND('331-CT'!$E$7=TH!H4098,OR(L4098="331",M4098="331")),"331",IF(AND(OR(L4098="131",M4098="131"),H4098='131-CT'!$E$7),"131",""))</f>
        <v/>
      </c>
      <c r="O4098" s="52" t="str">
        <f>IF(AND($B4098&gt;='111'!$N$11,$B4098&lt;='111'!$O$11,OR($L4098=$O$7,$M4098=$O$7)),"x","")</f>
        <v/>
      </c>
      <c r="P4098" s="52" t="str">
        <f>IF(AND($L4098=$O$7,$B4098&lt;'111'!$N$11),"x","")</f>
        <v/>
      </c>
      <c r="Q4098" s="52" t="str">
        <f>IF(AND($M4098=$O$7,$B4098&lt;'111'!$N$11),"x","")</f>
        <v/>
      </c>
      <c r="R4098" s="52" t="str">
        <f>IF(ISERROR(FIND('112'!$M$9,G4098,1)),"",IF((AND(FIND('112'!$M$9,G4098,1)&gt;=1,$B4098&gt;='112'!$N$8,$B4098&lt;='112'!$O$8,OR($L4098='112'!$I$6,$M4098='112'!$I$6))),"x",""))</f>
        <v/>
      </c>
      <c r="S4098" s="52" t="str">
        <f>IF(ISERROR(FIND('112'!$M$9,G4098,1)),"",IF((AND(LEFT(G4098,2)=LEFT('112'!$M$9,2),B4098&lt;'112'!$N$8,$L4098='112'!$I$6)),"x",""))</f>
        <v/>
      </c>
      <c r="T4098" s="52" t="str">
        <f>IF(ISERROR(FIND('112'!$M$9,G4098,1)),"",IF((AND(RIGHT(G4098,2)=RIGHT('112'!$M$9,2),B4098&lt;'112'!$N$8,$M4098='112'!$I$6)),"x",""))</f>
        <v/>
      </c>
      <c r="U4098" s="52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/>
      </c>
      <c r="V4098" s="52" t="str">
        <f>IF(OR(TH!L4098=TH!$V$7,M4098=TH!$V$7),"x","")</f>
        <v/>
      </c>
      <c r="W4098" s="52" t="str">
        <f>IF(AND(B4098&gt;='IN-NX'!$P$3,B4098&lt;='IN-NX'!$Q$3,'IN-NX'!$D$7=D4098,OR(LEFT(L4098,2)="15",AND(LEFT(M4098,2)&lt;&gt;"15",LEFT(M4098,2)&lt;&gt;"33"))),"x","")</f>
        <v/>
      </c>
      <c r="X4098" s="52" t="str">
        <f>IF(AND(OR(LEFT(TH!L4098,2)="15",LEFT(TH!M4098,2)="15"),'152-CT'!$J$8=TH!F4098),"x","")</f>
        <v/>
      </c>
      <c r="Y4098" s="52" t="str">
        <f>IF(AND(OR(LEFT(TH!L4098,2)="15",LEFT(TH!M4098,2)="15"),TK!$E$7=TH!F4098),"x","")</f>
        <v/>
      </c>
      <c r="Z4098" s="52" t="str">
        <f>IF(AND(B4098&lt;=NKC!$N$8,B4098&gt;=NKC!$M$8),"x","")</f>
        <v/>
      </c>
      <c r="AA4098" s="826"/>
    </row>
    <row r="4099" spans="1:27" ht="15.75" customHeight="1">
      <c r="A4099" s="827" t="str">
        <f>IF(B4099&lt;&gt;"",IF(AND(B4099&gt;=_TM1,B4099&lt;=_TM2,OR(TH!L4099="1111",TH!M4099="1111")),TH!D4099,""),"")</f>
        <v/>
      </c>
      <c r="B4099" s="36" t="str">
        <f t="shared" si="518"/>
        <v/>
      </c>
      <c r="C4099" s="183"/>
      <c r="D4099" s="183"/>
      <c r="E4099" s="792"/>
      <c r="F4099" s="188"/>
      <c r="G4099" s="835"/>
      <c r="H4099" s="763"/>
      <c r="I4099" s="253"/>
      <c r="J4099" s="253"/>
      <c r="K4099" s="584"/>
      <c r="L4099" s="585"/>
      <c r="M4099" s="585"/>
      <c r="N4099" s="52" t="str">
        <f>IF(AND('331-CT'!$E$7=TH!H4099,OR(L4099="331",M4099="331")),"331",IF(AND(OR(L4099="131",M4099="131"),H4099='131-CT'!$E$7),"131",""))</f>
        <v/>
      </c>
      <c r="O4099" s="52" t="str">
        <f>IF(AND($B4099&gt;='111'!$N$11,$B4099&lt;='111'!$O$11,OR($L4099=$O$7,$M4099=$O$7)),"x","")</f>
        <v/>
      </c>
      <c r="P4099" s="52" t="str">
        <f>IF(AND($L4099=$O$7,$B4099&lt;'111'!$N$11),"x","")</f>
        <v/>
      </c>
      <c r="Q4099" s="52" t="str">
        <f>IF(AND($M4099=$O$7,$B4099&lt;'111'!$N$11),"x","")</f>
        <v/>
      </c>
      <c r="R4099" s="52" t="str">
        <f>IF(ISERROR(FIND('112'!$M$9,G4099,1)),"",IF((AND(FIND('112'!$M$9,G4099,1)&gt;=1,$B4099&gt;='112'!$N$8,$B4099&lt;='112'!$O$8,OR($L4099='112'!$I$6,$M4099='112'!$I$6))),"x",""))</f>
        <v/>
      </c>
      <c r="S4099" s="52" t="str">
        <f>IF(ISERROR(FIND('112'!$M$9,G4099,1)),"",IF((AND(LEFT(G4099,2)=LEFT('112'!$M$9,2),B4099&lt;'112'!$N$8,$L4099='112'!$I$6)),"x",""))</f>
        <v/>
      </c>
      <c r="T4099" s="52" t="str">
        <f>IF(ISERROR(FIND('112'!$M$9,G4099,1)),"",IF((AND(RIGHT(G4099,2)=RIGHT('112'!$M$9,2),B4099&lt;'112'!$N$8,$M4099='112'!$I$6)),"x",""))</f>
        <v/>
      </c>
      <c r="U4099" s="52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/>
      </c>
      <c r="V4099" s="52" t="str">
        <f>IF(OR(TH!L4099=TH!$V$7,M4099=TH!$V$7),"x","")</f>
        <v/>
      </c>
      <c r="W4099" s="52" t="str">
        <f>IF(AND(B4099&gt;='IN-NX'!$P$3,B4099&lt;='IN-NX'!$Q$3,'IN-NX'!$D$7=D4099,OR(LEFT(L4099,2)="15",AND(LEFT(M4099,2)&lt;&gt;"15",LEFT(M4099,2)&lt;&gt;"33"))),"x","")</f>
        <v/>
      </c>
      <c r="X4099" s="52" t="str">
        <f>IF(AND(OR(LEFT(TH!L4099,2)="15",LEFT(TH!M4099,2)="15"),'152-CT'!$J$8=TH!F4099),"x","")</f>
        <v/>
      </c>
      <c r="Y4099" s="52" t="str">
        <f>IF(AND(OR(LEFT(TH!L4099,2)="15",LEFT(TH!M4099,2)="15"),TK!$E$7=TH!F4099),"x","")</f>
        <v/>
      </c>
      <c r="Z4099" s="52" t="str">
        <f>IF(AND(B4099&lt;=NKC!$N$8,B4099&gt;=NKC!$M$8),"x","")</f>
        <v/>
      </c>
      <c r="AA4099" s="826"/>
    </row>
    <row r="4100" spans="1:27" ht="15.75" customHeight="1">
      <c r="A4100" s="827" t="str">
        <f>IF(B4100&lt;&gt;"",IF(AND(B4100&gt;=_TM1,B4100&lt;=_TM2,OR(TH!L4100="1111",TH!M4100="1111")),TH!D4100,""),"")</f>
        <v/>
      </c>
      <c r="B4100" s="36" t="str">
        <f t="shared" si="518"/>
        <v/>
      </c>
      <c r="C4100" s="190"/>
      <c r="D4100" s="190"/>
      <c r="E4100" s="785"/>
      <c r="F4100" s="188"/>
      <c r="G4100" s="832"/>
      <c r="H4100" s="7"/>
      <c r="I4100" s="253"/>
      <c r="J4100" s="253"/>
      <c r="K4100" s="584"/>
      <c r="L4100" s="39"/>
      <c r="M4100" s="39"/>
      <c r="N4100" s="52" t="str">
        <f>IF(AND('331-CT'!$E$7=TH!H4100,OR(L4100="331",M4100="331")),"331",IF(AND(OR(L4100="131",M4100="131"),H4100='131-CT'!$E$7),"131",""))</f>
        <v/>
      </c>
      <c r="O4100" s="52" t="str">
        <f>IF(AND($B4100&gt;='111'!$N$11,$B4100&lt;='111'!$O$11,OR($L4100=$O$7,$M4100=$O$7)),"x","")</f>
        <v/>
      </c>
      <c r="P4100" s="52" t="str">
        <f>IF(AND($L4100=$O$7,$B4100&lt;'111'!$N$11),"x","")</f>
        <v/>
      </c>
      <c r="Q4100" s="52" t="str">
        <f>IF(AND($M4100=$O$7,$B4100&lt;'111'!$N$11),"x","")</f>
        <v/>
      </c>
      <c r="R4100" s="52" t="str">
        <f>IF(ISERROR(FIND('112'!$M$9,G4100,1)),"",IF((AND(FIND('112'!$M$9,G4100,1)&gt;=1,$B4100&gt;='112'!$N$8,$B4100&lt;='112'!$O$8,OR($L4100='112'!$I$6,$M4100='112'!$I$6))),"x",""))</f>
        <v/>
      </c>
      <c r="S4100" s="52" t="str">
        <f>IF(ISERROR(FIND('112'!$M$9,G4100,1)),"",IF((AND(LEFT(G4100,2)=LEFT('112'!$M$9,2),B4100&lt;'112'!$N$8,$L4100='112'!$I$6)),"x",""))</f>
        <v/>
      </c>
      <c r="T4100" s="52" t="str">
        <f>IF(ISERROR(FIND('112'!$M$9,G4100,1)),"",IF((AND(RIGHT(G4100,2)=RIGHT('112'!$M$9,2),B4100&lt;'112'!$N$8,$M4100='112'!$I$6)),"x",""))</f>
        <v/>
      </c>
      <c r="U4100" s="52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/>
      </c>
      <c r="V4100" s="52" t="str">
        <f>IF(OR(TH!L4100=TH!$V$7,M4100=TH!$V$7),"x","")</f>
        <v/>
      </c>
      <c r="W4100" s="52" t="str">
        <f>IF(AND(B4100&gt;='IN-NX'!$P$3,B4100&lt;='IN-NX'!$Q$3,'IN-NX'!$D$7=D4100,OR(LEFT(L4100,2)="15",AND(LEFT(M4100,2)&lt;&gt;"15",LEFT(M4100,2)&lt;&gt;"33"))),"x","")</f>
        <v/>
      </c>
      <c r="X4100" s="52" t="str">
        <f>IF(AND(OR(LEFT(TH!L4100,2)="15",LEFT(TH!M4100,2)="15"),'152-CT'!$J$8=TH!F4100),"x","")</f>
        <v/>
      </c>
      <c r="Y4100" s="52" t="str">
        <f>IF(AND(OR(LEFT(TH!L4100,2)="15",LEFT(TH!M4100,2)="15"),TK!$E$7=TH!F4100),"x","")</f>
        <v/>
      </c>
      <c r="Z4100" s="52" t="str">
        <f>IF(AND(B4100&lt;=NKC!$N$8,B4100&gt;=NKC!$M$8),"x","")</f>
        <v/>
      </c>
      <c r="AA4100" s="826"/>
    </row>
    <row r="4101" spans="1:27" ht="15.75" customHeight="1">
      <c r="A4101" s="827" t="str">
        <f>IF(B4101&lt;&gt;"",IF(AND(B4101&gt;=_TM1,B4101&lt;=_TM2,OR(TH!L4101="1111",TH!M4101="1111")),TH!D4101,""),"")</f>
        <v/>
      </c>
      <c r="B4101" s="36" t="str">
        <f t="shared" si="518"/>
        <v/>
      </c>
      <c r="C4101" s="190"/>
      <c r="D4101" s="190"/>
      <c r="E4101" s="785"/>
      <c r="F4101" s="40"/>
      <c r="G4101" s="832"/>
      <c r="H4101" s="7"/>
      <c r="I4101" s="253"/>
      <c r="J4101" s="253"/>
      <c r="K4101" s="584"/>
      <c r="L4101" s="39"/>
      <c r="M4101" s="39"/>
      <c r="N4101" s="52" t="str">
        <f>IF(AND('331-CT'!$E$7=TH!H4101,OR(L4101="331",M4101="331")),"331",IF(AND(OR(L4101="131",M4101="131"),H4101='131-CT'!$E$7),"131",""))</f>
        <v/>
      </c>
      <c r="O4101" s="52" t="str">
        <f>IF(AND($B4101&gt;='111'!$N$11,$B4101&lt;='111'!$O$11,OR($L4101=$O$7,$M4101=$O$7)),"x","")</f>
        <v/>
      </c>
      <c r="P4101" s="52" t="str">
        <f>IF(AND($L4101=$O$7,$B4101&lt;'111'!$N$11),"x","")</f>
        <v/>
      </c>
      <c r="Q4101" s="52" t="str">
        <f>IF(AND($M4101=$O$7,$B4101&lt;'111'!$N$11),"x","")</f>
        <v/>
      </c>
      <c r="R4101" s="52" t="str">
        <f>IF(ISERROR(FIND('112'!$M$9,G4101,1)),"",IF((AND(FIND('112'!$M$9,G4101,1)&gt;=1,$B4101&gt;='112'!$N$8,$B4101&lt;='112'!$O$8,OR($L4101='112'!$I$6,$M4101='112'!$I$6))),"x",""))</f>
        <v/>
      </c>
      <c r="S4101" s="52" t="str">
        <f>IF(ISERROR(FIND('112'!$M$9,G4101,1)),"",IF((AND(LEFT(G4101,2)=LEFT('112'!$M$9,2),B4101&lt;'112'!$N$8,$L4101='112'!$I$6)),"x",""))</f>
        <v/>
      </c>
      <c r="T4101" s="52" t="str">
        <f>IF(ISERROR(FIND('112'!$M$9,G4101,1)),"",IF((AND(RIGHT(G4101,2)=RIGHT('112'!$M$9,2),B4101&lt;'112'!$N$8,$M4101='112'!$I$6)),"x",""))</f>
        <v/>
      </c>
      <c r="U4101" s="52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/>
      </c>
      <c r="V4101" s="52" t="str">
        <f>IF(OR(TH!L4101=TH!$V$7,M4101=TH!$V$7),"x","")</f>
        <v/>
      </c>
      <c r="W4101" s="52" t="str">
        <f>IF(AND(B4101&gt;='IN-NX'!$P$3,B4101&lt;='IN-NX'!$Q$3,'IN-NX'!$D$7=D4101,OR(LEFT(L4101,2)="15",AND(LEFT(M4101,2)&lt;&gt;"15",LEFT(M4101,2)&lt;&gt;"33"))),"x","")</f>
        <v/>
      </c>
      <c r="X4101" s="52" t="str">
        <f>IF(AND(OR(LEFT(TH!L4101,2)="15",LEFT(TH!M4101,2)="15"),'152-CT'!$J$8=TH!F4101),"x","")</f>
        <v/>
      </c>
      <c r="Y4101" s="52" t="str">
        <f>IF(AND(OR(LEFT(TH!L4101,2)="15",LEFT(TH!M4101,2)="15"),TK!$E$7=TH!F4101),"x","")</f>
        <v/>
      </c>
      <c r="Z4101" s="52" t="str">
        <f>IF(AND(B4101&lt;=NKC!$N$8,B4101&gt;=NKC!$M$8),"x","")</f>
        <v/>
      </c>
      <c r="AA4101" s="826"/>
    </row>
    <row r="4102" spans="1:27" ht="15.75" customHeight="1">
      <c r="A4102" s="827" t="str">
        <f>IF(B4102&lt;&gt;"",IF(AND(B4102&gt;=_TM1,B4102&lt;=_TM2,OR(TH!L4102="1111",TH!M4102="1111")),TH!D4102,""),"")</f>
        <v/>
      </c>
      <c r="B4102" s="36" t="str">
        <f t="shared" si="518"/>
        <v/>
      </c>
      <c r="C4102" s="190"/>
      <c r="D4102" s="190"/>
      <c r="E4102" s="785"/>
      <c r="F4102" s="188"/>
      <c r="G4102" s="832"/>
      <c r="H4102" s="7"/>
      <c r="I4102" s="253"/>
      <c r="J4102" s="253"/>
      <c r="K4102" s="584"/>
      <c r="L4102" s="39"/>
      <c r="M4102" s="39"/>
      <c r="N4102" s="52" t="str">
        <f>IF(AND('331-CT'!$E$7=TH!H4102,OR(L4102="331",M4102="331")),"331",IF(AND(OR(L4102="131",M4102="131"),H4102='131-CT'!$E$7),"131",""))</f>
        <v/>
      </c>
      <c r="O4102" s="52" t="str">
        <f>IF(AND($B4102&gt;='111'!$N$11,$B4102&lt;='111'!$O$11,OR($L4102=$O$7,$M4102=$O$7)),"x","")</f>
        <v/>
      </c>
      <c r="P4102" s="52" t="str">
        <f>IF(AND($L4102=$O$7,$B4102&lt;'111'!$N$11),"x","")</f>
        <v/>
      </c>
      <c r="Q4102" s="52" t="str">
        <f>IF(AND($M4102=$O$7,$B4102&lt;'111'!$N$11),"x","")</f>
        <v/>
      </c>
      <c r="R4102" s="52" t="str">
        <f>IF(ISERROR(FIND('112'!$M$9,G4102,1)),"",IF((AND(FIND('112'!$M$9,G4102,1)&gt;=1,$B4102&gt;='112'!$N$8,$B4102&lt;='112'!$O$8,OR($L4102='112'!$I$6,$M4102='112'!$I$6))),"x",""))</f>
        <v/>
      </c>
      <c r="S4102" s="52" t="str">
        <f>IF(ISERROR(FIND('112'!$M$9,G4102,1)),"",IF((AND(LEFT(G4102,2)=LEFT('112'!$M$9,2),B4102&lt;'112'!$N$8,$L4102='112'!$I$6)),"x",""))</f>
        <v/>
      </c>
      <c r="T4102" s="52" t="str">
        <f>IF(ISERROR(FIND('112'!$M$9,G4102,1)),"",IF((AND(RIGHT(G4102,2)=RIGHT('112'!$M$9,2),B4102&lt;'112'!$N$8,$M4102='112'!$I$6)),"x",""))</f>
        <v/>
      </c>
      <c r="U4102" s="52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/>
      </c>
      <c r="V4102" s="52" t="str">
        <f>IF(OR(TH!L4102=TH!$V$7,M4102=TH!$V$7),"x","")</f>
        <v/>
      </c>
      <c r="W4102" s="52" t="str">
        <f>IF(AND(B4102&gt;='IN-NX'!$P$3,B4102&lt;='IN-NX'!$Q$3,'IN-NX'!$D$7=D4102,OR(LEFT(L4102,2)="15",AND(LEFT(M4102,2)&lt;&gt;"15",LEFT(M4102,2)&lt;&gt;"33"))),"x","")</f>
        <v/>
      </c>
      <c r="X4102" s="52" t="str">
        <f>IF(AND(OR(LEFT(TH!L4102,2)="15",LEFT(TH!M4102,2)="15"),'152-CT'!$J$8=TH!F4102),"x","")</f>
        <v/>
      </c>
      <c r="Y4102" s="52" t="str">
        <f>IF(AND(OR(LEFT(TH!L4102,2)="15",LEFT(TH!M4102,2)="15"),TK!$E$7=TH!F4102),"x","")</f>
        <v/>
      </c>
      <c r="Z4102" s="52" t="str">
        <f>IF(AND(B4102&lt;=NKC!$N$8,B4102&gt;=NKC!$M$8),"x","")</f>
        <v/>
      </c>
      <c r="AA4102" s="826"/>
    </row>
    <row r="4103" spans="1:27" ht="15.75" customHeight="1">
      <c r="A4103" s="827" t="str">
        <f>IF(B4103&lt;&gt;"",IF(AND(B4103&gt;=_TM1,B4103&lt;=_TM2,OR(TH!L4103="1111",TH!M4103="1111")),TH!D4103,""),"")</f>
        <v/>
      </c>
      <c r="B4103" s="36" t="str">
        <f t="shared" si="518"/>
        <v/>
      </c>
      <c r="C4103" s="190"/>
      <c r="D4103" s="190"/>
      <c r="E4103" s="785"/>
      <c r="F4103" s="40"/>
      <c r="G4103" s="832"/>
      <c r="H4103" s="7"/>
      <c r="I4103" s="253"/>
      <c r="J4103" s="253"/>
      <c r="K4103" s="584"/>
      <c r="L4103" s="39"/>
      <c r="M4103" s="39"/>
      <c r="N4103" s="52" t="str">
        <f>IF(AND('331-CT'!$E$7=TH!H4103,OR(L4103="331",M4103="331")),"331",IF(AND(OR(L4103="131",M4103="131"),H4103='131-CT'!$E$7),"131",""))</f>
        <v/>
      </c>
      <c r="O4103" s="52" t="str">
        <f>IF(AND($B4103&gt;='111'!$N$11,$B4103&lt;='111'!$O$11,OR($L4103=$O$7,$M4103=$O$7)),"x","")</f>
        <v/>
      </c>
      <c r="P4103" s="52" t="str">
        <f>IF(AND($L4103=$O$7,$B4103&lt;'111'!$N$11),"x","")</f>
        <v/>
      </c>
      <c r="Q4103" s="52" t="str">
        <f>IF(AND($M4103=$O$7,$B4103&lt;'111'!$N$11),"x","")</f>
        <v/>
      </c>
      <c r="R4103" s="52" t="str">
        <f>IF(ISERROR(FIND('112'!$M$9,G4103,1)),"",IF((AND(FIND('112'!$M$9,G4103,1)&gt;=1,$B4103&gt;='112'!$N$8,$B4103&lt;='112'!$O$8,OR($L4103='112'!$I$6,$M4103='112'!$I$6))),"x",""))</f>
        <v/>
      </c>
      <c r="S4103" s="52" t="str">
        <f>IF(ISERROR(FIND('112'!$M$9,G4103,1)),"",IF((AND(LEFT(G4103,2)=LEFT('112'!$M$9,2),B4103&lt;'112'!$N$8,$L4103='112'!$I$6)),"x",""))</f>
        <v/>
      </c>
      <c r="T4103" s="52" t="str">
        <f>IF(ISERROR(FIND('112'!$M$9,G4103,1)),"",IF((AND(RIGHT(G4103,2)=RIGHT('112'!$M$9,2),B4103&lt;'112'!$N$8,$M4103='112'!$I$6)),"x",""))</f>
        <v/>
      </c>
      <c r="U4103" s="52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/>
      </c>
      <c r="V4103" s="52" t="str">
        <f>IF(OR(TH!L4103=TH!$V$7,M4103=TH!$V$7),"x","")</f>
        <v/>
      </c>
      <c r="W4103" s="52" t="str">
        <f>IF(AND(B4103&gt;='IN-NX'!$P$3,B4103&lt;='IN-NX'!$Q$3,'IN-NX'!$D$7=D4103,OR(LEFT(L4103,2)="15",AND(LEFT(M4103,2)&lt;&gt;"15",LEFT(M4103,2)&lt;&gt;"33"))),"x","")</f>
        <v/>
      </c>
      <c r="X4103" s="52" t="str">
        <f>IF(AND(OR(LEFT(TH!L4103,2)="15",LEFT(TH!M4103,2)="15"),'152-CT'!$J$8=TH!F4103),"x","")</f>
        <v/>
      </c>
      <c r="Y4103" s="52" t="str">
        <f>IF(AND(OR(LEFT(TH!L4103,2)="15",LEFT(TH!M4103,2)="15"),TK!$E$7=TH!F4103),"x","")</f>
        <v/>
      </c>
      <c r="Z4103" s="52" t="str">
        <f>IF(AND(B4103&lt;=NKC!$N$8,B4103&gt;=NKC!$M$8),"x","")</f>
        <v/>
      </c>
      <c r="AA4103" s="826"/>
    </row>
    <row r="4104" spans="1:27" ht="15.75" customHeight="1">
      <c r="A4104" s="827" t="str">
        <f>IF(B4104&lt;&gt;"",IF(AND(B4104&gt;=_TM1,B4104&lt;=_TM2,OR(TH!L4104="1111",TH!M4104="1111")),TH!D4104,""),"")</f>
        <v/>
      </c>
      <c r="B4104" s="36" t="str">
        <f t="shared" si="518"/>
        <v/>
      </c>
      <c r="C4104" s="190"/>
      <c r="D4104" s="190"/>
      <c r="E4104" s="785"/>
      <c r="F4104" s="40"/>
      <c r="G4104" s="832"/>
      <c r="H4104" s="7"/>
      <c r="I4104" s="253"/>
      <c r="J4104" s="253"/>
      <c r="K4104" s="584"/>
      <c r="L4104" s="39"/>
      <c r="M4104" s="39"/>
      <c r="N4104" s="52" t="str">
        <f>IF(AND('331-CT'!$E$7=TH!H4104,OR(L4104="331",M4104="331")),"331",IF(AND(OR(L4104="131",M4104="131"),H4104='131-CT'!$E$7),"131",""))</f>
        <v/>
      </c>
      <c r="O4104" s="52" t="str">
        <f>IF(AND($B4104&gt;='111'!$N$11,$B4104&lt;='111'!$O$11,OR($L4104=$O$7,$M4104=$O$7)),"x","")</f>
        <v/>
      </c>
      <c r="P4104" s="52" t="str">
        <f>IF(AND($L4104=$O$7,$B4104&lt;'111'!$N$11),"x","")</f>
        <v/>
      </c>
      <c r="Q4104" s="52" t="str">
        <f>IF(AND($M4104=$O$7,$B4104&lt;'111'!$N$11),"x","")</f>
        <v/>
      </c>
      <c r="R4104" s="52" t="str">
        <f>IF(ISERROR(FIND('112'!$M$9,G4104,1)),"",IF((AND(FIND('112'!$M$9,G4104,1)&gt;=1,$B4104&gt;='112'!$N$8,$B4104&lt;='112'!$O$8,OR($L4104='112'!$I$6,$M4104='112'!$I$6))),"x",""))</f>
        <v/>
      </c>
      <c r="S4104" s="52" t="str">
        <f>IF(ISERROR(FIND('112'!$M$9,G4104,1)),"",IF((AND(LEFT(G4104,2)=LEFT('112'!$M$9,2),B4104&lt;'112'!$N$8,$L4104='112'!$I$6)),"x",""))</f>
        <v/>
      </c>
      <c r="T4104" s="52" t="str">
        <f>IF(ISERROR(FIND('112'!$M$9,G4104,1)),"",IF((AND(RIGHT(G4104,2)=RIGHT('112'!$M$9,2),B4104&lt;'112'!$N$8,$M4104='112'!$I$6)),"x",""))</f>
        <v/>
      </c>
      <c r="U4104" s="52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/>
      </c>
      <c r="V4104" s="52" t="str">
        <f>IF(OR(TH!L4104=TH!$V$7,M4104=TH!$V$7),"x","")</f>
        <v/>
      </c>
      <c r="W4104" s="52" t="str">
        <f>IF(AND(B4104&gt;='IN-NX'!$P$3,B4104&lt;='IN-NX'!$Q$3,'IN-NX'!$D$7=D4104,OR(LEFT(L4104,2)="15",AND(LEFT(M4104,2)&lt;&gt;"15",LEFT(M4104,2)&lt;&gt;"33"))),"x","")</f>
        <v/>
      </c>
      <c r="X4104" s="52" t="str">
        <f>IF(AND(OR(LEFT(TH!L4104,2)="15",LEFT(TH!M4104,2)="15"),'152-CT'!$J$8=TH!F4104),"x","")</f>
        <v/>
      </c>
      <c r="Y4104" s="52" t="str">
        <f>IF(AND(OR(LEFT(TH!L4104,2)="15",LEFT(TH!M4104,2)="15"),TK!$E$7=TH!F4104),"x","")</f>
        <v/>
      </c>
      <c r="Z4104" s="52" t="str">
        <f>IF(AND(B4104&lt;=NKC!$N$8,B4104&gt;=NKC!$M$8),"x","")</f>
        <v/>
      </c>
      <c r="AA4104" s="826"/>
    </row>
    <row r="4105" spans="1:27" ht="15.75" customHeight="1">
      <c r="A4105" s="827" t="str">
        <f>IF(B4105&lt;&gt;"",IF(AND(B4105&gt;=_TM1,B4105&lt;=_TM2,OR(TH!L4105="1111",TH!M4105="1111")),TH!D4105,""),"")</f>
        <v/>
      </c>
      <c r="B4105" s="36" t="str">
        <f t="shared" si="518"/>
        <v/>
      </c>
      <c r="C4105" s="190"/>
      <c r="D4105" s="190"/>
      <c r="E4105" s="785"/>
      <c r="F4105" s="40"/>
      <c r="G4105" s="832"/>
      <c r="H4105" s="7"/>
      <c r="I4105" s="253"/>
      <c r="J4105" s="253"/>
      <c r="K4105" s="584"/>
      <c r="L4105" s="39"/>
      <c r="M4105" s="39"/>
      <c r="N4105" s="52" t="str">
        <f>IF(AND('331-CT'!$E$7=TH!H4105,OR(L4105="331",M4105="331")),"331",IF(AND(OR(L4105="131",M4105="131"),H4105='131-CT'!$E$7),"131",""))</f>
        <v/>
      </c>
      <c r="O4105" s="52" t="str">
        <f>IF(AND($B4105&gt;='111'!$N$11,$B4105&lt;='111'!$O$11,OR($L4105=$O$7,$M4105=$O$7)),"x","")</f>
        <v/>
      </c>
      <c r="P4105" s="52" t="str">
        <f>IF(AND($L4105=$O$7,$B4105&lt;'111'!$N$11),"x","")</f>
        <v/>
      </c>
      <c r="Q4105" s="52" t="str">
        <f>IF(AND($M4105=$O$7,$B4105&lt;'111'!$N$11),"x","")</f>
        <v/>
      </c>
      <c r="R4105" s="52" t="str">
        <f>IF(ISERROR(FIND('112'!$M$9,G4105,1)),"",IF((AND(FIND('112'!$M$9,G4105,1)&gt;=1,$B4105&gt;='112'!$N$8,$B4105&lt;='112'!$O$8,OR($L4105='112'!$I$6,$M4105='112'!$I$6))),"x",""))</f>
        <v/>
      </c>
      <c r="S4105" s="52" t="str">
        <f>IF(ISERROR(FIND('112'!$M$9,G4105,1)),"",IF((AND(LEFT(G4105,2)=LEFT('112'!$M$9,2),B4105&lt;'112'!$N$8,$L4105='112'!$I$6)),"x",""))</f>
        <v/>
      </c>
      <c r="T4105" s="52" t="str">
        <f>IF(ISERROR(FIND('112'!$M$9,G4105,1)),"",IF((AND(RIGHT(G4105,2)=RIGHT('112'!$M$9,2),B4105&lt;'112'!$N$8,$M4105='112'!$I$6)),"x",""))</f>
        <v/>
      </c>
      <c r="U4105" s="52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/>
      </c>
      <c r="V4105" s="52" t="str">
        <f>IF(OR(TH!L4105=TH!$V$7,M4105=TH!$V$7),"x","")</f>
        <v/>
      </c>
      <c r="W4105" s="52" t="str">
        <f>IF(AND(B4105&gt;='IN-NX'!$P$3,B4105&lt;='IN-NX'!$Q$3,'IN-NX'!$D$7=D4105,OR(LEFT(L4105,2)="15",AND(LEFT(M4105,2)&lt;&gt;"15",LEFT(M4105,2)&lt;&gt;"33"))),"x","")</f>
        <v/>
      </c>
      <c r="X4105" s="52" t="str">
        <f>IF(AND(OR(LEFT(TH!L4105,2)="15",LEFT(TH!M4105,2)="15"),'152-CT'!$J$8=TH!F4105),"x","")</f>
        <v/>
      </c>
      <c r="Y4105" s="52" t="str">
        <f>IF(AND(OR(LEFT(TH!L4105,2)="15",LEFT(TH!M4105,2)="15"),TK!$E$7=TH!F4105),"x","")</f>
        <v/>
      </c>
      <c r="Z4105" s="52" t="str">
        <f>IF(AND(B4105&lt;=NKC!$N$8,B4105&gt;=NKC!$M$8),"x","")</f>
        <v/>
      </c>
      <c r="AA4105" s="826"/>
    </row>
    <row r="4106" spans="1:27" ht="15.75" customHeight="1">
      <c r="A4106" s="827" t="str">
        <f>IF(B4106&lt;&gt;"",IF(AND(B4106&gt;=_TM1,B4106&lt;=_TM2,OR(TH!L4106="1111",TH!M4106="1111")),TH!D4106,""),"")</f>
        <v/>
      </c>
      <c r="B4106" s="36" t="str">
        <f t="shared" si="518"/>
        <v/>
      </c>
      <c r="C4106" s="190"/>
      <c r="D4106" s="190"/>
      <c r="E4106" s="785"/>
      <c r="F4106" s="40"/>
      <c r="G4106" s="832"/>
      <c r="H4106" s="7"/>
      <c r="I4106" s="253"/>
      <c r="J4106" s="253"/>
      <c r="K4106" s="584"/>
      <c r="L4106" s="39"/>
      <c r="M4106" s="39"/>
      <c r="N4106" s="52" t="str">
        <f>IF(AND('331-CT'!$E$7=TH!H4106,OR(L4106="331",M4106="331")),"331",IF(AND(OR(L4106="131",M4106="131"),H4106='131-CT'!$E$7),"131",""))</f>
        <v/>
      </c>
      <c r="O4106" s="52" t="str">
        <f>IF(AND($B4106&gt;='111'!$N$11,$B4106&lt;='111'!$O$11,OR($L4106=$O$7,$M4106=$O$7)),"x","")</f>
        <v/>
      </c>
      <c r="P4106" s="52" t="str">
        <f>IF(AND($L4106=$O$7,$B4106&lt;'111'!$N$11),"x","")</f>
        <v/>
      </c>
      <c r="Q4106" s="52" t="str">
        <f>IF(AND($M4106=$O$7,$B4106&lt;'111'!$N$11),"x","")</f>
        <v/>
      </c>
      <c r="R4106" s="52" t="str">
        <f>IF(ISERROR(FIND('112'!$M$9,G4106,1)),"",IF((AND(FIND('112'!$M$9,G4106,1)&gt;=1,$B4106&gt;='112'!$N$8,$B4106&lt;='112'!$O$8,OR($L4106='112'!$I$6,$M4106='112'!$I$6))),"x",""))</f>
        <v/>
      </c>
      <c r="S4106" s="52" t="str">
        <f>IF(ISERROR(FIND('112'!$M$9,G4106,1)),"",IF((AND(LEFT(G4106,2)=LEFT('112'!$M$9,2),B4106&lt;'112'!$N$8,$L4106='112'!$I$6)),"x",""))</f>
        <v/>
      </c>
      <c r="T4106" s="52" t="str">
        <f>IF(ISERROR(FIND('112'!$M$9,G4106,1)),"",IF((AND(RIGHT(G4106,2)=RIGHT('112'!$M$9,2),B4106&lt;'112'!$N$8,$M4106='112'!$I$6)),"x",""))</f>
        <v/>
      </c>
      <c r="U4106" s="52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/>
      </c>
      <c r="V4106" s="52" t="str">
        <f>IF(OR(TH!L4106=TH!$V$7,M4106=TH!$V$7),"x","")</f>
        <v/>
      </c>
      <c r="W4106" s="52" t="str">
        <f>IF(AND(B4106&gt;='IN-NX'!$P$3,B4106&lt;='IN-NX'!$Q$3,'IN-NX'!$D$7=D4106,OR(LEFT(L4106,2)="15",AND(LEFT(M4106,2)&lt;&gt;"15",LEFT(M4106,2)&lt;&gt;"33"))),"x","")</f>
        <v/>
      </c>
      <c r="X4106" s="52" t="str">
        <f>IF(AND(OR(LEFT(TH!L4106,2)="15",LEFT(TH!M4106,2)="15"),'152-CT'!$J$8=TH!F4106),"x","")</f>
        <v/>
      </c>
      <c r="Y4106" s="52" t="str">
        <f>IF(AND(OR(LEFT(TH!L4106,2)="15",LEFT(TH!M4106,2)="15"),TK!$E$7=TH!F4106),"x","")</f>
        <v/>
      </c>
      <c r="Z4106" s="52" t="str">
        <f>IF(AND(B4106&lt;=NKC!$N$8,B4106&gt;=NKC!$M$8),"x","")</f>
        <v/>
      </c>
      <c r="AA4106" s="826"/>
    </row>
    <row r="4107" spans="1:27" ht="15.75" customHeight="1">
      <c r="A4107" s="827" t="str">
        <f>IF(B4107&lt;&gt;"",IF(AND(B4107&gt;=_TM1,B4107&lt;=_TM2,OR(TH!L4107="1111",TH!M4107="1111")),TH!D4107,""),"")</f>
        <v/>
      </c>
      <c r="B4107" s="36" t="str">
        <f t="shared" si="518"/>
        <v/>
      </c>
      <c r="C4107" s="190"/>
      <c r="D4107" s="190"/>
      <c r="E4107" s="785"/>
      <c r="F4107" s="40"/>
      <c r="G4107" s="832"/>
      <c r="H4107" s="7"/>
      <c r="I4107" s="253"/>
      <c r="J4107" s="253"/>
      <c r="K4107" s="584"/>
      <c r="L4107" s="39"/>
      <c r="M4107" s="39"/>
      <c r="N4107" s="52" t="str">
        <f>IF(AND('331-CT'!$E$7=TH!H4107,OR(L4107="331",M4107="331")),"331",IF(AND(OR(L4107="131",M4107="131"),H4107='131-CT'!$E$7),"131",""))</f>
        <v/>
      </c>
      <c r="O4107" s="52" t="str">
        <f>IF(AND($B4107&gt;='111'!$N$11,$B4107&lt;='111'!$O$11,OR($L4107=$O$7,$M4107=$O$7)),"x","")</f>
        <v/>
      </c>
      <c r="P4107" s="52" t="str">
        <f>IF(AND($L4107=$O$7,$B4107&lt;'111'!$N$11),"x","")</f>
        <v/>
      </c>
      <c r="Q4107" s="52" t="str">
        <f>IF(AND($M4107=$O$7,$B4107&lt;'111'!$N$11),"x","")</f>
        <v/>
      </c>
      <c r="R4107" s="52" t="str">
        <f>IF(ISERROR(FIND('112'!$M$9,G4107,1)),"",IF((AND(FIND('112'!$M$9,G4107,1)&gt;=1,$B4107&gt;='112'!$N$8,$B4107&lt;='112'!$O$8,OR($L4107='112'!$I$6,$M4107='112'!$I$6))),"x",""))</f>
        <v/>
      </c>
      <c r="S4107" s="52" t="str">
        <f>IF(ISERROR(FIND('112'!$M$9,G4107,1)),"",IF((AND(LEFT(G4107,2)=LEFT('112'!$M$9,2),B4107&lt;'112'!$N$8,$L4107='112'!$I$6)),"x",""))</f>
        <v/>
      </c>
      <c r="T4107" s="52" t="str">
        <f>IF(ISERROR(FIND('112'!$M$9,G4107,1)),"",IF((AND(RIGHT(G4107,2)=RIGHT('112'!$M$9,2),B4107&lt;'112'!$N$8,$M4107='112'!$I$6)),"x",""))</f>
        <v/>
      </c>
      <c r="U4107" s="52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/>
      </c>
      <c r="V4107" s="52" t="str">
        <f>IF(OR(TH!L4107=TH!$V$7,M4107=TH!$V$7),"x","")</f>
        <v/>
      </c>
      <c r="W4107" s="52" t="str">
        <f>IF(AND(B4107&gt;='IN-NX'!$P$3,B4107&lt;='IN-NX'!$Q$3,'IN-NX'!$D$7=D4107,OR(LEFT(L4107,2)="15",AND(LEFT(M4107,2)&lt;&gt;"15",LEFT(M4107,2)&lt;&gt;"33"))),"x","")</f>
        <v/>
      </c>
      <c r="X4107" s="52" t="str">
        <f>IF(AND(OR(LEFT(TH!L4107,2)="15",LEFT(TH!M4107,2)="15"),'152-CT'!$J$8=TH!F4107),"x","")</f>
        <v/>
      </c>
      <c r="Y4107" s="52" t="str">
        <f>IF(AND(OR(LEFT(TH!L4107,2)="15",LEFT(TH!M4107,2)="15"),TK!$E$7=TH!F4107),"x","")</f>
        <v/>
      </c>
      <c r="Z4107" s="52" t="str">
        <f>IF(AND(B4107&lt;=NKC!$N$8,B4107&gt;=NKC!$M$8),"x","")</f>
        <v/>
      </c>
      <c r="AA4107" s="826"/>
    </row>
    <row r="4108" spans="1:27" ht="15.75" customHeight="1">
      <c r="A4108" s="827" t="str">
        <f>IF(B4108&lt;&gt;"",IF(AND(B4108&gt;=_TM1,B4108&lt;=_TM2,OR(TH!L4108="1111",TH!M4108="1111")),TH!D4108,""),"")</f>
        <v/>
      </c>
      <c r="B4108" s="36" t="str">
        <f t="shared" si="518"/>
        <v/>
      </c>
      <c r="C4108" s="183"/>
      <c r="D4108" s="183"/>
      <c r="E4108" s="792"/>
      <c r="F4108" s="188"/>
      <c r="G4108" s="835"/>
      <c r="H4108" s="192"/>
      <c r="I4108" s="253"/>
      <c r="J4108" s="253"/>
      <c r="K4108" s="584"/>
      <c r="L4108" s="585"/>
      <c r="M4108" s="585"/>
      <c r="N4108" s="52" t="str">
        <f>IF(AND('331-CT'!$E$7=TH!H4108,OR(L4108="331",M4108="331")),"331",IF(AND(OR(L4108="131",M4108="131"),H4108='131-CT'!$E$7),"131",""))</f>
        <v/>
      </c>
      <c r="O4108" s="52" t="str">
        <f>IF(AND($B4108&gt;='111'!$N$11,$B4108&lt;='111'!$O$11,OR($L4108=$O$7,$M4108=$O$7)),"x","")</f>
        <v/>
      </c>
      <c r="P4108" s="52" t="str">
        <f>IF(AND($L4108=$O$7,$B4108&lt;'111'!$N$11),"x","")</f>
        <v/>
      </c>
      <c r="Q4108" s="52" t="str">
        <f>IF(AND($M4108=$O$7,$B4108&lt;'111'!$N$11),"x","")</f>
        <v/>
      </c>
      <c r="R4108" s="52" t="str">
        <f>IF(ISERROR(FIND('112'!$M$9,G4108,1)),"",IF((AND(FIND('112'!$M$9,G4108,1)&gt;=1,$B4108&gt;='112'!$N$8,$B4108&lt;='112'!$O$8,OR($L4108='112'!$I$6,$M4108='112'!$I$6))),"x",""))</f>
        <v/>
      </c>
      <c r="S4108" s="52" t="str">
        <f>IF(ISERROR(FIND('112'!$M$9,G4108,1)),"",IF((AND(LEFT(G4108,2)=LEFT('112'!$M$9,2),B4108&lt;'112'!$N$8,$L4108='112'!$I$6)),"x",""))</f>
        <v/>
      </c>
      <c r="T4108" s="52" t="str">
        <f>IF(ISERROR(FIND('112'!$M$9,G4108,1)),"",IF((AND(RIGHT(G4108,2)=RIGHT('112'!$M$9,2),B4108&lt;'112'!$N$8,$M4108='112'!$I$6)),"x",""))</f>
        <v/>
      </c>
      <c r="U4108" s="52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/>
      </c>
      <c r="V4108" s="52" t="str">
        <f>IF(OR(TH!L4108=TH!$V$7,M4108=TH!$V$7),"x","")</f>
        <v/>
      </c>
      <c r="W4108" s="52" t="str">
        <f>IF(AND(B4108&gt;='IN-NX'!$P$3,B4108&lt;='IN-NX'!$Q$3,'IN-NX'!$D$7=D4108,OR(LEFT(L4108,2)="15",AND(LEFT(M4108,2)&lt;&gt;"15",LEFT(M4108,2)&lt;&gt;"33"))),"x","")</f>
        <v/>
      </c>
      <c r="X4108" s="52" t="str">
        <f>IF(AND(OR(LEFT(TH!L4108,2)="15",LEFT(TH!M4108,2)="15"),'152-CT'!$J$8=TH!F4108),"x","")</f>
        <v/>
      </c>
      <c r="Y4108" s="52" t="str">
        <f>IF(AND(OR(LEFT(TH!L4108,2)="15",LEFT(TH!M4108,2)="15"),TK!$E$7=TH!F4108),"x","")</f>
        <v/>
      </c>
      <c r="Z4108" s="52" t="str">
        <f>IF(AND(B4108&lt;=NKC!$N$8,B4108&gt;=NKC!$M$8),"x","")</f>
        <v/>
      </c>
      <c r="AA4108" s="826"/>
    </row>
    <row r="4109" spans="1:27" ht="15.75" customHeight="1">
      <c r="A4109" s="827" t="str">
        <f>IF(B4109&lt;&gt;"",IF(AND(B4109&gt;=_TM1,B4109&lt;=_TM2,OR(TH!L4109="1111",TH!M4109="1111")),TH!D4109,""),"")</f>
        <v/>
      </c>
      <c r="B4109" s="36" t="str">
        <f t="shared" si="518"/>
        <v/>
      </c>
      <c r="C4109" s="183"/>
      <c r="D4109" s="183"/>
      <c r="E4109" s="792"/>
      <c r="F4109" s="188"/>
      <c r="G4109" s="835"/>
      <c r="H4109" s="192"/>
      <c r="I4109" s="253"/>
      <c r="J4109" s="253"/>
      <c r="K4109" s="584"/>
      <c r="L4109" s="585"/>
      <c r="M4109" s="585"/>
      <c r="N4109" s="52" t="str">
        <f>IF(AND('331-CT'!$E$7=TH!H4109,OR(L4109="331",M4109="331")),"331",IF(AND(OR(L4109="131",M4109="131"),H4109='131-CT'!$E$7),"131",""))</f>
        <v/>
      </c>
      <c r="O4109" s="52" t="str">
        <f>IF(AND($B4109&gt;='111'!$N$11,$B4109&lt;='111'!$O$11,OR($L4109=$O$7,$M4109=$O$7)),"x","")</f>
        <v/>
      </c>
      <c r="P4109" s="52" t="str">
        <f>IF(AND($L4109=$O$7,$B4109&lt;'111'!$N$11),"x","")</f>
        <v/>
      </c>
      <c r="Q4109" s="52" t="str">
        <f>IF(AND($M4109=$O$7,$B4109&lt;'111'!$N$11),"x","")</f>
        <v/>
      </c>
      <c r="R4109" s="52" t="str">
        <f>IF(ISERROR(FIND('112'!$M$9,G4109,1)),"",IF((AND(FIND('112'!$M$9,G4109,1)&gt;=1,$B4109&gt;='112'!$N$8,$B4109&lt;='112'!$O$8,OR($L4109='112'!$I$6,$M4109='112'!$I$6))),"x",""))</f>
        <v/>
      </c>
      <c r="S4109" s="52" t="str">
        <f>IF(ISERROR(FIND('112'!$M$9,G4109,1)),"",IF((AND(LEFT(G4109,2)=LEFT('112'!$M$9,2),B4109&lt;'112'!$N$8,$L4109='112'!$I$6)),"x",""))</f>
        <v/>
      </c>
      <c r="T4109" s="52" t="str">
        <f>IF(ISERROR(FIND('112'!$M$9,G4109,1)),"",IF((AND(RIGHT(G4109,2)=RIGHT('112'!$M$9,2),B4109&lt;'112'!$N$8,$M4109='112'!$I$6)),"x",""))</f>
        <v/>
      </c>
      <c r="U4109" s="52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/>
      </c>
      <c r="V4109" s="52" t="str">
        <f>IF(OR(TH!L4109=TH!$V$7,M4109=TH!$V$7),"x","")</f>
        <v/>
      </c>
      <c r="W4109" s="52" t="str">
        <f>IF(AND(B4109&gt;='IN-NX'!$P$3,B4109&lt;='IN-NX'!$Q$3,'IN-NX'!$D$7=D4109,OR(LEFT(L4109,2)="15",AND(LEFT(M4109,2)&lt;&gt;"15",LEFT(M4109,2)&lt;&gt;"33"))),"x","")</f>
        <v/>
      </c>
      <c r="X4109" s="52" t="str">
        <f>IF(AND(OR(LEFT(TH!L4109,2)="15",LEFT(TH!M4109,2)="15"),'152-CT'!$J$8=TH!F4109),"x","")</f>
        <v/>
      </c>
      <c r="Y4109" s="52" t="str">
        <f>IF(AND(OR(LEFT(TH!L4109,2)="15",LEFT(TH!M4109,2)="15"),TK!$E$7=TH!F4109),"x","")</f>
        <v/>
      </c>
      <c r="Z4109" s="52" t="str">
        <f>IF(AND(B4109&lt;=NKC!$N$8,B4109&gt;=NKC!$M$8),"x","")</f>
        <v/>
      </c>
      <c r="AA4109" s="826"/>
    </row>
    <row r="4110" spans="1:27" ht="15.75" customHeight="1">
      <c r="A4110" s="827" t="str">
        <f>IF(B4110&lt;&gt;"",IF(AND(B4110&gt;=_TM1,B4110&lt;=_TM2,OR(TH!L4110="1111",TH!M4110="1111")),TH!D4110,""),"")</f>
        <v/>
      </c>
      <c r="B4110" s="36" t="str">
        <f t="shared" si="518"/>
        <v/>
      </c>
      <c r="C4110" s="190"/>
      <c r="D4110" s="190"/>
      <c r="E4110" s="785"/>
      <c r="F4110" s="191"/>
      <c r="G4110" s="833"/>
      <c r="H4110" s="7"/>
      <c r="I4110" s="253"/>
      <c r="J4110" s="253"/>
      <c r="K4110" s="584"/>
      <c r="L4110" s="193"/>
      <c r="M4110" s="193"/>
      <c r="N4110" s="52" t="str">
        <f>IF(AND('331-CT'!$E$7=TH!H4110,OR(L4110="331",M4110="331")),"331",IF(AND(OR(L4110="131",M4110="131"),H4110='131-CT'!$E$7),"131",""))</f>
        <v/>
      </c>
      <c r="O4110" s="52" t="str">
        <f>IF(AND($B4110&gt;='111'!$N$11,$B4110&lt;='111'!$O$11,OR($L4110=$O$7,$M4110=$O$7)),"x","")</f>
        <v/>
      </c>
      <c r="P4110" s="52" t="str">
        <f>IF(AND($L4110=$O$7,$B4110&lt;'111'!$N$11),"x","")</f>
        <v/>
      </c>
      <c r="Q4110" s="52" t="str">
        <f>IF(AND($M4110=$O$7,$B4110&lt;'111'!$N$11),"x","")</f>
        <v/>
      </c>
      <c r="R4110" s="52" t="str">
        <f>IF(ISERROR(FIND('112'!$M$9,G4110,1)),"",IF((AND(FIND('112'!$M$9,G4110,1)&gt;=1,$B4110&gt;='112'!$N$8,$B4110&lt;='112'!$O$8,OR($L4110='112'!$I$6,$M4110='112'!$I$6))),"x",""))</f>
        <v/>
      </c>
      <c r="S4110" s="52" t="str">
        <f>IF(ISERROR(FIND('112'!$M$9,G4110,1)),"",IF((AND(LEFT(G4110,2)=LEFT('112'!$M$9,2),B4110&lt;'112'!$N$8,$L4110='112'!$I$6)),"x",""))</f>
        <v/>
      </c>
      <c r="T4110" s="52" t="str">
        <f>IF(ISERROR(FIND('112'!$M$9,G4110,1)),"",IF((AND(RIGHT(G4110,2)=RIGHT('112'!$M$9,2),B4110&lt;'112'!$N$8,$M4110='112'!$I$6)),"x",""))</f>
        <v/>
      </c>
      <c r="U4110" s="52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/>
      </c>
      <c r="V4110" s="52" t="str">
        <f>IF(OR(TH!L4110=TH!$V$7,M4110=TH!$V$7),"x","")</f>
        <v/>
      </c>
      <c r="W4110" s="52" t="str">
        <f>IF(AND(B4110&gt;='IN-NX'!$P$3,B4110&lt;='IN-NX'!$Q$3,'IN-NX'!$D$7=D4110,OR(LEFT(L4110,2)="15",AND(LEFT(M4110,2)&lt;&gt;"15",LEFT(M4110,2)&lt;&gt;"33"))),"x","")</f>
        <v/>
      </c>
      <c r="X4110" s="52" t="str">
        <f>IF(AND(OR(LEFT(TH!L4110,2)="15",LEFT(TH!M4110,2)="15"),'152-CT'!$J$8=TH!F4110),"x","")</f>
        <v/>
      </c>
      <c r="Y4110" s="52" t="str">
        <f>IF(AND(OR(LEFT(TH!L4110,2)="15",LEFT(TH!M4110,2)="15"),TK!$E$7=TH!F4110),"x","")</f>
        <v/>
      </c>
      <c r="Z4110" s="52" t="str">
        <f>IF(AND(B4110&lt;=NKC!$N$8,B4110&gt;=NKC!$M$8),"x","")</f>
        <v/>
      </c>
      <c r="AA4110" s="826"/>
    </row>
    <row r="4111" spans="1:27" ht="15.75" customHeight="1">
      <c r="A4111" s="827" t="str">
        <f>IF(B4111&lt;&gt;"",IF(AND(B4111&gt;=_TM1,B4111&lt;=_TM2,OR(TH!L4111="1111",TH!M4111="1111")),TH!D4111,""),"")</f>
        <v/>
      </c>
      <c r="B4111" s="36" t="str">
        <f t="shared" si="518"/>
        <v/>
      </c>
      <c r="C4111" s="190"/>
      <c r="D4111" s="190"/>
      <c r="E4111" s="785"/>
      <c r="F4111" s="191"/>
      <c r="G4111" s="833"/>
      <c r="H4111" s="7"/>
      <c r="I4111" s="253"/>
      <c r="J4111" s="253"/>
      <c r="K4111" s="584"/>
      <c r="L4111" s="193"/>
      <c r="M4111" s="193"/>
      <c r="N4111" s="52" t="str">
        <f>IF(AND('331-CT'!$E$7=TH!H4111,OR(L4111="331",M4111="331")),"331",IF(AND(OR(L4111="131",M4111="131"),H4111='131-CT'!$E$7),"131",""))</f>
        <v/>
      </c>
      <c r="O4111" s="52" t="str">
        <f>IF(AND($B4111&gt;='111'!$N$11,$B4111&lt;='111'!$O$11,OR($L4111=$O$7,$M4111=$O$7)),"x","")</f>
        <v/>
      </c>
      <c r="P4111" s="52" t="str">
        <f>IF(AND($L4111=$O$7,$B4111&lt;'111'!$N$11),"x","")</f>
        <v/>
      </c>
      <c r="Q4111" s="52" t="str">
        <f>IF(AND($M4111=$O$7,$B4111&lt;'111'!$N$11),"x","")</f>
        <v/>
      </c>
      <c r="R4111" s="52" t="str">
        <f>IF(ISERROR(FIND('112'!$M$9,G4111,1)),"",IF((AND(FIND('112'!$M$9,G4111,1)&gt;=1,$B4111&gt;='112'!$N$8,$B4111&lt;='112'!$O$8,OR($L4111='112'!$I$6,$M4111='112'!$I$6))),"x",""))</f>
        <v/>
      </c>
      <c r="S4111" s="52" t="str">
        <f>IF(ISERROR(FIND('112'!$M$9,G4111,1)),"",IF((AND(LEFT(G4111,2)=LEFT('112'!$M$9,2),B4111&lt;'112'!$N$8,$L4111='112'!$I$6)),"x",""))</f>
        <v/>
      </c>
      <c r="T4111" s="52" t="str">
        <f>IF(ISERROR(FIND('112'!$M$9,G4111,1)),"",IF((AND(RIGHT(G4111,2)=RIGHT('112'!$M$9,2),B4111&lt;'112'!$N$8,$M4111='112'!$I$6)),"x",""))</f>
        <v/>
      </c>
      <c r="U4111" s="52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/>
      </c>
      <c r="V4111" s="52" t="str">
        <f>IF(OR(TH!L4111=TH!$V$7,M4111=TH!$V$7),"x","")</f>
        <v/>
      </c>
      <c r="W4111" s="52" t="str">
        <f>IF(AND(B4111&gt;='IN-NX'!$P$3,B4111&lt;='IN-NX'!$Q$3,'IN-NX'!$D$7=D4111,OR(LEFT(L4111,2)="15",AND(LEFT(M4111,2)&lt;&gt;"15",LEFT(M4111,2)&lt;&gt;"33"))),"x","")</f>
        <v/>
      </c>
      <c r="X4111" s="52" t="str">
        <f>IF(AND(OR(LEFT(TH!L4111,2)="15",LEFT(TH!M4111,2)="15"),'152-CT'!$J$8=TH!F4111),"x","")</f>
        <v/>
      </c>
      <c r="Y4111" s="52" t="str">
        <f>IF(AND(OR(LEFT(TH!L4111,2)="15",LEFT(TH!M4111,2)="15"),TK!$E$7=TH!F4111),"x","")</f>
        <v/>
      </c>
      <c r="Z4111" s="52" t="str">
        <f>IF(AND(B4111&lt;=NKC!$N$8,B4111&gt;=NKC!$M$8),"x","")</f>
        <v/>
      </c>
      <c r="AA4111" s="826"/>
    </row>
    <row r="4112" spans="1:27" ht="15.75" customHeight="1">
      <c r="A4112" s="827" t="str">
        <f>IF(B4112&lt;&gt;"",IF(AND(B4112&gt;=_TM1,B4112&lt;=_TM2,OR(TH!L4112="1111",TH!M4112="1111")),TH!D4112,""),"")</f>
        <v/>
      </c>
      <c r="B4112" s="36" t="str">
        <f t="shared" si="518"/>
        <v/>
      </c>
      <c r="C4112" s="190"/>
      <c r="D4112" s="37"/>
      <c r="E4112" s="785"/>
      <c r="F4112" s="436"/>
      <c r="G4112" s="832"/>
      <c r="H4112" s="7"/>
      <c r="I4112" s="253"/>
      <c r="J4112" s="253"/>
      <c r="K4112" s="584"/>
      <c r="L4112" s="39"/>
      <c r="M4112" s="39"/>
      <c r="N4112" s="52" t="str">
        <f>IF(AND('331-CT'!$E$7=TH!H4112,OR(L4112="331",M4112="331")),"331",IF(AND(OR(L4112="131",M4112="131"),H4112='131-CT'!$E$7),"131",""))</f>
        <v/>
      </c>
      <c r="O4112" s="52" t="str">
        <f>IF(AND($B4112&gt;='111'!$N$11,$B4112&lt;='111'!$O$11,OR($L4112=$O$7,$M4112=$O$7)),"x","")</f>
        <v/>
      </c>
      <c r="P4112" s="52" t="str">
        <f>IF(AND($L4112=$O$7,$B4112&lt;'111'!$N$11),"x","")</f>
        <v/>
      </c>
      <c r="Q4112" s="52" t="str">
        <f>IF(AND($M4112=$O$7,$B4112&lt;'111'!$N$11),"x","")</f>
        <v/>
      </c>
      <c r="R4112" s="52" t="str">
        <f>IF(ISERROR(FIND('112'!$M$9,G4112,1)),"",IF((AND(FIND('112'!$M$9,G4112,1)&gt;=1,$B4112&gt;='112'!$N$8,$B4112&lt;='112'!$O$8,OR($L4112='112'!$I$6,$M4112='112'!$I$6))),"x",""))</f>
        <v/>
      </c>
      <c r="S4112" s="52" t="str">
        <f>IF(ISERROR(FIND('112'!$M$9,G4112,1)),"",IF((AND(LEFT(G4112,2)=LEFT('112'!$M$9,2),B4112&lt;'112'!$N$8,$L4112='112'!$I$6)),"x",""))</f>
        <v/>
      </c>
      <c r="T4112" s="52" t="str">
        <f>IF(ISERROR(FIND('112'!$M$9,G4112,1)),"",IF((AND(RIGHT(G4112,2)=RIGHT('112'!$M$9,2),B4112&lt;'112'!$N$8,$M4112='112'!$I$6)),"x",""))</f>
        <v/>
      </c>
      <c r="U4112" s="52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/>
      </c>
      <c r="V4112" s="52" t="str">
        <f>IF(OR(TH!L4112=TH!$V$7,M4112=TH!$V$7),"x","")</f>
        <v/>
      </c>
      <c r="W4112" s="52" t="str">
        <f>IF(AND(B4112&gt;='IN-NX'!$P$3,B4112&lt;='IN-NX'!$Q$3,'IN-NX'!$D$7=D4112,OR(LEFT(L4112,2)="15",AND(LEFT(M4112,2)&lt;&gt;"15",LEFT(M4112,2)&lt;&gt;"33"))),"x","")</f>
        <v/>
      </c>
      <c r="X4112" s="52" t="str">
        <f>IF(AND(OR(LEFT(TH!L4112,2)="15",LEFT(TH!M4112,2)="15"),'152-CT'!$J$8=TH!F4112),"x","")</f>
        <v/>
      </c>
      <c r="Y4112" s="52" t="str">
        <f>IF(AND(OR(LEFT(TH!L4112,2)="15",LEFT(TH!M4112,2)="15"),TK!$E$7=TH!F4112),"x","")</f>
        <v/>
      </c>
      <c r="Z4112" s="52" t="str">
        <f>IF(AND(B4112&lt;=NKC!$N$8,B4112&gt;=NKC!$M$8),"x","")</f>
        <v/>
      </c>
      <c r="AA4112" s="826"/>
    </row>
    <row r="4113" spans="1:27" ht="15.75" customHeight="1">
      <c r="A4113" s="827" t="str">
        <f>IF(B4113&lt;&gt;"",IF(AND(B4113&gt;=_TM1,B4113&lt;=_TM2,OR(TH!L4113="1111",TH!M4113="1111")),TH!D4113,""),"")</f>
        <v/>
      </c>
      <c r="B4113" s="36" t="str">
        <f t="shared" si="518"/>
        <v/>
      </c>
      <c r="C4113" s="190"/>
      <c r="D4113" s="37"/>
      <c r="E4113" s="785"/>
      <c r="F4113" s="191"/>
      <c r="G4113" s="833"/>
      <c r="H4113" s="7"/>
      <c r="I4113" s="253"/>
      <c r="J4113" s="253"/>
      <c r="K4113" s="584"/>
      <c r="L4113" s="39"/>
      <c r="M4113" s="39"/>
      <c r="N4113" s="52" t="str">
        <f>IF(AND('331-CT'!$E$7=TH!H4113,OR(L4113="331",M4113="331")),"331",IF(AND(OR(L4113="131",M4113="131"),H4113='131-CT'!$E$7),"131",""))</f>
        <v/>
      </c>
      <c r="O4113" s="52" t="str">
        <f>IF(AND($B4113&gt;='111'!$N$11,$B4113&lt;='111'!$O$11,OR($L4113=$O$7,$M4113=$O$7)),"x","")</f>
        <v/>
      </c>
      <c r="P4113" s="52" t="str">
        <f>IF(AND($L4113=$O$7,$B4113&lt;'111'!$N$11),"x","")</f>
        <v/>
      </c>
      <c r="Q4113" s="52" t="str">
        <f>IF(AND($M4113=$O$7,$B4113&lt;'111'!$N$11),"x","")</f>
        <v/>
      </c>
      <c r="R4113" s="52" t="str">
        <f>IF(ISERROR(FIND('112'!$M$9,G4113,1)),"",IF((AND(FIND('112'!$M$9,G4113,1)&gt;=1,$B4113&gt;='112'!$N$8,$B4113&lt;='112'!$O$8,OR($L4113='112'!$I$6,$M4113='112'!$I$6))),"x",""))</f>
        <v/>
      </c>
      <c r="S4113" s="52" t="str">
        <f>IF(ISERROR(FIND('112'!$M$9,G4113,1)),"",IF((AND(LEFT(G4113,2)=LEFT('112'!$M$9,2),B4113&lt;'112'!$N$8,$L4113='112'!$I$6)),"x",""))</f>
        <v/>
      </c>
      <c r="T4113" s="52" t="str">
        <f>IF(ISERROR(FIND('112'!$M$9,G4113,1)),"",IF((AND(RIGHT(G4113,2)=RIGHT('112'!$M$9,2),B4113&lt;'112'!$N$8,$M4113='112'!$I$6)),"x",""))</f>
        <v/>
      </c>
      <c r="U4113" s="52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/>
      </c>
      <c r="V4113" s="52" t="str">
        <f>IF(OR(TH!L4113=TH!$V$7,M4113=TH!$V$7),"x","")</f>
        <v/>
      </c>
      <c r="W4113" s="52" t="str">
        <f>IF(AND(B4113&gt;='IN-NX'!$P$3,B4113&lt;='IN-NX'!$Q$3,'IN-NX'!$D$7=D4113,OR(LEFT(L4113,2)="15",AND(LEFT(M4113,2)&lt;&gt;"15",LEFT(M4113,2)&lt;&gt;"33"))),"x","")</f>
        <v/>
      </c>
      <c r="X4113" s="52" t="str">
        <f>IF(AND(OR(LEFT(TH!L4113,2)="15",LEFT(TH!M4113,2)="15"),'152-CT'!$J$8=TH!F4113),"x","")</f>
        <v/>
      </c>
      <c r="Y4113" s="52" t="str">
        <f>IF(AND(OR(LEFT(TH!L4113,2)="15",LEFT(TH!M4113,2)="15"),TK!$E$7=TH!F4113),"x","")</f>
        <v/>
      </c>
      <c r="Z4113" s="52" t="str">
        <f>IF(AND(B4113&lt;=NKC!$N$8,B4113&gt;=NKC!$M$8),"x","")</f>
        <v/>
      </c>
      <c r="AA4113" s="826"/>
    </row>
    <row r="4114" spans="1:27" ht="15.75" customHeight="1">
      <c r="A4114" s="827" t="str">
        <f>IF(B4114&lt;&gt;"",IF(AND(B4114&gt;=_TM1,B4114&lt;=_TM2,OR(TH!L4114="1111",TH!M4114="1111")),TH!D4114,""),"")</f>
        <v/>
      </c>
      <c r="B4114" s="36" t="str">
        <f t="shared" si="518"/>
        <v/>
      </c>
      <c r="C4114" s="183"/>
      <c r="D4114" s="183"/>
      <c r="E4114" s="792"/>
      <c r="F4114" s="188"/>
      <c r="G4114" s="835"/>
      <c r="H4114" s="192"/>
      <c r="I4114" s="253"/>
      <c r="J4114" s="253"/>
      <c r="K4114" s="584"/>
      <c r="L4114" s="585"/>
      <c r="M4114" s="585"/>
      <c r="N4114" s="52" t="str">
        <f>IF(AND('331-CT'!$E$7=TH!H4114,OR(L4114="331",M4114="331")),"331",IF(AND(OR(L4114="131",M4114="131"),H4114='131-CT'!$E$7),"131",""))</f>
        <v/>
      </c>
      <c r="O4114" s="52" t="str">
        <f>IF(AND($B4114&gt;='111'!$N$11,$B4114&lt;='111'!$O$11,OR($L4114=$O$7,$M4114=$O$7)),"x","")</f>
        <v/>
      </c>
      <c r="P4114" s="52" t="str">
        <f>IF(AND($L4114=$O$7,$B4114&lt;'111'!$N$11),"x","")</f>
        <v/>
      </c>
      <c r="Q4114" s="52" t="str">
        <f>IF(AND($M4114=$O$7,$B4114&lt;'111'!$N$11),"x","")</f>
        <v/>
      </c>
      <c r="R4114" s="52" t="str">
        <f>IF(ISERROR(FIND('112'!$M$9,G4114,1)),"",IF((AND(FIND('112'!$M$9,G4114,1)&gt;=1,$B4114&gt;='112'!$N$8,$B4114&lt;='112'!$O$8,OR($L4114='112'!$I$6,$M4114='112'!$I$6))),"x",""))</f>
        <v/>
      </c>
      <c r="S4114" s="52" t="str">
        <f>IF(ISERROR(FIND('112'!$M$9,G4114,1)),"",IF((AND(LEFT(G4114,2)=LEFT('112'!$M$9,2),B4114&lt;'112'!$N$8,$L4114='112'!$I$6)),"x",""))</f>
        <v/>
      </c>
      <c r="T4114" s="52" t="str">
        <f>IF(ISERROR(FIND('112'!$M$9,G4114,1)),"",IF((AND(RIGHT(G4114,2)=RIGHT('112'!$M$9,2),B4114&lt;'112'!$N$8,$M4114='112'!$I$6)),"x",""))</f>
        <v/>
      </c>
      <c r="U4114" s="52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/>
      </c>
      <c r="V4114" s="52" t="str">
        <f>IF(OR(TH!L4114=TH!$V$7,M4114=TH!$V$7),"x","")</f>
        <v/>
      </c>
      <c r="W4114" s="52" t="str">
        <f>IF(AND(B4114&gt;='IN-NX'!$P$3,B4114&lt;='IN-NX'!$Q$3,'IN-NX'!$D$7=D4114,OR(LEFT(L4114,2)="15",AND(LEFT(M4114,2)&lt;&gt;"15",LEFT(M4114,2)&lt;&gt;"33"))),"x","")</f>
        <v/>
      </c>
      <c r="X4114" s="52" t="str">
        <f>IF(AND(OR(LEFT(TH!L4114,2)="15",LEFT(TH!M4114,2)="15"),'152-CT'!$J$8=TH!F4114),"x","")</f>
        <v/>
      </c>
      <c r="Y4114" s="52" t="str">
        <f>IF(AND(OR(LEFT(TH!L4114,2)="15",LEFT(TH!M4114,2)="15"),TK!$E$7=TH!F4114),"x","")</f>
        <v/>
      </c>
      <c r="Z4114" s="52" t="str">
        <f>IF(AND(B4114&lt;=NKC!$N$8,B4114&gt;=NKC!$M$8),"x","")</f>
        <v/>
      </c>
      <c r="AA4114" s="826"/>
    </row>
    <row r="4115" spans="1:27" ht="15.75" customHeight="1">
      <c r="A4115" s="827" t="str">
        <f>IF(B4115&lt;&gt;"",IF(AND(B4115&gt;=_TM1,B4115&lt;=_TM2,OR(TH!L4115="1111",TH!M4115="1111")),TH!D4115,""),"")</f>
        <v/>
      </c>
      <c r="B4115" s="36" t="str">
        <f t="shared" si="518"/>
        <v/>
      </c>
      <c r="C4115" s="190"/>
      <c r="D4115" s="190"/>
      <c r="E4115" s="785"/>
      <c r="F4115" s="191"/>
      <c r="G4115" s="833"/>
      <c r="H4115" s="7"/>
      <c r="I4115" s="254"/>
      <c r="J4115" s="254"/>
      <c r="K4115" s="584"/>
      <c r="L4115" s="193"/>
      <c r="M4115" s="193"/>
      <c r="N4115" s="52" t="str">
        <f>IF(AND('331-CT'!$E$7=TH!H4115,OR(L4115="331",M4115="331")),"331",IF(AND(OR(L4115="131",M4115="131"),H4115='131-CT'!$E$7),"131",""))</f>
        <v/>
      </c>
      <c r="O4115" s="52" t="str">
        <f>IF(AND($B4115&gt;='111'!$N$11,$B4115&lt;='111'!$O$11,OR($L4115=$O$7,$M4115=$O$7)),"x","")</f>
        <v/>
      </c>
      <c r="P4115" s="52" t="str">
        <f>IF(AND($L4115=$O$7,$B4115&lt;'111'!$N$11),"x","")</f>
        <v/>
      </c>
      <c r="Q4115" s="52" t="str">
        <f>IF(AND($M4115=$O$7,$B4115&lt;'111'!$N$11),"x","")</f>
        <v/>
      </c>
      <c r="R4115" s="52" t="str">
        <f>IF(ISERROR(FIND('112'!$M$9,G4115,1)),"",IF((AND(FIND('112'!$M$9,G4115,1)&gt;=1,$B4115&gt;='112'!$N$8,$B4115&lt;='112'!$O$8,OR($L4115='112'!$I$6,$M4115='112'!$I$6))),"x",""))</f>
        <v/>
      </c>
      <c r="S4115" s="52" t="str">
        <f>IF(ISERROR(FIND('112'!$M$9,G4115,1)),"",IF((AND(LEFT(G4115,2)=LEFT('112'!$M$9,2),B4115&lt;'112'!$N$8,$L4115='112'!$I$6)),"x",""))</f>
        <v/>
      </c>
      <c r="T4115" s="52" t="str">
        <f>IF(ISERROR(FIND('112'!$M$9,G4115,1)),"",IF((AND(RIGHT(G4115,2)=RIGHT('112'!$M$9,2),B4115&lt;'112'!$N$8,$M4115='112'!$I$6)),"x",""))</f>
        <v/>
      </c>
      <c r="U4115" s="52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/>
      </c>
      <c r="V4115" s="52" t="str">
        <f>IF(OR(TH!L4115=TH!$V$7,M4115=TH!$V$7),"x","")</f>
        <v/>
      </c>
      <c r="W4115" s="52" t="str">
        <f>IF(AND(B4115&gt;='IN-NX'!$P$3,B4115&lt;='IN-NX'!$Q$3,'IN-NX'!$D$7=D4115,OR(LEFT(L4115,2)="15",AND(LEFT(M4115,2)&lt;&gt;"15",LEFT(M4115,2)&lt;&gt;"33"))),"x","")</f>
        <v/>
      </c>
      <c r="X4115" s="52" t="str">
        <f>IF(AND(OR(LEFT(TH!L4115,2)="15",LEFT(TH!M4115,2)="15"),'152-CT'!$J$8=TH!F4115),"x","")</f>
        <v/>
      </c>
      <c r="Y4115" s="52" t="str">
        <f>IF(AND(OR(LEFT(TH!L4115,2)="15",LEFT(TH!M4115,2)="15"),TK!$E$7=TH!F4115),"x","")</f>
        <v/>
      </c>
      <c r="Z4115" s="52" t="str">
        <f>IF(AND(B4115&lt;=NKC!$N$8,B4115&gt;=NKC!$M$8),"x","")</f>
        <v/>
      </c>
      <c r="AA4115" s="826"/>
    </row>
    <row r="4116" spans="1:27" ht="15.75" customHeight="1">
      <c r="A4116" s="827" t="str">
        <f>IF(B4116&lt;&gt;"",IF(AND(B4116&gt;=_TM1,B4116&lt;=_TM2,OR(TH!L4116="1111",TH!M4116="1111")),TH!D4116,""),"")</f>
        <v/>
      </c>
      <c r="B4116" s="36" t="str">
        <f t="shared" ref="B4116:B4179" si="519">IF(C4116&lt;&gt;"",MONTH(C4116),"")</f>
        <v/>
      </c>
      <c r="C4116" s="190"/>
      <c r="D4116" s="190"/>
      <c r="E4116" s="785"/>
      <c r="F4116" s="191"/>
      <c r="G4116" s="833"/>
      <c r="H4116" s="7"/>
      <c r="I4116" s="254"/>
      <c r="J4116" s="254"/>
      <c r="K4116" s="38"/>
      <c r="L4116" s="193"/>
      <c r="M4116" s="193"/>
      <c r="N4116" s="52" t="str">
        <f>IF(AND('331-CT'!$E$7=TH!H4116,OR(L4116="331",M4116="331")),"331",IF(AND(OR(L4116="131",M4116="131"),H4116='131-CT'!$E$7),"131",""))</f>
        <v/>
      </c>
      <c r="O4116" s="52" t="str">
        <f>IF(AND($B4116&gt;='111'!$N$11,$B4116&lt;='111'!$O$11,OR($L4116=$O$7,$M4116=$O$7)),"x","")</f>
        <v/>
      </c>
      <c r="P4116" s="52" t="str">
        <f>IF(AND($L4116=$O$7,$B4116&lt;'111'!$N$11),"x","")</f>
        <v/>
      </c>
      <c r="Q4116" s="52" t="str">
        <f>IF(AND($M4116=$O$7,$B4116&lt;'111'!$N$11),"x","")</f>
        <v/>
      </c>
      <c r="R4116" s="52" t="str">
        <f>IF(ISERROR(FIND('112'!$M$9,G4116,1)),"",IF((AND(FIND('112'!$M$9,G4116,1)&gt;=1,$B4116&gt;='112'!$N$8,$B4116&lt;='112'!$O$8,OR($L4116='112'!$I$6,$M4116='112'!$I$6))),"x",""))</f>
        <v/>
      </c>
      <c r="S4116" s="52" t="str">
        <f>IF(ISERROR(FIND('112'!$M$9,G4116,1)),"",IF((AND(LEFT(G4116,2)=LEFT('112'!$M$9,2),B4116&lt;'112'!$N$8,$L4116='112'!$I$6)),"x",""))</f>
        <v/>
      </c>
      <c r="T4116" s="52" t="str">
        <f>IF(ISERROR(FIND('112'!$M$9,G4116,1)),"",IF((AND(RIGHT(G4116,2)=RIGHT('112'!$M$9,2),B4116&lt;'112'!$N$8,$M4116='112'!$I$6)),"x",""))</f>
        <v/>
      </c>
      <c r="U4116" s="52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/>
      </c>
      <c r="V4116" s="52" t="str">
        <f>IF(OR(TH!L4116=TH!$V$7,M4116=TH!$V$7),"x","")</f>
        <v/>
      </c>
      <c r="W4116" s="52" t="str">
        <f>IF(AND(B4116&gt;='IN-NX'!$P$3,B4116&lt;='IN-NX'!$Q$3,'IN-NX'!$D$7=D4116,OR(LEFT(L4116,2)="15",AND(LEFT(M4116,2)&lt;&gt;"15",LEFT(M4116,2)&lt;&gt;"33"))),"x","")</f>
        <v/>
      </c>
      <c r="X4116" s="52" t="str">
        <f>IF(AND(OR(LEFT(TH!L4116,2)="15",LEFT(TH!M4116,2)="15"),'152-CT'!$J$8=TH!F4116),"x","")</f>
        <v/>
      </c>
      <c r="Y4116" s="52" t="str">
        <f>IF(AND(OR(LEFT(TH!L4116,2)="15",LEFT(TH!M4116,2)="15"),TK!$E$7=TH!F4116),"x","")</f>
        <v/>
      </c>
      <c r="Z4116" s="52" t="str">
        <f>IF(AND(B4116&lt;=NKC!$N$8,B4116&gt;=NKC!$M$8),"x","")</f>
        <v/>
      </c>
      <c r="AA4116" s="826"/>
    </row>
    <row r="4117" spans="1:27" ht="15.75" customHeight="1">
      <c r="A4117" s="827" t="str">
        <f>IF(B4117&lt;&gt;"",IF(AND(B4117&gt;=_TM1,B4117&lt;=_TM2,OR(TH!L4117="1111",TH!M4117="1111")),TH!D4117,""),"")</f>
        <v/>
      </c>
      <c r="B4117" s="36" t="str">
        <f t="shared" si="519"/>
        <v/>
      </c>
      <c r="C4117" s="190"/>
      <c r="D4117" s="190"/>
      <c r="E4117" s="785"/>
      <c r="F4117" s="40"/>
      <c r="G4117" s="832"/>
      <c r="H4117" s="7"/>
      <c r="I4117" s="253"/>
      <c r="J4117" s="253"/>
      <c r="K4117" s="584"/>
      <c r="L4117" s="39"/>
      <c r="M4117" s="39"/>
      <c r="N4117" s="52" t="str">
        <f>IF(AND('331-CT'!$E$7=TH!H4117,OR(L4117="331",M4117="331")),"331",IF(AND(OR(L4117="131",M4117="131"),H4117='131-CT'!$E$7),"131",""))</f>
        <v/>
      </c>
      <c r="O4117" s="52" t="str">
        <f>IF(AND($B4117&gt;='111'!$N$11,$B4117&lt;='111'!$O$11,OR($L4117=$O$7,$M4117=$O$7)),"x","")</f>
        <v/>
      </c>
      <c r="P4117" s="52" t="str">
        <f>IF(AND($L4117=$O$7,$B4117&lt;'111'!$N$11),"x","")</f>
        <v/>
      </c>
      <c r="Q4117" s="52" t="str">
        <f>IF(AND($M4117=$O$7,$B4117&lt;'111'!$N$11),"x","")</f>
        <v/>
      </c>
      <c r="R4117" s="52" t="str">
        <f>IF(ISERROR(FIND('112'!$M$9,G4117,1)),"",IF((AND(FIND('112'!$M$9,G4117,1)&gt;=1,$B4117&gt;='112'!$N$8,$B4117&lt;='112'!$O$8,OR($L4117='112'!$I$6,$M4117='112'!$I$6))),"x",""))</f>
        <v/>
      </c>
      <c r="S4117" s="52" t="str">
        <f>IF(ISERROR(FIND('112'!$M$9,G4117,1)),"",IF((AND(LEFT(G4117,2)=LEFT('112'!$M$9,2),B4117&lt;'112'!$N$8,$L4117='112'!$I$6)),"x",""))</f>
        <v/>
      </c>
      <c r="T4117" s="52" t="str">
        <f>IF(ISERROR(FIND('112'!$M$9,G4117,1)),"",IF((AND(RIGHT(G4117,2)=RIGHT('112'!$M$9,2),B4117&lt;'112'!$N$8,$M4117='112'!$I$6)),"x",""))</f>
        <v/>
      </c>
      <c r="U4117" s="52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/>
      </c>
      <c r="V4117" s="52" t="str">
        <f>IF(OR(TH!L4117=TH!$V$7,M4117=TH!$V$7),"x","")</f>
        <v/>
      </c>
      <c r="W4117" s="52" t="str">
        <f>IF(AND(B4117&gt;='IN-NX'!$P$3,B4117&lt;='IN-NX'!$Q$3,'IN-NX'!$D$7=D4117,OR(LEFT(L4117,2)="15",AND(LEFT(M4117,2)&lt;&gt;"15",LEFT(M4117,2)&lt;&gt;"33"))),"x","")</f>
        <v/>
      </c>
      <c r="X4117" s="52" t="str">
        <f>IF(AND(OR(LEFT(TH!L4117,2)="15",LEFT(TH!M4117,2)="15"),'152-CT'!$J$8=TH!F4117),"x","")</f>
        <v/>
      </c>
      <c r="Y4117" s="52" t="str">
        <f>IF(AND(OR(LEFT(TH!L4117,2)="15",LEFT(TH!M4117,2)="15"),TK!$E$7=TH!F4117),"x","")</f>
        <v/>
      </c>
      <c r="Z4117" s="52" t="str">
        <f>IF(AND(B4117&lt;=NKC!$N$8,B4117&gt;=NKC!$M$8),"x","")</f>
        <v/>
      </c>
      <c r="AA4117" s="826"/>
    </row>
    <row r="4118" spans="1:27" ht="15.75" customHeight="1">
      <c r="A4118" s="827" t="str">
        <f>IF(B4118&lt;&gt;"",IF(AND(B4118&gt;=_TM1,B4118&lt;=_TM2,OR(TH!L4118="1111",TH!M4118="1111")),TH!D4118,""),"")</f>
        <v/>
      </c>
      <c r="B4118" s="36" t="str">
        <f t="shared" si="519"/>
        <v/>
      </c>
      <c r="C4118" s="190"/>
      <c r="D4118" s="190"/>
      <c r="E4118" s="785"/>
      <c r="F4118" s="188"/>
      <c r="G4118" s="832"/>
      <c r="H4118" s="7"/>
      <c r="I4118" s="253"/>
      <c r="J4118" s="253"/>
      <c r="K4118" s="584"/>
      <c r="L4118" s="39"/>
      <c r="M4118" s="39"/>
      <c r="N4118" s="52" t="str">
        <f>IF(AND('331-CT'!$E$7=TH!H4118,OR(L4118="331",M4118="331")),"331",IF(AND(OR(L4118="131",M4118="131"),H4118='131-CT'!$E$7),"131",""))</f>
        <v/>
      </c>
      <c r="O4118" s="52" t="str">
        <f>IF(AND($B4118&gt;='111'!$N$11,$B4118&lt;='111'!$O$11,OR($L4118=$O$7,$M4118=$O$7)),"x","")</f>
        <v/>
      </c>
      <c r="P4118" s="52" t="str">
        <f>IF(AND($L4118=$O$7,$B4118&lt;'111'!$N$11),"x","")</f>
        <v/>
      </c>
      <c r="Q4118" s="52" t="str">
        <f>IF(AND($M4118=$O$7,$B4118&lt;'111'!$N$11),"x","")</f>
        <v/>
      </c>
      <c r="R4118" s="52" t="str">
        <f>IF(ISERROR(FIND('112'!$M$9,G4118,1)),"",IF((AND(FIND('112'!$M$9,G4118,1)&gt;=1,$B4118&gt;='112'!$N$8,$B4118&lt;='112'!$O$8,OR($L4118='112'!$I$6,$M4118='112'!$I$6))),"x",""))</f>
        <v/>
      </c>
      <c r="S4118" s="52" t="str">
        <f>IF(ISERROR(FIND('112'!$M$9,G4118,1)),"",IF((AND(LEFT(G4118,2)=LEFT('112'!$M$9,2),B4118&lt;'112'!$N$8,$L4118='112'!$I$6)),"x",""))</f>
        <v/>
      </c>
      <c r="T4118" s="52" t="str">
        <f>IF(ISERROR(FIND('112'!$M$9,G4118,1)),"",IF((AND(RIGHT(G4118,2)=RIGHT('112'!$M$9,2),B4118&lt;'112'!$N$8,$M4118='112'!$I$6)),"x",""))</f>
        <v/>
      </c>
      <c r="U4118" s="52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/>
      </c>
      <c r="V4118" s="52" t="str">
        <f>IF(OR(TH!L4118=TH!$V$7,M4118=TH!$V$7),"x","")</f>
        <v/>
      </c>
      <c r="W4118" s="52" t="str">
        <f>IF(AND(B4118&gt;='IN-NX'!$P$3,B4118&lt;='IN-NX'!$Q$3,'IN-NX'!$D$7=D4118,OR(LEFT(L4118,2)="15",AND(LEFT(M4118,2)&lt;&gt;"15",LEFT(M4118,2)&lt;&gt;"33"))),"x","")</f>
        <v/>
      </c>
      <c r="X4118" s="52" t="str">
        <f>IF(AND(OR(LEFT(TH!L4118,2)="15",LEFT(TH!M4118,2)="15"),'152-CT'!$J$8=TH!F4118),"x","")</f>
        <v/>
      </c>
      <c r="Y4118" s="52" t="str">
        <f>IF(AND(OR(LEFT(TH!L4118,2)="15",LEFT(TH!M4118,2)="15"),TK!$E$7=TH!F4118),"x","")</f>
        <v/>
      </c>
      <c r="Z4118" s="52" t="str">
        <f>IF(AND(B4118&lt;=NKC!$N$8,B4118&gt;=NKC!$M$8),"x","")</f>
        <v/>
      </c>
      <c r="AA4118" s="826"/>
    </row>
    <row r="4119" spans="1:27" ht="15.75" customHeight="1">
      <c r="A4119" s="827" t="str">
        <f>IF(B4119&lt;&gt;"",IF(AND(B4119&gt;=_TM1,B4119&lt;=_TM2,OR(TH!L4119="1111",TH!M4119="1111")),TH!D4119,""),"")</f>
        <v/>
      </c>
      <c r="B4119" s="36" t="str">
        <f t="shared" si="519"/>
        <v/>
      </c>
      <c r="C4119" s="190"/>
      <c r="D4119" s="190"/>
      <c r="E4119" s="785"/>
      <c r="F4119" s="188"/>
      <c r="G4119" s="832"/>
      <c r="H4119" s="7"/>
      <c r="I4119" s="253"/>
      <c r="J4119" s="253"/>
      <c r="K4119" s="584"/>
      <c r="L4119" s="39"/>
      <c r="M4119" s="39"/>
      <c r="N4119" s="52" t="str">
        <f>IF(AND('331-CT'!$E$7=TH!H4119,OR(L4119="331",M4119="331")),"331",IF(AND(OR(L4119="131",M4119="131"),H4119='131-CT'!$E$7),"131",""))</f>
        <v/>
      </c>
      <c r="O4119" s="52" t="str">
        <f>IF(AND($B4119&gt;='111'!$N$11,$B4119&lt;='111'!$O$11,OR($L4119=$O$7,$M4119=$O$7)),"x","")</f>
        <v/>
      </c>
      <c r="P4119" s="52" t="str">
        <f>IF(AND($L4119=$O$7,$B4119&lt;'111'!$N$11),"x","")</f>
        <v/>
      </c>
      <c r="Q4119" s="52" t="str">
        <f>IF(AND($M4119=$O$7,$B4119&lt;'111'!$N$11),"x","")</f>
        <v/>
      </c>
      <c r="R4119" s="52" t="str">
        <f>IF(ISERROR(FIND('112'!$M$9,G4119,1)),"",IF((AND(FIND('112'!$M$9,G4119,1)&gt;=1,$B4119&gt;='112'!$N$8,$B4119&lt;='112'!$O$8,OR($L4119='112'!$I$6,$M4119='112'!$I$6))),"x",""))</f>
        <v/>
      </c>
      <c r="S4119" s="52" t="str">
        <f>IF(ISERROR(FIND('112'!$M$9,G4119,1)),"",IF((AND(LEFT(G4119,2)=LEFT('112'!$M$9,2),B4119&lt;'112'!$N$8,$L4119='112'!$I$6)),"x",""))</f>
        <v/>
      </c>
      <c r="T4119" s="52" t="str">
        <f>IF(ISERROR(FIND('112'!$M$9,G4119,1)),"",IF((AND(RIGHT(G4119,2)=RIGHT('112'!$M$9,2),B4119&lt;'112'!$N$8,$M4119='112'!$I$6)),"x",""))</f>
        <v/>
      </c>
      <c r="U4119" s="52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/>
      </c>
      <c r="V4119" s="52" t="str">
        <f>IF(OR(TH!L4119=TH!$V$7,M4119=TH!$V$7),"x","")</f>
        <v/>
      </c>
      <c r="W4119" s="52" t="str">
        <f>IF(AND(B4119&gt;='IN-NX'!$P$3,B4119&lt;='IN-NX'!$Q$3,'IN-NX'!$D$7=D4119,OR(LEFT(L4119,2)="15",AND(LEFT(M4119,2)&lt;&gt;"15",LEFT(M4119,2)&lt;&gt;"33"))),"x","")</f>
        <v/>
      </c>
      <c r="X4119" s="52" t="str">
        <f>IF(AND(OR(LEFT(TH!L4119,2)="15",LEFT(TH!M4119,2)="15"),'152-CT'!$J$8=TH!F4119),"x","")</f>
        <v/>
      </c>
      <c r="Y4119" s="52" t="str">
        <f>IF(AND(OR(LEFT(TH!L4119,2)="15",LEFT(TH!M4119,2)="15"),TK!$E$7=TH!F4119),"x","")</f>
        <v/>
      </c>
      <c r="Z4119" s="52" t="str">
        <f>IF(AND(B4119&lt;=NKC!$N$8,B4119&gt;=NKC!$M$8),"x","")</f>
        <v/>
      </c>
      <c r="AA4119" s="826"/>
    </row>
    <row r="4120" spans="1:27" ht="15.75" customHeight="1">
      <c r="A4120" s="827" t="str">
        <f>IF(B4120&lt;&gt;"",IF(AND(B4120&gt;=_TM1,B4120&lt;=_TM2,OR(TH!L4120="1111",TH!M4120="1111")),TH!D4120,""),"")</f>
        <v/>
      </c>
      <c r="B4120" s="36" t="str">
        <f t="shared" si="519"/>
        <v/>
      </c>
      <c r="C4120" s="190"/>
      <c r="D4120" s="190"/>
      <c r="E4120" s="785"/>
      <c r="F4120" s="188"/>
      <c r="G4120" s="832"/>
      <c r="H4120" s="7"/>
      <c r="I4120" s="253"/>
      <c r="J4120" s="253"/>
      <c r="K4120" s="584"/>
      <c r="L4120" s="39"/>
      <c r="M4120" s="39"/>
      <c r="N4120" s="52" t="str">
        <f>IF(AND('331-CT'!$E$7=TH!H4120,OR(L4120="331",M4120="331")),"331",IF(AND(OR(L4120="131",M4120="131"),H4120='131-CT'!$E$7),"131",""))</f>
        <v/>
      </c>
      <c r="O4120" s="52" t="str">
        <f>IF(AND($B4120&gt;='111'!$N$11,$B4120&lt;='111'!$O$11,OR($L4120=$O$7,$M4120=$O$7)),"x","")</f>
        <v/>
      </c>
      <c r="P4120" s="52" t="str">
        <f>IF(AND($L4120=$O$7,$B4120&lt;'111'!$N$11),"x","")</f>
        <v/>
      </c>
      <c r="Q4120" s="52" t="str">
        <f>IF(AND($M4120=$O$7,$B4120&lt;'111'!$N$11),"x","")</f>
        <v/>
      </c>
      <c r="R4120" s="52" t="str">
        <f>IF(ISERROR(FIND('112'!$M$9,G4120,1)),"",IF((AND(FIND('112'!$M$9,G4120,1)&gt;=1,$B4120&gt;='112'!$N$8,$B4120&lt;='112'!$O$8,OR($L4120='112'!$I$6,$M4120='112'!$I$6))),"x",""))</f>
        <v/>
      </c>
      <c r="S4120" s="52" t="str">
        <f>IF(ISERROR(FIND('112'!$M$9,G4120,1)),"",IF((AND(LEFT(G4120,2)=LEFT('112'!$M$9,2),B4120&lt;'112'!$N$8,$L4120='112'!$I$6)),"x",""))</f>
        <v/>
      </c>
      <c r="T4120" s="52" t="str">
        <f>IF(ISERROR(FIND('112'!$M$9,G4120,1)),"",IF((AND(RIGHT(G4120,2)=RIGHT('112'!$M$9,2),B4120&lt;'112'!$N$8,$M4120='112'!$I$6)),"x",""))</f>
        <v/>
      </c>
      <c r="U4120" s="52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/>
      </c>
      <c r="V4120" s="52" t="str">
        <f>IF(OR(TH!L4120=TH!$V$7,M4120=TH!$V$7),"x","")</f>
        <v/>
      </c>
      <c r="W4120" s="52" t="str">
        <f>IF(AND(B4120&gt;='IN-NX'!$P$3,B4120&lt;='IN-NX'!$Q$3,'IN-NX'!$D$7=D4120,OR(LEFT(L4120,2)="15",AND(LEFT(M4120,2)&lt;&gt;"15",LEFT(M4120,2)&lt;&gt;"33"))),"x","")</f>
        <v/>
      </c>
      <c r="X4120" s="52" t="str">
        <f>IF(AND(OR(LEFT(TH!L4120,2)="15",LEFT(TH!M4120,2)="15"),'152-CT'!$J$8=TH!F4120),"x","")</f>
        <v/>
      </c>
      <c r="Y4120" s="52" t="str">
        <f>IF(AND(OR(LEFT(TH!L4120,2)="15",LEFT(TH!M4120,2)="15"),TK!$E$7=TH!F4120),"x","")</f>
        <v/>
      </c>
      <c r="Z4120" s="52" t="str">
        <f>IF(AND(B4120&lt;=NKC!$N$8,B4120&gt;=NKC!$M$8),"x","")</f>
        <v/>
      </c>
      <c r="AA4120" s="826"/>
    </row>
    <row r="4121" spans="1:27" ht="15.75" customHeight="1">
      <c r="A4121" s="827" t="str">
        <f>IF(B4121&lt;&gt;"",IF(AND(B4121&gt;=_TM1,B4121&lt;=_TM2,OR(TH!L4121="1111",TH!M4121="1111")),TH!D4121,""),"")</f>
        <v/>
      </c>
      <c r="B4121" s="36" t="str">
        <f t="shared" si="519"/>
        <v/>
      </c>
      <c r="C4121" s="190"/>
      <c r="D4121" s="190"/>
      <c r="E4121" s="785"/>
      <c r="F4121" s="40"/>
      <c r="G4121" s="832"/>
      <c r="H4121" s="7"/>
      <c r="I4121" s="253"/>
      <c r="J4121" s="253"/>
      <c r="K4121" s="584"/>
      <c r="L4121" s="39"/>
      <c r="M4121" s="39"/>
      <c r="N4121" s="52" t="str">
        <f>IF(AND('331-CT'!$E$7=TH!H4121,OR(L4121="331",M4121="331")),"331",IF(AND(OR(L4121="131",M4121="131"),H4121='131-CT'!$E$7),"131",""))</f>
        <v/>
      </c>
      <c r="O4121" s="52" t="str">
        <f>IF(AND($B4121&gt;='111'!$N$11,$B4121&lt;='111'!$O$11,OR($L4121=$O$7,$M4121=$O$7)),"x","")</f>
        <v/>
      </c>
      <c r="P4121" s="52" t="str">
        <f>IF(AND($L4121=$O$7,$B4121&lt;'111'!$N$11),"x","")</f>
        <v/>
      </c>
      <c r="Q4121" s="52" t="str">
        <f>IF(AND($M4121=$O$7,$B4121&lt;'111'!$N$11),"x","")</f>
        <v/>
      </c>
      <c r="R4121" s="52" t="str">
        <f>IF(ISERROR(FIND('112'!$M$9,G4121,1)),"",IF((AND(FIND('112'!$M$9,G4121,1)&gt;=1,$B4121&gt;='112'!$N$8,$B4121&lt;='112'!$O$8,OR($L4121='112'!$I$6,$M4121='112'!$I$6))),"x",""))</f>
        <v/>
      </c>
      <c r="S4121" s="52" t="str">
        <f>IF(ISERROR(FIND('112'!$M$9,G4121,1)),"",IF((AND(LEFT(G4121,2)=LEFT('112'!$M$9,2),B4121&lt;'112'!$N$8,$L4121='112'!$I$6)),"x",""))</f>
        <v/>
      </c>
      <c r="T4121" s="52" t="str">
        <f>IF(ISERROR(FIND('112'!$M$9,G4121,1)),"",IF((AND(RIGHT(G4121,2)=RIGHT('112'!$M$9,2),B4121&lt;'112'!$N$8,$M4121='112'!$I$6)),"x",""))</f>
        <v/>
      </c>
      <c r="U4121" s="52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/>
      </c>
      <c r="V4121" s="52" t="str">
        <f>IF(OR(TH!L4121=TH!$V$7,M4121=TH!$V$7),"x","")</f>
        <v/>
      </c>
      <c r="W4121" s="52" t="str">
        <f>IF(AND(B4121&gt;='IN-NX'!$P$3,B4121&lt;='IN-NX'!$Q$3,'IN-NX'!$D$7=D4121,OR(LEFT(L4121,2)="15",AND(LEFT(M4121,2)&lt;&gt;"15",LEFT(M4121,2)&lt;&gt;"33"))),"x","")</f>
        <v/>
      </c>
      <c r="X4121" s="52" t="str">
        <f>IF(AND(OR(LEFT(TH!L4121,2)="15",LEFT(TH!M4121,2)="15"),'152-CT'!$J$8=TH!F4121),"x","")</f>
        <v/>
      </c>
      <c r="Y4121" s="52" t="str">
        <f>IF(AND(OR(LEFT(TH!L4121,2)="15",LEFT(TH!M4121,2)="15"),TK!$E$7=TH!F4121),"x","")</f>
        <v/>
      </c>
      <c r="Z4121" s="52" t="str">
        <f>IF(AND(B4121&lt;=NKC!$N$8,B4121&gt;=NKC!$M$8),"x","")</f>
        <v/>
      </c>
      <c r="AA4121" s="826"/>
    </row>
    <row r="4122" spans="1:27" ht="15.75" customHeight="1">
      <c r="A4122" s="827" t="str">
        <f>IF(B4122&lt;&gt;"",IF(AND(B4122&gt;=_TM1,B4122&lt;=_TM2,OR(TH!L4122="1111",TH!M4122="1111")),TH!D4122,""),"")</f>
        <v/>
      </c>
      <c r="B4122" s="36" t="str">
        <f t="shared" si="519"/>
        <v/>
      </c>
      <c r="C4122" s="190"/>
      <c r="D4122" s="190"/>
      <c r="E4122" s="785"/>
      <c r="F4122" s="40"/>
      <c r="G4122" s="832"/>
      <c r="H4122" s="7"/>
      <c r="I4122" s="253"/>
      <c r="J4122" s="253"/>
      <c r="K4122" s="584"/>
      <c r="L4122" s="39"/>
      <c r="M4122" s="39"/>
      <c r="N4122" s="52" t="str">
        <f>IF(AND('331-CT'!$E$7=TH!H4122,OR(L4122="331",M4122="331")),"331",IF(AND(OR(L4122="131",M4122="131"),H4122='131-CT'!$E$7),"131",""))</f>
        <v/>
      </c>
      <c r="O4122" s="52" t="str">
        <f>IF(AND($B4122&gt;='111'!$N$11,$B4122&lt;='111'!$O$11,OR($L4122=$O$7,$M4122=$O$7)),"x","")</f>
        <v/>
      </c>
      <c r="P4122" s="52" t="str">
        <f>IF(AND($L4122=$O$7,$B4122&lt;'111'!$N$11),"x","")</f>
        <v/>
      </c>
      <c r="Q4122" s="52" t="str">
        <f>IF(AND($M4122=$O$7,$B4122&lt;'111'!$N$11),"x","")</f>
        <v/>
      </c>
      <c r="R4122" s="52" t="str">
        <f>IF(ISERROR(FIND('112'!$M$9,G4122,1)),"",IF((AND(FIND('112'!$M$9,G4122,1)&gt;=1,$B4122&gt;='112'!$N$8,$B4122&lt;='112'!$O$8,OR($L4122='112'!$I$6,$M4122='112'!$I$6))),"x",""))</f>
        <v/>
      </c>
      <c r="S4122" s="52" t="str">
        <f>IF(ISERROR(FIND('112'!$M$9,G4122,1)),"",IF((AND(LEFT(G4122,2)=LEFT('112'!$M$9,2),B4122&lt;'112'!$N$8,$L4122='112'!$I$6)),"x",""))</f>
        <v/>
      </c>
      <c r="T4122" s="52" t="str">
        <f>IF(ISERROR(FIND('112'!$M$9,G4122,1)),"",IF((AND(RIGHT(G4122,2)=RIGHT('112'!$M$9,2),B4122&lt;'112'!$N$8,$M4122='112'!$I$6)),"x",""))</f>
        <v/>
      </c>
      <c r="U4122" s="52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/>
      </c>
      <c r="V4122" s="52" t="str">
        <f>IF(OR(TH!L4122=TH!$V$7,M4122=TH!$V$7),"x","")</f>
        <v/>
      </c>
      <c r="W4122" s="52" t="str">
        <f>IF(AND(B4122&gt;='IN-NX'!$P$3,B4122&lt;='IN-NX'!$Q$3,'IN-NX'!$D$7=D4122,OR(LEFT(L4122,2)="15",AND(LEFT(M4122,2)&lt;&gt;"15",LEFT(M4122,2)&lt;&gt;"33"))),"x","")</f>
        <v/>
      </c>
      <c r="X4122" s="52" t="str">
        <f>IF(AND(OR(LEFT(TH!L4122,2)="15",LEFT(TH!M4122,2)="15"),'152-CT'!$J$8=TH!F4122),"x","")</f>
        <v/>
      </c>
      <c r="Y4122" s="52" t="str">
        <f>IF(AND(OR(LEFT(TH!L4122,2)="15",LEFT(TH!M4122,2)="15"),TK!$E$7=TH!F4122),"x","")</f>
        <v/>
      </c>
      <c r="Z4122" s="52" t="str">
        <f>IF(AND(B4122&lt;=NKC!$N$8,B4122&gt;=NKC!$M$8),"x","")</f>
        <v/>
      </c>
      <c r="AA4122" s="826"/>
    </row>
    <row r="4123" spans="1:27" ht="15.75" customHeight="1">
      <c r="A4123" s="827" t="str">
        <f>IF(B4123&lt;&gt;"",IF(AND(B4123&gt;=_TM1,B4123&lt;=_TM2,OR(TH!L4123="1111",TH!M4123="1111")),TH!D4123,""),"")</f>
        <v/>
      </c>
      <c r="B4123" s="36" t="str">
        <f t="shared" si="519"/>
        <v/>
      </c>
      <c r="C4123" s="190"/>
      <c r="D4123" s="190"/>
      <c r="E4123" s="785"/>
      <c r="F4123" s="40"/>
      <c r="G4123" s="832"/>
      <c r="H4123" s="7"/>
      <c r="I4123" s="253"/>
      <c r="J4123" s="253"/>
      <c r="K4123" s="584"/>
      <c r="L4123" s="39"/>
      <c r="M4123" s="39"/>
      <c r="N4123" s="52" t="str">
        <f>IF(AND('331-CT'!$E$7=TH!H4123,OR(L4123="331",M4123="331")),"331",IF(AND(OR(L4123="131",M4123="131"),H4123='131-CT'!$E$7),"131",""))</f>
        <v/>
      </c>
      <c r="O4123" s="52" t="str">
        <f>IF(AND($B4123&gt;='111'!$N$11,$B4123&lt;='111'!$O$11,OR($L4123=$O$7,$M4123=$O$7)),"x","")</f>
        <v/>
      </c>
      <c r="P4123" s="52" t="str">
        <f>IF(AND($L4123=$O$7,$B4123&lt;'111'!$N$11),"x","")</f>
        <v/>
      </c>
      <c r="Q4123" s="52" t="str">
        <f>IF(AND($M4123=$O$7,$B4123&lt;'111'!$N$11),"x","")</f>
        <v/>
      </c>
      <c r="R4123" s="52" t="str">
        <f>IF(ISERROR(FIND('112'!$M$9,G4123,1)),"",IF((AND(FIND('112'!$M$9,G4123,1)&gt;=1,$B4123&gt;='112'!$N$8,$B4123&lt;='112'!$O$8,OR($L4123='112'!$I$6,$M4123='112'!$I$6))),"x",""))</f>
        <v/>
      </c>
      <c r="S4123" s="52" t="str">
        <f>IF(ISERROR(FIND('112'!$M$9,G4123,1)),"",IF((AND(LEFT(G4123,2)=LEFT('112'!$M$9,2),B4123&lt;'112'!$N$8,$L4123='112'!$I$6)),"x",""))</f>
        <v/>
      </c>
      <c r="T4123" s="52" t="str">
        <f>IF(ISERROR(FIND('112'!$M$9,G4123,1)),"",IF((AND(RIGHT(G4123,2)=RIGHT('112'!$M$9,2),B4123&lt;'112'!$N$8,$M4123='112'!$I$6)),"x",""))</f>
        <v/>
      </c>
      <c r="U4123" s="52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/>
      </c>
      <c r="V4123" s="52" t="str">
        <f>IF(OR(TH!L4123=TH!$V$7,M4123=TH!$V$7),"x","")</f>
        <v/>
      </c>
      <c r="W4123" s="52" t="str">
        <f>IF(AND(B4123&gt;='IN-NX'!$P$3,B4123&lt;='IN-NX'!$Q$3,'IN-NX'!$D$7=D4123,OR(LEFT(L4123,2)="15",AND(LEFT(M4123,2)&lt;&gt;"15",LEFT(M4123,2)&lt;&gt;"33"))),"x","")</f>
        <v/>
      </c>
      <c r="X4123" s="52" t="str">
        <f>IF(AND(OR(LEFT(TH!L4123,2)="15",LEFT(TH!M4123,2)="15"),'152-CT'!$J$8=TH!F4123),"x","")</f>
        <v/>
      </c>
      <c r="Y4123" s="52" t="str">
        <f>IF(AND(OR(LEFT(TH!L4123,2)="15",LEFT(TH!M4123,2)="15"),TK!$E$7=TH!F4123),"x","")</f>
        <v/>
      </c>
      <c r="Z4123" s="52" t="str">
        <f>IF(AND(B4123&lt;=NKC!$N$8,B4123&gt;=NKC!$M$8),"x","")</f>
        <v/>
      </c>
      <c r="AA4123" s="826"/>
    </row>
    <row r="4124" spans="1:27" ht="15.75" customHeight="1">
      <c r="A4124" s="827" t="str">
        <f>IF(B4124&lt;&gt;"",IF(AND(B4124&gt;=_TM1,B4124&lt;=_TM2,OR(TH!L4124="1111",TH!M4124="1111")),TH!D4124,""),"")</f>
        <v/>
      </c>
      <c r="B4124" s="36" t="str">
        <f t="shared" si="519"/>
        <v/>
      </c>
      <c r="C4124" s="190"/>
      <c r="D4124" s="190"/>
      <c r="E4124" s="785"/>
      <c r="F4124" s="40"/>
      <c r="G4124" s="832"/>
      <c r="H4124" s="7"/>
      <c r="I4124" s="253"/>
      <c r="J4124" s="253"/>
      <c r="K4124" s="584"/>
      <c r="L4124" s="39"/>
      <c r="M4124" s="39"/>
      <c r="N4124" s="52" t="str">
        <f>IF(AND('331-CT'!$E$7=TH!H4124,OR(L4124="331",M4124="331")),"331",IF(AND(OR(L4124="131",M4124="131"),H4124='131-CT'!$E$7),"131",""))</f>
        <v/>
      </c>
      <c r="O4124" s="52" t="str">
        <f>IF(AND($B4124&gt;='111'!$N$11,$B4124&lt;='111'!$O$11,OR($L4124=$O$7,$M4124=$O$7)),"x","")</f>
        <v/>
      </c>
      <c r="P4124" s="52" t="str">
        <f>IF(AND($L4124=$O$7,$B4124&lt;'111'!$N$11),"x","")</f>
        <v/>
      </c>
      <c r="Q4124" s="52" t="str">
        <f>IF(AND($M4124=$O$7,$B4124&lt;'111'!$N$11),"x","")</f>
        <v/>
      </c>
      <c r="R4124" s="52" t="str">
        <f>IF(ISERROR(FIND('112'!$M$9,G4124,1)),"",IF((AND(FIND('112'!$M$9,G4124,1)&gt;=1,$B4124&gt;='112'!$N$8,$B4124&lt;='112'!$O$8,OR($L4124='112'!$I$6,$M4124='112'!$I$6))),"x",""))</f>
        <v/>
      </c>
      <c r="S4124" s="52" t="str">
        <f>IF(ISERROR(FIND('112'!$M$9,G4124,1)),"",IF((AND(LEFT(G4124,2)=LEFT('112'!$M$9,2),B4124&lt;'112'!$N$8,$L4124='112'!$I$6)),"x",""))</f>
        <v/>
      </c>
      <c r="T4124" s="52" t="str">
        <f>IF(ISERROR(FIND('112'!$M$9,G4124,1)),"",IF((AND(RIGHT(G4124,2)=RIGHT('112'!$M$9,2),B4124&lt;'112'!$N$8,$M4124='112'!$I$6)),"x",""))</f>
        <v/>
      </c>
      <c r="U4124" s="52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/>
      </c>
      <c r="V4124" s="52" t="str">
        <f>IF(OR(TH!L4124=TH!$V$7,M4124=TH!$V$7),"x","")</f>
        <v/>
      </c>
      <c r="W4124" s="52" t="str">
        <f>IF(AND(B4124&gt;='IN-NX'!$P$3,B4124&lt;='IN-NX'!$Q$3,'IN-NX'!$D$7=D4124,OR(LEFT(L4124,2)="15",AND(LEFT(M4124,2)&lt;&gt;"15",LEFT(M4124,2)&lt;&gt;"33"))),"x","")</f>
        <v/>
      </c>
      <c r="X4124" s="52" t="str">
        <f>IF(AND(OR(LEFT(TH!L4124,2)="15",LEFT(TH!M4124,2)="15"),'152-CT'!$J$8=TH!F4124),"x","")</f>
        <v/>
      </c>
      <c r="Y4124" s="52" t="str">
        <f>IF(AND(OR(LEFT(TH!L4124,2)="15",LEFT(TH!M4124,2)="15"),TK!$E$7=TH!F4124),"x","")</f>
        <v/>
      </c>
      <c r="Z4124" s="52" t="str">
        <f>IF(AND(B4124&lt;=NKC!$N$8,B4124&gt;=NKC!$M$8),"x","")</f>
        <v/>
      </c>
      <c r="AA4124" s="826"/>
    </row>
    <row r="4125" spans="1:27" ht="15.75" customHeight="1">
      <c r="A4125" s="827" t="str">
        <f>IF(B4125&lt;&gt;"",IF(AND(B4125&gt;=_TM1,B4125&lt;=_TM2,OR(TH!L4125="1111",TH!M4125="1111")),TH!D4125,""),"")</f>
        <v/>
      </c>
      <c r="B4125" s="36" t="str">
        <f t="shared" si="519"/>
        <v/>
      </c>
      <c r="C4125" s="190"/>
      <c r="D4125" s="190"/>
      <c r="E4125" s="785"/>
      <c r="F4125" s="40"/>
      <c r="G4125" s="832"/>
      <c r="H4125" s="7"/>
      <c r="I4125" s="253"/>
      <c r="J4125" s="253"/>
      <c r="K4125" s="584"/>
      <c r="L4125" s="39"/>
      <c r="M4125" s="39"/>
      <c r="N4125" s="52" t="str">
        <f>IF(AND('331-CT'!$E$7=TH!H4125,OR(L4125="331",M4125="331")),"331",IF(AND(OR(L4125="131",M4125="131"),H4125='131-CT'!$E$7),"131",""))</f>
        <v/>
      </c>
      <c r="O4125" s="52" t="str">
        <f>IF(AND($B4125&gt;='111'!$N$11,$B4125&lt;='111'!$O$11,OR($L4125=$O$7,$M4125=$O$7)),"x","")</f>
        <v/>
      </c>
      <c r="P4125" s="52" t="str">
        <f>IF(AND($L4125=$O$7,$B4125&lt;'111'!$N$11),"x","")</f>
        <v/>
      </c>
      <c r="Q4125" s="52" t="str">
        <f>IF(AND($M4125=$O$7,$B4125&lt;'111'!$N$11),"x","")</f>
        <v/>
      </c>
      <c r="R4125" s="52" t="str">
        <f>IF(ISERROR(FIND('112'!$M$9,G4125,1)),"",IF((AND(FIND('112'!$M$9,G4125,1)&gt;=1,$B4125&gt;='112'!$N$8,$B4125&lt;='112'!$O$8,OR($L4125='112'!$I$6,$M4125='112'!$I$6))),"x",""))</f>
        <v/>
      </c>
      <c r="S4125" s="52" t="str">
        <f>IF(ISERROR(FIND('112'!$M$9,G4125,1)),"",IF((AND(LEFT(G4125,2)=LEFT('112'!$M$9,2),B4125&lt;'112'!$N$8,$L4125='112'!$I$6)),"x",""))</f>
        <v/>
      </c>
      <c r="T4125" s="52" t="str">
        <f>IF(ISERROR(FIND('112'!$M$9,G4125,1)),"",IF((AND(RIGHT(G4125,2)=RIGHT('112'!$M$9,2),B4125&lt;'112'!$N$8,$M4125='112'!$I$6)),"x",""))</f>
        <v/>
      </c>
      <c r="U4125" s="52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/>
      </c>
      <c r="V4125" s="52" t="str">
        <f>IF(OR(TH!L4125=TH!$V$7,M4125=TH!$V$7),"x","")</f>
        <v/>
      </c>
      <c r="W4125" s="52" t="str">
        <f>IF(AND(B4125&gt;='IN-NX'!$P$3,B4125&lt;='IN-NX'!$Q$3,'IN-NX'!$D$7=D4125,OR(LEFT(L4125,2)="15",AND(LEFT(M4125,2)&lt;&gt;"15",LEFT(M4125,2)&lt;&gt;"33"))),"x","")</f>
        <v/>
      </c>
      <c r="X4125" s="52" t="str">
        <f>IF(AND(OR(LEFT(TH!L4125,2)="15",LEFT(TH!M4125,2)="15"),'152-CT'!$J$8=TH!F4125),"x","")</f>
        <v/>
      </c>
      <c r="Y4125" s="52" t="str">
        <f>IF(AND(OR(LEFT(TH!L4125,2)="15",LEFT(TH!M4125,2)="15"),TK!$E$7=TH!F4125),"x","")</f>
        <v/>
      </c>
      <c r="Z4125" s="52" t="str">
        <f>IF(AND(B4125&lt;=NKC!$N$8,B4125&gt;=NKC!$M$8),"x","")</f>
        <v/>
      </c>
      <c r="AA4125" s="826"/>
    </row>
    <row r="4126" spans="1:27" ht="15.75" customHeight="1">
      <c r="A4126" s="827" t="str">
        <f>IF(B4126&lt;&gt;"",IF(AND(B4126&gt;=_TM1,B4126&lt;=_TM2,OR(TH!L4126="1111",TH!M4126="1111")),TH!D4126,""),"")</f>
        <v/>
      </c>
      <c r="B4126" s="36" t="str">
        <f t="shared" si="519"/>
        <v/>
      </c>
      <c r="C4126" s="190"/>
      <c r="D4126" s="190"/>
      <c r="E4126" s="785"/>
      <c r="F4126" s="40"/>
      <c r="G4126" s="832"/>
      <c r="H4126" s="7"/>
      <c r="I4126" s="253"/>
      <c r="J4126" s="253"/>
      <c r="K4126" s="584"/>
      <c r="L4126" s="39"/>
      <c r="M4126" s="39"/>
      <c r="N4126" s="52" t="str">
        <f>IF(AND('331-CT'!$E$7=TH!H4126,OR(L4126="331",M4126="331")),"331",IF(AND(OR(L4126="131",M4126="131"),H4126='131-CT'!$E$7),"131",""))</f>
        <v/>
      </c>
      <c r="O4126" s="52" t="str">
        <f>IF(AND($B4126&gt;='111'!$N$11,$B4126&lt;='111'!$O$11,OR($L4126=$O$7,$M4126=$O$7)),"x","")</f>
        <v/>
      </c>
      <c r="P4126" s="52" t="str">
        <f>IF(AND($L4126=$O$7,$B4126&lt;'111'!$N$11),"x","")</f>
        <v/>
      </c>
      <c r="Q4126" s="52" t="str">
        <f>IF(AND($M4126=$O$7,$B4126&lt;'111'!$N$11),"x","")</f>
        <v/>
      </c>
      <c r="R4126" s="52" t="str">
        <f>IF(ISERROR(FIND('112'!$M$9,G4126,1)),"",IF((AND(FIND('112'!$M$9,G4126,1)&gt;=1,$B4126&gt;='112'!$N$8,$B4126&lt;='112'!$O$8,OR($L4126='112'!$I$6,$M4126='112'!$I$6))),"x",""))</f>
        <v/>
      </c>
      <c r="S4126" s="52" t="str">
        <f>IF(ISERROR(FIND('112'!$M$9,G4126,1)),"",IF((AND(LEFT(G4126,2)=LEFT('112'!$M$9,2),B4126&lt;'112'!$N$8,$L4126='112'!$I$6)),"x",""))</f>
        <v/>
      </c>
      <c r="T4126" s="52" t="str">
        <f>IF(ISERROR(FIND('112'!$M$9,G4126,1)),"",IF((AND(RIGHT(G4126,2)=RIGHT('112'!$M$9,2),B4126&lt;'112'!$N$8,$M4126='112'!$I$6)),"x",""))</f>
        <v/>
      </c>
      <c r="U4126" s="52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/>
      </c>
      <c r="V4126" s="52" t="str">
        <f>IF(OR(TH!L4126=TH!$V$7,M4126=TH!$V$7),"x","")</f>
        <v/>
      </c>
      <c r="W4126" s="52" t="str">
        <f>IF(AND(B4126&gt;='IN-NX'!$P$3,B4126&lt;='IN-NX'!$Q$3,'IN-NX'!$D$7=D4126,OR(LEFT(L4126,2)="15",AND(LEFT(M4126,2)&lt;&gt;"15",LEFT(M4126,2)&lt;&gt;"33"))),"x","")</f>
        <v/>
      </c>
      <c r="X4126" s="52" t="str">
        <f>IF(AND(OR(LEFT(TH!L4126,2)="15",LEFT(TH!M4126,2)="15"),'152-CT'!$J$8=TH!F4126),"x","")</f>
        <v/>
      </c>
      <c r="Y4126" s="52" t="str">
        <f>IF(AND(OR(LEFT(TH!L4126,2)="15",LEFT(TH!M4126,2)="15"),TK!$E$7=TH!F4126),"x","")</f>
        <v/>
      </c>
      <c r="Z4126" s="52" t="str">
        <f>IF(AND(B4126&lt;=NKC!$N$8,B4126&gt;=NKC!$M$8),"x","")</f>
        <v/>
      </c>
      <c r="AA4126" s="826"/>
    </row>
    <row r="4127" spans="1:27" ht="15.75" customHeight="1">
      <c r="A4127" s="827" t="str">
        <f>IF(B4127&lt;&gt;"",IF(AND(B4127&gt;=_TM1,B4127&lt;=_TM2,OR(TH!L4127="1111",TH!M4127="1111")),TH!D4127,""),"")</f>
        <v/>
      </c>
      <c r="B4127" s="36" t="str">
        <f t="shared" si="519"/>
        <v/>
      </c>
      <c r="C4127" s="190"/>
      <c r="D4127" s="190"/>
      <c r="E4127" s="785"/>
      <c r="F4127" s="40"/>
      <c r="G4127" s="832"/>
      <c r="H4127" s="7"/>
      <c r="I4127" s="253"/>
      <c r="J4127" s="253"/>
      <c r="K4127" s="584"/>
      <c r="L4127" s="39"/>
      <c r="M4127" s="39"/>
      <c r="N4127" s="52" t="str">
        <f>IF(AND('331-CT'!$E$7=TH!H4127,OR(L4127="331",M4127="331")),"331",IF(AND(OR(L4127="131",M4127="131"),H4127='131-CT'!$E$7),"131",""))</f>
        <v/>
      </c>
      <c r="O4127" s="52" t="str">
        <f>IF(AND($B4127&gt;='111'!$N$11,$B4127&lt;='111'!$O$11,OR($L4127=$O$7,$M4127=$O$7)),"x","")</f>
        <v/>
      </c>
      <c r="P4127" s="52" t="str">
        <f>IF(AND($L4127=$O$7,$B4127&lt;'111'!$N$11),"x","")</f>
        <v/>
      </c>
      <c r="Q4127" s="52" t="str">
        <f>IF(AND($M4127=$O$7,$B4127&lt;'111'!$N$11),"x","")</f>
        <v/>
      </c>
      <c r="R4127" s="52" t="str">
        <f>IF(ISERROR(FIND('112'!$M$9,G4127,1)),"",IF((AND(FIND('112'!$M$9,G4127,1)&gt;=1,$B4127&gt;='112'!$N$8,$B4127&lt;='112'!$O$8,OR($L4127='112'!$I$6,$M4127='112'!$I$6))),"x",""))</f>
        <v/>
      </c>
      <c r="S4127" s="52" t="str">
        <f>IF(ISERROR(FIND('112'!$M$9,G4127,1)),"",IF((AND(LEFT(G4127,2)=LEFT('112'!$M$9,2),B4127&lt;'112'!$N$8,$L4127='112'!$I$6)),"x",""))</f>
        <v/>
      </c>
      <c r="T4127" s="52" t="str">
        <f>IF(ISERROR(FIND('112'!$M$9,G4127,1)),"",IF((AND(RIGHT(G4127,2)=RIGHT('112'!$M$9,2),B4127&lt;'112'!$N$8,$M4127='112'!$I$6)),"x",""))</f>
        <v/>
      </c>
      <c r="U4127" s="52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/>
      </c>
      <c r="V4127" s="52" t="str">
        <f>IF(OR(TH!L4127=TH!$V$7,M4127=TH!$V$7),"x","")</f>
        <v/>
      </c>
      <c r="W4127" s="52" t="str">
        <f>IF(AND(B4127&gt;='IN-NX'!$P$3,B4127&lt;='IN-NX'!$Q$3,'IN-NX'!$D$7=D4127,OR(LEFT(L4127,2)="15",AND(LEFT(M4127,2)&lt;&gt;"15",LEFT(M4127,2)&lt;&gt;"33"))),"x","")</f>
        <v/>
      </c>
      <c r="X4127" s="52" t="str">
        <f>IF(AND(OR(LEFT(TH!L4127,2)="15",LEFT(TH!M4127,2)="15"),'152-CT'!$J$8=TH!F4127),"x","")</f>
        <v/>
      </c>
      <c r="Y4127" s="52" t="str">
        <f>IF(AND(OR(LEFT(TH!L4127,2)="15",LEFT(TH!M4127,2)="15"),TK!$E$7=TH!F4127),"x","")</f>
        <v/>
      </c>
      <c r="Z4127" s="52" t="str">
        <f>IF(AND(B4127&lt;=NKC!$N$8,B4127&gt;=NKC!$M$8),"x","")</f>
        <v/>
      </c>
      <c r="AA4127" s="826"/>
    </row>
    <row r="4128" spans="1:27" ht="15.75" customHeight="1">
      <c r="A4128" s="827" t="str">
        <f>IF(B4128&lt;&gt;"",IF(AND(B4128&gt;=_TM1,B4128&lt;=_TM2,OR(TH!L4128="1111",TH!M4128="1111")),TH!D4128,""),"")</f>
        <v/>
      </c>
      <c r="B4128" s="36" t="str">
        <f t="shared" si="519"/>
        <v/>
      </c>
      <c r="C4128" s="190"/>
      <c r="D4128" s="190"/>
      <c r="E4128" s="785"/>
      <c r="F4128" s="40"/>
      <c r="G4128" s="832"/>
      <c r="H4128" s="7"/>
      <c r="I4128" s="253"/>
      <c r="J4128" s="253"/>
      <c r="K4128" s="584"/>
      <c r="L4128" s="39"/>
      <c r="M4128" s="39"/>
      <c r="N4128" s="52" t="str">
        <f>IF(AND('331-CT'!$E$7=TH!H4128,OR(L4128="331",M4128="331")),"331",IF(AND(OR(L4128="131",M4128="131"),H4128='131-CT'!$E$7),"131",""))</f>
        <v/>
      </c>
      <c r="O4128" s="52" t="str">
        <f>IF(AND($B4128&gt;='111'!$N$11,$B4128&lt;='111'!$O$11,OR($L4128=$O$7,$M4128=$O$7)),"x","")</f>
        <v/>
      </c>
      <c r="P4128" s="52" t="str">
        <f>IF(AND($L4128=$O$7,$B4128&lt;'111'!$N$11),"x","")</f>
        <v/>
      </c>
      <c r="Q4128" s="52" t="str">
        <f>IF(AND($M4128=$O$7,$B4128&lt;'111'!$N$11),"x","")</f>
        <v/>
      </c>
      <c r="R4128" s="52" t="str">
        <f>IF(ISERROR(FIND('112'!$M$9,G4128,1)),"",IF((AND(FIND('112'!$M$9,G4128,1)&gt;=1,$B4128&gt;='112'!$N$8,$B4128&lt;='112'!$O$8,OR($L4128='112'!$I$6,$M4128='112'!$I$6))),"x",""))</f>
        <v/>
      </c>
      <c r="S4128" s="52" t="str">
        <f>IF(ISERROR(FIND('112'!$M$9,G4128,1)),"",IF((AND(LEFT(G4128,2)=LEFT('112'!$M$9,2),B4128&lt;'112'!$N$8,$L4128='112'!$I$6)),"x",""))</f>
        <v/>
      </c>
      <c r="T4128" s="52" t="str">
        <f>IF(ISERROR(FIND('112'!$M$9,G4128,1)),"",IF((AND(RIGHT(G4128,2)=RIGHT('112'!$M$9,2),B4128&lt;'112'!$N$8,$M4128='112'!$I$6)),"x",""))</f>
        <v/>
      </c>
      <c r="U4128" s="52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/>
      </c>
      <c r="V4128" s="52" t="str">
        <f>IF(OR(TH!L4128=TH!$V$7,M4128=TH!$V$7),"x","")</f>
        <v/>
      </c>
      <c r="W4128" s="52" t="str">
        <f>IF(AND(B4128&gt;='IN-NX'!$P$3,B4128&lt;='IN-NX'!$Q$3,'IN-NX'!$D$7=D4128,OR(LEFT(L4128,2)="15",AND(LEFT(M4128,2)&lt;&gt;"15",LEFT(M4128,2)&lt;&gt;"33"))),"x","")</f>
        <v/>
      </c>
      <c r="X4128" s="52" t="str">
        <f>IF(AND(OR(LEFT(TH!L4128,2)="15",LEFT(TH!M4128,2)="15"),'152-CT'!$J$8=TH!F4128),"x","")</f>
        <v/>
      </c>
      <c r="Y4128" s="52" t="str">
        <f>IF(AND(OR(LEFT(TH!L4128,2)="15",LEFT(TH!M4128,2)="15"),TK!$E$7=TH!F4128),"x","")</f>
        <v/>
      </c>
      <c r="Z4128" s="52" t="str">
        <f>IF(AND(B4128&lt;=NKC!$N$8,B4128&gt;=NKC!$M$8),"x","")</f>
        <v/>
      </c>
      <c r="AA4128" s="826"/>
    </row>
    <row r="4129" spans="1:27" ht="15.75" customHeight="1">
      <c r="A4129" s="827" t="str">
        <f>IF(B4129&lt;&gt;"",IF(AND(B4129&gt;=_TM1,B4129&lt;=_TM2,OR(TH!L4129="1111",TH!M4129="1111")),TH!D4129,""),"")</f>
        <v/>
      </c>
      <c r="B4129" s="36" t="str">
        <f t="shared" si="519"/>
        <v/>
      </c>
      <c r="C4129" s="190"/>
      <c r="D4129" s="190"/>
      <c r="E4129" s="785"/>
      <c r="F4129" s="40"/>
      <c r="G4129" s="832"/>
      <c r="H4129" s="7"/>
      <c r="I4129" s="253"/>
      <c r="J4129" s="253"/>
      <c r="K4129" s="584"/>
      <c r="L4129" s="39"/>
      <c r="M4129" s="39"/>
      <c r="N4129" s="52" t="str">
        <f>IF(AND('331-CT'!$E$7=TH!H4129,OR(L4129="331",M4129="331")),"331",IF(AND(OR(L4129="131",M4129="131"),H4129='131-CT'!$E$7),"131",""))</f>
        <v/>
      </c>
      <c r="O4129" s="52" t="str">
        <f>IF(AND($B4129&gt;='111'!$N$11,$B4129&lt;='111'!$O$11,OR($L4129=$O$7,$M4129=$O$7)),"x","")</f>
        <v/>
      </c>
      <c r="P4129" s="52" t="str">
        <f>IF(AND($L4129=$O$7,$B4129&lt;'111'!$N$11),"x","")</f>
        <v/>
      </c>
      <c r="Q4129" s="52" t="str">
        <f>IF(AND($M4129=$O$7,$B4129&lt;'111'!$N$11),"x","")</f>
        <v/>
      </c>
      <c r="R4129" s="52" t="str">
        <f>IF(ISERROR(FIND('112'!$M$9,G4129,1)),"",IF((AND(FIND('112'!$M$9,G4129,1)&gt;=1,$B4129&gt;='112'!$N$8,$B4129&lt;='112'!$O$8,OR($L4129='112'!$I$6,$M4129='112'!$I$6))),"x",""))</f>
        <v/>
      </c>
      <c r="S4129" s="52" t="str">
        <f>IF(ISERROR(FIND('112'!$M$9,G4129,1)),"",IF((AND(LEFT(G4129,2)=LEFT('112'!$M$9,2),B4129&lt;'112'!$N$8,$L4129='112'!$I$6)),"x",""))</f>
        <v/>
      </c>
      <c r="T4129" s="52" t="str">
        <f>IF(ISERROR(FIND('112'!$M$9,G4129,1)),"",IF((AND(RIGHT(G4129,2)=RIGHT('112'!$M$9,2),B4129&lt;'112'!$N$8,$M4129='112'!$I$6)),"x",""))</f>
        <v/>
      </c>
      <c r="U4129" s="52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/>
      </c>
      <c r="V4129" s="52" t="str">
        <f>IF(OR(TH!L4129=TH!$V$7,M4129=TH!$V$7),"x","")</f>
        <v/>
      </c>
      <c r="W4129" s="52" t="str">
        <f>IF(AND(B4129&gt;='IN-NX'!$P$3,B4129&lt;='IN-NX'!$Q$3,'IN-NX'!$D$7=D4129,OR(LEFT(L4129,2)="15",AND(LEFT(M4129,2)&lt;&gt;"15",LEFT(M4129,2)&lt;&gt;"33"))),"x","")</f>
        <v/>
      </c>
      <c r="X4129" s="52" t="str">
        <f>IF(AND(OR(LEFT(TH!L4129,2)="15",LEFT(TH!M4129,2)="15"),'152-CT'!$J$8=TH!F4129),"x","")</f>
        <v/>
      </c>
      <c r="Y4129" s="52" t="str">
        <f>IF(AND(OR(LEFT(TH!L4129,2)="15",LEFT(TH!M4129,2)="15"),TK!$E$7=TH!F4129),"x","")</f>
        <v/>
      </c>
      <c r="Z4129" s="52" t="str">
        <f>IF(AND(B4129&lt;=NKC!$N$8,B4129&gt;=NKC!$M$8),"x","")</f>
        <v/>
      </c>
      <c r="AA4129" s="826"/>
    </row>
    <row r="4130" spans="1:27" ht="15.75" customHeight="1">
      <c r="A4130" s="827" t="str">
        <f>IF(B4130&lt;&gt;"",IF(AND(B4130&gt;=_TM1,B4130&lt;=_TM2,OR(TH!L4130="1111",TH!M4130="1111")),TH!D4130,""),"")</f>
        <v/>
      </c>
      <c r="B4130" s="36" t="str">
        <f t="shared" si="519"/>
        <v/>
      </c>
      <c r="C4130" s="190"/>
      <c r="D4130" s="190"/>
      <c r="E4130" s="785"/>
      <c r="F4130" s="40"/>
      <c r="G4130" s="832"/>
      <c r="H4130" s="7"/>
      <c r="I4130" s="253"/>
      <c r="J4130" s="253"/>
      <c r="K4130" s="584"/>
      <c r="L4130" s="39"/>
      <c r="M4130" s="39"/>
      <c r="N4130" s="52" t="str">
        <f>IF(AND('331-CT'!$E$7=TH!H4130,OR(L4130="331",M4130="331")),"331",IF(AND(OR(L4130="131",M4130="131"),H4130='131-CT'!$E$7),"131",""))</f>
        <v/>
      </c>
      <c r="O4130" s="52" t="str">
        <f>IF(AND($B4130&gt;='111'!$N$11,$B4130&lt;='111'!$O$11,OR($L4130=$O$7,$M4130=$O$7)),"x","")</f>
        <v/>
      </c>
      <c r="P4130" s="52" t="str">
        <f>IF(AND($L4130=$O$7,$B4130&lt;'111'!$N$11),"x","")</f>
        <v/>
      </c>
      <c r="Q4130" s="52" t="str">
        <f>IF(AND($M4130=$O$7,$B4130&lt;'111'!$N$11),"x","")</f>
        <v/>
      </c>
      <c r="R4130" s="52" t="str">
        <f>IF(ISERROR(FIND('112'!$M$9,G4130,1)),"",IF((AND(FIND('112'!$M$9,G4130,1)&gt;=1,$B4130&gt;='112'!$N$8,$B4130&lt;='112'!$O$8,OR($L4130='112'!$I$6,$M4130='112'!$I$6))),"x",""))</f>
        <v/>
      </c>
      <c r="S4130" s="52" t="str">
        <f>IF(ISERROR(FIND('112'!$M$9,G4130,1)),"",IF((AND(LEFT(G4130,2)=LEFT('112'!$M$9,2),B4130&lt;'112'!$N$8,$L4130='112'!$I$6)),"x",""))</f>
        <v/>
      </c>
      <c r="T4130" s="52" t="str">
        <f>IF(ISERROR(FIND('112'!$M$9,G4130,1)),"",IF((AND(RIGHT(G4130,2)=RIGHT('112'!$M$9,2),B4130&lt;'112'!$N$8,$M4130='112'!$I$6)),"x",""))</f>
        <v/>
      </c>
      <c r="U4130" s="52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/>
      </c>
      <c r="V4130" s="52" t="str">
        <f>IF(OR(TH!L4130=TH!$V$7,M4130=TH!$V$7),"x","")</f>
        <v/>
      </c>
      <c r="W4130" s="52" t="str">
        <f>IF(AND(B4130&gt;='IN-NX'!$P$3,B4130&lt;='IN-NX'!$Q$3,'IN-NX'!$D$7=D4130,OR(LEFT(L4130,2)="15",AND(LEFT(M4130,2)&lt;&gt;"15",LEFT(M4130,2)&lt;&gt;"33"))),"x","")</f>
        <v/>
      </c>
      <c r="X4130" s="52" t="str">
        <f>IF(AND(OR(LEFT(TH!L4130,2)="15",LEFT(TH!M4130,2)="15"),'152-CT'!$J$8=TH!F4130),"x","")</f>
        <v/>
      </c>
      <c r="Y4130" s="52" t="str">
        <f>IF(AND(OR(LEFT(TH!L4130,2)="15",LEFT(TH!M4130,2)="15"),TK!$E$7=TH!F4130),"x","")</f>
        <v/>
      </c>
      <c r="Z4130" s="52" t="str">
        <f>IF(AND(B4130&lt;=NKC!$N$8,B4130&gt;=NKC!$M$8),"x","")</f>
        <v/>
      </c>
      <c r="AA4130" s="826"/>
    </row>
    <row r="4131" spans="1:27" ht="15.75" customHeight="1">
      <c r="A4131" s="827" t="str">
        <f>IF(B4131&lt;&gt;"",IF(AND(B4131&gt;=_TM1,B4131&lt;=_TM2,OR(TH!L4131="1111",TH!M4131="1111")),TH!D4131,""),"")</f>
        <v/>
      </c>
      <c r="B4131" s="36" t="str">
        <f t="shared" si="519"/>
        <v/>
      </c>
      <c r="C4131" s="190"/>
      <c r="D4131" s="190"/>
      <c r="E4131" s="785"/>
      <c r="F4131" s="40"/>
      <c r="G4131" s="832"/>
      <c r="H4131" s="7"/>
      <c r="I4131" s="253"/>
      <c r="J4131" s="253"/>
      <c r="K4131" s="584"/>
      <c r="L4131" s="39"/>
      <c r="M4131" s="39"/>
      <c r="N4131" s="52" t="str">
        <f>IF(AND('331-CT'!$E$7=TH!H4131,OR(L4131="331",M4131="331")),"331",IF(AND(OR(L4131="131",M4131="131"),H4131='131-CT'!$E$7),"131",""))</f>
        <v/>
      </c>
      <c r="O4131" s="52" t="str">
        <f>IF(AND($B4131&gt;='111'!$N$11,$B4131&lt;='111'!$O$11,OR($L4131=$O$7,$M4131=$O$7)),"x","")</f>
        <v/>
      </c>
      <c r="P4131" s="52" t="str">
        <f>IF(AND($L4131=$O$7,$B4131&lt;'111'!$N$11),"x","")</f>
        <v/>
      </c>
      <c r="Q4131" s="52" t="str">
        <f>IF(AND($M4131=$O$7,$B4131&lt;'111'!$N$11),"x","")</f>
        <v/>
      </c>
      <c r="R4131" s="52" t="str">
        <f>IF(ISERROR(FIND('112'!$M$9,G4131,1)),"",IF((AND(FIND('112'!$M$9,G4131,1)&gt;=1,$B4131&gt;='112'!$N$8,$B4131&lt;='112'!$O$8,OR($L4131='112'!$I$6,$M4131='112'!$I$6))),"x",""))</f>
        <v/>
      </c>
      <c r="S4131" s="52" t="str">
        <f>IF(ISERROR(FIND('112'!$M$9,G4131,1)),"",IF((AND(LEFT(G4131,2)=LEFT('112'!$M$9,2),B4131&lt;'112'!$N$8,$L4131='112'!$I$6)),"x",""))</f>
        <v/>
      </c>
      <c r="T4131" s="52" t="str">
        <f>IF(ISERROR(FIND('112'!$M$9,G4131,1)),"",IF((AND(RIGHT(G4131,2)=RIGHT('112'!$M$9,2),B4131&lt;'112'!$N$8,$M4131='112'!$I$6)),"x",""))</f>
        <v/>
      </c>
      <c r="U4131" s="52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/>
      </c>
      <c r="V4131" s="52" t="str">
        <f>IF(OR(TH!L4131=TH!$V$7,M4131=TH!$V$7),"x","")</f>
        <v/>
      </c>
      <c r="W4131" s="52" t="str">
        <f>IF(AND(B4131&gt;='IN-NX'!$P$3,B4131&lt;='IN-NX'!$Q$3,'IN-NX'!$D$7=D4131,OR(LEFT(L4131,2)="15",AND(LEFT(M4131,2)&lt;&gt;"15",LEFT(M4131,2)&lt;&gt;"33"))),"x","")</f>
        <v/>
      </c>
      <c r="X4131" s="52" t="str">
        <f>IF(AND(OR(LEFT(TH!L4131,2)="15",LEFT(TH!M4131,2)="15"),'152-CT'!$J$8=TH!F4131),"x","")</f>
        <v/>
      </c>
      <c r="Y4131" s="52" t="str">
        <f>IF(AND(OR(LEFT(TH!L4131,2)="15",LEFT(TH!M4131,2)="15"),TK!$E$7=TH!F4131),"x","")</f>
        <v/>
      </c>
      <c r="Z4131" s="52" t="str">
        <f>IF(AND(B4131&lt;=NKC!$N$8,B4131&gt;=NKC!$M$8),"x","")</f>
        <v/>
      </c>
      <c r="AA4131" s="826"/>
    </row>
    <row r="4132" spans="1:27" ht="15.75" customHeight="1">
      <c r="A4132" s="827" t="str">
        <f>IF(B4132&lt;&gt;"",IF(AND(B4132&gt;=_TM1,B4132&lt;=_TM2,OR(TH!L4132="1111",TH!M4132="1111")),TH!D4132,""),"")</f>
        <v/>
      </c>
      <c r="B4132" s="36" t="str">
        <f t="shared" si="519"/>
        <v/>
      </c>
      <c r="C4132" s="190"/>
      <c r="D4132" s="190"/>
      <c r="E4132" s="785"/>
      <c r="F4132" s="40"/>
      <c r="G4132" s="832"/>
      <c r="H4132" s="7"/>
      <c r="I4132" s="253"/>
      <c r="J4132" s="253"/>
      <c r="K4132" s="584"/>
      <c r="L4132" s="39"/>
      <c r="M4132" s="39"/>
      <c r="N4132" s="52" t="str">
        <f>IF(AND('331-CT'!$E$7=TH!H4132,OR(L4132="331",M4132="331")),"331",IF(AND(OR(L4132="131",M4132="131"),H4132='131-CT'!$E$7),"131",""))</f>
        <v/>
      </c>
      <c r="O4132" s="52" t="str">
        <f>IF(AND($B4132&gt;='111'!$N$11,$B4132&lt;='111'!$O$11,OR($L4132=$O$7,$M4132=$O$7)),"x","")</f>
        <v/>
      </c>
      <c r="P4132" s="52" t="str">
        <f>IF(AND($L4132=$O$7,$B4132&lt;'111'!$N$11),"x","")</f>
        <v/>
      </c>
      <c r="Q4132" s="52" t="str">
        <f>IF(AND($M4132=$O$7,$B4132&lt;'111'!$N$11),"x","")</f>
        <v/>
      </c>
      <c r="R4132" s="52" t="str">
        <f>IF(ISERROR(FIND('112'!$M$9,G4132,1)),"",IF((AND(FIND('112'!$M$9,G4132,1)&gt;=1,$B4132&gt;='112'!$N$8,$B4132&lt;='112'!$O$8,OR($L4132='112'!$I$6,$M4132='112'!$I$6))),"x",""))</f>
        <v/>
      </c>
      <c r="S4132" s="52" t="str">
        <f>IF(ISERROR(FIND('112'!$M$9,G4132,1)),"",IF((AND(LEFT(G4132,2)=LEFT('112'!$M$9,2),B4132&lt;'112'!$N$8,$L4132='112'!$I$6)),"x",""))</f>
        <v/>
      </c>
      <c r="T4132" s="52" t="str">
        <f>IF(ISERROR(FIND('112'!$M$9,G4132,1)),"",IF((AND(RIGHT(G4132,2)=RIGHT('112'!$M$9,2),B4132&lt;'112'!$N$8,$M4132='112'!$I$6)),"x",""))</f>
        <v/>
      </c>
      <c r="U4132" s="52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/>
      </c>
      <c r="V4132" s="52" t="str">
        <f>IF(OR(TH!L4132=TH!$V$7,M4132=TH!$V$7),"x","")</f>
        <v/>
      </c>
      <c r="W4132" s="52" t="str">
        <f>IF(AND(B4132&gt;='IN-NX'!$P$3,B4132&lt;='IN-NX'!$Q$3,'IN-NX'!$D$7=D4132,OR(LEFT(L4132,2)="15",AND(LEFT(M4132,2)&lt;&gt;"15",LEFT(M4132,2)&lt;&gt;"33"))),"x","")</f>
        <v/>
      </c>
      <c r="X4132" s="52" t="str">
        <f>IF(AND(OR(LEFT(TH!L4132,2)="15",LEFT(TH!M4132,2)="15"),'152-CT'!$J$8=TH!F4132),"x","")</f>
        <v/>
      </c>
      <c r="Y4132" s="52" t="str">
        <f>IF(AND(OR(LEFT(TH!L4132,2)="15",LEFT(TH!M4132,2)="15"),TK!$E$7=TH!F4132),"x","")</f>
        <v/>
      </c>
      <c r="Z4132" s="52" t="str">
        <f>IF(AND(B4132&lt;=NKC!$N$8,B4132&gt;=NKC!$M$8),"x","")</f>
        <v/>
      </c>
      <c r="AA4132" s="826"/>
    </row>
    <row r="4133" spans="1:27" ht="15.75" customHeight="1">
      <c r="A4133" s="827" t="str">
        <f>IF(B4133&lt;&gt;"",IF(AND(B4133&gt;=_TM1,B4133&lt;=_TM2,OR(TH!L4133="1111",TH!M4133="1111")),TH!D4133,""),"")</f>
        <v/>
      </c>
      <c r="B4133" s="36" t="str">
        <f t="shared" si="519"/>
        <v/>
      </c>
      <c r="C4133" s="190"/>
      <c r="D4133" s="190"/>
      <c r="E4133" s="785"/>
      <c r="F4133" s="40"/>
      <c r="G4133" s="832"/>
      <c r="H4133" s="7"/>
      <c r="I4133" s="253"/>
      <c r="J4133" s="253"/>
      <c r="K4133" s="584"/>
      <c r="L4133" s="39"/>
      <c r="M4133" s="39"/>
      <c r="N4133" s="52" t="str">
        <f>IF(AND('331-CT'!$E$7=TH!H4133,OR(L4133="331",M4133="331")),"331",IF(AND(OR(L4133="131",M4133="131"),H4133='131-CT'!$E$7),"131",""))</f>
        <v/>
      </c>
      <c r="O4133" s="52" t="str">
        <f>IF(AND($B4133&gt;='111'!$N$11,$B4133&lt;='111'!$O$11,OR($L4133=$O$7,$M4133=$O$7)),"x","")</f>
        <v/>
      </c>
      <c r="P4133" s="52" t="str">
        <f>IF(AND($L4133=$O$7,$B4133&lt;'111'!$N$11),"x","")</f>
        <v/>
      </c>
      <c r="Q4133" s="52" t="str">
        <f>IF(AND($M4133=$O$7,$B4133&lt;'111'!$N$11),"x","")</f>
        <v/>
      </c>
      <c r="R4133" s="52" t="str">
        <f>IF(ISERROR(FIND('112'!$M$9,G4133,1)),"",IF((AND(FIND('112'!$M$9,G4133,1)&gt;=1,$B4133&gt;='112'!$N$8,$B4133&lt;='112'!$O$8,OR($L4133='112'!$I$6,$M4133='112'!$I$6))),"x",""))</f>
        <v/>
      </c>
      <c r="S4133" s="52" t="str">
        <f>IF(ISERROR(FIND('112'!$M$9,G4133,1)),"",IF((AND(LEFT(G4133,2)=LEFT('112'!$M$9,2),B4133&lt;'112'!$N$8,$L4133='112'!$I$6)),"x",""))</f>
        <v/>
      </c>
      <c r="T4133" s="52" t="str">
        <f>IF(ISERROR(FIND('112'!$M$9,G4133,1)),"",IF((AND(RIGHT(G4133,2)=RIGHT('112'!$M$9,2),B4133&lt;'112'!$N$8,$M4133='112'!$I$6)),"x",""))</f>
        <v/>
      </c>
      <c r="U4133" s="52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/>
      </c>
      <c r="V4133" s="52" t="str">
        <f>IF(OR(TH!L4133=TH!$V$7,M4133=TH!$V$7),"x","")</f>
        <v/>
      </c>
      <c r="W4133" s="52" t="str">
        <f>IF(AND(B4133&gt;='IN-NX'!$P$3,B4133&lt;='IN-NX'!$Q$3,'IN-NX'!$D$7=D4133,OR(LEFT(L4133,2)="15",AND(LEFT(M4133,2)&lt;&gt;"15",LEFT(M4133,2)&lt;&gt;"33"))),"x","")</f>
        <v/>
      </c>
      <c r="X4133" s="52" t="str">
        <f>IF(AND(OR(LEFT(TH!L4133,2)="15",LEFT(TH!M4133,2)="15"),'152-CT'!$J$8=TH!F4133),"x","")</f>
        <v/>
      </c>
      <c r="Y4133" s="52" t="str">
        <f>IF(AND(OR(LEFT(TH!L4133,2)="15",LEFT(TH!M4133,2)="15"),TK!$E$7=TH!F4133),"x","")</f>
        <v/>
      </c>
      <c r="Z4133" s="52" t="str">
        <f>IF(AND(B4133&lt;=NKC!$N$8,B4133&gt;=NKC!$M$8),"x","")</f>
        <v/>
      </c>
      <c r="AA4133" s="826"/>
    </row>
    <row r="4134" spans="1:27" ht="15.75" customHeight="1">
      <c r="A4134" s="827" t="str">
        <f>IF(B4134&lt;&gt;"",IF(AND(B4134&gt;=_TM1,B4134&lt;=_TM2,OR(TH!L4134="1111",TH!M4134="1111")),TH!D4134,""),"")</f>
        <v/>
      </c>
      <c r="B4134" s="36" t="str">
        <f t="shared" si="519"/>
        <v/>
      </c>
      <c r="C4134" s="190"/>
      <c r="D4134" s="190"/>
      <c r="E4134" s="785"/>
      <c r="F4134" s="40"/>
      <c r="G4134" s="832"/>
      <c r="H4134" s="7"/>
      <c r="I4134" s="253"/>
      <c r="J4134" s="253"/>
      <c r="K4134" s="584"/>
      <c r="L4134" s="39"/>
      <c r="M4134" s="39"/>
      <c r="N4134" s="52" t="str">
        <f>IF(AND('331-CT'!$E$7=TH!H4134,OR(L4134="331",M4134="331")),"331",IF(AND(OR(L4134="131",M4134="131"),H4134='131-CT'!$E$7),"131",""))</f>
        <v/>
      </c>
      <c r="O4134" s="52" t="str">
        <f>IF(AND($B4134&gt;='111'!$N$11,$B4134&lt;='111'!$O$11,OR($L4134=$O$7,$M4134=$O$7)),"x","")</f>
        <v/>
      </c>
      <c r="P4134" s="52" t="str">
        <f>IF(AND($L4134=$O$7,$B4134&lt;'111'!$N$11),"x","")</f>
        <v/>
      </c>
      <c r="Q4134" s="52" t="str">
        <f>IF(AND($M4134=$O$7,$B4134&lt;'111'!$N$11),"x","")</f>
        <v/>
      </c>
      <c r="R4134" s="52" t="str">
        <f>IF(ISERROR(FIND('112'!$M$9,G4134,1)),"",IF((AND(FIND('112'!$M$9,G4134,1)&gt;=1,$B4134&gt;='112'!$N$8,$B4134&lt;='112'!$O$8,OR($L4134='112'!$I$6,$M4134='112'!$I$6))),"x",""))</f>
        <v/>
      </c>
      <c r="S4134" s="52" t="str">
        <f>IF(ISERROR(FIND('112'!$M$9,G4134,1)),"",IF((AND(LEFT(G4134,2)=LEFT('112'!$M$9,2),B4134&lt;'112'!$N$8,$L4134='112'!$I$6)),"x",""))</f>
        <v/>
      </c>
      <c r="T4134" s="52" t="str">
        <f>IF(ISERROR(FIND('112'!$M$9,G4134,1)),"",IF((AND(RIGHT(G4134,2)=RIGHT('112'!$M$9,2),B4134&lt;'112'!$N$8,$M4134='112'!$I$6)),"x",""))</f>
        <v/>
      </c>
      <c r="U4134" s="52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/>
      </c>
      <c r="V4134" s="52" t="str">
        <f>IF(OR(TH!L4134=TH!$V$7,M4134=TH!$V$7),"x","")</f>
        <v/>
      </c>
      <c r="W4134" s="52" t="str">
        <f>IF(AND(B4134&gt;='IN-NX'!$P$3,B4134&lt;='IN-NX'!$Q$3,'IN-NX'!$D$7=D4134,OR(LEFT(L4134,2)="15",AND(LEFT(M4134,2)&lt;&gt;"15",LEFT(M4134,2)&lt;&gt;"33"))),"x","")</f>
        <v/>
      </c>
      <c r="X4134" s="52" t="str">
        <f>IF(AND(OR(LEFT(TH!L4134,2)="15",LEFT(TH!M4134,2)="15"),'152-CT'!$J$8=TH!F4134),"x","")</f>
        <v/>
      </c>
      <c r="Y4134" s="52" t="str">
        <f>IF(AND(OR(LEFT(TH!L4134,2)="15",LEFT(TH!M4134,2)="15"),TK!$E$7=TH!F4134),"x","")</f>
        <v/>
      </c>
      <c r="Z4134" s="52" t="str">
        <f>IF(AND(B4134&lt;=NKC!$N$8,B4134&gt;=NKC!$M$8),"x","")</f>
        <v/>
      </c>
      <c r="AA4134" s="826"/>
    </row>
    <row r="4135" spans="1:27" ht="15.75" customHeight="1">
      <c r="A4135" s="827" t="str">
        <f>IF(B4135&lt;&gt;"",IF(AND(B4135&gt;=_TM1,B4135&lt;=_TM2,OR(TH!L4135="1111",TH!M4135="1111")),TH!D4135,""),"")</f>
        <v/>
      </c>
      <c r="B4135" s="36" t="str">
        <f t="shared" si="519"/>
        <v/>
      </c>
      <c r="C4135" s="190"/>
      <c r="D4135" s="190"/>
      <c r="E4135" s="785"/>
      <c r="F4135" s="40"/>
      <c r="G4135" s="832"/>
      <c r="H4135" s="7"/>
      <c r="I4135" s="253"/>
      <c r="J4135" s="253"/>
      <c r="K4135" s="584"/>
      <c r="L4135" s="39"/>
      <c r="M4135" s="39"/>
      <c r="N4135" s="52" t="str">
        <f>IF(AND('331-CT'!$E$7=TH!H4135,OR(L4135="331",M4135="331")),"331",IF(AND(OR(L4135="131",M4135="131"),H4135='131-CT'!$E$7),"131",""))</f>
        <v/>
      </c>
      <c r="O4135" s="52" t="str">
        <f>IF(AND($B4135&gt;='111'!$N$11,$B4135&lt;='111'!$O$11,OR($L4135=$O$7,$M4135=$O$7)),"x","")</f>
        <v/>
      </c>
      <c r="P4135" s="52" t="str">
        <f>IF(AND($L4135=$O$7,$B4135&lt;'111'!$N$11),"x","")</f>
        <v/>
      </c>
      <c r="Q4135" s="52" t="str">
        <f>IF(AND($M4135=$O$7,$B4135&lt;'111'!$N$11),"x","")</f>
        <v/>
      </c>
      <c r="R4135" s="52" t="str">
        <f>IF(ISERROR(FIND('112'!$M$9,G4135,1)),"",IF((AND(FIND('112'!$M$9,G4135,1)&gt;=1,$B4135&gt;='112'!$N$8,$B4135&lt;='112'!$O$8,OR($L4135='112'!$I$6,$M4135='112'!$I$6))),"x",""))</f>
        <v/>
      </c>
      <c r="S4135" s="52" t="str">
        <f>IF(ISERROR(FIND('112'!$M$9,G4135,1)),"",IF((AND(LEFT(G4135,2)=LEFT('112'!$M$9,2),B4135&lt;'112'!$N$8,$L4135='112'!$I$6)),"x",""))</f>
        <v/>
      </c>
      <c r="T4135" s="52" t="str">
        <f>IF(ISERROR(FIND('112'!$M$9,G4135,1)),"",IF((AND(RIGHT(G4135,2)=RIGHT('112'!$M$9,2),B4135&lt;'112'!$N$8,$M4135='112'!$I$6)),"x",""))</f>
        <v/>
      </c>
      <c r="U4135" s="52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/>
      </c>
      <c r="V4135" s="52" t="str">
        <f>IF(OR(TH!L4135=TH!$V$7,M4135=TH!$V$7),"x","")</f>
        <v/>
      </c>
      <c r="W4135" s="52" t="str">
        <f>IF(AND(B4135&gt;='IN-NX'!$P$3,B4135&lt;='IN-NX'!$Q$3,'IN-NX'!$D$7=D4135,OR(LEFT(L4135,2)="15",AND(LEFT(M4135,2)&lt;&gt;"15",LEFT(M4135,2)&lt;&gt;"33"))),"x","")</f>
        <v/>
      </c>
      <c r="X4135" s="52" t="str">
        <f>IF(AND(OR(LEFT(TH!L4135,2)="15",LEFT(TH!M4135,2)="15"),'152-CT'!$J$8=TH!F4135),"x","")</f>
        <v/>
      </c>
      <c r="Y4135" s="52" t="str">
        <f>IF(AND(OR(LEFT(TH!L4135,2)="15",LEFT(TH!M4135,2)="15"),TK!$E$7=TH!F4135),"x","")</f>
        <v/>
      </c>
      <c r="Z4135" s="52" t="str">
        <f>IF(AND(B4135&lt;=NKC!$N$8,B4135&gt;=NKC!$M$8),"x","")</f>
        <v/>
      </c>
      <c r="AA4135" s="826"/>
    </row>
    <row r="4136" spans="1:27" ht="15.75" customHeight="1">
      <c r="A4136" s="827" t="str">
        <f>IF(B4136&lt;&gt;"",IF(AND(B4136&gt;=_TM1,B4136&lt;=_TM2,OR(TH!L4136="1111",TH!M4136="1111")),TH!D4136,""),"")</f>
        <v/>
      </c>
      <c r="B4136" s="36" t="str">
        <f t="shared" si="519"/>
        <v/>
      </c>
      <c r="C4136" s="190"/>
      <c r="D4136" s="190"/>
      <c r="E4136" s="785"/>
      <c r="F4136" s="40"/>
      <c r="G4136" s="832"/>
      <c r="H4136" s="7"/>
      <c r="I4136" s="253"/>
      <c r="J4136" s="253"/>
      <c r="K4136" s="584"/>
      <c r="L4136" s="39"/>
      <c r="M4136" s="39"/>
      <c r="N4136" s="52" t="str">
        <f>IF(AND('331-CT'!$E$7=TH!H4136,OR(L4136="331",M4136="331")),"331",IF(AND(OR(L4136="131",M4136="131"),H4136='131-CT'!$E$7),"131",""))</f>
        <v/>
      </c>
      <c r="O4136" s="52" t="str">
        <f>IF(AND($B4136&gt;='111'!$N$11,$B4136&lt;='111'!$O$11,OR($L4136=$O$7,$M4136=$O$7)),"x","")</f>
        <v/>
      </c>
      <c r="P4136" s="52" t="str">
        <f>IF(AND($L4136=$O$7,$B4136&lt;'111'!$N$11),"x","")</f>
        <v/>
      </c>
      <c r="Q4136" s="52" t="str">
        <f>IF(AND($M4136=$O$7,$B4136&lt;'111'!$N$11),"x","")</f>
        <v/>
      </c>
      <c r="R4136" s="52" t="str">
        <f>IF(ISERROR(FIND('112'!$M$9,G4136,1)),"",IF((AND(FIND('112'!$M$9,G4136,1)&gt;=1,$B4136&gt;='112'!$N$8,$B4136&lt;='112'!$O$8,OR($L4136='112'!$I$6,$M4136='112'!$I$6))),"x",""))</f>
        <v/>
      </c>
      <c r="S4136" s="52" t="str">
        <f>IF(ISERROR(FIND('112'!$M$9,G4136,1)),"",IF((AND(LEFT(G4136,2)=LEFT('112'!$M$9,2),B4136&lt;'112'!$N$8,$L4136='112'!$I$6)),"x",""))</f>
        <v/>
      </c>
      <c r="T4136" s="52" t="str">
        <f>IF(ISERROR(FIND('112'!$M$9,G4136,1)),"",IF((AND(RIGHT(G4136,2)=RIGHT('112'!$M$9,2),B4136&lt;'112'!$N$8,$M4136='112'!$I$6)),"x",""))</f>
        <v/>
      </c>
      <c r="U4136" s="52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/>
      </c>
      <c r="V4136" s="52" t="str">
        <f>IF(OR(TH!L4136=TH!$V$7,M4136=TH!$V$7),"x","")</f>
        <v/>
      </c>
      <c r="W4136" s="52" t="str">
        <f>IF(AND(B4136&gt;='IN-NX'!$P$3,B4136&lt;='IN-NX'!$Q$3,'IN-NX'!$D$7=D4136,OR(LEFT(L4136,2)="15",AND(LEFT(M4136,2)&lt;&gt;"15",LEFT(M4136,2)&lt;&gt;"33"))),"x","")</f>
        <v/>
      </c>
      <c r="X4136" s="52" t="str">
        <f>IF(AND(OR(LEFT(TH!L4136,2)="15",LEFT(TH!M4136,2)="15"),'152-CT'!$J$8=TH!F4136),"x","")</f>
        <v/>
      </c>
      <c r="Y4136" s="52" t="str">
        <f>IF(AND(OR(LEFT(TH!L4136,2)="15",LEFT(TH!M4136,2)="15"),TK!$E$7=TH!F4136),"x","")</f>
        <v/>
      </c>
      <c r="Z4136" s="52" t="str">
        <f>IF(AND(B4136&lt;=NKC!$N$8,B4136&gt;=NKC!$M$8),"x","")</f>
        <v/>
      </c>
      <c r="AA4136" s="826"/>
    </row>
    <row r="4137" spans="1:27" ht="15.75" customHeight="1">
      <c r="A4137" s="827" t="str">
        <f>IF(B4137&lt;&gt;"",IF(AND(B4137&gt;=_TM1,B4137&lt;=_TM2,OR(TH!L4137="1111",TH!M4137="1111")),TH!D4137,""),"")</f>
        <v/>
      </c>
      <c r="B4137" s="36" t="str">
        <f t="shared" si="519"/>
        <v/>
      </c>
      <c r="C4137" s="190"/>
      <c r="D4137" s="190"/>
      <c r="E4137" s="785"/>
      <c r="F4137" s="40"/>
      <c r="G4137" s="832"/>
      <c r="H4137" s="7"/>
      <c r="I4137" s="253"/>
      <c r="J4137" s="253"/>
      <c r="K4137" s="584"/>
      <c r="L4137" s="39"/>
      <c r="M4137" s="39"/>
      <c r="N4137" s="52" t="str">
        <f>IF(AND('331-CT'!$E$7=TH!H4137,OR(L4137="331",M4137="331")),"331",IF(AND(OR(L4137="131",M4137="131"),H4137='131-CT'!$E$7),"131",""))</f>
        <v/>
      </c>
      <c r="O4137" s="52" t="str">
        <f>IF(AND($B4137&gt;='111'!$N$11,$B4137&lt;='111'!$O$11,OR($L4137=$O$7,$M4137=$O$7)),"x","")</f>
        <v/>
      </c>
      <c r="P4137" s="52" t="str">
        <f>IF(AND($L4137=$O$7,$B4137&lt;'111'!$N$11),"x","")</f>
        <v/>
      </c>
      <c r="Q4137" s="52" t="str">
        <f>IF(AND($M4137=$O$7,$B4137&lt;'111'!$N$11),"x","")</f>
        <v/>
      </c>
      <c r="R4137" s="52" t="str">
        <f>IF(ISERROR(FIND('112'!$M$9,G4137,1)),"",IF((AND(FIND('112'!$M$9,G4137,1)&gt;=1,$B4137&gt;='112'!$N$8,$B4137&lt;='112'!$O$8,OR($L4137='112'!$I$6,$M4137='112'!$I$6))),"x",""))</f>
        <v/>
      </c>
      <c r="S4137" s="52" t="str">
        <f>IF(ISERROR(FIND('112'!$M$9,G4137,1)),"",IF((AND(LEFT(G4137,2)=LEFT('112'!$M$9,2),B4137&lt;'112'!$N$8,$L4137='112'!$I$6)),"x",""))</f>
        <v/>
      </c>
      <c r="T4137" s="52" t="str">
        <f>IF(ISERROR(FIND('112'!$M$9,G4137,1)),"",IF((AND(RIGHT(G4137,2)=RIGHT('112'!$M$9,2),B4137&lt;'112'!$N$8,$M4137='112'!$I$6)),"x",""))</f>
        <v/>
      </c>
      <c r="U4137" s="52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/>
      </c>
      <c r="V4137" s="52" t="str">
        <f>IF(OR(TH!L4137=TH!$V$7,M4137=TH!$V$7),"x","")</f>
        <v/>
      </c>
      <c r="W4137" s="52" t="str">
        <f>IF(AND(B4137&gt;='IN-NX'!$P$3,B4137&lt;='IN-NX'!$Q$3,'IN-NX'!$D$7=D4137,OR(LEFT(L4137,2)="15",AND(LEFT(M4137,2)&lt;&gt;"15",LEFT(M4137,2)&lt;&gt;"33"))),"x","")</f>
        <v/>
      </c>
      <c r="X4137" s="52" t="str">
        <f>IF(AND(OR(LEFT(TH!L4137,2)="15",LEFT(TH!M4137,2)="15"),'152-CT'!$J$8=TH!F4137),"x","")</f>
        <v/>
      </c>
      <c r="Y4137" s="52" t="str">
        <f>IF(AND(OR(LEFT(TH!L4137,2)="15",LEFT(TH!M4137,2)="15"),TK!$E$7=TH!F4137),"x","")</f>
        <v/>
      </c>
      <c r="Z4137" s="52" t="str">
        <f>IF(AND(B4137&lt;=NKC!$N$8,B4137&gt;=NKC!$M$8),"x","")</f>
        <v/>
      </c>
      <c r="AA4137" s="826"/>
    </row>
    <row r="4138" spans="1:27" ht="15.75" customHeight="1">
      <c r="A4138" s="827" t="str">
        <f>IF(B4138&lt;&gt;"",IF(AND(B4138&gt;=_TM1,B4138&lt;=_TM2,OR(TH!L4138="1111",TH!M4138="1111")),TH!D4138,""),"")</f>
        <v/>
      </c>
      <c r="B4138" s="36" t="str">
        <f t="shared" si="519"/>
        <v/>
      </c>
      <c r="C4138" s="190"/>
      <c r="D4138" s="190"/>
      <c r="E4138" s="785"/>
      <c r="F4138" s="188"/>
      <c r="G4138" s="832"/>
      <c r="H4138" s="7"/>
      <c r="I4138" s="253"/>
      <c r="J4138" s="253"/>
      <c r="K4138" s="584"/>
      <c r="L4138" s="39"/>
      <c r="M4138" s="39"/>
      <c r="N4138" s="52" t="str">
        <f>IF(AND('331-CT'!$E$7=TH!H4138,OR(L4138="331",M4138="331")),"331",IF(AND(OR(L4138="131",M4138="131"),H4138='131-CT'!$E$7),"131",""))</f>
        <v/>
      </c>
      <c r="O4138" s="52" t="str">
        <f>IF(AND($B4138&gt;='111'!$N$11,$B4138&lt;='111'!$O$11,OR($L4138=$O$7,$M4138=$O$7)),"x","")</f>
        <v/>
      </c>
      <c r="P4138" s="52" t="str">
        <f>IF(AND($L4138=$O$7,$B4138&lt;'111'!$N$11),"x","")</f>
        <v/>
      </c>
      <c r="Q4138" s="52" t="str">
        <f>IF(AND($M4138=$O$7,$B4138&lt;'111'!$N$11),"x","")</f>
        <v/>
      </c>
      <c r="R4138" s="52" t="str">
        <f>IF(ISERROR(FIND('112'!$M$9,G4138,1)),"",IF((AND(FIND('112'!$M$9,G4138,1)&gt;=1,$B4138&gt;='112'!$N$8,$B4138&lt;='112'!$O$8,OR($L4138='112'!$I$6,$M4138='112'!$I$6))),"x",""))</f>
        <v/>
      </c>
      <c r="S4138" s="52" t="str">
        <f>IF(ISERROR(FIND('112'!$M$9,G4138,1)),"",IF((AND(LEFT(G4138,2)=LEFT('112'!$M$9,2),B4138&lt;'112'!$N$8,$L4138='112'!$I$6)),"x",""))</f>
        <v/>
      </c>
      <c r="T4138" s="52" t="str">
        <f>IF(ISERROR(FIND('112'!$M$9,G4138,1)),"",IF((AND(RIGHT(G4138,2)=RIGHT('112'!$M$9,2),B4138&lt;'112'!$N$8,$M4138='112'!$I$6)),"x",""))</f>
        <v/>
      </c>
      <c r="U4138" s="52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/>
      </c>
      <c r="V4138" s="52" t="str">
        <f>IF(OR(TH!L4138=TH!$V$7,M4138=TH!$V$7),"x","")</f>
        <v/>
      </c>
      <c r="W4138" s="52" t="str">
        <f>IF(AND(B4138&gt;='IN-NX'!$P$3,B4138&lt;='IN-NX'!$Q$3,'IN-NX'!$D$7=D4138,OR(LEFT(L4138,2)="15",AND(LEFT(M4138,2)&lt;&gt;"15",LEFT(M4138,2)&lt;&gt;"33"))),"x","")</f>
        <v/>
      </c>
      <c r="X4138" s="52" t="str">
        <f>IF(AND(OR(LEFT(TH!L4138,2)="15",LEFT(TH!M4138,2)="15"),'152-CT'!$J$8=TH!F4138),"x","")</f>
        <v/>
      </c>
      <c r="Y4138" s="52" t="str">
        <f>IF(AND(OR(LEFT(TH!L4138,2)="15",LEFT(TH!M4138,2)="15"),TK!$E$7=TH!F4138),"x","")</f>
        <v/>
      </c>
      <c r="Z4138" s="52" t="str">
        <f>IF(AND(B4138&lt;=NKC!$N$8,B4138&gt;=NKC!$M$8),"x","")</f>
        <v/>
      </c>
      <c r="AA4138" s="826"/>
    </row>
    <row r="4139" spans="1:27" ht="15.75" customHeight="1">
      <c r="A4139" s="827" t="str">
        <f>IF(B4139&lt;&gt;"",IF(AND(B4139&gt;=_TM1,B4139&lt;=_TM2,OR(TH!L4139="1111",TH!M4139="1111")),TH!D4139,""),"")</f>
        <v/>
      </c>
      <c r="B4139" s="36" t="str">
        <f t="shared" si="519"/>
        <v/>
      </c>
      <c r="C4139" s="190"/>
      <c r="D4139" s="190"/>
      <c r="E4139" s="785"/>
      <c r="F4139" s="40"/>
      <c r="G4139" s="832"/>
      <c r="H4139" s="7"/>
      <c r="I4139" s="253"/>
      <c r="J4139" s="253"/>
      <c r="K4139" s="584"/>
      <c r="L4139" s="39"/>
      <c r="M4139" s="39"/>
      <c r="N4139" s="52" t="str">
        <f>IF(AND('331-CT'!$E$7=TH!H4139,OR(L4139="331",M4139="331")),"331",IF(AND(OR(L4139="131",M4139="131"),H4139='131-CT'!$E$7),"131",""))</f>
        <v/>
      </c>
      <c r="O4139" s="52" t="str">
        <f>IF(AND($B4139&gt;='111'!$N$11,$B4139&lt;='111'!$O$11,OR($L4139=$O$7,$M4139=$O$7)),"x","")</f>
        <v/>
      </c>
      <c r="P4139" s="52" t="str">
        <f>IF(AND($L4139=$O$7,$B4139&lt;'111'!$N$11),"x","")</f>
        <v/>
      </c>
      <c r="Q4139" s="52" t="str">
        <f>IF(AND($M4139=$O$7,$B4139&lt;'111'!$N$11),"x","")</f>
        <v/>
      </c>
      <c r="R4139" s="52" t="str">
        <f>IF(ISERROR(FIND('112'!$M$9,G4139,1)),"",IF((AND(FIND('112'!$M$9,G4139,1)&gt;=1,$B4139&gt;='112'!$N$8,$B4139&lt;='112'!$O$8,OR($L4139='112'!$I$6,$M4139='112'!$I$6))),"x",""))</f>
        <v/>
      </c>
      <c r="S4139" s="52" t="str">
        <f>IF(ISERROR(FIND('112'!$M$9,G4139,1)),"",IF((AND(LEFT(G4139,2)=LEFT('112'!$M$9,2),B4139&lt;'112'!$N$8,$L4139='112'!$I$6)),"x",""))</f>
        <v/>
      </c>
      <c r="T4139" s="52" t="str">
        <f>IF(ISERROR(FIND('112'!$M$9,G4139,1)),"",IF((AND(RIGHT(G4139,2)=RIGHT('112'!$M$9,2),B4139&lt;'112'!$N$8,$M4139='112'!$I$6)),"x",""))</f>
        <v/>
      </c>
      <c r="U4139" s="52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/>
      </c>
      <c r="V4139" s="52" t="str">
        <f>IF(OR(TH!L4139=TH!$V$7,M4139=TH!$V$7),"x","")</f>
        <v/>
      </c>
      <c r="W4139" s="52" t="str">
        <f>IF(AND(B4139&gt;='IN-NX'!$P$3,B4139&lt;='IN-NX'!$Q$3,'IN-NX'!$D$7=D4139,OR(LEFT(L4139,2)="15",AND(LEFT(M4139,2)&lt;&gt;"15",LEFT(M4139,2)&lt;&gt;"33"))),"x","")</f>
        <v/>
      </c>
      <c r="X4139" s="52" t="str">
        <f>IF(AND(OR(LEFT(TH!L4139,2)="15",LEFT(TH!M4139,2)="15"),'152-CT'!$J$8=TH!F4139),"x","")</f>
        <v/>
      </c>
      <c r="Y4139" s="52" t="str">
        <f>IF(AND(OR(LEFT(TH!L4139,2)="15",LEFT(TH!M4139,2)="15"),TK!$E$7=TH!F4139),"x","")</f>
        <v/>
      </c>
      <c r="Z4139" s="52" t="str">
        <f>IF(AND(B4139&lt;=NKC!$N$8,B4139&gt;=NKC!$M$8),"x","")</f>
        <v/>
      </c>
      <c r="AA4139" s="826"/>
    </row>
    <row r="4140" spans="1:27" ht="15.75" customHeight="1">
      <c r="A4140" s="827" t="str">
        <f>IF(B4140&lt;&gt;"",IF(AND(B4140&gt;=_TM1,B4140&lt;=_TM2,OR(TH!L4140="1111",TH!M4140="1111")),TH!D4140,""),"")</f>
        <v/>
      </c>
      <c r="B4140" s="36" t="str">
        <f t="shared" si="519"/>
        <v/>
      </c>
      <c r="C4140" s="190"/>
      <c r="D4140" s="190"/>
      <c r="E4140" s="785"/>
      <c r="F4140" s="40"/>
      <c r="G4140" s="832"/>
      <c r="H4140" s="7"/>
      <c r="I4140" s="253"/>
      <c r="J4140" s="253"/>
      <c r="K4140" s="584"/>
      <c r="L4140" s="39"/>
      <c r="M4140" s="39"/>
      <c r="N4140" s="52" t="str">
        <f>IF(AND('331-CT'!$E$7=TH!H4140,OR(L4140="331",M4140="331")),"331",IF(AND(OR(L4140="131",M4140="131"),H4140='131-CT'!$E$7),"131",""))</f>
        <v/>
      </c>
      <c r="O4140" s="52" t="str">
        <f>IF(AND($B4140&gt;='111'!$N$11,$B4140&lt;='111'!$O$11,OR($L4140=$O$7,$M4140=$O$7)),"x","")</f>
        <v/>
      </c>
      <c r="P4140" s="52" t="str">
        <f>IF(AND($L4140=$O$7,$B4140&lt;'111'!$N$11),"x","")</f>
        <v/>
      </c>
      <c r="Q4140" s="52" t="str">
        <f>IF(AND($M4140=$O$7,$B4140&lt;'111'!$N$11),"x","")</f>
        <v/>
      </c>
      <c r="R4140" s="52" t="str">
        <f>IF(ISERROR(FIND('112'!$M$9,G4140,1)),"",IF((AND(FIND('112'!$M$9,G4140,1)&gt;=1,$B4140&gt;='112'!$N$8,$B4140&lt;='112'!$O$8,OR($L4140='112'!$I$6,$M4140='112'!$I$6))),"x",""))</f>
        <v/>
      </c>
      <c r="S4140" s="52" t="str">
        <f>IF(ISERROR(FIND('112'!$M$9,G4140,1)),"",IF((AND(LEFT(G4140,2)=LEFT('112'!$M$9,2),B4140&lt;'112'!$N$8,$L4140='112'!$I$6)),"x",""))</f>
        <v/>
      </c>
      <c r="T4140" s="52" t="str">
        <f>IF(ISERROR(FIND('112'!$M$9,G4140,1)),"",IF((AND(RIGHT(G4140,2)=RIGHT('112'!$M$9,2),B4140&lt;'112'!$N$8,$M4140='112'!$I$6)),"x",""))</f>
        <v/>
      </c>
      <c r="U4140" s="52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/>
      </c>
      <c r="V4140" s="52" t="str">
        <f>IF(OR(TH!L4140=TH!$V$7,M4140=TH!$V$7),"x","")</f>
        <v/>
      </c>
      <c r="W4140" s="52" t="str">
        <f>IF(AND(B4140&gt;='IN-NX'!$P$3,B4140&lt;='IN-NX'!$Q$3,'IN-NX'!$D$7=D4140,OR(LEFT(L4140,2)="15",AND(LEFT(M4140,2)&lt;&gt;"15",LEFT(M4140,2)&lt;&gt;"33"))),"x","")</f>
        <v/>
      </c>
      <c r="X4140" s="52" t="str">
        <f>IF(AND(OR(LEFT(TH!L4140,2)="15",LEFT(TH!M4140,2)="15"),'152-CT'!$J$8=TH!F4140),"x","")</f>
        <v/>
      </c>
      <c r="Y4140" s="52" t="str">
        <f>IF(AND(OR(LEFT(TH!L4140,2)="15",LEFT(TH!M4140,2)="15"),TK!$E$7=TH!F4140),"x","")</f>
        <v/>
      </c>
      <c r="Z4140" s="52" t="str">
        <f>IF(AND(B4140&lt;=NKC!$N$8,B4140&gt;=NKC!$M$8),"x","")</f>
        <v/>
      </c>
      <c r="AA4140" s="826"/>
    </row>
    <row r="4141" spans="1:27" ht="15.75" customHeight="1">
      <c r="A4141" s="827" t="str">
        <f>IF(B4141&lt;&gt;"",IF(AND(B4141&gt;=_TM1,B4141&lt;=_TM2,OR(TH!L4141="1111",TH!M4141="1111")),TH!D4141,""),"")</f>
        <v/>
      </c>
      <c r="B4141" s="36" t="str">
        <f t="shared" si="519"/>
        <v/>
      </c>
      <c r="C4141" s="190"/>
      <c r="D4141" s="190"/>
      <c r="E4141" s="785"/>
      <c r="F4141" s="40"/>
      <c r="G4141" s="832"/>
      <c r="H4141" s="7"/>
      <c r="I4141" s="253"/>
      <c r="J4141" s="253"/>
      <c r="K4141" s="584"/>
      <c r="L4141" s="39"/>
      <c r="M4141" s="39"/>
      <c r="N4141" s="52" t="str">
        <f>IF(AND('331-CT'!$E$7=TH!H4141,OR(L4141="331",M4141="331")),"331",IF(AND(OR(L4141="131",M4141="131"),H4141='131-CT'!$E$7),"131",""))</f>
        <v/>
      </c>
      <c r="O4141" s="52" t="str">
        <f>IF(AND($B4141&gt;='111'!$N$11,$B4141&lt;='111'!$O$11,OR($L4141=$O$7,$M4141=$O$7)),"x","")</f>
        <v/>
      </c>
      <c r="P4141" s="52" t="str">
        <f>IF(AND($L4141=$O$7,$B4141&lt;'111'!$N$11),"x","")</f>
        <v/>
      </c>
      <c r="Q4141" s="52" t="str">
        <f>IF(AND($M4141=$O$7,$B4141&lt;'111'!$N$11),"x","")</f>
        <v/>
      </c>
      <c r="R4141" s="52" t="str">
        <f>IF(ISERROR(FIND('112'!$M$9,G4141,1)),"",IF((AND(FIND('112'!$M$9,G4141,1)&gt;=1,$B4141&gt;='112'!$N$8,$B4141&lt;='112'!$O$8,OR($L4141='112'!$I$6,$M4141='112'!$I$6))),"x",""))</f>
        <v/>
      </c>
      <c r="S4141" s="52" t="str">
        <f>IF(ISERROR(FIND('112'!$M$9,G4141,1)),"",IF((AND(LEFT(G4141,2)=LEFT('112'!$M$9,2),B4141&lt;'112'!$N$8,$L4141='112'!$I$6)),"x",""))</f>
        <v/>
      </c>
      <c r="T4141" s="52" t="str">
        <f>IF(ISERROR(FIND('112'!$M$9,G4141,1)),"",IF((AND(RIGHT(G4141,2)=RIGHT('112'!$M$9,2),B4141&lt;'112'!$N$8,$M4141='112'!$I$6)),"x",""))</f>
        <v/>
      </c>
      <c r="U4141" s="52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/>
      </c>
      <c r="V4141" s="52" t="str">
        <f>IF(OR(TH!L4141=TH!$V$7,M4141=TH!$V$7),"x","")</f>
        <v/>
      </c>
      <c r="W4141" s="52" t="str">
        <f>IF(AND(B4141&gt;='IN-NX'!$P$3,B4141&lt;='IN-NX'!$Q$3,'IN-NX'!$D$7=D4141,OR(LEFT(L4141,2)="15",AND(LEFT(M4141,2)&lt;&gt;"15",LEFT(M4141,2)&lt;&gt;"33"))),"x","")</f>
        <v/>
      </c>
      <c r="X4141" s="52" t="str">
        <f>IF(AND(OR(LEFT(TH!L4141,2)="15",LEFT(TH!M4141,2)="15"),'152-CT'!$J$8=TH!F4141),"x","")</f>
        <v/>
      </c>
      <c r="Y4141" s="52" t="str">
        <f>IF(AND(OR(LEFT(TH!L4141,2)="15",LEFT(TH!M4141,2)="15"),TK!$E$7=TH!F4141),"x","")</f>
        <v/>
      </c>
      <c r="Z4141" s="52" t="str">
        <f>IF(AND(B4141&lt;=NKC!$N$8,B4141&gt;=NKC!$M$8),"x","")</f>
        <v/>
      </c>
      <c r="AA4141" s="826"/>
    </row>
    <row r="4142" spans="1:27" ht="15.75" customHeight="1">
      <c r="A4142" s="827" t="str">
        <f>IF(B4142&lt;&gt;"",IF(AND(B4142&gt;=_TM1,B4142&lt;=_TM2,OR(TH!L4142="1111",TH!M4142="1111")),TH!D4142,""),"")</f>
        <v/>
      </c>
      <c r="B4142" s="36" t="str">
        <f t="shared" si="519"/>
        <v/>
      </c>
      <c r="C4142" s="190"/>
      <c r="D4142" s="190"/>
      <c r="E4142" s="785"/>
      <c r="F4142" s="40"/>
      <c r="G4142" s="832"/>
      <c r="H4142" s="7"/>
      <c r="I4142" s="253"/>
      <c r="J4142" s="253"/>
      <c r="K4142" s="584"/>
      <c r="L4142" s="39"/>
      <c r="M4142" s="39"/>
      <c r="N4142" s="52" t="str">
        <f>IF(AND('331-CT'!$E$7=TH!H4142,OR(L4142="331",M4142="331")),"331",IF(AND(OR(L4142="131",M4142="131"),H4142='131-CT'!$E$7),"131",""))</f>
        <v/>
      </c>
      <c r="O4142" s="52" t="str">
        <f>IF(AND($B4142&gt;='111'!$N$11,$B4142&lt;='111'!$O$11,OR($L4142=$O$7,$M4142=$O$7)),"x","")</f>
        <v/>
      </c>
      <c r="P4142" s="52" t="str">
        <f>IF(AND($L4142=$O$7,$B4142&lt;'111'!$N$11),"x","")</f>
        <v/>
      </c>
      <c r="Q4142" s="52" t="str">
        <f>IF(AND($M4142=$O$7,$B4142&lt;'111'!$N$11),"x","")</f>
        <v/>
      </c>
      <c r="R4142" s="52" t="str">
        <f>IF(ISERROR(FIND('112'!$M$9,G4142,1)),"",IF((AND(FIND('112'!$M$9,G4142,1)&gt;=1,$B4142&gt;='112'!$N$8,$B4142&lt;='112'!$O$8,OR($L4142='112'!$I$6,$M4142='112'!$I$6))),"x",""))</f>
        <v/>
      </c>
      <c r="S4142" s="52" t="str">
        <f>IF(ISERROR(FIND('112'!$M$9,G4142,1)),"",IF((AND(LEFT(G4142,2)=LEFT('112'!$M$9,2),B4142&lt;'112'!$N$8,$L4142='112'!$I$6)),"x",""))</f>
        <v/>
      </c>
      <c r="T4142" s="52" t="str">
        <f>IF(ISERROR(FIND('112'!$M$9,G4142,1)),"",IF((AND(RIGHT(G4142,2)=RIGHT('112'!$M$9,2),B4142&lt;'112'!$N$8,$M4142='112'!$I$6)),"x",""))</f>
        <v/>
      </c>
      <c r="U4142" s="52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/>
      </c>
      <c r="V4142" s="52" t="str">
        <f>IF(OR(TH!L4142=TH!$V$7,M4142=TH!$V$7),"x","")</f>
        <v/>
      </c>
      <c r="W4142" s="52" t="str">
        <f>IF(AND(B4142&gt;='IN-NX'!$P$3,B4142&lt;='IN-NX'!$Q$3,'IN-NX'!$D$7=D4142,OR(LEFT(L4142,2)="15",AND(LEFT(M4142,2)&lt;&gt;"15",LEFT(M4142,2)&lt;&gt;"33"))),"x","")</f>
        <v/>
      </c>
      <c r="X4142" s="52" t="str">
        <f>IF(AND(OR(LEFT(TH!L4142,2)="15",LEFT(TH!M4142,2)="15"),'152-CT'!$J$8=TH!F4142),"x","")</f>
        <v/>
      </c>
      <c r="Y4142" s="52" t="str">
        <f>IF(AND(OR(LEFT(TH!L4142,2)="15",LEFT(TH!M4142,2)="15"),TK!$E$7=TH!F4142),"x","")</f>
        <v/>
      </c>
      <c r="Z4142" s="52" t="str">
        <f>IF(AND(B4142&lt;=NKC!$N$8,B4142&gt;=NKC!$M$8),"x","")</f>
        <v/>
      </c>
      <c r="AA4142" s="826"/>
    </row>
    <row r="4143" spans="1:27" ht="15.75" customHeight="1">
      <c r="A4143" s="827" t="str">
        <f>IF(B4143&lt;&gt;"",IF(AND(B4143&gt;=_TM1,B4143&lt;=_TM2,OR(TH!L4143="1111",TH!M4143="1111")),TH!D4143,""),"")</f>
        <v/>
      </c>
      <c r="B4143" s="36" t="str">
        <f t="shared" si="519"/>
        <v/>
      </c>
      <c r="C4143" s="190"/>
      <c r="D4143" s="190"/>
      <c r="E4143" s="785"/>
      <c r="F4143" s="188"/>
      <c r="G4143" s="832"/>
      <c r="H4143" s="7"/>
      <c r="I4143" s="253"/>
      <c r="J4143" s="253"/>
      <c r="K4143" s="584"/>
      <c r="L4143" s="39"/>
      <c r="M4143" s="39"/>
      <c r="N4143" s="52" t="str">
        <f>IF(AND('331-CT'!$E$7=TH!H4143,OR(L4143="331",M4143="331")),"331",IF(AND(OR(L4143="131",M4143="131"),H4143='131-CT'!$E$7),"131",""))</f>
        <v/>
      </c>
      <c r="O4143" s="52" t="str">
        <f>IF(AND($B4143&gt;='111'!$N$11,$B4143&lt;='111'!$O$11,OR($L4143=$O$7,$M4143=$O$7)),"x","")</f>
        <v/>
      </c>
      <c r="P4143" s="52" t="str">
        <f>IF(AND($L4143=$O$7,$B4143&lt;'111'!$N$11),"x","")</f>
        <v/>
      </c>
      <c r="Q4143" s="52" t="str">
        <f>IF(AND($M4143=$O$7,$B4143&lt;'111'!$N$11),"x","")</f>
        <v/>
      </c>
      <c r="R4143" s="52" t="str">
        <f>IF(ISERROR(FIND('112'!$M$9,G4143,1)),"",IF((AND(FIND('112'!$M$9,G4143,1)&gt;=1,$B4143&gt;='112'!$N$8,$B4143&lt;='112'!$O$8,OR($L4143='112'!$I$6,$M4143='112'!$I$6))),"x",""))</f>
        <v/>
      </c>
      <c r="S4143" s="52" t="str">
        <f>IF(ISERROR(FIND('112'!$M$9,G4143,1)),"",IF((AND(LEFT(G4143,2)=LEFT('112'!$M$9,2),B4143&lt;'112'!$N$8,$L4143='112'!$I$6)),"x",""))</f>
        <v/>
      </c>
      <c r="T4143" s="52" t="str">
        <f>IF(ISERROR(FIND('112'!$M$9,G4143,1)),"",IF((AND(RIGHT(G4143,2)=RIGHT('112'!$M$9,2),B4143&lt;'112'!$N$8,$M4143='112'!$I$6)),"x",""))</f>
        <v/>
      </c>
      <c r="U4143" s="52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/>
      </c>
      <c r="V4143" s="52" t="str">
        <f>IF(OR(TH!L4143=TH!$V$7,M4143=TH!$V$7),"x","")</f>
        <v/>
      </c>
      <c r="W4143" s="52" t="str">
        <f>IF(AND(B4143&gt;='IN-NX'!$P$3,B4143&lt;='IN-NX'!$Q$3,'IN-NX'!$D$7=D4143,OR(LEFT(L4143,2)="15",AND(LEFT(M4143,2)&lt;&gt;"15",LEFT(M4143,2)&lt;&gt;"33"))),"x","")</f>
        <v/>
      </c>
      <c r="X4143" s="52" t="str">
        <f>IF(AND(OR(LEFT(TH!L4143,2)="15",LEFT(TH!M4143,2)="15"),'152-CT'!$J$8=TH!F4143),"x","")</f>
        <v/>
      </c>
      <c r="Y4143" s="52" t="str">
        <f>IF(AND(OR(LEFT(TH!L4143,2)="15",LEFT(TH!M4143,2)="15"),TK!$E$7=TH!F4143),"x","")</f>
        <v/>
      </c>
      <c r="Z4143" s="52" t="str">
        <f>IF(AND(B4143&lt;=NKC!$N$8,B4143&gt;=NKC!$M$8),"x","")</f>
        <v/>
      </c>
      <c r="AA4143" s="826"/>
    </row>
    <row r="4144" spans="1:27" ht="15.75" customHeight="1">
      <c r="A4144" s="827" t="str">
        <f>IF(B4144&lt;&gt;"",IF(AND(B4144&gt;=_TM1,B4144&lt;=_TM2,OR(TH!L4144="1111",TH!M4144="1111")),TH!D4144,""),"")</f>
        <v/>
      </c>
      <c r="B4144" s="36" t="str">
        <f t="shared" si="519"/>
        <v/>
      </c>
      <c r="C4144" s="183"/>
      <c r="D4144" s="183"/>
      <c r="E4144" s="792"/>
      <c r="F4144" s="188"/>
      <c r="G4144" s="835"/>
      <c r="H4144" s="7"/>
      <c r="I4144" s="253"/>
      <c r="J4144" s="253"/>
      <c r="K4144" s="584"/>
      <c r="L4144" s="585"/>
      <c r="M4144" s="585"/>
      <c r="N4144" s="52" t="str">
        <f>IF(AND('331-CT'!$E$7=TH!H4144,OR(L4144="331",M4144="331")),"331",IF(AND(OR(L4144="131",M4144="131"),H4144='131-CT'!$E$7),"131",""))</f>
        <v/>
      </c>
      <c r="O4144" s="52" t="str">
        <f>IF(AND($B4144&gt;='111'!$N$11,$B4144&lt;='111'!$O$11,OR($L4144=$O$7,$M4144=$O$7)),"x","")</f>
        <v/>
      </c>
      <c r="P4144" s="52" t="str">
        <f>IF(AND($L4144=$O$7,$B4144&lt;'111'!$N$11),"x","")</f>
        <v/>
      </c>
      <c r="Q4144" s="52" t="str">
        <f>IF(AND($M4144=$O$7,$B4144&lt;'111'!$N$11),"x","")</f>
        <v/>
      </c>
      <c r="R4144" s="52" t="str">
        <f>IF(ISERROR(FIND('112'!$M$9,G4144,1)),"",IF((AND(FIND('112'!$M$9,G4144,1)&gt;=1,$B4144&gt;='112'!$N$8,$B4144&lt;='112'!$O$8,OR($L4144='112'!$I$6,$M4144='112'!$I$6))),"x",""))</f>
        <v/>
      </c>
      <c r="S4144" s="52" t="str">
        <f>IF(ISERROR(FIND('112'!$M$9,G4144,1)),"",IF((AND(LEFT(G4144,2)=LEFT('112'!$M$9,2),B4144&lt;'112'!$N$8,$L4144='112'!$I$6)),"x",""))</f>
        <v/>
      </c>
      <c r="T4144" s="52" t="str">
        <f>IF(ISERROR(FIND('112'!$M$9,G4144,1)),"",IF((AND(RIGHT(G4144,2)=RIGHT('112'!$M$9,2),B4144&lt;'112'!$N$8,$M4144='112'!$I$6)),"x",""))</f>
        <v/>
      </c>
      <c r="U4144" s="52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/>
      </c>
      <c r="V4144" s="52" t="str">
        <f>IF(OR(TH!L4144=TH!$V$7,M4144=TH!$V$7),"x","")</f>
        <v/>
      </c>
      <c r="W4144" s="52" t="str">
        <f>IF(AND(B4144&gt;='IN-NX'!$P$3,B4144&lt;='IN-NX'!$Q$3,'IN-NX'!$D$7=D4144,OR(LEFT(L4144,2)="15",AND(LEFT(M4144,2)&lt;&gt;"15",LEFT(M4144,2)&lt;&gt;"33"))),"x","")</f>
        <v/>
      </c>
      <c r="X4144" s="52" t="str">
        <f>IF(AND(OR(LEFT(TH!L4144,2)="15",LEFT(TH!M4144,2)="15"),'152-CT'!$J$8=TH!F4144),"x","")</f>
        <v/>
      </c>
      <c r="Y4144" s="52" t="str">
        <f>IF(AND(OR(LEFT(TH!L4144,2)="15",LEFT(TH!M4144,2)="15"),TK!$E$7=TH!F4144),"x","")</f>
        <v/>
      </c>
      <c r="Z4144" s="52" t="str">
        <f>IF(AND(B4144&lt;=NKC!$N$8,B4144&gt;=NKC!$M$8),"x","")</f>
        <v/>
      </c>
      <c r="AA4144" s="826"/>
    </row>
    <row r="4145" spans="1:27" ht="15.75" customHeight="1">
      <c r="A4145" s="827" t="str">
        <f>IF(B4145&lt;&gt;"",IF(AND(B4145&gt;=_TM1,B4145&lt;=_TM2,OR(TH!L4145="1111",TH!M4145="1111")),TH!D4145,""),"")</f>
        <v/>
      </c>
      <c r="B4145" s="36" t="str">
        <f t="shared" si="519"/>
        <v/>
      </c>
      <c r="C4145" s="190"/>
      <c r="D4145" s="190"/>
      <c r="E4145" s="785"/>
      <c r="F4145" s="191"/>
      <c r="G4145" s="833"/>
      <c r="H4145" s="45"/>
      <c r="I4145" s="253"/>
      <c r="J4145" s="253"/>
      <c r="K4145" s="38"/>
      <c r="L4145" s="193"/>
      <c r="M4145" s="193"/>
      <c r="N4145" s="52" t="str">
        <f>IF(AND('331-CT'!$E$7=TH!H4145,OR(L4145="331",M4145="331")),"331",IF(AND(OR(L4145="131",M4145="131"),H4145='131-CT'!$E$7),"131",""))</f>
        <v/>
      </c>
      <c r="O4145" s="52" t="str">
        <f>IF(AND($B4145&gt;='111'!$N$11,$B4145&lt;='111'!$O$11,OR($L4145=$O$7,$M4145=$O$7)),"x","")</f>
        <v/>
      </c>
      <c r="P4145" s="52" t="str">
        <f>IF(AND($L4145=$O$7,$B4145&lt;'111'!$N$11),"x","")</f>
        <v/>
      </c>
      <c r="Q4145" s="52" t="str">
        <f>IF(AND($M4145=$O$7,$B4145&lt;'111'!$N$11),"x","")</f>
        <v/>
      </c>
      <c r="R4145" s="52" t="str">
        <f>IF(ISERROR(FIND('112'!$M$9,G4145,1)),"",IF((AND(FIND('112'!$M$9,G4145,1)&gt;=1,$B4145&gt;='112'!$N$8,$B4145&lt;='112'!$O$8,OR($L4145='112'!$I$6,$M4145='112'!$I$6))),"x",""))</f>
        <v/>
      </c>
      <c r="S4145" s="52" t="str">
        <f>IF(ISERROR(FIND('112'!$M$9,G4145,1)),"",IF((AND(LEFT(G4145,2)=LEFT('112'!$M$9,2),B4145&lt;'112'!$N$8,$L4145='112'!$I$6)),"x",""))</f>
        <v/>
      </c>
      <c r="T4145" s="52" t="str">
        <f>IF(ISERROR(FIND('112'!$M$9,G4145,1)),"",IF((AND(RIGHT(G4145,2)=RIGHT('112'!$M$9,2),B4145&lt;'112'!$N$8,$M4145='112'!$I$6)),"x",""))</f>
        <v/>
      </c>
      <c r="U4145" s="52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/>
      </c>
      <c r="V4145" s="52" t="str">
        <f>IF(OR(TH!L4145=TH!$V$7,M4145=TH!$V$7),"x","")</f>
        <v/>
      </c>
      <c r="W4145" s="52" t="str">
        <f>IF(AND(B4145&gt;='IN-NX'!$P$3,B4145&lt;='IN-NX'!$Q$3,'IN-NX'!$D$7=D4145,OR(LEFT(L4145,2)="15",AND(LEFT(M4145,2)&lt;&gt;"15",LEFT(M4145,2)&lt;&gt;"33"))),"x","")</f>
        <v/>
      </c>
      <c r="X4145" s="52" t="str">
        <f>IF(AND(OR(LEFT(TH!L4145,2)="15",LEFT(TH!M4145,2)="15"),'152-CT'!$J$8=TH!F4145),"x","")</f>
        <v/>
      </c>
      <c r="Y4145" s="52" t="str">
        <f>IF(AND(OR(LEFT(TH!L4145,2)="15",LEFT(TH!M4145,2)="15"),TK!$E$7=TH!F4145),"x","")</f>
        <v/>
      </c>
      <c r="Z4145" s="52" t="str">
        <f>IF(AND(B4145&lt;=NKC!$N$8,B4145&gt;=NKC!$M$8),"x","")</f>
        <v/>
      </c>
      <c r="AA4145" s="826"/>
    </row>
    <row r="4146" spans="1:27" ht="15.75" customHeight="1">
      <c r="A4146" s="827" t="str">
        <f>IF(B4146&lt;&gt;"",IF(AND(B4146&gt;=_TM1,B4146&lt;=_TM2,OR(TH!L4146="1111",TH!M4146="1111")),TH!D4146,""),"")</f>
        <v/>
      </c>
      <c r="B4146" s="36" t="str">
        <f t="shared" si="519"/>
        <v/>
      </c>
      <c r="C4146" s="190"/>
      <c r="D4146" s="190"/>
      <c r="E4146" s="785"/>
      <c r="F4146" s="191"/>
      <c r="G4146" s="833"/>
      <c r="H4146" s="45"/>
      <c r="I4146" s="253"/>
      <c r="J4146" s="253"/>
      <c r="K4146" s="38"/>
      <c r="L4146" s="193"/>
      <c r="M4146" s="193"/>
      <c r="N4146" s="52" t="str">
        <f>IF(AND('331-CT'!$E$7=TH!H4146,OR(L4146="331",M4146="331")),"331",IF(AND(OR(L4146="131",M4146="131"),H4146='131-CT'!$E$7),"131",""))</f>
        <v/>
      </c>
      <c r="O4146" s="52" t="str">
        <f>IF(AND($B4146&gt;='111'!$N$11,$B4146&lt;='111'!$O$11,OR($L4146=$O$7,$M4146=$O$7)),"x","")</f>
        <v/>
      </c>
      <c r="P4146" s="52" t="str">
        <f>IF(AND($L4146=$O$7,$B4146&lt;'111'!$N$11),"x","")</f>
        <v/>
      </c>
      <c r="Q4146" s="52" t="str">
        <f>IF(AND($M4146=$O$7,$B4146&lt;'111'!$N$11),"x","")</f>
        <v/>
      </c>
      <c r="R4146" s="52" t="str">
        <f>IF(ISERROR(FIND('112'!$M$9,G4146,1)),"",IF((AND(FIND('112'!$M$9,G4146,1)&gt;=1,$B4146&gt;='112'!$N$8,$B4146&lt;='112'!$O$8,OR($L4146='112'!$I$6,$M4146='112'!$I$6))),"x",""))</f>
        <v/>
      </c>
      <c r="S4146" s="52" t="str">
        <f>IF(ISERROR(FIND('112'!$M$9,G4146,1)),"",IF((AND(LEFT(G4146,2)=LEFT('112'!$M$9,2),B4146&lt;'112'!$N$8,$L4146='112'!$I$6)),"x",""))</f>
        <v/>
      </c>
      <c r="T4146" s="52" t="str">
        <f>IF(ISERROR(FIND('112'!$M$9,G4146,1)),"",IF((AND(RIGHT(G4146,2)=RIGHT('112'!$M$9,2),B4146&lt;'112'!$N$8,$M4146='112'!$I$6)),"x",""))</f>
        <v/>
      </c>
      <c r="U4146" s="52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/>
      </c>
      <c r="V4146" s="52" t="str">
        <f>IF(OR(TH!L4146=TH!$V$7,M4146=TH!$V$7),"x","")</f>
        <v/>
      </c>
      <c r="W4146" s="52" t="str">
        <f>IF(AND(B4146&gt;='IN-NX'!$P$3,B4146&lt;='IN-NX'!$Q$3,'IN-NX'!$D$7=D4146,OR(LEFT(L4146,2)="15",AND(LEFT(M4146,2)&lt;&gt;"15",LEFT(M4146,2)&lt;&gt;"33"))),"x","")</f>
        <v/>
      </c>
      <c r="X4146" s="52" t="str">
        <f>IF(AND(OR(LEFT(TH!L4146,2)="15",LEFT(TH!M4146,2)="15"),'152-CT'!$J$8=TH!F4146),"x","")</f>
        <v/>
      </c>
      <c r="Y4146" s="52" t="str">
        <f>IF(AND(OR(LEFT(TH!L4146,2)="15",LEFT(TH!M4146,2)="15"),TK!$E$7=TH!F4146),"x","")</f>
        <v/>
      </c>
      <c r="Z4146" s="52" t="str">
        <f>IF(AND(B4146&lt;=NKC!$N$8,B4146&gt;=NKC!$M$8),"x","")</f>
        <v/>
      </c>
      <c r="AA4146" s="826"/>
    </row>
    <row r="4147" spans="1:27" ht="15.75" customHeight="1">
      <c r="A4147" s="827" t="str">
        <f>IF(B4147&lt;&gt;"",IF(AND(B4147&gt;=_TM1,B4147&lt;=_TM2,OR(TH!L4147="1111",TH!M4147="1111")),TH!D4147,""),"")</f>
        <v/>
      </c>
      <c r="B4147" s="36" t="str">
        <f t="shared" si="519"/>
        <v/>
      </c>
      <c r="C4147" s="190"/>
      <c r="D4147" s="190"/>
      <c r="E4147" s="785"/>
      <c r="F4147" s="191"/>
      <c r="G4147" s="833"/>
      <c r="H4147" s="7"/>
      <c r="I4147" s="253"/>
      <c r="J4147" s="253"/>
      <c r="K4147" s="584"/>
      <c r="L4147" s="193"/>
      <c r="M4147" s="193"/>
      <c r="N4147" s="52" t="str">
        <f>IF(AND('331-CT'!$E$7=TH!H4147,OR(L4147="331",M4147="331")),"331",IF(AND(OR(L4147="131",M4147="131"),H4147='131-CT'!$E$7),"131",""))</f>
        <v/>
      </c>
      <c r="O4147" s="52" t="str">
        <f>IF(AND($B4147&gt;='111'!$N$11,$B4147&lt;='111'!$O$11,OR($L4147=$O$7,$M4147=$O$7)),"x","")</f>
        <v/>
      </c>
      <c r="P4147" s="52" t="str">
        <f>IF(AND($L4147=$O$7,$B4147&lt;'111'!$N$11),"x","")</f>
        <v/>
      </c>
      <c r="Q4147" s="52" t="str">
        <f>IF(AND($M4147=$O$7,$B4147&lt;'111'!$N$11),"x","")</f>
        <v/>
      </c>
      <c r="R4147" s="52" t="str">
        <f>IF(ISERROR(FIND('112'!$M$9,G4147,1)),"",IF((AND(FIND('112'!$M$9,G4147,1)&gt;=1,$B4147&gt;='112'!$N$8,$B4147&lt;='112'!$O$8,OR($L4147='112'!$I$6,$M4147='112'!$I$6))),"x",""))</f>
        <v/>
      </c>
      <c r="S4147" s="52" t="str">
        <f>IF(ISERROR(FIND('112'!$M$9,G4147,1)),"",IF((AND(LEFT(G4147,2)=LEFT('112'!$M$9,2),B4147&lt;'112'!$N$8,$L4147='112'!$I$6)),"x",""))</f>
        <v/>
      </c>
      <c r="T4147" s="52" t="str">
        <f>IF(ISERROR(FIND('112'!$M$9,G4147,1)),"",IF((AND(RIGHT(G4147,2)=RIGHT('112'!$M$9,2),B4147&lt;'112'!$N$8,$M4147='112'!$I$6)),"x",""))</f>
        <v/>
      </c>
      <c r="U4147" s="52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/>
      </c>
      <c r="V4147" s="52" t="str">
        <f>IF(OR(TH!L4147=TH!$V$7,M4147=TH!$V$7),"x","")</f>
        <v/>
      </c>
      <c r="W4147" s="52" t="str">
        <f>IF(AND(B4147&gt;='IN-NX'!$P$3,B4147&lt;='IN-NX'!$Q$3,'IN-NX'!$D$7=D4147,OR(LEFT(L4147,2)="15",AND(LEFT(M4147,2)&lt;&gt;"15",LEFT(M4147,2)&lt;&gt;"33"))),"x","")</f>
        <v/>
      </c>
      <c r="X4147" s="52" t="str">
        <f>IF(AND(OR(LEFT(TH!L4147,2)="15",LEFT(TH!M4147,2)="15"),'152-CT'!$J$8=TH!F4147),"x","")</f>
        <v/>
      </c>
      <c r="Y4147" s="52" t="str">
        <f>IF(AND(OR(LEFT(TH!L4147,2)="15",LEFT(TH!M4147,2)="15"),TK!$E$7=TH!F4147),"x","")</f>
        <v/>
      </c>
      <c r="Z4147" s="52" t="str">
        <f>IF(AND(B4147&lt;=NKC!$N$8,B4147&gt;=NKC!$M$8),"x","")</f>
        <v/>
      </c>
      <c r="AA4147" s="826"/>
    </row>
    <row r="4148" spans="1:27" ht="15.75" customHeight="1">
      <c r="A4148" s="827" t="str">
        <f>IF(B4148&lt;&gt;"",IF(AND(B4148&gt;=_TM1,B4148&lt;=_TM2,OR(TH!L4148="1111",TH!M4148="1111")),TH!D4148,""),"")</f>
        <v/>
      </c>
      <c r="B4148" s="36" t="str">
        <f t="shared" si="519"/>
        <v/>
      </c>
      <c r="C4148" s="190"/>
      <c r="D4148" s="190"/>
      <c r="E4148" s="785"/>
      <c r="F4148" s="191"/>
      <c r="G4148" s="833"/>
      <c r="H4148" s="7"/>
      <c r="I4148" s="253"/>
      <c r="J4148" s="253"/>
      <c r="K4148" s="584"/>
      <c r="L4148" s="193"/>
      <c r="M4148" s="193"/>
      <c r="N4148" s="52" t="str">
        <f>IF(AND('331-CT'!$E$7=TH!H4148,OR(L4148="331",M4148="331")),"331",IF(AND(OR(L4148="131",M4148="131"),H4148='131-CT'!$E$7),"131",""))</f>
        <v/>
      </c>
      <c r="O4148" s="52" t="str">
        <f>IF(AND($B4148&gt;='111'!$N$11,$B4148&lt;='111'!$O$11,OR($L4148=$O$7,$M4148=$O$7)),"x","")</f>
        <v/>
      </c>
      <c r="P4148" s="52" t="str">
        <f>IF(AND($L4148=$O$7,$B4148&lt;'111'!$N$11),"x","")</f>
        <v/>
      </c>
      <c r="Q4148" s="52" t="str">
        <f>IF(AND($M4148=$O$7,$B4148&lt;'111'!$N$11),"x","")</f>
        <v/>
      </c>
      <c r="R4148" s="52" t="str">
        <f>IF(ISERROR(FIND('112'!$M$9,G4148,1)),"",IF((AND(FIND('112'!$M$9,G4148,1)&gt;=1,$B4148&gt;='112'!$N$8,$B4148&lt;='112'!$O$8,OR($L4148='112'!$I$6,$M4148='112'!$I$6))),"x",""))</f>
        <v/>
      </c>
      <c r="S4148" s="52" t="str">
        <f>IF(ISERROR(FIND('112'!$M$9,G4148,1)),"",IF((AND(LEFT(G4148,2)=LEFT('112'!$M$9,2),B4148&lt;'112'!$N$8,$L4148='112'!$I$6)),"x",""))</f>
        <v/>
      </c>
      <c r="T4148" s="52" t="str">
        <f>IF(ISERROR(FIND('112'!$M$9,G4148,1)),"",IF((AND(RIGHT(G4148,2)=RIGHT('112'!$M$9,2),B4148&lt;'112'!$N$8,$M4148='112'!$I$6)),"x",""))</f>
        <v/>
      </c>
      <c r="U4148" s="52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/>
      </c>
      <c r="V4148" s="52" t="str">
        <f>IF(OR(TH!L4148=TH!$V$7,M4148=TH!$V$7),"x","")</f>
        <v/>
      </c>
      <c r="W4148" s="52" t="str">
        <f>IF(AND(B4148&gt;='IN-NX'!$P$3,B4148&lt;='IN-NX'!$Q$3,'IN-NX'!$D$7=D4148,OR(LEFT(L4148,2)="15",AND(LEFT(M4148,2)&lt;&gt;"15",LEFT(M4148,2)&lt;&gt;"33"))),"x","")</f>
        <v/>
      </c>
      <c r="X4148" s="52" t="str">
        <f>IF(AND(OR(LEFT(TH!L4148,2)="15",LEFT(TH!M4148,2)="15"),'152-CT'!$J$8=TH!F4148),"x","")</f>
        <v/>
      </c>
      <c r="Y4148" s="52" t="str">
        <f>IF(AND(OR(LEFT(TH!L4148,2)="15",LEFT(TH!M4148,2)="15"),TK!$E$7=TH!F4148),"x","")</f>
        <v/>
      </c>
      <c r="Z4148" s="52" t="str">
        <f>IF(AND(B4148&lt;=NKC!$N$8,B4148&gt;=NKC!$M$8),"x","")</f>
        <v/>
      </c>
      <c r="AA4148" s="826"/>
    </row>
    <row r="4149" spans="1:27" ht="15.75" customHeight="1">
      <c r="A4149" s="827" t="str">
        <f>IF(B4149&lt;&gt;"",IF(AND(B4149&gt;=_TM1,B4149&lt;=_TM2,OR(TH!L4149="1111",TH!M4149="1111")),TH!D4149,""),"")</f>
        <v/>
      </c>
      <c r="B4149" s="36" t="str">
        <f t="shared" si="519"/>
        <v/>
      </c>
      <c r="C4149" s="190"/>
      <c r="D4149" s="190"/>
      <c r="E4149" s="785"/>
      <c r="F4149" s="40"/>
      <c r="G4149" s="832"/>
      <c r="H4149" s="7"/>
      <c r="I4149" s="253"/>
      <c r="J4149" s="253"/>
      <c r="K4149" s="584"/>
      <c r="L4149" s="39"/>
      <c r="M4149" s="39"/>
      <c r="N4149" s="52" t="str">
        <f>IF(AND('331-CT'!$E$7=TH!H4149,OR(L4149="331",M4149="331")),"331",IF(AND(OR(L4149="131",M4149="131"),H4149='131-CT'!$E$7),"131",""))</f>
        <v/>
      </c>
      <c r="O4149" s="52" t="str">
        <f>IF(AND($B4149&gt;='111'!$N$11,$B4149&lt;='111'!$O$11,OR($L4149=$O$7,$M4149=$O$7)),"x","")</f>
        <v/>
      </c>
      <c r="P4149" s="52" t="str">
        <f>IF(AND($L4149=$O$7,$B4149&lt;'111'!$N$11),"x","")</f>
        <v/>
      </c>
      <c r="Q4149" s="52" t="str">
        <f>IF(AND($M4149=$O$7,$B4149&lt;'111'!$N$11),"x","")</f>
        <v/>
      </c>
      <c r="R4149" s="52" t="str">
        <f>IF(ISERROR(FIND('112'!$M$9,G4149,1)),"",IF((AND(FIND('112'!$M$9,G4149,1)&gt;=1,$B4149&gt;='112'!$N$8,$B4149&lt;='112'!$O$8,OR($L4149='112'!$I$6,$M4149='112'!$I$6))),"x",""))</f>
        <v/>
      </c>
      <c r="S4149" s="52" t="str">
        <f>IF(ISERROR(FIND('112'!$M$9,G4149,1)),"",IF((AND(LEFT(G4149,2)=LEFT('112'!$M$9,2),B4149&lt;'112'!$N$8,$L4149='112'!$I$6)),"x",""))</f>
        <v/>
      </c>
      <c r="T4149" s="52" t="str">
        <f>IF(ISERROR(FIND('112'!$M$9,G4149,1)),"",IF((AND(RIGHT(G4149,2)=RIGHT('112'!$M$9,2),B4149&lt;'112'!$N$8,$M4149='112'!$I$6)),"x",""))</f>
        <v/>
      </c>
      <c r="U4149" s="52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/>
      </c>
      <c r="V4149" s="52" t="str">
        <f>IF(OR(TH!L4149=TH!$V$7,M4149=TH!$V$7),"x","")</f>
        <v/>
      </c>
      <c r="W4149" s="52" t="str">
        <f>IF(AND(B4149&gt;='IN-NX'!$P$3,B4149&lt;='IN-NX'!$Q$3,'IN-NX'!$D$7=D4149,OR(LEFT(L4149,2)="15",AND(LEFT(M4149,2)&lt;&gt;"15",LEFT(M4149,2)&lt;&gt;"33"))),"x","")</f>
        <v/>
      </c>
      <c r="X4149" s="52" t="str">
        <f>IF(AND(OR(LEFT(TH!L4149,2)="15",LEFT(TH!M4149,2)="15"),'152-CT'!$J$8=TH!F4149),"x","")</f>
        <v/>
      </c>
      <c r="Y4149" s="52" t="str">
        <f>IF(AND(OR(LEFT(TH!L4149,2)="15",LEFT(TH!M4149,2)="15"),TK!$E$7=TH!F4149),"x","")</f>
        <v/>
      </c>
      <c r="Z4149" s="52" t="str">
        <f>IF(AND(B4149&lt;=NKC!$N$8,B4149&gt;=NKC!$M$8),"x","")</f>
        <v/>
      </c>
      <c r="AA4149" s="826"/>
    </row>
    <row r="4150" spans="1:27" ht="15.75" customHeight="1">
      <c r="A4150" s="827" t="str">
        <f>IF(B4150&lt;&gt;"",IF(AND(B4150&gt;=_TM1,B4150&lt;=_TM2,OR(TH!L4150="1111",TH!M4150="1111")),TH!D4150,""),"")</f>
        <v/>
      </c>
      <c r="B4150" s="36" t="str">
        <f t="shared" si="519"/>
        <v/>
      </c>
      <c r="C4150" s="190"/>
      <c r="D4150" s="190"/>
      <c r="E4150" s="785"/>
      <c r="F4150" s="40"/>
      <c r="G4150" s="832"/>
      <c r="H4150" s="7"/>
      <c r="I4150" s="253"/>
      <c r="J4150" s="253"/>
      <c r="K4150" s="584"/>
      <c r="L4150" s="39"/>
      <c r="M4150" s="39"/>
      <c r="N4150" s="52" t="str">
        <f>IF(AND('331-CT'!$E$7=TH!H4150,OR(L4150="331",M4150="331")),"331",IF(AND(OR(L4150="131",M4150="131"),H4150='131-CT'!$E$7),"131",""))</f>
        <v/>
      </c>
      <c r="O4150" s="52" t="str">
        <f>IF(AND($B4150&gt;='111'!$N$11,$B4150&lt;='111'!$O$11,OR($L4150=$O$7,$M4150=$O$7)),"x","")</f>
        <v/>
      </c>
      <c r="P4150" s="52" t="str">
        <f>IF(AND($L4150=$O$7,$B4150&lt;'111'!$N$11),"x","")</f>
        <v/>
      </c>
      <c r="Q4150" s="52" t="str">
        <f>IF(AND($M4150=$O$7,$B4150&lt;'111'!$N$11),"x","")</f>
        <v/>
      </c>
      <c r="R4150" s="52" t="str">
        <f>IF(ISERROR(FIND('112'!$M$9,G4150,1)),"",IF((AND(FIND('112'!$M$9,G4150,1)&gt;=1,$B4150&gt;='112'!$N$8,$B4150&lt;='112'!$O$8,OR($L4150='112'!$I$6,$M4150='112'!$I$6))),"x",""))</f>
        <v/>
      </c>
      <c r="S4150" s="52" t="str">
        <f>IF(ISERROR(FIND('112'!$M$9,G4150,1)),"",IF((AND(LEFT(G4150,2)=LEFT('112'!$M$9,2),B4150&lt;'112'!$N$8,$L4150='112'!$I$6)),"x",""))</f>
        <v/>
      </c>
      <c r="T4150" s="52" t="str">
        <f>IF(ISERROR(FIND('112'!$M$9,G4150,1)),"",IF((AND(RIGHT(G4150,2)=RIGHT('112'!$M$9,2),B4150&lt;'112'!$N$8,$M4150='112'!$I$6)),"x",""))</f>
        <v/>
      </c>
      <c r="U4150" s="52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/>
      </c>
      <c r="V4150" s="52" t="str">
        <f>IF(OR(TH!L4150=TH!$V$7,M4150=TH!$V$7),"x","")</f>
        <v/>
      </c>
      <c r="W4150" s="52" t="str">
        <f>IF(AND(B4150&gt;='IN-NX'!$P$3,B4150&lt;='IN-NX'!$Q$3,'IN-NX'!$D$7=D4150,OR(LEFT(L4150,2)="15",AND(LEFT(M4150,2)&lt;&gt;"15",LEFT(M4150,2)&lt;&gt;"33"))),"x","")</f>
        <v/>
      </c>
      <c r="X4150" s="52" t="str">
        <f>IF(AND(OR(LEFT(TH!L4150,2)="15",LEFT(TH!M4150,2)="15"),'152-CT'!$J$8=TH!F4150),"x","")</f>
        <v/>
      </c>
      <c r="Y4150" s="52" t="str">
        <f>IF(AND(OR(LEFT(TH!L4150,2)="15",LEFT(TH!M4150,2)="15"),TK!$E$7=TH!F4150),"x","")</f>
        <v/>
      </c>
      <c r="Z4150" s="52" t="str">
        <f>IF(AND(B4150&lt;=NKC!$N$8,B4150&gt;=NKC!$M$8),"x","")</f>
        <v/>
      </c>
      <c r="AA4150" s="826"/>
    </row>
    <row r="4151" spans="1:27" ht="15.75" customHeight="1">
      <c r="A4151" s="827" t="str">
        <f>IF(B4151&lt;&gt;"",IF(AND(B4151&gt;=_TM1,B4151&lt;=_TM2,OR(TH!L4151="1111",TH!M4151="1111")),TH!D4151,""),"")</f>
        <v/>
      </c>
      <c r="B4151" s="36" t="str">
        <f t="shared" si="519"/>
        <v/>
      </c>
      <c r="C4151" s="190"/>
      <c r="D4151" s="190"/>
      <c r="E4151" s="785"/>
      <c r="F4151" s="40"/>
      <c r="G4151" s="832"/>
      <c r="H4151" s="7"/>
      <c r="I4151" s="253"/>
      <c r="J4151" s="253"/>
      <c r="K4151" s="584"/>
      <c r="L4151" s="39"/>
      <c r="M4151" s="39"/>
      <c r="N4151" s="52" t="str">
        <f>IF(AND('331-CT'!$E$7=TH!H4151,OR(L4151="331",M4151="331")),"331",IF(AND(OR(L4151="131",M4151="131"),H4151='131-CT'!$E$7),"131",""))</f>
        <v/>
      </c>
      <c r="O4151" s="52" t="str">
        <f>IF(AND($B4151&gt;='111'!$N$11,$B4151&lt;='111'!$O$11,OR($L4151=$O$7,$M4151=$O$7)),"x","")</f>
        <v/>
      </c>
      <c r="P4151" s="52" t="str">
        <f>IF(AND($L4151=$O$7,$B4151&lt;'111'!$N$11),"x","")</f>
        <v/>
      </c>
      <c r="Q4151" s="52" t="str">
        <f>IF(AND($M4151=$O$7,$B4151&lt;'111'!$N$11),"x","")</f>
        <v/>
      </c>
      <c r="R4151" s="52" t="str">
        <f>IF(ISERROR(FIND('112'!$M$9,G4151,1)),"",IF((AND(FIND('112'!$M$9,G4151,1)&gt;=1,$B4151&gt;='112'!$N$8,$B4151&lt;='112'!$O$8,OR($L4151='112'!$I$6,$M4151='112'!$I$6))),"x",""))</f>
        <v/>
      </c>
      <c r="S4151" s="52" t="str">
        <f>IF(ISERROR(FIND('112'!$M$9,G4151,1)),"",IF((AND(LEFT(G4151,2)=LEFT('112'!$M$9,2),B4151&lt;'112'!$N$8,$L4151='112'!$I$6)),"x",""))</f>
        <v/>
      </c>
      <c r="T4151" s="52" t="str">
        <f>IF(ISERROR(FIND('112'!$M$9,G4151,1)),"",IF((AND(RIGHT(G4151,2)=RIGHT('112'!$M$9,2),B4151&lt;'112'!$N$8,$M4151='112'!$I$6)),"x",""))</f>
        <v/>
      </c>
      <c r="U4151" s="52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/>
      </c>
      <c r="V4151" s="52" t="str">
        <f>IF(OR(TH!L4151=TH!$V$7,M4151=TH!$V$7),"x","")</f>
        <v/>
      </c>
      <c r="W4151" s="52" t="str">
        <f>IF(AND(B4151&gt;='IN-NX'!$P$3,B4151&lt;='IN-NX'!$Q$3,'IN-NX'!$D$7=D4151,OR(LEFT(L4151,2)="15",AND(LEFT(M4151,2)&lt;&gt;"15",LEFT(M4151,2)&lt;&gt;"33"))),"x","")</f>
        <v/>
      </c>
      <c r="X4151" s="52" t="str">
        <f>IF(AND(OR(LEFT(TH!L4151,2)="15",LEFT(TH!M4151,2)="15"),'152-CT'!$J$8=TH!F4151),"x","")</f>
        <v/>
      </c>
      <c r="Y4151" s="52" t="str">
        <f>IF(AND(OR(LEFT(TH!L4151,2)="15",LEFT(TH!M4151,2)="15"),TK!$E$7=TH!F4151),"x","")</f>
        <v/>
      </c>
      <c r="Z4151" s="52" t="str">
        <f>IF(AND(B4151&lt;=NKC!$N$8,B4151&gt;=NKC!$M$8),"x","")</f>
        <v/>
      </c>
      <c r="AA4151" s="826"/>
    </row>
    <row r="4152" spans="1:27" ht="15.75" customHeight="1">
      <c r="A4152" s="827" t="str">
        <f>IF(B4152&lt;&gt;"",IF(AND(B4152&gt;=_TM1,B4152&lt;=_TM2,OR(TH!L4152="1111",TH!M4152="1111")),TH!D4152,""),"")</f>
        <v/>
      </c>
      <c r="B4152" s="36" t="str">
        <f t="shared" si="519"/>
        <v/>
      </c>
      <c r="C4152" s="190"/>
      <c r="D4152" s="190"/>
      <c r="E4152" s="785"/>
      <c r="F4152" s="40"/>
      <c r="G4152" s="832"/>
      <c r="H4152" s="7"/>
      <c r="I4152" s="253"/>
      <c r="J4152" s="253"/>
      <c r="K4152" s="584"/>
      <c r="L4152" s="39"/>
      <c r="M4152" s="39"/>
      <c r="N4152" s="52" t="str">
        <f>IF(AND('331-CT'!$E$7=TH!H4152,OR(L4152="331",M4152="331")),"331",IF(AND(OR(L4152="131",M4152="131"),H4152='131-CT'!$E$7),"131",""))</f>
        <v/>
      </c>
      <c r="O4152" s="52" t="str">
        <f>IF(AND($B4152&gt;='111'!$N$11,$B4152&lt;='111'!$O$11,OR($L4152=$O$7,$M4152=$O$7)),"x","")</f>
        <v/>
      </c>
      <c r="P4152" s="52" t="str">
        <f>IF(AND($L4152=$O$7,$B4152&lt;'111'!$N$11),"x","")</f>
        <v/>
      </c>
      <c r="Q4152" s="52" t="str">
        <f>IF(AND($M4152=$O$7,$B4152&lt;'111'!$N$11),"x","")</f>
        <v/>
      </c>
      <c r="R4152" s="52" t="str">
        <f>IF(ISERROR(FIND('112'!$M$9,G4152,1)),"",IF((AND(FIND('112'!$M$9,G4152,1)&gt;=1,$B4152&gt;='112'!$N$8,$B4152&lt;='112'!$O$8,OR($L4152='112'!$I$6,$M4152='112'!$I$6))),"x",""))</f>
        <v/>
      </c>
      <c r="S4152" s="52" t="str">
        <f>IF(ISERROR(FIND('112'!$M$9,G4152,1)),"",IF((AND(LEFT(G4152,2)=LEFT('112'!$M$9,2),B4152&lt;'112'!$N$8,$L4152='112'!$I$6)),"x",""))</f>
        <v/>
      </c>
      <c r="T4152" s="52" t="str">
        <f>IF(ISERROR(FIND('112'!$M$9,G4152,1)),"",IF((AND(RIGHT(G4152,2)=RIGHT('112'!$M$9,2),B4152&lt;'112'!$N$8,$M4152='112'!$I$6)),"x",""))</f>
        <v/>
      </c>
      <c r="U4152" s="52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/>
      </c>
      <c r="V4152" s="52" t="str">
        <f>IF(OR(TH!L4152=TH!$V$7,M4152=TH!$V$7),"x","")</f>
        <v/>
      </c>
      <c r="W4152" s="52" t="str">
        <f>IF(AND(B4152&gt;='IN-NX'!$P$3,B4152&lt;='IN-NX'!$Q$3,'IN-NX'!$D$7=D4152,OR(LEFT(L4152,2)="15",AND(LEFT(M4152,2)&lt;&gt;"15",LEFT(M4152,2)&lt;&gt;"33"))),"x","")</f>
        <v/>
      </c>
      <c r="X4152" s="52" t="str">
        <f>IF(AND(OR(LEFT(TH!L4152,2)="15",LEFT(TH!M4152,2)="15"),'152-CT'!$J$8=TH!F4152),"x","")</f>
        <v/>
      </c>
      <c r="Y4152" s="52" t="str">
        <f>IF(AND(OR(LEFT(TH!L4152,2)="15",LEFT(TH!M4152,2)="15"),TK!$E$7=TH!F4152),"x","")</f>
        <v/>
      </c>
      <c r="Z4152" s="52" t="str">
        <f>IF(AND(B4152&lt;=NKC!$N$8,B4152&gt;=NKC!$M$8),"x","")</f>
        <v/>
      </c>
      <c r="AA4152" s="826"/>
    </row>
    <row r="4153" spans="1:27" ht="15.75" customHeight="1">
      <c r="A4153" s="827" t="str">
        <f>IF(B4153&lt;&gt;"",IF(AND(B4153&gt;=_TM1,B4153&lt;=_TM2,OR(TH!L4153="1111",TH!M4153="1111")),TH!D4153,""),"")</f>
        <v/>
      </c>
      <c r="B4153" s="36" t="str">
        <f t="shared" si="519"/>
        <v/>
      </c>
      <c r="C4153" s="190"/>
      <c r="D4153" s="37"/>
      <c r="E4153" s="785"/>
      <c r="F4153" s="436"/>
      <c r="G4153" s="832"/>
      <c r="H4153" s="7"/>
      <c r="I4153" s="253"/>
      <c r="J4153" s="253"/>
      <c r="K4153" s="584"/>
      <c r="L4153" s="39"/>
      <c r="M4153" s="39"/>
      <c r="N4153" s="52" t="str">
        <f>IF(AND('331-CT'!$E$7=TH!H4153,OR(L4153="331",M4153="331")),"331",IF(AND(OR(L4153="131",M4153="131"),H4153='131-CT'!$E$7),"131",""))</f>
        <v/>
      </c>
      <c r="O4153" s="52" t="str">
        <f>IF(AND($B4153&gt;='111'!$N$11,$B4153&lt;='111'!$O$11,OR($L4153=$O$7,$M4153=$O$7)),"x","")</f>
        <v/>
      </c>
      <c r="P4153" s="52" t="str">
        <f>IF(AND($L4153=$O$7,$B4153&lt;'111'!$N$11),"x","")</f>
        <v/>
      </c>
      <c r="Q4153" s="52" t="str">
        <f>IF(AND($M4153=$O$7,$B4153&lt;'111'!$N$11),"x","")</f>
        <v/>
      </c>
      <c r="R4153" s="52" t="str">
        <f>IF(ISERROR(FIND('112'!$M$9,G4153,1)),"",IF((AND(FIND('112'!$M$9,G4153,1)&gt;=1,$B4153&gt;='112'!$N$8,$B4153&lt;='112'!$O$8,OR($L4153='112'!$I$6,$M4153='112'!$I$6))),"x",""))</f>
        <v/>
      </c>
      <c r="S4153" s="52" t="str">
        <f>IF(ISERROR(FIND('112'!$M$9,G4153,1)),"",IF((AND(LEFT(G4153,2)=LEFT('112'!$M$9,2),B4153&lt;'112'!$N$8,$L4153='112'!$I$6)),"x",""))</f>
        <v/>
      </c>
      <c r="T4153" s="52" t="str">
        <f>IF(ISERROR(FIND('112'!$M$9,G4153,1)),"",IF((AND(RIGHT(G4153,2)=RIGHT('112'!$M$9,2),B4153&lt;'112'!$N$8,$M4153='112'!$I$6)),"x",""))</f>
        <v/>
      </c>
      <c r="U4153" s="52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/>
      </c>
      <c r="V4153" s="52" t="str">
        <f>IF(OR(TH!L4153=TH!$V$7,M4153=TH!$V$7),"x","")</f>
        <v/>
      </c>
      <c r="W4153" s="52" t="str">
        <f>IF(AND(B4153&gt;='IN-NX'!$P$3,B4153&lt;='IN-NX'!$Q$3,'IN-NX'!$D$7=D4153,OR(LEFT(L4153,2)="15",AND(LEFT(M4153,2)&lt;&gt;"15",LEFT(M4153,2)&lt;&gt;"33"))),"x","")</f>
        <v/>
      </c>
      <c r="X4153" s="52" t="str">
        <f>IF(AND(OR(LEFT(TH!L4153,2)="15",LEFT(TH!M4153,2)="15"),'152-CT'!$J$8=TH!F4153),"x","")</f>
        <v/>
      </c>
      <c r="Y4153" s="52" t="str">
        <f>IF(AND(OR(LEFT(TH!L4153,2)="15",LEFT(TH!M4153,2)="15"),TK!$E$7=TH!F4153),"x","")</f>
        <v/>
      </c>
      <c r="Z4153" s="52" t="str">
        <f>IF(AND(B4153&lt;=NKC!$N$8,B4153&gt;=NKC!$M$8),"x","")</f>
        <v/>
      </c>
      <c r="AA4153" s="826"/>
    </row>
    <row r="4154" spans="1:27" ht="15.75" customHeight="1">
      <c r="A4154" s="827" t="str">
        <f>IF(B4154&lt;&gt;"",IF(AND(B4154&gt;=_TM1,B4154&lt;=_TM2,OR(TH!L4154="1111",TH!M4154="1111")),TH!D4154,""),"")</f>
        <v/>
      </c>
      <c r="B4154" s="36" t="str">
        <f t="shared" si="519"/>
        <v/>
      </c>
      <c r="C4154" s="190"/>
      <c r="D4154" s="37"/>
      <c r="E4154" s="785"/>
      <c r="F4154" s="191"/>
      <c r="G4154" s="833"/>
      <c r="H4154" s="7"/>
      <c r="I4154" s="253"/>
      <c r="J4154" s="253"/>
      <c r="K4154" s="584"/>
      <c r="L4154" s="39"/>
      <c r="M4154" s="39"/>
      <c r="N4154" s="52" t="str">
        <f>IF(AND('331-CT'!$E$7=TH!H4154,OR(L4154="331",M4154="331")),"331",IF(AND(OR(L4154="131",M4154="131"),H4154='131-CT'!$E$7),"131",""))</f>
        <v/>
      </c>
      <c r="O4154" s="52" t="str">
        <f>IF(AND($B4154&gt;='111'!$N$11,$B4154&lt;='111'!$O$11,OR($L4154=$O$7,$M4154=$O$7)),"x","")</f>
        <v/>
      </c>
      <c r="P4154" s="52" t="str">
        <f>IF(AND($L4154=$O$7,$B4154&lt;'111'!$N$11),"x","")</f>
        <v/>
      </c>
      <c r="Q4154" s="52" t="str">
        <f>IF(AND($M4154=$O$7,$B4154&lt;'111'!$N$11),"x","")</f>
        <v/>
      </c>
      <c r="R4154" s="52" t="str">
        <f>IF(ISERROR(FIND('112'!$M$9,G4154,1)),"",IF((AND(FIND('112'!$M$9,G4154,1)&gt;=1,$B4154&gt;='112'!$N$8,$B4154&lt;='112'!$O$8,OR($L4154='112'!$I$6,$M4154='112'!$I$6))),"x",""))</f>
        <v/>
      </c>
      <c r="S4154" s="52" t="str">
        <f>IF(ISERROR(FIND('112'!$M$9,G4154,1)),"",IF((AND(LEFT(G4154,2)=LEFT('112'!$M$9,2),B4154&lt;'112'!$N$8,$L4154='112'!$I$6)),"x",""))</f>
        <v/>
      </c>
      <c r="T4154" s="52" t="str">
        <f>IF(ISERROR(FIND('112'!$M$9,G4154,1)),"",IF((AND(RIGHT(G4154,2)=RIGHT('112'!$M$9,2),B4154&lt;'112'!$N$8,$M4154='112'!$I$6)),"x",""))</f>
        <v/>
      </c>
      <c r="U4154" s="52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/>
      </c>
      <c r="V4154" s="52" t="str">
        <f>IF(OR(TH!L4154=TH!$V$7,M4154=TH!$V$7),"x","")</f>
        <v/>
      </c>
      <c r="W4154" s="52" t="str">
        <f>IF(AND(B4154&gt;='IN-NX'!$P$3,B4154&lt;='IN-NX'!$Q$3,'IN-NX'!$D$7=D4154,OR(LEFT(L4154,2)="15",AND(LEFT(M4154,2)&lt;&gt;"15",LEFT(M4154,2)&lt;&gt;"33"))),"x","")</f>
        <v/>
      </c>
      <c r="X4154" s="52" t="str">
        <f>IF(AND(OR(LEFT(TH!L4154,2)="15",LEFT(TH!M4154,2)="15"),'152-CT'!$J$8=TH!F4154),"x","")</f>
        <v/>
      </c>
      <c r="Y4154" s="52" t="str">
        <f>IF(AND(OR(LEFT(TH!L4154,2)="15",LEFT(TH!M4154,2)="15"),TK!$E$7=TH!F4154),"x","")</f>
        <v/>
      </c>
      <c r="Z4154" s="52" t="str">
        <f>IF(AND(B4154&lt;=NKC!$N$8,B4154&gt;=NKC!$M$8),"x","")</f>
        <v/>
      </c>
      <c r="AA4154" s="826"/>
    </row>
    <row r="4155" spans="1:27" ht="15.75" customHeight="1">
      <c r="A4155" s="827" t="str">
        <f>IF(B4155&lt;&gt;"",IF(AND(B4155&gt;=_TM1,B4155&lt;=_TM2,OR(TH!L4155="1111",TH!M4155="1111")),TH!D4155,""),"")</f>
        <v/>
      </c>
      <c r="B4155" s="36" t="str">
        <f t="shared" si="519"/>
        <v/>
      </c>
      <c r="C4155" s="190"/>
      <c r="D4155" s="190"/>
      <c r="E4155" s="785"/>
      <c r="F4155" s="191"/>
      <c r="G4155" s="833"/>
      <c r="H4155" s="192"/>
      <c r="I4155" s="253"/>
      <c r="J4155" s="253"/>
      <c r="K4155" s="584"/>
      <c r="L4155" s="193"/>
      <c r="M4155" s="193"/>
      <c r="N4155" s="52" t="str">
        <f>IF(AND('331-CT'!$E$7=TH!H4155,OR(L4155="331",M4155="331")),"331",IF(AND(OR(L4155="131",M4155="131"),H4155='131-CT'!$E$7),"131",""))</f>
        <v/>
      </c>
      <c r="O4155" s="52" t="str">
        <f>IF(AND($B4155&gt;='111'!$N$11,$B4155&lt;='111'!$O$11,OR($L4155=$O$7,$M4155=$O$7)),"x","")</f>
        <v/>
      </c>
      <c r="P4155" s="52" t="str">
        <f>IF(AND($L4155=$O$7,$B4155&lt;'111'!$N$11),"x","")</f>
        <v/>
      </c>
      <c r="Q4155" s="52" t="str">
        <f>IF(AND($M4155=$O$7,$B4155&lt;'111'!$N$11),"x","")</f>
        <v/>
      </c>
      <c r="R4155" s="52" t="str">
        <f>IF(ISERROR(FIND('112'!$M$9,G4155,1)),"",IF((AND(FIND('112'!$M$9,G4155,1)&gt;=1,$B4155&gt;='112'!$N$8,$B4155&lt;='112'!$O$8,OR($L4155='112'!$I$6,$M4155='112'!$I$6))),"x",""))</f>
        <v/>
      </c>
      <c r="S4155" s="52" t="str">
        <f>IF(ISERROR(FIND('112'!$M$9,G4155,1)),"",IF((AND(LEFT(G4155,2)=LEFT('112'!$M$9,2),B4155&lt;'112'!$N$8,$L4155='112'!$I$6)),"x",""))</f>
        <v/>
      </c>
      <c r="T4155" s="52" t="str">
        <f>IF(ISERROR(FIND('112'!$M$9,G4155,1)),"",IF((AND(RIGHT(G4155,2)=RIGHT('112'!$M$9,2),B4155&lt;'112'!$N$8,$M4155='112'!$I$6)),"x",""))</f>
        <v/>
      </c>
      <c r="U4155" s="52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/>
      </c>
      <c r="V4155" s="52" t="str">
        <f>IF(OR(TH!L4155=TH!$V$7,M4155=TH!$V$7),"x","")</f>
        <v/>
      </c>
      <c r="W4155" s="52" t="str">
        <f>IF(AND(B4155&gt;='IN-NX'!$P$3,B4155&lt;='IN-NX'!$Q$3,'IN-NX'!$D$7=D4155,OR(LEFT(L4155,2)="15",AND(LEFT(M4155,2)&lt;&gt;"15",LEFT(M4155,2)&lt;&gt;"33"))),"x","")</f>
        <v/>
      </c>
      <c r="X4155" s="52" t="str">
        <f>IF(AND(OR(LEFT(TH!L4155,2)="15",LEFT(TH!M4155,2)="15"),'152-CT'!$J$8=TH!F4155),"x","")</f>
        <v/>
      </c>
      <c r="Y4155" s="52" t="str">
        <f>IF(AND(OR(LEFT(TH!L4155,2)="15",LEFT(TH!M4155,2)="15"),TK!$E$7=TH!F4155),"x","")</f>
        <v/>
      </c>
      <c r="Z4155" s="52" t="str">
        <f>IF(AND(B4155&lt;=NKC!$N$8,B4155&gt;=NKC!$M$8),"x","")</f>
        <v/>
      </c>
      <c r="AA4155" s="826"/>
    </row>
    <row r="4156" spans="1:27" ht="15.75" customHeight="1">
      <c r="A4156" s="827" t="str">
        <f>IF(B4156&lt;&gt;"",IF(AND(B4156&gt;=_TM1,B4156&lt;=_TM2,OR(TH!L4156="1111",TH!M4156="1111")),TH!D4156,""),"")</f>
        <v/>
      </c>
      <c r="B4156" s="36" t="str">
        <f t="shared" si="519"/>
        <v/>
      </c>
      <c r="C4156" s="190"/>
      <c r="D4156" s="190"/>
      <c r="E4156" s="785"/>
      <c r="F4156" s="191"/>
      <c r="G4156" s="833"/>
      <c r="H4156" s="192"/>
      <c r="I4156" s="253"/>
      <c r="J4156" s="253"/>
      <c r="K4156" s="584"/>
      <c r="L4156" s="193"/>
      <c r="M4156" s="193"/>
      <c r="N4156" s="52" t="str">
        <f>IF(AND('331-CT'!$E$7=TH!H4156,OR(L4156="331",M4156="331")),"331",IF(AND(OR(L4156="131",M4156="131"),H4156='131-CT'!$E$7),"131",""))</f>
        <v/>
      </c>
      <c r="O4156" s="52" t="str">
        <f>IF(AND($B4156&gt;='111'!$N$11,$B4156&lt;='111'!$O$11,OR($L4156=$O$7,$M4156=$O$7)),"x","")</f>
        <v/>
      </c>
      <c r="P4156" s="52" t="str">
        <f>IF(AND($L4156=$O$7,$B4156&lt;'111'!$N$11),"x","")</f>
        <v/>
      </c>
      <c r="Q4156" s="52" t="str">
        <f>IF(AND($M4156=$O$7,$B4156&lt;'111'!$N$11),"x","")</f>
        <v/>
      </c>
      <c r="R4156" s="52" t="str">
        <f>IF(ISERROR(FIND('112'!$M$9,G4156,1)),"",IF((AND(FIND('112'!$M$9,G4156,1)&gt;=1,$B4156&gt;='112'!$N$8,$B4156&lt;='112'!$O$8,OR($L4156='112'!$I$6,$M4156='112'!$I$6))),"x",""))</f>
        <v/>
      </c>
      <c r="S4156" s="52" t="str">
        <f>IF(ISERROR(FIND('112'!$M$9,G4156,1)),"",IF((AND(LEFT(G4156,2)=LEFT('112'!$M$9,2),B4156&lt;'112'!$N$8,$L4156='112'!$I$6)),"x",""))</f>
        <v/>
      </c>
      <c r="T4156" s="52" t="str">
        <f>IF(ISERROR(FIND('112'!$M$9,G4156,1)),"",IF((AND(RIGHT(G4156,2)=RIGHT('112'!$M$9,2),B4156&lt;'112'!$N$8,$M4156='112'!$I$6)),"x",""))</f>
        <v/>
      </c>
      <c r="U4156" s="52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/>
      </c>
      <c r="V4156" s="52" t="str">
        <f>IF(OR(TH!L4156=TH!$V$7,M4156=TH!$V$7),"x","")</f>
        <v/>
      </c>
      <c r="W4156" s="52" t="str">
        <f>IF(AND(B4156&gt;='IN-NX'!$P$3,B4156&lt;='IN-NX'!$Q$3,'IN-NX'!$D$7=D4156,OR(LEFT(L4156,2)="15",AND(LEFT(M4156,2)&lt;&gt;"15",LEFT(M4156,2)&lt;&gt;"33"))),"x","")</f>
        <v/>
      </c>
      <c r="X4156" s="52" t="str">
        <f>IF(AND(OR(LEFT(TH!L4156,2)="15",LEFT(TH!M4156,2)="15"),'152-CT'!$J$8=TH!F4156),"x","")</f>
        <v/>
      </c>
      <c r="Y4156" s="52" t="str">
        <f>IF(AND(OR(LEFT(TH!L4156,2)="15",LEFT(TH!M4156,2)="15"),TK!$E$7=TH!F4156),"x","")</f>
        <v/>
      </c>
      <c r="Z4156" s="52" t="str">
        <f>IF(AND(B4156&lt;=NKC!$N$8,B4156&gt;=NKC!$M$8),"x","")</f>
        <v/>
      </c>
      <c r="AA4156" s="826"/>
    </row>
    <row r="4157" spans="1:27" ht="15.75" customHeight="1">
      <c r="A4157" s="827" t="str">
        <f>IF(B4157&lt;&gt;"",IF(AND(B4157&gt;=_TM1,B4157&lt;=_TM2,OR(TH!L4157="1111",TH!M4157="1111")),TH!D4157,""),"")</f>
        <v/>
      </c>
      <c r="B4157" s="36" t="str">
        <f t="shared" si="519"/>
        <v/>
      </c>
      <c r="C4157" s="190"/>
      <c r="D4157" s="190"/>
      <c r="E4157" s="785"/>
      <c r="F4157" s="191"/>
      <c r="G4157" s="833"/>
      <c r="H4157" s="192"/>
      <c r="I4157" s="253"/>
      <c r="J4157" s="253"/>
      <c r="K4157" s="584"/>
      <c r="L4157" s="193"/>
      <c r="M4157" s="193"/>
      <c r="N4157" s="52" t="str">
        <f>IF(AND('331-CT'!$E$7=TH!H4157,OR(L4157="331",M4157="331")),"331",IF(AND(OR(L4157="131",M4157="131"),H4157='131-CT'!$E$7),"131",""))</f>
        <v/>
      </c>
      <c r="O4157" s="52" t="str">
        <f>IF(AND($B4157&gt;='111'!$N$11,$B4157&lt;='111'!$O$11,OR($L4157=$O$7,$M4157=$O$7)),"x","")</f>
        <v/>
      </c>
      <c r="P4157" s="52" t="str">
        <f>IF(AND($L4157=$O$7,$B4157&lt;'111'!$N$11),"x","")</f>
        <v/>
      </c>
      <c r="Q4157" s="52" t="str">
        <f>IF(AND($M4157=$O$7,$B4157&lt;'111'!$N$11),"x","")</f>
        <v/>
      </c>
      <c r="R4157" s="52" t="str">
        <f>IF(ISERROR(FIND('112'!$M$9,G4157,1)),"",IF((AND(FIND('112'!$M$9,G4157,1)&gt;=1,$B4157&gt;='112'!$N$8,$B4157&lt;='112'!$O$8,OR($L4157='112'!$I$6,$M4157='112'!$I$6))),"x",""))</f>
        <v/>
      </c>
      <c r="S4157" s="52" t="str">
        <f>IF(ISERROR(FIND('112'!$M$9,G4157,1)),"",IF((AND(LEFT(G4157,2)=LEFT('112'!$M$9,2),B4157&lt;'112'!$N$8,$L4157='112'!$I$6)),"x",""))</f>
        <v/>
      </c>
      <c r="T4157" s="52" t="str">
        <f>IF(ISERROR(FIND('112'!$M$9,G4157,1)),"",IF((AND(RIGHT(G4157,2)=RIGHT('112'!$M$9,2),B4157&lt;'112'!$N$8,$M4157='112'!$I$6)),"x",""))</f>
        <v/>
      </c>
      <c r="U4157" s="52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/>
      </c>
      <c r="V4157" s="52" t="str">
        <f>IF(OR(TH!L4157=TH!$V$7,M4157=TH!$V$7),"x","")</f>
        <v/>
      </c>
      <c r="W4157" s="52" t="str">
        <f>IF(AND(B4157&gt;='IN-NX'!$P$3,B4157&lt;='IN-NX'!$Q$3,'IN-NX'!$D$7=D4157,OR(LEFT(L4157,2)="15",AND(LEFT(M4157,2)&lt;&gt;"15",LEFT(M4157,2)&lt;&gt;"33"))),"x","")</f>
        <v/>
      </c>
      <c r="X4157" s="52" t="str">
        <f>IF(AND(OR(LEFT(TH!L4157,2)="15",LEFT(TH!M4157,2)="15"),'152-CT'!$J$8=TH!F4157),"x","")</f>
        <v/>
      </c>
      <c r="Y4157" s="52" t="str">
        <f>IF(AND(OR(LEFT(TH!L4157,2)="15",LEFT(TH!M4157,2)="15"),TK!$E$7=TH!F4157),"x","")</f>
        <v/>
      </c>
      <c r="Z4157" s="52" t="str">
        <f>IF(AND(B4157&lt;=NKC!$N$8,B4157&gt;=NKC!$M$8),"x","")</f>
        <v/>
      </c>
      <c r="AA4157" s="826"/>
    </row>
    <row r="4158" spans="1:27" ht="15.75" customHeight="1">
      <c r="A4158" s="827" t="str">
        <f>IF(B4158&lt;&gt;"",IF(AND(B4158&gt;=_TM1,B4158&lt;=_TM2,OR(TH!L4158="1111",TH!M4158="1111")),TH!D4158,""),"")</f>
        <v/>
      </c>
      <c r="B4158" s="36" t="str">
        <f t="shared" si="519"/>
        <v/>
      </c>
      <c r="C4158" s="190"/>
      <c r="D4158" s="190"/>
      <c r="E4158" s="785"/>
      <c r="F4158" s="191"/>
      <c r="G4158" s="833"/>
      <c r="H4158" s="192"/>
      <c r="I4158" s="253"/>
      <c r="J4158" s="253"/>
      <c r="K4158" s="584"/>
      <c r="L4158" s="193"/>
      <c r="M4158" s="193"/>
      <c r="N4158" s="52" t="str">
        <f>IF(AND('331-CT'!$E$7=TH!H4158,OR(L4158="331",M4158="331")),"331",IF(AND(OR(L4158="131",M4158="131"),H4158='131-CT'!$E$7),"131",""))</f>
        <v/>
      </c>
      <c r="O4158" s="52" t="str">
        <f>IF(AND($B4158&gt;='111'!$N$11,$B4158&lt;='111'!$O$11,OR($L4158=$O$7,$M4158=$O$7)),"x","")</f>
        <v/>
      </c>
      <c r="P4158" s="52" t="str">
        <f>IF(AND($L4158=$O$7,$B4158&lt;'111'!$N$11),"x","")</f>
        <v/>
      </c>
      <c r="Q4158" s="52" t="str">
        <f>IF(AND($M4158=$O$7,$B4158&lt;'111'!$N$11),"x","")</f>
        <v/>
      </c>
      <c r="R4158" s="52" t="str">
        <f>IF(ISERROR(FIND('112'!$M$9,G4158,1)),"",IF((AND(FIND('112'!$M$9,G4158,1)&gt;=1,$B4158&gt;='112'!$N$8,$B4158&lt;='112'!$O$8,OR($L4158='112'!$I$6,$M4158='112'!$I$6))),"x",""))</f>
        <v/>
      </c>
      <c r="S4158" s="52" t="str">
        <f>IF(ISERROR(FIND('112'!$M$9,G4158,1)),"",IF((AND(LEFT(G4158,2)=LEFT('112'!$M$9,2),B4158&lt;'112'!$N$8,$L4158='112'!$I$6)),"x",""))</f>
        <v/>
      </c>
      <c r="T4158" s="52" t="str">
        <f>IF(ISERROR(FIND('112'!$M$9,G4158,1)),"",IF((AND(RIGHT(G4158,2)=RIGHT('112'!$M$9,2),B4158&lt;'112'!$N$8,$M4158='112'!$I$6)),"x",""))</f>
        <v/>
      </c>
      <c r="U4158" s="52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/>
      </c>
      <c r="V4158" s="52" t="str">
        <f>IF(OR(TH!L4158=TH!$V$7,M4158=TH!$V$7),"x","")</f>
        <v/>
      </c>
      <c r="W4158" s="52" t="str">
        <f>IF(AND(B4158&gt;='IN-NX'!$P$3,B4158&lt;='IN-NX'!$Q$3,'IN-NX'!$D$7=D4158,OR(LEFT(L4158,2)="15",AND(LEFT(M4158,2)&lt;&gt;"15",LEFT(M4158,2)&lt;&gt;"33"))),"x","")</f>
        <v/>
      </c>
      <c r="X4158" s="52" t="str">
        <f>IF(AND(OR(LEFT(TH!L4158,2)="15",LEFT(TH!M4158,2)="15"),'152-CT'!$J$8=TH!F4158),"x","")</f>
        <v/>
      </c>
      <c r="Y4158" s="52" t="str">
        <f>IF(AND(OR(LEFT(TH!L4158,2)="15",LEFT(TH!M4158,2)="15"),TK!$E$7=TH!F4158),"x","")</f>
        <v/>
      </c>
      <c r="Z4158" s="52" t="str">
        <f>IF(AND(B4158&lt;=NKC!$N$8,B4158&gt;=NKC!$M$8),"x","")</f>
        <v/>
      </c>
      <c r="AA4158" s="826"/>
    </row>
    <row r="4159" spans="1:27" ht="15.75" customHeight="1">
      <c r="A4159" s="827" t="str">
        <f>IF(B4159&lt;&gt;"",IF(AND(B4159&gt;=_TM1,B4159&lt;=_TM2,OR(TH!L4159="1111",TH!M4159="1111")),TH!D4159,""),"")</f>
        <v/>
      </c>
      <c r="B4159" s="36" t="str">
        <f t="shared" si="519"/>
        <v/>
      </c>
      <c r="C4159" s="190"/>
      <c r="D4159" s="190"/>
      <c r="E4159" s="785"/>
      <c r="F4159" s="191"/>
      <c r="G4159" s="833"/>
      <c r="H4159" s="192"/>
      <c r="I4159" s="253"/>
      <c r="J4159" s="253"/>
      <c r="K4159" s="584"/>
      <c r="L4159" s="193"/>
      <c r="M4159" s="193"/>
      <c r="N4159" s="52" t="str">
        <f>IF(AND('331-CT'!$E$7=TH!H4159,OR(L4159="331",M4159="331")),"331",IF(AND(OR(L4159="131",M4159="131"),H4159='131-CT'!$E$7),"131",""))</f>
        <v/>
      </c>
      <c r="O4159" s="52" t="str">
        <f>IF(AND($B4159&gt;='111'!$N$11,$B4159&lt;='111'!$O$11,OR($L4159=$O$7,$M4159=$O$7)),"x","")</f>
        <v/>
      </c>
      <c r="P4159" s="52" t="str">
        <f>IF(AND($L4159=$O$7,$B4159&lt;'111'!$N$11),"x","")</f>
        <v/>
      </c>
      <c r="Q4159" s="52" t="str">
        <f>IF(AND($M4159=$O$7,$B4159&lt;'111'!$N$11),"x","")</f>
        <v/>
      </c>
      <c r="R4159" s="52" t="str">
        <f>IF(ISERROR(FIND('112'!$M$9,G4159,1)),"",IF((AND(FIND('112'!$M$9,G4159,1)&gt;=1,$B4159&gt;='112'!$N$8,$B4159&lt;='112'!$O$8,OR($L4159='112'!$I$6,$M4159='112'!$I$6))),"x",""))</f>
        <v/>
      </c>
      <c r="S4159" s="52" t="str">
        <f>IF(ISERROR(FIND('112'!$M$9,G4159,1)),"",IF((AND(LEFT(G4159,2)=LEFT('112'!$M$9,2),B4159&lt;'112'!$N$8,$L4159='112'!$I$6)),"x",""))</f>
        <v/>
      </c>
      <c r="T4159" s="52" t="str">
        <f>IF(ISERROR(FIND('112'!$M$9,G4159,1)),"",IF((AND(RIGHT(G4159,2)=RIGHT('112'!$M$9,2),B4159&lt;'112'!$N$8,$M4159='112'!$I$6)),"x",""))</f>
        <v/>
      </c>
      <c r="U4159" s="52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/>
      </c>
      <c r="V4159" s="52" t="str">
        <f>IF(OR(TH!L4159=TH!$V$7,M4159=TH!$V$7),"x","")</f>
        <v/>
      </c>
      <c r="W4159" s="52" t="str">
        <f>IF(AND(B4159&gt;='IN-NX'!$P$3,B4159&lt;='IN-NX'!$Q$3,'IN-NX'!$D$7=D4159,OR(LEFT(L4159,2)="15",AND(LEFT(M4159,2)&lt;&gt;"15",LEFT(M4159,2)&lt;&gt;"33"))),"x","")</f>
        <v/>
      </c>
      <c r="X4159" s="52" t="str">
        <f>IF(AND(OR(LEFT(TH!L4159,2)="15",LEFT(TH!M4159,2)="15"),'152-CT'!$J$8=TH!F4159),"x","")</f>
        <v/>
      </c>
      <c r="Y4159" s="52" t="str">
        <f>IF(AND(OR(LEFT(TH!L4159,2)="15",LEFT(TH!M4159,2)="15"),TK!$E$7=TH!F4159),"x","")</f>
        <v/>
      </c>
      <c r="Z4159" s="52" t="str">
        <f>IF(AND(B4159&lt;=NKC!$N$8,B4159&gt;=NKC!$M$8),"x","")</f>
        <v/>
      </c>
      <c r="AA4159" s="826"/>
    </row>
    <row r="4160" spans="1:27" ht="15.75" customHeight="1">
      <c r="A4160" s="827" t="str">
        <f>IF(B4160&lt;&gt;"",IF(AND(B4160&gt;=_TM1,B4160&lt;=_TM2,OR(TH!L4160="1111",TH!M4160="1111")),TH!D4160,""),"")</f>
        <v/>
      </c>
      <c r="B4160" s="36" t="str">
        <f t="shared" si="519"/>
        <v/>
      </c>
      <c r="C4160" s="190"/>
      <c r="D4160" s="190"/>
      <c r="E4160" s="785"/>
      <c r="F4160" s="191"/>
      <c r="G4160" s="833"/>
      <c r="H4160" s="192"/>
      <c r="I4160" s="253"/>
      <c r="J4160" s="253"/>
      <c r="K4160" s="584"/>
      <c r="L4160" s="193"/>
      <c r="M4160" s="193"/>
      <c r="N4160" s="52" t="str">
        <f>IF(AND('331-CT'!$E$7=TH!H4160,OR(L4160="331",M4160="331")),"331",IF(AND(OR(L4160="131",M4160="131"),H4160='131-CT'!$E$7),"131",""))</f>
        <v/>
      </c>
      <c r="O4160" s="52" t="str">
        <f>IF(AND($B4160&gt;='111'!$N$11,$B4160&lt;='111'!$O$11,OR($L4160=$O$7,$M4160=$O$7)),"x","")</f>
        <v/>
      </c>
      <c r="P4160" s="52" t="str">
        <f>IF(AND($L4160=$O$7,$B4160&lt;'111'!$N$11),"x","")</f>
        <v/>
      </c>
      <c r="Q4160" s="52" t="str">
        <f>IF(AND($M4160=$O$7,$B4160&lt;'111'!$N$11),"x","")</f>
        <v/>
      </c>
      <c r="R4160" s="52" t="str">
        <f>IF(ISERROR(FIND('112'!$M$9,G4160,1)),"",IF((AND(FIND('112'!$M$9,G4160,1)&gt;=1,$B4160&gt;='112'!$N$8,$B4160&lt;='112'!$O$8,OR($L4160='112'!$I$6,$M4160='112'!$I$6))),"x",""))</f>
        <v/>
      </c>
      <c r="S4160" s="52" t="str">
        <f>IF(ISERROR(FIND('112'!$M$9,G4160,1)),"",IF((AND(LEFT(G4160,2)=LEFT('112'!$M$9,2),B4160&lt;'112'!$N$8,$L4160='112'!$I$6)),"x",""))</f>
        <v/>
      </c>
      <c r="T4160" s="52" t="str">
        <f>IF(ISERROR(FIND('112'!$M$9,G4160,1)),"",IF((AND(RIGHT(G4160,2)=RIGHT('112'!$M$9,2),B4160&lt;'112'!$N$8,$M4160='112'!$I$6)),"x",""))</f>
        <v/>
      </c>
      <c r="U4160" s="52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/>
      </c>
      <c r="V4160" s="52" t="str">
        <f>IF(OR(TH!L4160=TH!$V$7,M4160=TH!$V$7),"x","")</f>
        <v/>
      </c>
      <c r="W4160" s="52" t="str">
        <f>IF(AND(B4160&gt;='IN-NX'!$P$3,B4160&lt;='IN-NX'!$Q$3,'IN-NX'!$D$7=D4160,OR(LEFT(L4160,2)="15",AND(LEFT(M4160,2)&lt;&gt;"15",LEFT(M4160,2)&lt;&gt;"33"))),"x","")</f>
        <v/>
      </c>
      <c r="X4160" s="52" t="str">
        <f>IF(AND(OR(LEFT(TH!L4160,2)="15",LEFT(TH!M4160,2)="15"),'152-CT'!$J$8=TH!F4160),"x","")</f>
        <v/>
      </c>
      <c r="Y4160" s="52" t="str">
        <f>IF(AND(OR(LEFT(TH!L4160,2)="15",LEFT(TH!M4160,2)="15"),TK!$E$7=TH!F4160),"x","")</f>
        <v/>
      </c>
      <c r="Z4160" s="52" t="str">
        <f>IF(AND(B4160&lt;=NKC!$N$8,B4160&gt;=NKC!$M$8),"x","")</f>
        <v/>
      </c>
      <c r="AA4160" s="826"/>
    </row>
    <row r="4161" spans="1:27" ht="15.75" customHeight="1">
      <c r="A4161" s="827" t="str">
        <f>IF(B4161&lt;&gt;"",IF(AND(B4161&gt;=_TM1,B4161&lt;=_TM2,OR(TH!L4161="1111",TH!M4161="1111")),TH!D4161,""),"")</f>
        <v/>
      </c>
      <c r="B4161" s="36" t="str">
        <f t="shared" si="519"/>
        <v/>
      </c>
      <c r="C4161" s="190"/>
      <c r="D4161" s="190"/>
      <c r="E4161" s="785"/>
      <c r="F4161" s="191"/>
      <c r="G4161" s="833"/>
      <c r="H4161" s="192"/>
      <c r="I4161" s="253"/>
      <c r="J4161" s="253"/>
      <c r="K4161" s="584"/>
      <c r="L4161" s="193"/>
      <c r="M4161" s="193"/>
      <c r="N4161" s="52" t="str">
        <f>IF(AND('331-CT'!$E$7=TH!H4161,OR(L4161="331",M4161="331")),"331",IF(AND(OR(L4161="131",M4161="131"),H4161='131-CT'!$E$7),"131",""))</f>
        <v/>
      </c>
      <c r="O4161" s="52" t="str">
        <f>IF(AND($B4161&gt;='111'!$N$11,$B4161&lt;='111'!$O$11,OR($L4161=$O$7,$M4161=$O$7)),"x","")</f>
        <v/>
      </c>
      <c r="P4161" s="52" t="str">
        <f>IF(AND($L4161=$O$7,$B4161&lt;'111'!$N$11),"x","")</f>
        <v/>
      </c>
      <c r="Q4161" s="52" t="str">
        <f>IF(AND($M4161=$O$7,$B4161&lt;'111'!$N$11),"x","")</f>
        <v/>
      </c>
      <c r="R4161" s="52" t="str">
        <f>IF(ISERROR(FIND('112'!$M$9,G4161,1)),"",IF((AND(FIND('112'!$M$9,G4161,1)&gt;=1,$B4161&gt;='112'!$N$8,$B4161&lt;='112'!$O$8,OR($L4161='112'!$I$6,$M4161='112'!$I$6))),"x",""))</f>
        <v/>
      </c>
      <c r="S4161" s="52" t="str">
        <f>IF(ISERROR(FIND('112'!$M$9,G4161,1)),"",IF((AND(LEFT(G4161,2)=LEFT('112'!$M$9,2),B4161&lt;'112'!$N$8,$L4161='112'!$I$6)),"x",""))</f>
        <v/>
      </c>
      <c r="T4161" s="52" t="str">
        <f>IF(ISERROR(FIND('112'!$M$9,G4161,1)),"",IF((AND(RIGHT(G4161,2)=RIGHT('112'!$M$9,2),B4161&lt;'112'!$N$8,$M4161='112'!$I$6)),"x",""))</f>
        <v/>
      </c>
      <c r="U4161" s="52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/>
      </c>
      <c r="V4161" s="52" t="str">
        <f>IF(OR(TH!L4161=TH!$V$7,M4161=TH!$V$7),"x","")</f>
        <v/>
      </c>
      <c r="W4161" s="52" t="str">
        <f>IF(AND(B4161&gt;='IN-NX'!$P$3,B4161&lt;='IN-NX'!$Q$3,'IN-NX'!$D$7=D4161,OR(LEFT(L4161,2)="15",AND(LEFT(M4161,2)&lt;&gt;"15",LEFT(M4161,2)&lt;&gt;"33"))),"x","")</f>
        <v/>
      </c>
      <c r="X4161" s="52" t="str">
        <f>IF(AND(OR(LEFT(TH!L4161,2)="15",LEFT(TH!M4161,2)="15"),'152-CT'!$J$8=TH!F4161),"x","")</f>
        <v/>
      </c>
      <c r="Y4161" s="52" t="str">
        <f>IF(AND(OR(LEFT(TH!L4161,2)="15",LEFT(TH!M4161,2)="15"),TK!$E$7=TH!F4161),"x","")</f>
        <v/>
      </c>
      <c r="Z4161" s="52" t="str">
        <f>IF(AND(B4161&lt;=NKC!$N$8,B4161&gt;=NKC!$M$8),"x","")</f>
        <v/>
      </c>
      <c r="AA4161" s="826"/>
    </row>
    <row r="4162" spans="1:27" ht="15.75" customHeight="1">
      <c r="A4162" s="827" t="str">
        <f>IF(B4162&lt;&gt;"",IF(AND(B4162&gt;=_TM1,B4162&lt;=_TM2,OR(TH!L4162="1111",TH!M4162="1111")),TH!D4162,""),"")</f>
        <v/>
      </c>
      <c r="B4162" s="36" t="str">
        <f t="shared" si="519"/>
        <v/>
      </c>
      <c r="C4162" s="190"/>
      <c r="D4162" s="190"/>
      <c r="E4162" s="785"/>
      <c r="F4162" s="191"/>
      <c r="G4162" s="833"/>
      <c r="H4162" s="192"/>
      <c r="I4162" s="253"/>
      <c r="J4162" s="253"/>
      <c r="K4162" s="584"/>
      <c r="L4162" s="193"/>
      <c r="M4162" s="193"/>
      <c r="N4162" s="52" t="str">
        <f>IF(AND('331-CT'!$E$7=TH!H4162,OR(L4162="331",M4162="331")),"331",IF(AND(OR(L4162="131",M4162="131"),H4162='131-CT'!$E$7),"131",""))</f>
        <v/>
      </c>
      <c r="O4162" s="52" t="str">
        <f>IF(AND($B4162&gt;='111'!$N$11,$B4162&lt;='111'!$O$11,OR($L4162=$O$7,$M4162=$O$7)),"x","")</f>
        <v/>
      </c>
      <c r="P4162" s="52" t="str">
        <f>IF(AND($L4162=$O$7,$B4162&lt;'111'!$N$11),"x","")</f>
        <v/>
      </c>
      <c r="Q4162" s="52" t="str">
        <f>IF(AND($M4162=$O$7,$B4162&lt;'111'!$N$11),"x","")</f>
        <v/>
      </c>
      <c r="R4162" s="52" t="str">
        <f>IF(ISERROR(FIND('112'!$M$9,G4162,1)),"",IF((AND(FIND('112'!$M$9,G4162,1)&gt;=1,$B4162&gt;='112'!$N$8,$B4162&lt;='112'!$O$8,OR($L4162='112'!$I$6,$M4162='112'!$I$6))),"x",""))</f>
        <v/>
      </c>
      <c r="S4162" s="52" t="str">
        <f>IF(ISERROR(FIND('112'!$M$9,G4162,1)),"",IF((AND(LEFT(G4162,2)=LEFT('112'!$M$9,2),B4162&lt;'112'!$N$8,$L4162='112'!$I$6)),"x",""))</f>
        <v/>
      </c>
      <c r="T4162" s="52" t="str">
        <f>IF(ISERROR(FIND('112'!$M$9,G4162,1)),"",IF((AND(RIGHT(G4162,2)=RIGHT('112'!$M$9,2),B4162&lt;'112'!$N$8,$M4162='112'!$I$6)),"x",""))</f>
        <v/>
      </c>
      <c r="U4162" s="52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/>
      </c>
      <c r="V4162" s="52" t="str">
        <f>IF(OR(TH!L4162=TH!$V$7,M4162=TH!$V$7),"x","")</f>
        <v/>
      </c>
      <c r="W4162" s="52" t="str">
        <f>IF(AND(B4162&gt;='IN-NX'!$P$3,B4162&lt;='IN-NX'!$Q$3,'IN-NX'!$D$7=D4162,OR(LEFT(L4162,2)="15",AND(LEFT(M4162,2)&lt;&gt;"15",LEFT(M4162,2)&lt;&gt;"33"))),"x","")</f>
        <v/>
      </c>
      <c r="X4162" s="52" t="str">
        <f>IF(AND(OR(LEFT(TH!L4162,2)="15",LEFT(TH!M4162,2)="15"),'152-CT'!$J$8=TH!F4162),"x","")</f>
        <v/>
      </c>
      <c r="Y4162" s="52" t="str">
        <f>IF(AND(OR(LEFT(TH!L4162,2)="15",LEFT(TH!M4162,2)="15"),TK!$E$7=TH!F4162),"x","")</f>
        <v/>
      </c>
      <c r="Z4162" s="52" t="str">
        <f>IF(AND(B4162&lt;=NKC!$N$8,B4162&gt;=NKC!$M$8),"x","")</f>
        <v/>
      </c>
      <c r="AA4162" s="826"/>
    </row>
    <row r="4163" spans="1:27" ht="15.75" customHeight="1">
      <c r="A4163" s="827" t="str">
        <f>IF(B4163&lt;&gt;"",IF(AND(B4163&gt;=_TM1,B4163&lt;=_TM2,OR(TH!L4163="1111",TH!M4163="1111")),TH!D4163,""),"")</f>
        <v/>
      </c>
      <c r="B4163" s="36" t="str">
        <f t="shared" si="519"/>
        <v/>
      </c>
      <c r="C4163" s="190"/>
      <c r="D4163" s="190"/>
      <c r="E4163" s="785"/>
      <c r="F4163" s="191"/>
      <c r="G4163" s="833"/>
      <c r="H4163" s="192"/>
      <c r="I4163" s="253"/>
      <c r="J4163" s="253"/>
      <c r="K4163" s="584"/>
      <c r="L4163" s="193"/>
      <c r="M4163" s="193"/>
      <c r="N4163" s="52" t="str">
        <f>IF(AND('331-CT'!$E$7=TH!H4163,OR(L4163="331",M4163="331")),"331",IF(AND(OR(L4163="131",M4163="131"),H4163='131-CT'!$E$7),"131",""))</f>
        <v/>
      </c>
      <c r="O4163" s="52" t="str">
        <f>IF(AND($B4163&gt;='111'!$N$11,$B4163&lt;='111'!$O$11,OR($L4163=$O$7,$M4163=$O$7)),"x","")</f>
        <v/>
      </c>
      <c r="P4163" s="52" t="str">
        <f>IF(AND($L4163=$O$7,$B4163&lt;'111'!$N$11),"x","")</f>
        <v/>
      </c>
      <c r="Q4163" s="52" t="str">
        <f>IF(AND($M4163=$O$7,$B4163&lt;'111'!$N$11),"x","")</f>
        <v/>
      </c>
      <c r="R4163" s="52" t="str">
        <f>IF(ISERROR(FIND('112'!$M$9,G4163,1)),"",IF((AND(FIND('112'!$M$9,G4163,1)&gt;=1,$B4163&gt;='112'!$N$8,$B4163&lt;='112'!$O$8,OR($L4163='112'!$I$6,$M4163='112'!$I$6))),"x",""))</f>
        <v/>
      </c>
      <c r="S4163" s="52" t="str">
        <f>IF(ISERROR(FIND('112'!$M$9,G4163,1)),"",IF((AND(LEFT(G4163,2)=LEFT('112'!$M$9,2),B4163&lt;'112'!$N$8,$L4163='112'!$I$6)),"x",""))</f>
        <v/>
      </c>
      <c r="T4163" s="52" t="str">
        <f>IF(ISERROR(FIND('112'!$M$9,G4163,1)),"",IF((AND(RIGHT(G4163,2)=RIGHT('112'!$M$9,2),B4163&lt;'112'!$N$8,$M4163='112'!$I$6)),"x",""))</f>
        <v/>
      </c>
      <c r="U4163" s="52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/>
      </c>
      <c r="V4163" s="52" t="str">
        <f>IF(OR(TH!L4163=TH!$V$7,M4163=TH!$V$7),"x","")</f>
        <v/>
      </c>
      <c r="W4163" s="52" t="str">
        <f>IF(AND(B4163&gt;='IN-NX'!$P$3,B4163&lt;='IN-NX'!$Q$3,'IN-NX'!$D$7=D4163,OR(LEFT(L4163,2)="15",AND(LEFT(M4163,2)&lt;&gt;"15",LEFT(M4163,2)&lt;&gt;"33"))),"x","")</f>
        <v/>
      </c>
      <c r="X4163" s="52" t="str">
        <f>IF(AND(OR(LEFT(TH!L4163,2)="15",LEFT(TH!M4163,2)="15"),'152-CT'!$J$8=TH!F4163),"x","")</f>
        <v/>
      </c>
      <c r="Y4163" s="52" t="str">
        <f>IF(AND(OR(LEFT(TH!L4163,2)="15",LEFT(TH!M4163,2)="15"),TK!$E$7=TH!F4163),"x","")</f>
        <v/>
      </c>
      <c r="Z4163" s="52" t="str">
        <f>IF(AND(B4163&lt;=NKC!$N$8,B4163&gt;=NKC!$M$8),"x","")</f>
        <v/>
      </c>
      <c r="AA4163" s="826"/>
    </row>
    <row r="4164" spans="1:27" ht="15.75" customHeight="1">
      <c r="A4164" s="827" t="str">
        <f>IF(B4164&lt;&gt;"",IF(AND(B4164&gt;=_TM1,B4164&lt;=_TM2,OR(TH!L4164="1111",TH!M4164="1111")),TH!D4164,""),"")</f>
        <v/>
      </c>
      <c r="B4164" s="36" t="str">
        <f t="shared" si="519"/>
        <v/>
      </c>
      <c r="C4164" s="190"/>
      <c r="D4164" s="190"/>
      <c r="E4164" s="785"/>
      <c r="F4164" s="191"/>
      <c r="G4164" s="833"/>
      <c r="H4164" s="192"/>
      <c r="I4164" s="253"/>
      <c r="J4164" s="253"/>
      <c r="K4164" s="584"/>
      <c r="L4164" s="193"/>
      <c r="M4164" s="193"/>
      <c r="N4164" s="52" t="str">
        <f>IF(AND('331-CT'!$E$7=TH!H4164,OR(L4164="331",M4164="331")),"331",IF(AND(OR(L4164="131",M4164="131"),H4164='131-CT'!$E$7),"131",""))</f>
        <v/>
      </c>
      <c r="O4164" s="52" t="str">
        <f>IF(AND($B4164&gt;='111'!$N$11,$B4164&lt;='111'!$O$11,OR($L4164=$O$7,$M4164=$O$7)),"x","")</f>
        <v/>
      </c>
      <c r="P4164" s="52" t="str">
        <f>IF(AND($L4164=$O$7,$B4164&lt;'111'!$N$11),"x","")</f>
        <v/>
      </c>
      <c r="Q4164" s="52" t="str">
        <f>IF(AND($M4164=$O$7,$B4164&lt;'111'!$N$11),"x","")</f>
        <v/>
      </c>
      <c r="R4164" s="52" t="str">
        <f>IF(ISERROR(FIND('112'!$M$9,G4164,1)),"",IF((AND(FIND('112'!$M$9,G4164,1)&gt;=1,$B4164&gt;='112'!$N$8,$B4164&lt;='112'!$O$8,OR($L4164='112'!$I$6,$M4164='112'!$I$6))),"x",""))</f>
        <v/>
      </c>
      <c r="S4164" s="52" t="str">
        <f>IF(ISERROR(FIND('112'!$M$9,G4164,1)),"",IF((AND(LEFT(G4164,2)=LEFT('112'!$M$9,2),B4164&lt;'112'!$N$8,$L4164='112'!$I$6)),"x",""))</f>
        <v/>
      </c>
      <c r="T4164" s="52" t="str">
        <f>IF(ISERROR(FIND('112'!$M$9,G4164,1)),"",IF((AND(RIGHT(G4164,2)=RIGHT('112'!$M$9,2),B4164&lt;'112'!$N$8,$M4164='112'!$I$6)),"x",""))</f>
        <v/>
      </c>
      <c r="U4164" s="52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/>
      </c>
      <c r="V4164" s="52" t="str">
        <f>IF(OR(TH!L4164=TH!$V$7,M4164=TH!$V$7),"x","")</f>
        <v/>
      </c>
      <c r="W4164" s="52" t="str">
        <f>IF(AND(B4164&gt;='IN-NX'!$P$3,B4164&lt;='IN-NX'!$Q$3,'IN-NX'!$D$7=D4164,OR(LEFT(L4164,2)="15",AND(LEFT(M4164,2)&lt;&gt;"15",LEFT(M4164,2)&lt;&gt;"33"))),"x","")</f>
        <v/>
      </c>
      <c r="X4164" s="52" t="str">
        <f>IF(AND(OR(LEFT(TH!L4164,2)="15",LEFT(TH!M4164,2)="15"),'152-CT'!$J$8=TH!F4164),"x","")</f>
        <v/>
      </c>
      <c r="Y4164" s="52" t="str">
        <f>IF(AND(OR(LEFT(TH!L4164,2)="15",LEFT(TH!M4164,2)="15"),TK!$E$7=TH!F4164),"x","")</f>
        <v/>
      </c>
      <c r="Z4164" s="52" t="str">
        <f>IF(AND(B4164&lt;=NKC!$N$8,B4164&gt;=NKC!$M$8),"x","")</f>
        <v/>
      </c>
      <c r="AA4164" s="826"/>
    </row>
    <row r="4165" spans="1:27" ht="15.75" customHeight="1">
      <c r="A4165" s="827" t="str">
        <f>IF(B4165&lt;&gt;"",IF(AND(B4165&gt;=_TM1,B4165&lt;=_TM2,OR(TH!L4165="1111",TH!M4165="1111")),TH!D4165,""),"")</f>
        <v/>
      </c>
      <c r="B4165" s="36" t="str">
        <f t="shared" si="519"/>
        <v/>
      </c>
      <c r="C4165" s="190"/>
      <c r="D4165" s="190"/>
      <c r="E4165" s="785"/>
      <c r="F4165" s="191"/>
      <c r="G4165" s="833"/>
      <c r="H4165" s="192"/>
      <c r="I4165" s="253"/>
      <c r="J4165" s="253"/>
      <c r="K4165" s="584"/>
      <c r="L4165" s="193"/>
      <c r="M4165" s="193"/>
      <c r="N4165" s="52" t="str">
        <f>IF(AND('331-CT'!$E$7=TH!H4165,OR(L4165="331",M4165="331")),"331",IF(AND(OR(L4165="131",M4165="131"),H4165='131-CT'!$E$7),"131",""))</f>
        <v/>
      </c>
      <c r="O4165" s="52" t="str">
        <f>IF(AND($B4165&gt;='111'!$N$11,$B4165&lt;='111'!$O$11,OR($L4165=$O$7,$M4165=$O$7)),"x","")</f>
        <v/>
      </c>
      <c r="P4165" s="52" t="str">
        <f>IF(AND($L4165=$O$7,$B4165&lt;'111'!$N$11),"x","")</f>
        <v/>
      </c>
      <c r="Q4165" s="52" t="str">
        <f>IF(AND($M4165=$O$7,$B4165&lt;'111'!$N$11),"x","")</f>
        <v/>
      </c>
      <c r="R4165" s="52" t="str">
        <f>IF(ISERROR(FIND('112'!$M$9,G4165,1)),"",IF((AND(FIND('112'!$M$9,G4165,1)&gt;=1,$B4165&gt;='112'!$N$8,$B4165&lt;='112'!$O$8,OR($L4165='112'!$I$6,$M4165='112'!$I$6))),"x",""))</f>
        <v/>
      </c>
      <c r="S4165" s="52" t="str">
        <f>IF(ISERROR(FIND('112'!$M$9,G4165,1)),"",IF((AND(LEFT(G4165,2)=LEFT('112'!$M$9,2),B4165&lt;'112'!$N$8,$L4165='112'!$I$6)),"x",""))</f>
        <v/>
      </c>
      <c r="T4165" s="52" t="str">
        <f>IF(ISERROR(FIND('112'!$M$9,G4165,1)),"",IF((AND(RIGHT(G4165,2)=RIGHT('112'!$M$9,2),B4165&lt;'112'!$N$8,$M4165='112'!$I$6)),"x",""))</f>
        <v/>
      </c>
      <c r="U4165" s="52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/>
      </c>
      <c r="V4165" s="52" t="str">
        <f>IF(OR(TH!L4165=TH!$V$7,M4165=TH!$V$7),"x","")</f>
        <v/>
      </c>
      <c r="W4165" s="52" t="str">
        <f>IF(AND(B4165&gt;='IN-NX'!$P$3,B4165&lt;='IN-NX'!$Q$3,'IN-NX'!$D$7=D4165,OR(LEFT(L4165,2)="15",AND(LEFT(M4165,2)&lt;&gt;"15",LEFT(M4165,2)&lt;&gt;"33"))),"x","")</f>
        <v/>
      </c>
      <c r="X4165" s="52" t="str">
        <f>IF(AND(OR(LEFT(TH!L4165,2)="15",LEFT(TH!M4165,2)="15"),'152-CT'!$J$8=TH!F4165),"x","")</f>
        <v/>
      </c>
      <c r="Y4165" s="52" t="str">
        <f>IF(AND(OR(LEFT(TH!L4165,2)="15",LEFT(TH!M4165,2)="15"),TK!$E$7=TH!F4165),"x","")</f>
        <v/>
      </c>
      <c r="Z4165" s="52" t="str">
        <f>IF(AND(B4165&lt;=NKC!$N$8,B4165&gt;=NKC!$M$8),"x","")</f>
        <v/>
      </c>
      <c r="AA4165" s="826"/>
    </row>
    <row r="4166" spans="1:27" ht="15.75" customHeight="1">
      <c r="A4166" s="827" t="str">
        <f>IF(B4166&lt;&gt;"",IF(AND(B4166&gt;=_TM1,B4166&lt;=_TM2,OR(TH!L4166="1111",TH!M4166="1111")),TH!D4166,""),"")</f>
        <v/>
      </c>
      <c r="B4166" s="36" t="str">
        <f t="shared" si="519"/>
        <v/>
      </c>
      <c r="C4166" s="190"/>
      <c r="D4166" s="190"/>
      <c r="E4166" s="785"/>
      <c r="F4166" s="191"/>
      <c r="G4166" s="833"/>
      <c r="H4166" s="192"/>
      <c r="I4166" s="253"/>
      <c r="J4166" s="253"/>
      <c r="K4166" s="584"/>
      <c r="L4166" s="193"/>
      <c r="M4166" s="193"/>
      <c r="N4166" s="52" t="str">
        <f>IF(AND('331-CT'!$E$7=TH!H4166,OR(L4166="331",M4166="331")),"331",IF(AND(OR(L4166="131",M4166="131"),H4166='131-CT'!$E$7),"131",""))</f>
        <v/>
      </c>
      <c r="O4166" s="52" t="str">
        <f>IF(AND($B4166&gt;='111'!$N$11,$B4166&lt;='111'!$O$11,OR($L4166=$O$7,$M4166=$O$7)),"x","")</f>
        <v/>
      </c>
      <c r="P4166" s="52" t="str">
        <f>IF(AND($L4166=$O$7,$B4166&lt;'111'!$N$11),"x","")</f>
        <v/>
      </c>
      <c r="Q4166" s="52" t="str">
        <f>IF(AND($M4166=$O$7,$B4166&lt;'111'!$N$11),"x","")</f>
        <v/>
      </c>
      <c r="R4166" s="52" t="str">
        <f>IF(ISERROR(FIND('112'!$M$9,G4166,1)),"",IF((AND(FIND('112'!$M$9,G4166,1)&gt;=1,$B4166&gt;='112'!$N$8,$B4166&lt;='112'!$O$8,OR($L4166='112'!$I$6,$M4166='112'!$I$6))),"x",""))</f>
        <v/>
      </c>
      <c r="S4166" s="52" t="str">
        <f>IF(ISERROR(FIND('112'!$M$9,G4166,1)),"",IF((AND(LEFT(G4166,2)=LEFT('112'!$M$9,2),B4166&lt;'112'!$N$8,$L4166='112'!$I$6)),"x",""))</f>
        <v/>
      </c>
      <c r="T4166" s="52" t="str">
        <f>IF(ISERROR(FIND('112'!$M$9,G4166,1)),"",IF((AND(RIGHT(G4166,2)=RIGHT('112'!$M$9,2),B4166&lt;'112'!$N$8,$M4166='112'!$I$6)),"x",""))</f>
        <v/>
      </c>
      <c r="U4166" s="52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/>
      </c>
      <c r="V4166" s="52" t="str">
        <f>IF(OR(TH!L4166=TH!$V$7,M4166=TH!$V$7),"x","")</f>
        <v/>
      </c>
      <c r="W4166" s="52" t="str">
        <f>IF(AND(B4166&gt;='IN-NX'!$P$3,B4166&lt;='IN-NX'!$Q$3,'IN-NX'!$D$7=D4166,OR(LEFT(L4166,2)="15",AND(LEFT(M4166,2)&lt;&gt;"15",LEFT(M4166,2)&lt;&gt;"33"))),"x","")</f>
        <v/>
      </c>
      <c r="X4166" s="52" t="str">
        <f>IF(AND(OR(LEFT(TH!L4166,2)="15",LEFT(TH!M4166,2)="15"),'152-CT'!$J$8=TH!F4166),"x","")</f>
        <v/>
      </c>
      <c r="Y4166" s="52" t="str">
        <f>IF(AND(OR(LEFT(TH!L4166,2)="15",LEFT(TH!M4166,2)="15"),TK!$E$7=TH!F4166),"x","")</f>
        <v/>
      </c>
      <c r="Z4166" s="52" t="str">
        <f>IF(AND(B4166&lt;=NKC!$N$8,B4166&gt;=NKC!$M$8),"x","")</f>
        <v/>
      </c>
      <c r="AA4166" s="826"/>
    </row>
    <row r="4167" spans="1:27" ht="15.75" customHeight="1">
      <c r="A4167" s="827" t="str">
        <f>IF(B4167&lt;&gt;"",IF(AND(B4167&gt;=_TM1,B4167&lt;=_TM2,OR(TH!L4167="1111",TH!M4167="1111")),TH!D4167,""),"")</f>
        <v/>
      </c>
      <c r="B4167" s="36" t="str">
        <f t="shared" si="519"/>
        <v/>
      </c>
      <c r="C4167" s="190"/>
      <c r="D4167" s="190"/>
      <c r="E4167" s="785"/>
      <c r="F4167" s="191"/>
      <c r="G4167" s="833"/>
      <c r="H4167" s="192"/>
      <c r="I4167" s="253"/>
      <c r="J4167" s="253"/>
      <c r="K4167" s="584"/>
      <c r="L4167" s="193"/>
      <c r="M4167" s="193"/>
      <c r="N4167" s="52" t="str">
        <f>IF(AND('331-CT'!$E$7=TH!H4167,OR(L4167="331",M4167="331")),"331",IF(AND(OR(L4167="131",M4167="131"),H4167='131-CT'!$E$7),"131",""))</f>
        <v/>
      </c>
      <c r="O4167" s="52" t="str">
        <f>IF(AND($B4167&gt;='111'!$N$11,$B4167&lt;='111'!$O$11,OR($L4167=$O$7,$M4167=$O$7)),"x","")</f>
        <v/>
      </c>
      <c r="P4167" s="52" t="str">
        <f>IF(AND($L4167=$O$7,$B4167&lt;'111'!$N$11),"x","")</f>
        <v/>
      </c>
      <c r="Q4167" s="52" t="str">
        <f>IF(AND($M4167=$O$7,$B4167&lt;'111'!$N$11),"x","")</f>
        <v/>
      </c>
      <c r="R4167" s="52" t="str">
        <f>IF(ISERROR(FIND('112'!$M$9,G4167,1)),"",IF((AND(FIND('112'!$M$9,G4167,1)&gt;=1,$B4167&gt;='112'!$N$8,$B4167&lt;='112'!$O$8,OR($L4167='112'!$I$6,$M4167='112'!$I$6))),"x",""))</f>
        <v/>
      </c>
      <c r="S4167" s="52" t="str">
        <f>IF(ISERROR(FIND('112'!$M$9,G4167,1)),"",IF((AND(LEFT(G4167,2)=LEFT('112'!$M$9,2),B4167&lt;'112'!$N$8,$L4167='112'!$I$6)),"x",""))</f>
        <v/>
      </c>
      <c r="T4167" s="52" t="str">
        <f>IF(ISERROR(FIND('112'!$M$9,G4167,1)),"",IF((AND(RIGHT(G4167,2)=RIGHT('112'!$M$9,2),B4167&lt;'112'!$N$8,$M4167='112'!$I$6)),"x",""))</f>
        <v/>
      </c>
      <c r="U4167" s="52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/>
      </c>
      <c r="V4167" s="52" t="str">
        <f>IF(OR(TH!L4167=TH!$V$7,M4167=TH!$V$7),"x","")</f>
        <v/>
      </c>
      <c r="W4167" s="52" t="str">
        <f>IF(AND(B4167&gt;='IN-NX'!$P$3,B4167&lt;='IN-NX'!$Q$3,'IN-NX'!$D$7=D4167,OR(LEFT(L4167,2)="15",AND(LEFT(M4167,2)&lt;&gt;"15",LEFT(M4167,2)&lt;&gt;"33"))),"x","")</f>
        <v/>
      </c>
      <c r="X4167" s="52" t="str">
        <f>IF(AND(OR(LEFT(TH!L4167,2)="15",LEFT(TH!M4167,2)="15"),'152-CT'!$J$8=TH!F4167),"x","")</f>
        <v/>
      </c>
      <c r="Y4167" s="52" t="str">
        <f>IF(AND(OR(LEFT(TH!L4167,2)="15",LEFT(TH!M4167,2)="15"),TK!$E$7=TH!F4167),"x","")</f>
        <v/>
      </c>
      <c r="Z4167" s="52" t="str">
        <f>IF(AND(B4167&lt;=NKC!$N$8,B4167&gt;=NKC!$M$8),"x","")</f>
        <v/>
      </c>
      <c r="AA4167" s="826"/>
    </row>
    <row r="4168" spans="1:27" ht="15.75" customHeight="1">
      <c r="A4168" s="827" t="str">
        <f>IF(B4168&lt;&gt;"",IF(AND(B4168&gt;=_TM1,B4168&lt;=_TM2,OR(TH!L4168="1111",TH!M4168="1111")),TH!D4168,""),"")</f>
        <v/>
      </c>
      <c r="B4168" s="36" t="str">
        <f t="shared" si="519"/>
        <v/>
      </c>
      <c r="C4168" s="190"/>
      <c r="D4168" s="190"/>
      <c r="E4168" s="785"/>
      <c r="F4168" s="191"/>
      <c r="G4168" s="833"/>
      <c r="H4168" s="192"/>
      <c r="I4168" s="253"/>
      <c r="J4168" s="253"/>
      <c r="K4168" s="584"/>
      <c r="L4168" s="193"/>
      <c r="M4168" s="193"/>
      <c r="N4168" s="52" t="str">
        <f>IF(AND('331-CT'!$E$7=TH!H4168,OR(L4168="331",M4168="331")),"331",IF(AND(OR(L4168="131",M4168="131"),H4168='131-CT'!$E$7),"131",""))</f>
        <v/>
      </c>
      <c r="O4168" s="52" t="str">
        <f>IF(AND($B4168&gt;='111'!$N$11,$B4168&lt;='111'!$O$11,OR($L4168=$O$7,$M4168=$O$7)),"x","")</f>
        <v/>
      </c>
      <c r="P4168" s="52" t="str">
        <f>IF(AND($L4168=$O$7,$B4168&lt;'111'!$N$11),"x","")</f>
        <v/>
      </c>
      <c r="Q4168" s="52" t="str">
        <f>IF(AND($M4168=$O$7,$B4168&lt;'111'!$N$11),"x","")</f>
        <v/>
      </c>
      <c r="R4168" s="52" t="str">
        <f>IF(ISERROR(FIND('112'!$M$9,G4168,1)),"",IF((AND(FIND('112'!$M$9,G4168,1)&gt;=1,$B4168&gt;='112'!$N$8,$B4168&lt;='112'!$O$8,OR($L4168='112'!$I$6,$M4168='112'!$I$6))),"x",""))</f>
        <v/>
      </c>
      <c r="S4168" s="52" t="str">
        <f>IF(ISERROR(FIND('112'!$M$9,G4168,1)),"",IF((AND(LEFT(G4168,2)=LEFT('112'!$M$9,2),B4168&lt;'112'!$N$8,$L4168='112'!$I$6)),"x",""))</f>
        <v/>
      </c>
      <c r="T4168" s="52" t="str">
        <f>IF(ISERROR(FIND('112'!$M$9,G4168,1)),"",IF((AND(RIGHT(G4168,2)=RIGHT('112'!$M$9,2),B4168&lt;'112'!$N$8,$M4168='112'!$I$6)),"x",""))</f>
        <v/>
      </c>
      <c r="U4168" s="52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/>
      </c>
      <c r="V4168" s="52" t="str">
        <f>IF(OR(TH!L4168=TH!$V$7,M4168=TH!$V$7),"x","")</f>
        <v/>
      </c>
      <c r="W4168" s="52" t="str">
        <f>IF(AND(B4168&gt;='IN-NX'!$P$3,B4168&lt;='IN-NX'!$Q$3,'IN-NX'!$D$7=D4168,OR(LEFT(L4168,2)="15",AND(LEFT(M4168,2)&lt;&gt;"15",LEFT(M4168,2)&lt;&gt;"33"))),"x","")</f>
        <v/>
      </c>
      <c r="X4168" s="52" t="str">
        <f>IF(AND(OR(LEFT(TH!L4168,2)="15",LEFT(TH!M4168,2)="15"),'152-CT'!$J$8=TH!F4168),"x","")</f>
        <v/>
      </c>
      <c r="Y4168" s="52" t="str">
        <f>IF(AND(OR(LEFT(TH!L4168,2)="15",LEFT(TH!M4168,2)="15"),TK!$E$7=TH!F4168),"x","")</f>
        <v/>
      </c>
      <c r="Z4168" s="52" t="str">
        <f>IF(AND(B4168&lt;=NKC!$N$8,B4168&gt;=NKC!$M$8),"x","")</f>
        <v/>
      </c>
      <c r="AA4168" s="826"/>
    </row>
    <row r="4169" spans="1:27" ht="15.75" customHeight="1">
      <c r="A4169" s="827" t="str">
        <f>IF(B4169&lt;&gt;"",IF(AND(B4169&gt;=_TM1,B4169&lt;=_TM2,OR(TH!L4169="1111",TH!M4169="1111")),TH!D4169,""),"")</f>
        <v/>
      </c>
      <c r="B4169" s="36" t="str">
        <f t="shared" si="519"/>
        <v/>
      </c>
      <c r="C4169" s="190"/>
      <c r="D4169" s="190"/>
      <c r="E4169" s="785"/>
      <c r="F4169" s="191"/>
      <c r="G4169" s="833"/>
      <c r="H4169" s="192"/>
      <c r="I4169" s="253"/>
      <c r="J4169" s="253"/>
      <c r="K4169" s="584"/>
      <c r="L4169" s="193"/>
      <c r="M4169" s="193"/>
      <c r="N4169" s="52" t="str">
        <f>IF(AND('331-CT'!$E$7=TH!H4169,OR(L4169="331",M4169="331")),"331",IF(AND(OR(L4169="131",M4169="131"),H4169='131-CT'!$E$7),"131",""))</f>
        <v/>
      </c>
      <c r="O4169" s="52" t="str">
        <f>IF(AND($B4169&gt;='111'!$N$11,$B4169&lt;='111'!$O$11,OR($L4169=$O$7,$M4169=$O$7)),"x","")</f>
        <v/>
      </c>
      <c r="P4169" s="52" t="str">
        <f>IF(AND($L4169=$O$7,$B4169&lt;'111'!$N$11),"x","")</f>
        <v/>
      </c>
      <c r="Q4169" s="52" t="str">
        <f>IF(AND($M4169=$O$7,$B4169&lt;'111'!$N$11),"x","")</f>
        <v/>
      </c>
      <c r="R4169" s="52" t="str">
        <f>IF(ISERROR(FIND('112'!$M$9,G4169,1)),"",IF((AND(FIND('112'!$M$9,G4169,1)&gt;=1,$B4169&gt;='112'!$N$8,$B4169&lt;='112'!$O$8,OR($L4169='112'!$I$6,$M4169='112'!$I$6))),"x",""))</f>
        <v/>
      </c>
      <c r="S4169" s="52" t="str">
        <f>IF(ISERROR(FIND('112'!$M$9,G4169,1)),"",IF((AND(LEFT(G4169,2)=LEFT('112'!$M$9,2),B4169&lt;'112'!$N$8,$L4169='112'!$I$6)),"x",""))</f>
        <v/>
      </c>
      <c r="T4169" s="52" t="str">
        <f>IF(ISERROR(FIND('112'!$M$9,G4169,1)),"",IF((AND(RIGHT(G4169,2)=RIGHT('112'!$M$9,2),B4169&lt;'112'!$N$8,$M4169='112'!$I$6)),"x",""))</f>
        <v/>
      </c>
      <c r="U4169" s="52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/>
      </c>
      <c r="V4169" s="52" t="str">
        <f>IF(OR(TH!L4169=TH!$V$7,M4169=TH!$V$7),"x","")</f>
        <v/>
      </c>
      <c r="W4169" s="52" t="str">
        <f>IF(AND(B4169&gt;='IN-NX'!$P$3,B4169&lt;='IN-NX'!$Q$3,'IN-NX'!$D$7=D4169,OR(LEFT(L4169,2)="15",AND(LEFT(M4169,2)&lt;&gt;"15",LEFT(M4169,2)&lt;&gt;"33"))),"x","")</f>
        <v/>
      </c>
      <c r="X4169" s="52" t="str">
        <f>IF(AND(OR(LEFT(TH!L4169,2)="15",LEFT(TH!M4169,2)="15"),'152-CT'!$J$8=TH!F4169),"x","")</f>
        <v/>
      </c>
      <c r="Y4169" s="52" t="str">
        <f>IF(AND(OR(LEFT(TH!L4169,2)="15",LEFT(TH!M4169,2)="15"),TK!$E$7=TH!F4169),"x","")</f>
        <v/>
      </c>
      <c r="Z4169" s="52" t="str">
        <f>IF(AND(B4169&lt;=NKC!$N$8,B4169&gt;=NKC!$M$8),"x","")</f>
        <v/>
      </c>
      <c r="AA4169" s="826"/>
    </row>
    <row r="4170" spans="1:27" ht="15.75" customHeight="1">
      <c r="A4170" s="827" t="str">
        <f>IF(B4170&lt;&gt;"",IF(AND(B4170&gt;=_TM1,B4170&lt;=_TM2,OR(TH!L4170="1111",TH!M4170="1111")),TH!D4170,""),"")</f>
        <v/>
      </c>
      <c r="B4170" s="36" t="str">
        <f t="shared" si="519"/>
        <v/>
      </c>
      <c r="C4170" s="190"/>
      <c r="D4170" s="190"/>
      <c r="E4170" s="785"/>
      <c r="F4170" s="191"/>
      <c r="G4170" s="833"/>
      <c r="H4170" s="192"/>
      <c r="I4170" s="253"/>
      <c r="J4170" s="253"/>
      <c r="K4170" s="584"/>
      <c r="L4170" s="193"/>
      <c r="M4170" s="193"/>
      <c r="N4170" s="52" t="str">
        <f>IF(AND('331-CT'!$E$7=TH!H4170,OR(L4170="331",M4170="331")),"331",IF(AND(OR(L4170="131",M4170="131"),H4170='131-CT'!$E$7),"131",""))</f>
        <v/>
      </c>
      <c r="O4170" s="52" t="str">
        <f>IF(AND($B4170&gt;='111'!$N$11,$B4170&lt;='111'!$O$11,OR($L4170=$O$7,$M4170=$O$7)),"x","")</f>
        <v/>
      </c>
      <c r="P4170" s="52" t="str">
        <f>IF(AND($L4170=$O$7,$B4170&lt;'111'!$N$11),"x","")</f>
        <v/>
      </c>
      <c r="Q4170" s="52" t="str">
        <f>IF(AND($M4170=$O$7,$B4170&lt;'111'!$N$11),"x","")</f>
        <v/>
      </c>
      <c r="R4170" s="52" t="str">
        <f>IF(ISERROR(FIND('112'!$M$9,G4170,1)),"",IF((AND(FIND('112'!$M$9,G4170,1)&gt;=1,$B4170&gt;='112'!$N$8,$B4170&lt;='112'!$O$8,OR($L4170='112'!$I$6,$M4170='112'!$I$6))),"x",""))</f>
        <v/>
      </c>
      <c r="S4170" s="52" t="str">
        <f>IF(ISERROR(FIND('112'!$M$9,G4170,1)),"",IF((AND(LEFT(G4170,2)=LEFT('112'!$M$9,2),B4170&lt;'112'!$N$8,$L4170='112'!$I$6)),"x",""))</f>
        <v/>
      </c>
      <c r="T4170" s="52" t="str">
        <f>IF(ISERROR(FIND('112'!$M$9,G4170,1)),"",IF((AND(RIGHT(G4170,2)=RIGHT('112'!$M$9,2),B4170&lt;'112'!$N$8,$M4170='112'!$I$6)),"x",""))</f>
        <v/>
      </c>
      <c r="U4170" s="52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/>
      </c>
      <c r="V4170" s="52" t="str">
        <f>IF(OR(TH!L4170=TH!$V$7,M4170=TH!$V$7),"x","")</f>
        <v/>
      </c>
      <c r="W4170" s="52" t="str">
        <f>IF(AND(B4170&gt;='IN-NX'!$P$3,B4170&lt;='IN-NX'!$Q$3,'IN-NX'!$D$7=D4170,OR(LEFT(L4170,2)="15",AND(LEFT(M4170,2)&lt;&gt;"15",LEFT(M4170,2)&lt;&gt;"33"))),"x","")</f>
        <v/>
      </c>
      <c r="X4170" s="52" t="str">
        <f>IF(AND(OR(LEFT(TH!L4170,2)="15",LEFT(TH!M4170,2)="15"),'152-CT'!$J$8=TH!F4170),"x","")</f>
        <v/>
      </c>
      <c r="Y4170" s="52" t="str">
        <f>IF(AND(OR(LEFT(TH!L4170,2)="15",LEFT(TH!M4170,2)="15"),TK!$E$7=TH!F4170),"x","")</f>
        <v/>
      </c>
      <c r="Z4170" s="52" t="str">
        <f>IF(AND(B4170&lt;=NKC!$N$8,B4170&gt;=NKC!$M$8),"x","")</f>
        <v/>
      </c>
      <c r="AA4170" s="826"/>
    </row>
    <row r="4171" spans="1:27" ht="15.75" customHeight="1">
      <c r="A4171" s="827" t="str">
        <f>IF(B4171&lt;&gt;"",IF(AND(B4171&gt;=_TM1,B4171&lt;=_TM2,OR(TH!L4171="1111",TH!M4171="1111")),TH!D4171,""),"")</f>
        <v/>
      </c>
      <c r="B4171" s="36" t="str">
        <f t="shared" si="519"/>
        <v/>
      </c>
      <c r="C4171" s="190"/>
      <c r="D4171" s="190"/>
      <c r="E4171" s="785"/>
      <c r="F4171" s="191"/>
      <c r="G4171" s="833"/>
      <c r="H4171" s="192"/>
      <c r="I4171" s="253"/>
      <c r="J4171" s="253"/>
      <c r="K4171" s="584"/>
      <c r="L4171" s="193"/>
      <c r="M4171" s="193"/>
      <c r="N4171" s="52" t="str">
        <f>IF(AND('331-CT'!$E$7=TH!H4171,OR(L4171="331",M4171="331")),"331",IF(AND(OR(L4171="131",M4171="131"),H4171='131-CT'!$E$7),"131",""))</f>
        <v/>
      </c>
      <c r="O4171" s="52" t="str">
        <f>IF(AND($B4171&gt;='111'!$N$11,$B4171&lt;='111'!$O$11,OR($L4171=$O$7,$M4171=$O$7)),"x","")</f>
        <v/>
      </c>
      <c r="P4171" s="52" t="str">
        <f>IF(AND($L4171=$O$7,$B4171&lt;'111'!$N$11),"x","")</f>
        <v/>
      </c>
      <c r="Q4171" s="52" t="str">
        <f>IF(AND($M4171=$O$7,$B4171&lt;'111'!$N$11),"x","")</f>
        <v/>
      </c>
      <c r="R4171" s="52" t="str">
        <f>IF(ISERROR(FIND('112'!$M$9,G4171,1)),"",IF((AND(FIND('112'!$M$9,G4171,1)&gt;=1,$B4171&gt;='112'!$N$8,$B4171&lt;='112'!$O$8,OR($L4171='112'!$I$6,$M4171='112'!$I$6))),"x",""))</f>
        <v/>
      </c>
      <c r="S4171" s="52" t="str">
        <f>IF(ISERROR(FIND('112'!$M$9,G4171,1)),"",IF((AND(LEFT(G4171,2)=LEFT('112'!$M$9,2),B4171&lt;'112'!$N$8,$L4171='112'!$I$6)),"x",""))</f>
        <v/>
      </c>
      <c r="T4171" s="52" t="str">
        <f>IF(ISERROR(FIND('112'!$M$9,G4171,1)),"",IF((AND(RIGHT(G4171,2)=RIGHT('112'!$M$9,2),B4171&lt;'112'!$N$8,$M4171='112'!$I$6)),"x",""))</f>
        <v/>
      </c>
      <c r="U4171" s="52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/>
      </c>
      <c r="V4171" s="52" t="str">
        <f>IF(OR(TH!L4171=TH!$V$7,M4171=TH!$V$7),"x","")</f>
        <v/>
      </c>
      <c r="W4171" s="52" t="str">
        <f>IF(AND(B4171&gt;='IN-NX'!$P$3,B4171&lt;='IN-NX'!$Q$3,'IN-NX'!$D$7=D4171,OR(LEFT(L4171,2)="15",AND(LEFT(M4171,2)&lt;&gt;"15",LEFT(M4171,2)&lt;&gt;"33"))),"x","")</f>
        <v/>
      </c>
      <c r="X4171" s="52" t="str">
        <f>IF(AND(OR(LEFT(TH!L4171,2)="15",LEFT(TH!M4171,2)="15"),'152-CT'!$J$8=TH!F4171),"x","")</f>
        <v/>
      </c>
      <c r="Y4171" s="52" t="str">
        <f>IF(AND(OR(LEFT(TH!L4171,2)="15",LEFT(TH!M4171,2)="15"),TK!$E$7=TH!F4171),"x","")</f>
        <v/>
      </c>
      <c r="Z4171" s="52" t="str">
        <f>IF(AND(B4171&lt;=NKC!$N$8,B4171&gt;=NKC!$M$8),"x","")</f>
        <v/>
      </c>
      <c r="AA4171" s="826"/>
    </row>
    <row r="4172" spans="1:27" ht="15.75" customHeight="1">
      <c r="A4172" s="827" t="str">
        <f>IF(B4172&lt;&gt;"",IF(AND(B4172&gt;=_TM1,B4172&lt;=_TM2,OR(TH!L4172="1111",TH!M4172="1111")),TH!D4172,""),"")</f>
        <v/>
      </c>
      <c r="B4172" s="36" t="str">
        <f t="shared" si="519"/>
        <v/>
      </c>
      <c r="C4172" s="190"/>
      <c r="D4172" s="190"/>
      <c r="E4172" s="785"/>
      <c r="F4172" s="191"/>
      <c r="G4172" s="833"/>
      <c r="H4172" s="192"/>
      <c r="I4172" s="253"/>
      <c r="J4172" s="253"/>
      <c r="K4172" s="584"/>
      <c r="L4172" s="193"/>
      <c r="M4172" s="193"/>
      <c r="N4172" s="52" t="str">
        <f>IF(AND('331-CT'!$E$7=TH!H4172,OR(L4172="331",M4172="331")),"331",IF(AND(OR(L4172="131",M4172="131"),H4172='131-CT'!$E$7),"131",""))</f>
        <v/>
      </c>
      <c r="O4172" s="52" t="str">
        <f>IF(AND($B4172&gt;='111'!$N$11,$B4172&lt;='111'!$O$11,OR($L4172=$O$7,$M4172=$O$7)),"x","")</f>
        <v/>
      </c>
      <c r="P4172" s="52" t="str">
        <f>IF(AND($L4172=$O$7,$B4172&lt;'111'!$N$11),"x","")</f>
        <v/>
      </c>
      <c r="Q4172" s="52" t="str">
        <f>IF(AND($M4172=$O$7,$B4172&lt;'111'!$N$11),"x","")</f>
        <v/>
      </c>
      <c r="R4172" s="52" t="str">
        <f>IF(ISERROR(FIND('112'!$M$9,G4172,1)),"",IF((AND(FIND('112'!$M$9,G4172,1)&gt;=1,$B4172&gt;='112'!$N$8,$B4172&lt;='112'!$O$8,OR($L4172='112'!$I$6,$M4172='112'!$I$6))),"x",""))</f>
        <v/>
      </c>
      <c r="S4172" s="52" t="str">
        <f>IF(ISERROR(FIND('112'!$M$9,G4172,1)),"",IF((AND(LEFT(G4172,2)=LEFT('112'!$M$9,2),B4172&lt;'112'!$N$8,$L4172='112'!$I$6)),"x",""))</f>
        <v/>
      </c>
      <c r="T4172" s="52" t="str">
        <f>IF(ISERROR(FIND('112'!$M$9,G4172,1)),"",IF((AND(RIGHT(G4172,2)=RIGHT('112'!$M$9,2),B4172&lt;'112'!$N$8,$M4172='112'!$I$6)),"x",""))</f>
        <v/>
      </c>
      <c r="U4172" s="52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/>
      </c>
      <c r="V4172" s="52" t="str">
        <f>IF(OR(TH!L4172=TH!$V$7,M4172=TH!$V$7),"x","")</f>
        <v/>
      </c>
      <c r="W4172" s="52" t="str">
        <f>IF(AND(B4172&gt;='IN-NX'!$P$3,B4172&lt;='IN-NX'!$Q$3,'IN-NX'!$D$7=D4172,OR(LEFT(L4172,2)="15",AND(LEFT(M4172,2)&lt;&gt;"15",LEFT(M4172,2)&lt;&gt;"33"))),"x","")</f>
        <v/>
      </c>
      <c r="X4172" s="52" t="str">
        <f>IF(AND(OR(LEFT(TH!L4172,2)="15",LEFT(TH!M4172,2)="15"),'152-CT'!$J$8=TH!F4172),"x","")</f>
        <v/>
      </c>
      <c r="Y4172" s="52" t="str">
        <f>IF(AND(OR(LEFT(TH!L4172,2)="15",LEFT(TH!M4172,2)="15"),TK!$E$7=TH!F4172),"x","")</f>
        <v/>
      </c>
      <c r="Z4172" s="52" t="str">
        <f>IF(AND(B4172&lt;=NKC!$N$8,B4172&gt;=NKC!$M$8),"x","")</f>
        <v/>
      </c>
      <c r="AA4172" s="826"/>
    </row>
    <row r="4173" spans="1:27" ht="15.75" customHeight="1">
      <c r="A4173" s="827" t="str">
        <f>IF(B4173&lt;&gt;"",IF(AND(B4173&gt;=_TM1,B4173&lt;=_TM2,OR(TH!L4173="1111",TH!M4173="1111")),TH!D4173,""),"")</f>
        <v/>
      </c>
      <c r="B4173" s="36" t="str">
        <f t="shared" si="519"/>
        <v/>
      </c>
      <c r="C4173" s="190"/>
      <c r="D4173" s="190"/>
      <c r="E4173" s="785"/>
      <c r="F4173" s="191"/>
      <c r="G4173" s="833"/>
      <c r="H4173" s="192"/>
      <c r="I4173" s="253"/>
      <c r="J4173" s="253"/>
      <c r="K4173" s="584"/>
      <c r="L4173" s="193"/>
      <c r="M4173" s="193"/>
      <c r="N4173" s="52" t="str">
        <f>IF(AND('331-CT'!$E$7=TH!H4173,OR(L4173="331",M4173="331")),"331",IF(AND(OR(L4173="131",M4173="131"),H4173='131-CT'!$E$7),"131",""))</f>
        <v/>
      </c>
      <c r="O4173" s="52" t="str">
        <f>IF(AND($B4173&gt;='111'!$N$11,$B4173&lt;='111'!$O$11,OR($L4173=$O$7,$M4173=$O$7)),"x","")</f>
        <v/>
      </c>
      <c r="P4173" s="52" t="str">
        <f>IF(AND($L4173=$O$7,$B4173&lt;'111'!$N$11),"x","")</f>
        <v/>
      </c>
      <c r="Q4173" s="52" t="str">
        <f>IF(AND($M4173=$O$7,$B4173&lt;'111'!$N$11),"x","")</f>
        <v/>
      </c>
      <c r="R4173" s="52" t="str">
        <f>IF(ISERROR(FIND('112'!$M$9,G4173,1)),"",IF((AND(FIND('112'!$M$9,G4173,1)&gt;=1,$B4173&gt;='112'!$N$8,$B4173&lt;='112'!$O$8,OR($L4173='112'!$I$6,$M4173='112'!$I$6))),"x",""))</f>
        <v/>
      </c>
      <c r="S4173" s="52" t="str">
        <f>IF(ISERROR(FIND('112'!$M$9,G4173,1)),"",IF((AND(LEFT(G4173,2)=LEFT('112'!$M$9,2),B4173&lt;'112'!$N$8,$L4173='112'!$I$6)),"x",""))</f>
        <v/>
      </c>
      <c r="T4173" s="52" t="str">
        <f>IF(ISERROR(FIND('112'!$M$9,G4173,1)),"",IF((AND(RIGHT(G4173,2)=RIGHT('112'!$M$9,2),B4173&lt;'112'!$N$8,$M4173='112'!$I$6)),"x",""))</f>
        <v/>
      </c>
      <c r="U4173" s="52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/>
      </c>
      <c r="V4173" s="52" t="str">
        <f>IF(OR(TH!L4173=TH!$V$7,M4173=TH!$V$7),"x","")</f>
        <v/>
      </c>
      <c r="W4173" s="52" t="str">
        <f>IF(AND(B4173&gt;='IN-NX'!$P$3,B4173&lt;='IN-NX'!$Q$3,'IN-NX'!$D$7=D4173,OR(LEFT(L4173,2)="15",AND(LEFT(M4173,2)&lt;&gt;"15",LEFT(M4173,2)&lt;&gt;"33"))),"x","")</f>
        <v/>
      </c>
      <c r="X4173" s="52" t="str">
        <f>IF(AND(OR(LEFT(TH!L4173,2)="15",LEFT(TH!M4173,2)="15"),'152-CT'!$J$8=TH!F4173),"x","")</f>
        <v/>
      </c>
      <c r="Y4173" s="52" t="str">
        <f>IF(AND(OR(LEFT(TH!L4173,2)="15",LEFT(TH!M4173,2)="15"),TK!$E$7=TH!F4173),"x","")</f>
        <v/>
      </c>
      <c r="Z4173" s="52" t="str">
        <f>IF(AND(B4173&lt;=NKC!$N$8,B4173&gt;=NKC!$M$8),"x","")</f>
        <v/>
      </c>
      <c r="AA4173" s="826"/>
    </row>
    <row r="4174" spans="1:27" ht="15.75" customHeight="1">
      <c r="A4174" s="827" t="str">
        <f>IF(B4174&lt;&gt;"",IF(AND(B4174&gt;=_TM1,B4174&lt;=_TM2,OR(TH!L4174="1111",TH!M4174="1111")),TH!D4174,""),"")</f>
        <v/>
      </c>
      <c r="B4174" s="36" t="str">
        <f t="shared" si="519"/>
        <v/>
      </c>
      <c r="C4174" s="190"/>
      <c r="D4174" s="190"/>
      <c r="E4174" s="785"/>
      <c r="F4174" s="191"/>
      <c r="G4174" s="833"/>
      <c r="H4174" s="192"/>
      <c r="I4174" s="253"/>
      <c r="J4174" s="253"/>
      <c r="K4174" s="584"/>
      <c r="L4174" s="193"/>
      <c r="M4174" s="193"/>
      <c r="N4174" s="52" t="str">
        <f>IF(AND('331-CT'!$E$7=TH!H4174,OR(L4174="331",M4174="331")),"331",IF(AND(OR(L4174="131",M4174="131"),H4174='131-CT'!$E$7),"131",""))</f>
        <v/>
      </c>
      <c r="O4174" s="52" t="str">
        <f>IF(AND($B4174&gt;='111'!$N$11,$B4174&lt;='111'!$O$11,OR($L4174=$O$7,$M4174=$O$7)),"x","")</f>
        <v/>
      </c>
      <c r="P4174" s="52" t="str">
        <f>IF(AND($L4174=$O$7,$B4174&lt;'111'!$N$11),"x","")</f>
        <v/>
      </c>
      <c r="Q4174" s="52" t="str">
        <f>IF(AND($M4174=$O$7,$B4174&lt;'111'!$N$11),"x","")</f>
        <v/>
      </c>
      <c r="R4174" s="52" t="str">
        <f>IF(ISERROR(FIND('112'!$M$9,G4174,1)),"",IF((AND(FIND('112'!$M$9,G4174,1)&gt;=1,$B4174&gt;='112'!$N$8,$B4174&lt;='112'!$O$8,OR($L4174='112'!$I$6,$M4174='112'!$I$6))),"x",""))</f>
        <v/>
      </c>
      <c r="S4174" s="52" t="str">
        <f>IF(ISERROR(FIND('112'!$M$9,G4174,1)),"",IF((AND(LEFT(G4174,2)=LEFT('112'!$M$9,2),B4174&lt;'112'!$N$8,$L4174='112'!$I$6)),"x",""))</f>
        <v/>
      </c>
      <c r="T4174" s="52" t="str">
        <f>IF(ISERROR(FIND('112'!$M$9,G4174,1)),"",IF((AND(RIGHT(G4174,2)=RIGHT('112'!$M$9,2),B4174&lt;'112'!$N$8,$M4174='112'!$I$6)),"x",""))</f>
        <v/>
      </c>
      <c r="U4174" s="52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/>
      </c>
      <c r="V4174" s="52" t="str">
        <f>IF(OR(TH!L4174=TH!$V$7,M4174=TH!$V$7),"x","")</f>
        <v/>
      </c>
      <c r="W4174" s="52" t="str">
        <f>IF(AND(B4174&gt;='IN-NX'!$P$3,B4174&lt;='IN-NX'!$Q$3,'IN-NX'!$D$7=D4174,OR(LEFT(L4174,2)="15",AND(LEFT(M4174,2)&lt;&gt;"15",LEFT(M4174,2)&lt;&gt;"33"))),"x","")</f>
        <v/>
      </c>
      <c r="X4174" s="52" t="str">
        <f>IF(AND(OR(LEFT(TH!L4174,2)="15",LEFT(TH!M4174,2)="15"),'152-CT'!$J$8=TH!F4174),"x","")</f>
        <v/>
      </c>
      <c r="Y4174" s="52" t="str">
        <f>IF(AND(OR(LEFT(TH!L4174,2)="15",LEFT(TH!M4174,2)="15"),TK!$E$7=TH!F4174),"x","")</f>
        <v/>
      </c>
      <c r="Z4174" s="52" t="str">
        <f>IF(AND(B4174&lt;=NKC!$N$8,B4174&gt;=NKC!$M$8),"x","")</f>
        <v/>
      </c>
      <c r="AA4174" s="826"/>
    </row>
    <row r="4175" spans="1:27" ht="15.75" customHeight="1">
      <c r="A4175" s="827" t="str">
        <f>IF(B4175&lt;&gt;"",IF(AND(B4175&gt;=_TM1,B4175&lt;=_TM2,OR(TH!L4175="1111",TH!M4175="1111")),TH!D4175,""),"")</f>
        <v/>
      </c>
      <c r="B4175" s="36" t="str">
        <f t="shared" si="519"/>
        <v/>
      </c>
      <c r="C4175" s="190"/>
      <c r="D4175" s="190"/>
      <c r="E4175" s="785"/>
      <c r="F4175" s="191"/>
      <c r="G4175" s="833"/>
      <c r="H4175" s="192"/>
      <c r="I4175" s="253"/>
      <c r="J4175" s="253"/>
      <c r="K4175" s="584"/>
      <c r="L4175" s="193"/>
      <c r="M4175" s="193"/>
      <c r="N4175" s="52" t="str">
        <f>IF(AND('331-CT'!$E$7=TH!H4175,OR(L4175="331",M4175="331")),"331",IF(AND(OR(L4175="131",M4175="131"),H4175='131-CT'!$E$7),"131",""))</f>
        <v/>
      </c>
      <c r="O4175" s="52" t="str">
        <f>IF(AND($B4175&gt;='111'!$N$11,$B4175&lt;='111'!$O$11,OR($L4175=$O$7,$M4175=$O$7)),"x","")</f>
        <v/>
      </c>
      <c r="P4175" s="52" t="str">
        <f>IF(AND($L4175=$O$7,$B4175&lt;'111'!$N$11),"x","")</f>
        <v/>
      </c>
      <c r="Q4175" s="52" t="str">
        <f>IF(AND($M4175=$O$7,$B4175&lt;'111'!$N$11),"x","")</f>
        <v/>
      </c>
      <c r="R4175" s="52" t="str">
        <f>IF(ISERROR(FIND('112'!$M$9,G4175,1)),"",IF((AND(FIND('112'!$M$9,G4175,1)&gt;=1,$B4175&gt;='112'!$N$8,$B4175&lt;='112'!$O$8,OR($L4175='112'!$I$6,$M4175='112'!$I$6))),"x",""))</f>
        <v/>
      </c>
      <c r="S4175" s="52" t="str">
        <f>IF(ISERROR(FIND('112'!$M$9,G4175,1)),"",IF((AND(LEFT(G4175,2)=LEFT('112'!$M$9,2),B4175&lt;'112'!$N$8,$L4175='112'!$I$6)),"x",""))</f>
        <v/>
      </c>
      <c r="T4175" s="52" t="str">
        <f>IF(ISERROR(FIND('112'!$M$9,G4175,1)),"",IF((AND(RIGHT(G4175,2)=RIGHT('112'!$M$9,2),B4175&lt;'112'!$N$8,$M4175='112'!$I$6)),"x",""))</f>
        <v/>
      </c>
      <c r="U4175" s="52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/>
      </c>
      <c r="V4175" s="52" t="str">
        <f>IF(OR(TH!L4175=TH!$V$7,M4175=TH!$V$7),"x","")</f>
        <v/>
      </c>
      <c r="W4175" s="52" t="str">
        <f>IF(AND(B4175&gt;='IN-NX'!$P$3,B4175&lt;='IN-NX'!$Q$3,'IN-NX'!$D$7=D4175,OR(LEFT(L4175,2)="15",AND(LEFT(M4175,2)&lt;&gt;"15",LEFT(M4175,2)&lt;&gt;"33"))),"x","")</f>
        <v/>
      </c>
      <c r="X4175" s="52" t="str">
        <f>IF(AND(OR(LEFT(TH!L4175,2)="15",LEFT(TH!M4175,2)="15"),'152-CT'!$J$8=TH!F4175),"x","")</f>
        <v/>
      </c>
      <c r="Y4175" s="52" t="str">
        <f>IF(AND(OR(LEFT(TH!L4175,2)="15",LEFT(TH!M4175,2)="15"),TK!$E$7=TH!F4175),"x","")</f>
        <v/>
      </c>
      <c r="Z4175" s="52" t="str">
        <f>IF(AND(B4175&lt;=NKC!$N$8,B4175&gt;=NKC!$M$8),"x","")</f>
        <v/>
      </c>
      <c r="AA4175" s="826"/>
    </row>
    <row r="4176" spans="1:27" ht="15.75" customHeight="1">
      <c r="A4176" s="827" t="str">
        <f>IF(B4176&lt;&gt;"",IF(AND(B4176&gt;=_TM1,B4176&lt;=_TM2,OR(TH!L4176="1111",TH!M4176="1111")),TH!D4176,""),"")</f>
        <v/>
      </c>
      <c r="B4176" s="36" t="str">
        <f t="shared" si="519"/>
        <v/>
      </c>
      <c r="C4176" s="190"/>
      <c r="D4176" s="190"/>
      <c r="E4176" s="785"/>
      <c r="F4176" s="191"/>
      <c r="G4176" s="833"/>
      <c r="H4176" s="192"/>
      <c r="I4176" s="253"/>
      <c r="J4176" s="253"/>
      <c r="K4176" s="584"/>
      <c r="L4176" s="193"/>
      <c r="M4176" s="193"/>
      <c r="N4176" s="52" t="str">
        <f>IF(AND('331-CT'!$E$7=TH!H4176,OR(L4176="331",M4176="331")),"331",IF(AND(OR(L4176="131",M4176="131"),H4176='131-CT'!$E$7),"131",""))</f>
        <v/>
      </c>
      <c r="O4176" s="52" t="str">
        <f>IF(AND($B4176&gt;='111'!$N$11,$B4176&lt;='111'!$O$11,OR($L4176=$O$7,$M4176=$O$7)),"x","")</f>
        <v/>
      </c>
      <c r="P4176" s="52" t="str">
        <f>IF(AND($L4176=$O$7,$B4176&lt;'111'!$N$11),"x","")</f>
        <v/>
      </c>
      <c r="Q4176" s="52" t="str">
        <f>IF(AND($M4176=$O$7,$B4176&lt;'111'!$N$11),"x","")</f>
        <v/>
      </c>
      <c r="R4176" s="52" t="str">
        <f>IF(ISERROR(FIND('112'!$M$9,G4176,1)),"",IF((AND(FIND('112'!$M$9,G4176,1)&gt;=1,$B4176&gt;='112'!$N$8,$B4176&lt;='112'!$O$8,OR($L4176='112'!$I$6,$M4176='112'!$I$6))),"x",""))</f>
        <v/>
      </c>
      <c r="S4176" s="52" t="str">
        <f>IF(ISERROR(FIND('112'!$M$9,G4176,1)),"",IF((AND(LEFT(G4176,2)=LEFT('112'!$M$9,2),B4176&lt;'112'!$N$8,$L4176='112'!$I$6)),"x",""))</f>
        <v/>
      </c>
      <c r="T4176" s="52" t="str">
        <f>IF(ISERROR(FIND('112'!$M$9,G4176,1)),"",IF((AND(RIGHT(G4176,2)=RIGHT('112'!$M$9,2),B4176&lt;'112'!$N$8,$M4176='112'!$I$6)),"x",""))</f>
        <v/>
      </c>
      <c r="U4176" s="52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/>
      </c>
      <c r="V4176" s="52" t="str">
        <f>IF(OR(TH!L4176=TH!$V$7,M4176=TH!$V$7),"x","")</f>
        <v/>
      </c>
      <c r="W4176" s="52" t="str">
        <f>IF(AND(B4176&gt;='IN-NX'!$P$3,B4176&lt;='IN-NX'!$Q$3,'IN-NX'!$D$7=D4176,OR(LEFT(L4176,2)="15",AND(LEFT(M4176,2)&lt;&gt;"15",LEFT(M4176,2)&lt;&gt;"33"))),"x","")</f>
        <v/>
      </c>
      <c r="X4176" s="52" t="str">
        <f>IF(AND(OR(LEFT(TH!L4176,2)="15",LEFT(TH!M4176,2)="15"),'152-CT'!$J$8=TH!F4176),"x","")</f>
        <v/>
      </c>
      <c r="Y4176" s="52" t="str">
        <f>IF(AND(OR(LEFT(TH!L4176,2)="15",LEFT(TH!M4176,2)="15"),TK!$E$7=TH!F4176),"x","")</f>
        <v/>
      </c>
      <c r="Z4176" s="52" t="str">
        <f>IF(AND(B4176&lt;=NKC!$N$8,B4176&gt;=NKC!$M$8),"x","")</f>
        <v/>
      </c>
      <c r="AA4176" s="826"/>
    </row>
    <row r="4177" spans="1:27" ht="15.75" customHeight="1">
      <c r="A4177" s="827" t="str">
        <f>IF(B4177&lt;&gt;"",IF(AND(B4177&gt;=_TM1,B4177&lt;=_TM2,OR(TH!L4177="1111",TH!M4177="1111")),TH!D4177,""),"")</f>
        <v/>
      </c>
      <c r="B4177" s="36" t="str">
        <f t="shared" si="519"/>
        <v/>
      </c>
      <c r="C4177" s="190"/>
      <c r="D4177" s="190"/>
      <c r="E4177" s="785"/>
      <c r="F4177" s="191"/>
      <c r="G4177" s="833"/>
      <c r="H4177" s="192"/>
      <c r="I4177" s="253"/>
      <c r="J4177" s="253"/>
      <c r="K4177" s="584"/>
      <c r="L4177" s="193"/>
      <c r="M4177" s="193"/>
      <c r="N4177" s="52" t="str">
        <f>IF(AND('331-CT'!$E$7=TH!H4177,OR(L4177="331",M4177="331")),"331",IF(AND(OR(L4177="131",M4177="131"),H4177='131-CT'!$E$7),"131",""))</f>
        <v/>
      </c>
      <c r="O4177" s="52" t="str">
        <f>IF(AND($B4177&gt;='111'!$N$11,$B4177&lt;='111'!$O$11,OR($L4177=$O$7,$M4177=$O$7)),"x","")</f>
        <v/>
      </c>
      <c r="P4177" s="52" t="str">
        <f>IF(AND($L4177=$O$7,$B4177&lt;'111'!$N$11),"x","")</f>
        <v/>
      </c>
      <c r="Q4177" s="52" t="str">
        <f>IF(AND($M4177=$O$7,$B4177&lt;'111'!$N$11),"x","")</f>
        <v/>
      </c>
      <c r="R4177" s="52" t="str">
        <f>IF(ISERROR(FIND('112'!$M$9,G4177,1)),"",IF((AND(FIND('112'!$M$9,G4177,1)&gt;=1,$B4177&gt;='112'!$N$8,$B4177&lt;='112'!$O$8,OR($L4177='112'!$I$6,$M4177='112'!$I$6))),"x",""))</f>
        <v/>
      </c>
      <c r="S4177" s="52" t="str">
        <f>IF(ISERROR(FIND('112'!$M$9,G4177,1)),"",IF((AND(LEFT(G4177,2)=LEFT('112'!$M$9,2),B4177&lt;'112'!$N$8,$L4177='112'!$I$6)),"x",""))</f>
        <v/>
      </c>
      <c r="T4177" s="52" t="str">
        <f>IF(ISERROR(FIND('112'!$M$9,G4177,1)),"",IF((AND(RIGHT(G4177,2)=RIGHT('112'!$M$9,2),B4177&lt;'112'!$N$8,$M4177='112'!$I$6)),"x",""))</f>
        <v/>
      </c>
      <c r="U4177" s="52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/>
      </c>
      <c r="V4177" s="52" t="str">
        <f>IF(OR(TH!L4177=TH!$V$7,M4177=TH!$V$7),"x","")</f>
        <v/>
      </c>
      <c r="W4177" s="52" t="str">
        <f>IF(AND(B4177&gt;='IN-NX'!$P$3,B4177&lt;='IN-NX'!$Q$3,'IN-NX'!$D$7=D4177,OR(LEFT(L4177,2)="15",AND(LEFT(M4177,2)&lt;&gt;"15",LEFT(M4177,2)&lt;&gt;"33"))),"x","")</f>
        <v/>
      </c>
      <c r="X4177" s="52" t="str">
        <f>IF(AND(OR(LEFT(TH!L4177,2)="15",LEFT(TH!M4177,2)="15"),'152-CT'!$J$8=TH!F4177),"x","")</f>
        <v/>
      </c>
      <c r="Y4177" s="52" t="str">
        <f>IF(AND(OR(LEFT(TH!L4177,2)="15",LEFT(TH!M4177,2)="15"),TK!$E$7=TH!F4177),"x","")</f>
        <v/>
      </c>
      <c r="Z4177" s="52" t="str">
        <f>IF(AND(B4177&lt;=NKC!$N$8,B4177&gt;=NKC!$M$8),"x","")</f>
        <v/>
      </c>
      <c r="AA4177" s="826"/>
    </row>
    <row r="4178" spans="1:27" ht="15.75" customHeight="1">
      <c r="A4178" s="827" t="str">
        <f>IF(B4178&lt;&gt;"",IF(AND(B4178&gt;=_TM1,B4178&lt;=_TM2,OR(TH!L4178="1111",TH!M4178="1111")),TH!D4178,""),"")</f>
        <v/>
      </c>
      <c r="B4178" s="36" t="str">
        <f t="shared" si="519"/>
        <v/>
      </c>
      <c r="C4178" s="190"/>
      <c r="D4178" s="190"/>
      <c r="E4178" s="785"/>
      <c r="F4178" s="191"/>
      <c r="G4178" s="833"/>
      <c r="H4178" s="192"/>
      <c r="I4178" s="253"/>
      <c r="J4178" s="253"/>
      <c r="K4178" s="584"/>
      <c r="L4178" s="193"/>
      <c r="M4178" s="193"/>
      <c r="N4178" s="52" t="str">
        <f>IF(AND('331-CT'!$E$7=TH!H4178,OR(L4178="331",M4178="331")),"331",IF(AND(OR(L4178="131",M4178="131"),H4178='131-CT'!$E$7),"131",""))</f>
        <v/>
      </c>
      <c r="O4178" s="52" t="str">
        <f>IF(AND($B4178&gt;='111'!$N$11,$B4178&lt;='111'!$O$11,OR($L4178=$O$7,$M4178=$O$7)),"x","")</f>
        <v/>
      </c>
      <c r="P4178" s="52" t="str">
        <f>IF(AND($L4178=$O$7,$B4178&lt;'111'!$N$11),"x","")</f>
        <v/>
      </c>
      <c r="Q4178" s="52" t="str">
        <f>IF(AND($M4178=$O$7,$B4178&lt;'111'!$N$11),"x","")</f>
        <v/>
      </c>
      <c r="R4178" s="52" t="str">
        <f>IF(ISERROR(FIND('112'!$M$9,G4178,1)),"",IF((AND(FIND('112'!$M$9,G4178,1)&gt;=1,$B4178&gt;='112'!$N$8,$B4178&lt;='112'!$O$8,OR($L4178='112'!$I$6,$M4178='112'!$I$6))),"x",""))</f>
        <v/>
      </c>
      <c r="S4178" s="52" t="str">
        <f>IF(ISERROR(FIND('112'!$M$9,G4178,1)),"",IF((AND(LEFT(G4178,2)=LEFT('112'!$M$9,2),B4178&lt;'112'!$N$8,$L4178='112'!$I$6)),"x",""))</f>
        <v/>
      </c>
      <c r="T4178" s="52" t="str">
        <f>IF(ISERROR(FIND('112'!$M$9,G4178,1)),"",IF((AND(RIGHT(G4178,2)=RIGHT('112'!$M$9,2),B4178&lt;'112'!$N$8,$M4178='112'!$I$6)),"x",""))</f>
        <v/>
      </c>
      <c r="U4178" s="52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/>
      </c>
      <c r="V4178" s="52" t="str">
        <f>IF(OR(TH!L4178=TH!$V$7,M4178=TH!$V$7),"x","")</f>
        <v/>
      </c>
      <c r="W4178" s="52" t="str">
        <f>IF(AND(B4178&gt;='IN-NX'!$P$3,B4178&lt;='IN-NX'!$Q$3,'IN-NX'!$D$7=D4178,OR(LEFT(L4178,2)="15",AND(LEFT(M4178,2)&lt;&gt;"15",LEFT(M4178,2)&lt;&gt;"33"))),"x","")</f>
        <v/>
      </c>
      <c r="X4178" s="52" t="str">
        <f>IF(AND(OR(LEFT(TH!L4178,2)="15",LEFT(TH!M4178,2)="15"),'152-CT'!$J$8=TH!F4178),"x","")</f>
        <v/>
      </c>
      <c r="Y4178" s="52" t="str">
        <f>IF(AND(OR(LEFT(TH!L4178,2)="15",LEFT(TH!M4178,2)="15"),TK!$E$7=TH!F4178),"x","")</f>
        <v/>
      </c>
      <c r="Z4178" s="52" t="str">
        <f>IF(AND(B4178&lt;=NKC!$N$8,B4178&gt;=NKC!$M$8),"x","")</f>
        <v/>
      </c>
      <c r="AA4178" s="826"/>
    </row>
    <row r="4179" spans="1:27" ht="15.75" customHeight="1">
      <c r="A4179" s="827" t="str">
        <f>IF(B4179&lt;&gt;"",IF(AND(B4179&gt;=_TM1,B4179&lt;=_TM2,OR(TH!L4179="1111",TH!M4179="1111")),TH!D4179,""),"")</f>
        <v/>
      </c>
      <c r="B4179" s="36" t="str">
        <f t="shared" si="519"/>
        <v/>
      </c>
      <c r="C4179" s="190"/>
      <c r="D4179" s="190"/>
      <c r="E4179" s="785"/>
      <c r="F4179" s="191"/>
      <c r="G4179" s="833"/>
      <c r="H4179" s="192"/>
      <c r="I4179" s="253"/>
      <c r="J4179" s="253"/>
      <c r="K4179" s="584"/>
      <c r="L4179" s="193"/>
      <c r="M4179" s="193"/>
      <c r="N4179" s="52" t="str">
        <f>IF(AND('331-CT'!$E$7=TH!H4179,OR(L4179="331",M4179="331")),"331",IF(AND(OR(L4179="131",M4179="131"),H4179='131-CT'!$E$7),"131",""))</f>
        <v/>
      </c>
      <c r="O4179" s="52" t="str">
        <f>IF(AND($B4179&gt;='111'!$N$11,$B4179&lt;='111'!$O$11,OR($L4179=$O$7,$M4179=$O$7)),"x","")</f>
        <v/>
      </c>
      <c r="P4179" s="52" t="str">
        <f>IF(AND($L4179=$O$7,$B4179&lt;'111'!$N$11),"x","")</f>
        <v/>
      </c>
      <c r="Q4179" s="52" t="str">
        <f>IF(AND($M4179=$O$7,$B4179&lt;'111'!$N$11),"x","")</f>
        <v/>
      </c>
      <c r="R4179" s="52" t="str">
        <f>IF(ISERROR(FIND('112'!$M$9,G4179,1)),"",IF((AND(FIND('112'!$M$9,G4179,1)&gt;=1,$B4179&gt;='112'!$N$8,$B4179&lt;='112'!$O$8,OR($L4179='112'!$I$6,$M4179='112'!$I$6))),"x",""))</f>
        <v/>
      </c>
      <c r="S4179" s="52" t="str">
        <f>IF(ISERROR(FIND('112'!$M$9,G4179,1)),"",IF((AND(LEFT(G4179,2)=LEFT('112'!$M$9,2),B4179&lt;'112'!$N$8,$L4179='112'!$I$6)),"x",""))</f>
        <v/>
      </c>
      <c r="T4179" s="52" t="str">
        <f>IF(ISERROR(FIND('112'!$M$9,G4179,1)),"",IF((AND(RIGHT(G4179,2)=RIGHT('112'!$M$9,2),B4179&lt;'112'!$N$8,$M4179='112'!$I$6)),"x",""))</f>
        <v/>
      </c>
      <c r="U4179" s="52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/>
      </c>
      <c r="V4179" s="52" t="str">
        <f>IF(OR(TH!L4179=TH!$V$7,M4179=TH!$V$7),"x","")</f>
        <v/>
      </c>
      <c r="W4179" s="52" t="str">
        <f>IF(AND(B4179&gt;='IN-NX'!$P$3,B4179&lt;='IN-NX'!$Q$3,'IN-NX'!$D$7=D4179,OR(LEFT(L4179,2)="15",AND(LEFT(M4179,2)&lt;&gt;"15",LEFT(M4179,2)&lt;&gt;"33"))),"x","")</f>
        <v/>
      </c>
      <c r="X4179" s="52" t="str">
        <f>IF(AND(OR(LEFT(TH!L4179,2)="15",LEFT(TH!M4179,2)="15"),'152-CT'!$J$8=TH!F4179),"x","")</f>
        <v/>
      </c>
      <c r="Y4179" s="52" t="str">
        <f>IF(AND(OR(LEFT(TH!L4179,2)="15",LEFT(TH!M4179,2)="15"),TK!$E$7=TH!F4179),"x","")</f>
        <v/>
      </c>
      <c r="Z4179" s="52" t="str">
        <f>IF(AND(B4179&lt;=NKC!$N$8,B4179&gt;=NKC!$M$8),"x","")</f>
        <v/>
      </c>
      <c r="AA4179" s="826"/>
    </row>
    <row r="4180" spans="1:27" ht="15.75" customHeight="1">
      <c r="A4180" s="827" t="str">
        <f>IF(B4180&lt;&gt;"",IF(AND(B4180&gt;=_TM1,B4180&lt;=_TM2,OR(TH!L4180="1111",TH!M4180="1111")),TH!D4180,""),"")</f>
        <v/>
      </c>
      <c r="B4180" s="36" t="str">
        <f t="shared" ref="B4180:B4243" si="520">IF(C4180&lt;&gt;"",MONTH(C4180),"")</f>
        <v/>
      </c>
      <c r="C4180" s="190"/>
      <c r="D4180" s="190"/>
      <c r="E4180" s="785"/>
      <c r="F4180" s="191"/>
      <c r="G4180" s="833"/>
      <c r="H4180" s="192"/>
      <c r="I4180" s="253"/>
      <c r="J4180" s="253"/>
      <c r="K4180" s="584"/>
      <c r="L4180" s="193"/>
      <c r="M4180" s="193"/>
      <c r="N4180" s="52" t="str">
        <f>IF(AND('331-CT'!$E$7=TH!H4180,OR(L4180="331",M4180="331")),"331",IF(AND(OR(L4180="131",M4180="131"),H4180='131-CT'!$E$7),"131",""))</f>
        <v/>
      </c>
      <c r="O4180" s="52" t="str">
        <f>IF(AND($B4180&gt;='111'!$N$11,$B4180&lt;='111'!$O$11,OR($L4180=$O$7,$M4180=$O$7)),"x","")</f>
        <v/>
      </c>
      <c r="P4180" s="52" t="str">
        <f>IF(AND($L4180=$O$7,$B4180&lt;'111'!$N$11),"x","")</f>
        <v/>
      </c>
      <c r="Q4180" s="52" t="str">
        <f>IF(AND($M4180=$O$7,$B4180&lt;'111'!$N$11),"x","")</f>
        <v/>
      </c>
      <c r="R4180" s="52" t="str">
        <f>IF(ISERROR(FIND('112'!$M$9,G4180,1)),"",IF((AND(FIND('112'!$M$9,G4180,1)&gt;=1,$B4180&gt;='112'!$N$8,$B4180&lt;='112'!$O$8,OR($L4180='112'!$I$6,$M4180='112'!$I$6))),"x",""))</f>
        <v/>
      </c>
      <c r="S4180" s="52" t="str">
        <f>IF(ISERROR(FIND('112'!$M$9,G4180,1)),"",IF((AND(LEFT(G4180,2)=LEFT('112'!$M$9,2),B4180&lt;'112'!$N$8,$L4180='112'!$I$6)),"x",""))</f>
        <v/>
      </c>
      <c r="T4180" s="52" t="str">
        <f>IF(ISERROR(FIND('112'!$M$9,G4180,1)),"",IF((AND(RIGHT(G4180,2)=RIGHT('112'!$M$9,2),B4180&lt;'112'!$N$8,$M4180='112'!$I$6)),"x",""))</f>
        <v/>
      </c>
      <c r="U4180" s="52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/>
      </c>
      <c r="V4180" s="52" t="str">
        <f>IF(OR(TH!L4180=TH!$V$7,M4180=TH!$V$7),"x","")</f>
        <v/>
      </c>
      <c r="W4180" s="52" t="str">
        <f>IF(AND(B4180&gt;='IN-NX'!$P$3,B4180&lt;='IN-NX'!$Q$3,'IN-NX'!$D$7=D4180,OR(LEFT(L4180,2)="15",AND(LEFT(M4180,2)&lt;&gt;"15",LEFT(M4180,2)&lt;&gt;"33"))),"x","")</f>
        <v/>
      </c>
      <c r="X4180" s="52" t="str">
        <f>IF(AND(OR(LEFT(TH!L4180,2)="15",LEFT(TH!M4180,2)="15"),'152-CT'!$J$8=TH!F4180),"x","")</f>
        <v/>
      </c>
      <c r="Y4180" s="52" t="str">
        <f>IF(AND(OR(LEFT(TH!L4180,2)="15",LEFT(TH!M4180,2)="15"),TK!$E$7=TH!F4180),"x","")</f>
        <v/>
      </c>
      <c r="Z4180" s="52" t="str">
        <f>IF(AND(B4180&lt;=NKC!$N$8,B4180&gt;=NKC!$M$8),"x","")</f>
        <v/>
      </c>
      <c r="AA4180" s="826"/>
    </row>
    <row r="4181" spans="1:27" ht="15.75" customHeight="1">
      <c r="A4181" s="827" t="str">
        <f>IF(B4181&lt;&gt;"",IF(AND(B4181&gt;=_TM1,B4181&lt;=_TM2,OR(TH!L4181="1111",TH!M4181="1111")),TH!D4181,""),"")</f>
        <v/>
      </c>
      <c r="B4181" s="36" t="str">
        <f t="shared" si="520"/>
        <v/>
      </c>
      <c r="C4181" s="190"/>
      <c r="D4181" s="190"/>
      <c r="E4181" s="785"/>
      <c r="F4181" s="191"/>
      <c r="G4181" s="833"/>
      <c r="H4181" s="192"/>
      <c r="I4181" s="253"/>
      <c r="J4181" s="253"/>
      <c r="K4181" s="584"/>
      <c r="L4181" s="193"/>
      <c r="M4181" s="193"/>
      <c r="N4181" s="52" t="str">
        <f>IF(AND('331-CT'!$E$7=TH!H4181,OR(L4181="331",M4181="331")),"331",IF(AND(OR(L4181="131",M4181="131"),H4181='131-CT'!$E$7),"131",""))</f>
        <v/>
      </c>
      <c r="O4181" s="52" t="str">
        <f>IF(AND($B4181&gt;='111'!$N$11,$B4181&lt;='111'!$O$11,OR($L4181=$O$7,$M4181=$O$7)),"x","")</f>
        <v/>
      </c>
      <c r="P4181" s="52" t="str">
        <f>IF(AND($L4181=$O$7,$B4181&lt;'111'!$N$11),"x","")</f>
        <v/>
      </c>
      <c r="Q4181" s="52" t="str">
        <f>IF(AND($M4181=$O$7,$B4181&lt;'111'!$N$11),"x","")</f>
        <v/>
      </c>
      <c r="R4181" s="52" t="str">
        <f>IF(ISERROR(FIND('112'!$M$9,G4181,1)),"",IF((AND(FIND('112'!$M$9,G4181,1)&gt;=1,$B4181&gt;='112'!$N$8,$B4181&lt;='112'!$O$8,OR($L4181='112'!$I$6,$M4181='112'!$I$6))),"x",""))</f>
        <v/>
      </c>
      <c r="S4181" s="52" t="str">
        <f>IF(ISERROR(FIND('112'!$M$9,G4181,1)),"",IF((AND(LEFT(G4181,2)=LEFT('112'!$M$9,2),B4181&lt;'112'!$N$8,$L4181='112'!$I$6)),"x",""))</f>
        <v/>
      </c>
      <c r="T4181" s="52" t="str">
        <f>IF(ISERROR(FIND('112'!$M$9,G4181,1)),"",IF((AND(RIGHT(G4181,2)=RIGHT('112'!$M$9,2),B4181&lt;'112'!$N$8,$M4181='112'!$I$6)),"x",""))</f>
        <v/>
      </c>
      <c r="U4181" s="52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/>
      </c>
      <c r="V4181" s="52" t="str">
        <f>IF(OR(TH!L4181=TH!$V$7,M4181=TH!$V$7),"x","")</f>
        <v/>
      </c>
      <c r="W4181" s="52" t="str">
        <f>IF(AND(B4181&gt;='IN-NX'!$P$3,B4181&lt;='IN-NX'!$Q$3,'IN-NX'!$D$7=D4181,OR(LEFT(L4181,2)="15",AND(LEFT(M4181,2)&lt;&gt;"15",LEFT(M4181,2)&lt;&gt;"33"))),"x","")</f>
        <v/>
      </c>
      <c r="X4181" s="52" t="str">
        <f>IF(AND(OR(LEFT(TH!L4181,2)="15",LEFT(TH!M4181,2)="15"),'152-CT'!$J$8=TH!F4181),"x","")</f>
        <v/>
      </c>
      <c r="Y4181" s="52" t="str">
        <f>IF(AND(OR(LEFT(TH!L4181,2)="15",LEFT(TH!M4181,2)="15"),TK!$E$7=TH!F4181),"x","")</f>
        <v/>
      </c>
      <c r="Z4181" s="52" t="str">
        <f>IF(AND(B4181&lt;=NKC!$N$8,B4181&gt;=NKC!$M$8),"x","")</f>
        <v/>
      </c>
      <c r="AA4181" s="826"/>
    </row>
    <row r="4182" spans="1:27" ht="15.75" customHeight="1">
      <c r="A4182" s="827" t="str">
        <f>IF(B4182&lt;&gt;"",IF(AND(B4182&gt;=_TM1,B4182&lt;=_TM2,OR(TH!L4182="1111",TH!M4182="1111")),TH!D4182,""),"")</f>
        <v/>
      </c>
      <c r="B4182" s="36" t="str">
        <f t="shared" si="520"/>
        <v/>
      </c>
      <c r="C4182" s="190"/>
      <c r="D4182" s="190"/>
      <c r="E4182" s="785"/>
      <c r="F4182" s="191"/>
      <c r="G4182" s="833"/>
      <c r="H4182" s="192"/>
      <c r="I4182" s="253"/>
      <c r="J4182" s="253"/>
      <c r="K4182" s="584"/>
      <c r="L4182" s="193"/>
      <c r="M4182" s="193"/>
      <c r="N4182" s="52" t="str">
        <f>IF(AND('331-CT'!$E$7=TH!H4182,OR(L4182="331",M4182="331")),"331",IF(AND(OR(L4182="131",M4182="131"),H4182='131-CT'!$E$7),"131",""))</f>
        <v/>
      </c>
      <c r="O4182" s="52" t="str">
        <f>IF(AND($B4182&gt;='111'!$N$11,$B4182&lt;='111'!$O$11,OR($L4182=$O$7,$M4182=$O$7)),"x","")</f>
        <v/>
      </c>
      <c r="P4182" s="52" t="str">
        <f>IF(AND($L4182=$O$7,$B4182&lt;'111'!$N$11),"x","")</f>
        <v/>
      </c>
      <c r="Q4182" s="52" t="str">
        <f>IF(AND($M4182=$O$7,$B4182&lt;'111'!$N$11),"x","")</f>
        <v/>
      </c>
      <c r="R4182" s="52" t="str">
        <f>IF(ISERROR(FIND('112'!$M$9,G4182,1)),"",IF((AND(FIND('112'!$M$9,G4182,1)&gt;=1,$B4182&gt;='112'!$N$8,$B4182&lt;='112'!$O$8,OR($L4182='112'!$I$6,$M4182='112'!$I$6))),"x",""))</f>
        <v/>
      </c>
      <c r="S4182" s="52" t="str">
        <f>IF(ISERROR(FIND('112'!$M$9,G4182,1)),"",IF((AND(LEFT(G4182,2)=LEFT('112'!$M$9,2),B4182&lt;'112'!$N$8,$L4182='112'!$I$6)),"x",""))</f>
        <v/>
      </c>
      <c r="T4182" s="52" t="str">
        <f>IF(ISERROR(FIND('112'!$M$9,G4182,1)),"",IF((AND(RIGHT(G4182,2)=RIGHT('112'!$M$9,2),B4182&lt;'112'!$N$8,$M4182='112'!$I$6)),"x",""))</f>
        <v/>
      </c>
      <c r="U4182" s="52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/>
      </c>
      <c r="V4182" s="52" t="str">
        <f>IF(OR(TH!L4182=TH!$V$7,M4182=TH!$V$7),"x","")</f>
        <v/>
      </c>
      <c r="W4182" s="52" t="str">
        <f>IF(AND(B4182&gt;='IN-NX'!$P$3,B4182&lt;='IN-NX'!$Q$3,'IN-NX'!$D$7=D4182,OR(LEFT(L4182,2)="15",AND(LEFT(M4182,2)&lt;&gt;"15",LEFT(M4182,2)&lt;&gt;"33"))),"x","")</f>
        <v/>
      </c>
      <c r="X4182" s="52" t="str">
        <f>IF(AND(OR(LEFT(TH!L4182,2)="15",LEFT(TH!M4182,2)="15"),'152-CT'!$J$8=TH!F4182),"x","")</f>
        <v/>
      </c>
      <c r="Y4182" s="52" t="str">
        <f>IF(AND(OR(LEFT(TH!L4182,2)="15",LEFT(TH!M4182,2)="15"),TK!$E$7=TH!F4182),"x","")</f>
        <v/>
      </c>
      <c r="Z4182" s="52" t="str">
        <f>IF(AND(B4182&lt;=NKC!$N$8,B4182&gt;=NKC!$M$8),"x","")</f>
        <v/>
      </c>
      <c r="AA4182" s="826"/>
    </row>
    <row r="4183" spans="1:27" ht="15.75" customHeight="1">
      <c r="A4183" s="827" t="str">
        <f>IF(B4183&lt;&gt;"",IF(AND(B4183&gt;=_TM1,B4183&lt;=_TM2,OR(TH!L4183="1111",TH!M4183="1111")),TH!D4183,""),"")</f>
        <v/>
      </c>
      <c r="B4183" s="36" t="str">
        <f t="shared" si="520"/>
        <v/>
      </c>
      <c r="C4183" s="190"/>
      <c r="D4183" s="190"/>
      <c r="E4183" s="785"/>
      <c r="F4183" s="191"/>
      <c r="G4183" s="833"/>
      <c r="H4183" s="192"/>
      <c r="I4183" s="253"/>
      <c r="J4183" s="253"/>
      <c r="K4183" s="584"/>
      <c r="L4183" s="193"/>
      <c r="M4183" s="193"/>
      <c r="N4183" s="52" t="str">
        <f>IF(AND('331-CT'!$E$7=TH!H4183,OR(L4183="331",M4183="331")),"331",IF(AND(OR(L4183="131",M4183="131"),H4183='131-CT'!$E$7),"131",""))</f>
        <v/>
      </c>
      <c r="O4183" s="52" t="str">
        <f>IF(AND($B4183&gt;='111'!$N$11,$B4183&lt;='111'!$O$11,OR($L4183=$O$7,$M4183=$O$7)),"x","")</f>
        <v/>
      </c>
      <c r="P4183" s="52" t="str">
        <f>IF(AND($L4183=$O$7,$B4183&lt;'111'!$N$11),"x","")</f>
        <v/>
      </c>
      <c r="Q4183" s="52" t="str">
        <f>IF(AND($M4183=$O$7,$B4183&lt;'111'!$N$11),"x","")</f>
        <v/>
      </c>
      <c r="R4183" s="52" t="str">
        <f>IF(ISERROR(FIND('112'!$M$9,G4183,1)),"",IF((AND(FIND('112'!$M$9,G4183,1)&gt;=1,$B4183&gt;='112'!$N$8,$B4183&lt;='112'!$O$8,OR($L4183='112'!$I$6,$M4183='112'!$I$6))),"x",""))</f>
        <v/>
      </c>
      <c r="S4183" s="52" t="str">
        <f>IF(ISERROR(FIND('112'!$M$9,G4183,1)),"",IF((AND(LEFT(G4183,2)=LEFT('112'!$M$9,2),B4183&lt;'112'!$N$8,$L4183='112'!$I$6)),"x",""))</f>
        <v/>
      </c>
      <c r="T4183" s="52" t="str">
        <f>IF(ISERROR(FIND('112'!$M$9,G4183,1)),"",IF((AND(RIGHT(G4183,2)=RIGHT('112'!$M$9,2),B4183&lt;'112'!$N$8,$M4183='112'!$I$6)),"x",""))</f>
        <v/>
      </c>
      <c r="U4183" s="52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/>
      </c>
      <c r="V4183" s="52" t="str">
        <f>IF(OR(TH!L4183=TH!$V$7,M4183=TH!$V$7),"x","")</f>
        <v/>
      </c>
      <c r="W4183" s="52" t="str">
        <f>IF(AND(B4183&gt;='IN-NX'!$P$3,B4183&lt;='IN-NX'!$Q$3,'IN-NX'!$D$7=D4183,OR(LEFT(L4183,2)="15",AND(LEFT(M4183,2)&lt;&gt;"15",LEFT(M4183,2)&lt;&gt;"33"))),"x","")</f>
        <v/>
      </c>
      <c r="X4183" s="52" t="str">
        <f>IF(AND(OR(LEFT(TH!L4183,2)="15",LEFT(TH!M4183,2)="15"),'152-CT'!$J$8=TH!F4183),"x","")</f>
        <v/>
      </c>
      <c r="Y4183" s="52" t="str">
        <f>IF(AND(OR(LEFT(TH!L4183,2)="15",LEFT(TH!M4183,2)="15"),TK!$E$7=TH!F4183),"x","")</f>
        <v/>
      </c>
      <c r="Z4183" s="52" t="str">
        <f>IF(AND(B4183&lt;=NKC!$N$8,B4183&gt;=NKC!$M$8),"x","")</f>
        <v/>
      </c>
      <c r="AA4183" s="826"/>
    </row>
    <row r="4184" spans="1:27" ht="15.75" customHeight="1">
      <c r="A4184" s="827" t="str">
        <f>IF(B4184&lt;&gt;"",IF(AND(B4184&gt;=_TM1,B4184&lt;=_TM2,OR(TH!L4184="1111",TH!M4184="1111")),TH!D4184,""),"")</f>
        <v/>
      </c>
      <c r="B4184" s="36" t="str">
        <f t="shared" si="520"/>
        <v/>
      </c>
      <c r="C4184" s="190"/>
      <c r="D4184" s="190"/>
      <c r="E4184" s="785"/>
      <c r="F4184" s="191"/>
      <c r="G4184" s="833"/>
      <c r="H4184" s="192"/>
      <c r="I4184" s="253"/>
      <c r="J4184" s="253"/>
      <c r="K4184" s="584"/>
      <c r="L4184" s="193"/>
      <c r="M4184" s="193"/>
      <c r="N4184" s="52" t="str">
        <f>IF(AND('331-CT'!$E$7=TH!H4184,OR(L4184="331",M4184="331")),"331",IF(AND(OR(L4184="131",M4184="131"),H4184='131-CT'!$E$7),"131",""))</f>
        <v/>
      </c>
      <c r="O4184" s="52" t="str">
        <f>IF(AND($B4184&gt;='111'!$N$11,$B4184&lt;='111'!$O$11,OR($L4184=$O$7,$M4184=$O$7)),"x","")</f>
        <v/>
      </c>
      <c r="P4184" s="52" t="str">
        <f>IF(AND($L4184=$O$7,$B4184&lt;'111'!$N$11),"x","")</f>
        <v/>
      </c>
      <c r="Q4184" s="52" t="str">
        <f>IF(AND($M4184=$O$7,$B4184&lt;'111'!$N$11),"x","")</f>
        <v/>
      </c>
      <c r="R4184" s="52" t="str">
        <f>IF(ISERROR(FIND('112'!$M$9,G4184,1)),"",IF((AND(FIND('112'!$M$9,G4184,1)&gt;=1,$B4184&gt;='112'!$N$8,$B4184&lt;='112'!$O$8,OR($L4184='112'!$I$6,$M4184='112'!$I$6))),"x",""))</f>
        <v/>
      </c>
      <c r="S4184" s="52" t="str">
        <f>IF(ISERROR(FIND('112'!$M$9,G4184,1)),"",IF((AND(LEFT(G4184,2)=LEFT('112'!$M$9,2),B4184&lt;'112'!$N$8,$L4184='112'!$I$6)),"x",""))</f>
        <v/>
      </c>
      <c r="T4184" s="52" t="str">
        <f>IF(ISERROR(FIND('112'!$M$9,G4184,1)),"",IF((AND(RIGHT(G4184,2)=RIGHT('112'!$M$9,2),B4184&lt;'112'!$N$8,$M4184='112'!$I$6)),"x",""))</f>
        <v/>
      </c>
      <c r="U4184" s="52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/>
      </c>
      <c r="V4184" s="52" t="str">
        <f>IF(OR(TH!L4184=TH!$V$7,M4184=TH!$V$7),"x","")</f>
        <v/>
      </c>
      <c r="W4184" s="52" t="str">
        <f>IF(AND(B4184&gt;='IN-NX'!$P$3,B4184&lt;='IN-NX'!$Q$3,'IN-NX'!$D$7=D4184,OR(LEFT(L4184,2)="15",AND(LEFT(M4184,2)&lt;&gt;"15",LEFT(M4184,2)&lt;&gt;"33"))),"x","")</f>
        <v/>
      </c>
      <c r="X4184" s="52" t="str">
        <f>IF(AND(OR(LEFT(TH!L4184,2)="15",LEFT(TH!M4184,2)="15"),'152-CT'!$J$8=TH!F4184),"x","")</f>
        <v/>
      </c>
      <c r="Y4184" s="52" t="str">
        <f>IF(AND(OR(LEFT(TH!L4184,2)="15",LEFT(TH!M4184,2)="15"),TK!$E$7=TH!F4184),"x","")</f>
        <v/>
      </c>
      <c r="Z4184" s="52" t="str">
        <f>IF(AND(B4184&lt;=NKC!$N$8,B4184&gt;=NKC!$M$8),"x","")</f>
        <v/>
      </c>
      <c r="AA4184" s="826"/>
    </row>
    <row r="4185" spans="1:27" ht="15.75" customHeight="1">
      <c r="A4185" s="827" t="str">
        <f>IF(B4185&lt;&gt;"",IF(AND(B4185&gt;=_TM1,B4185&lt;=_TM2,OR(TH!L4185="1111",TH!M4185="1111")),TH!D4185,""),"")</f>
        <v/>
      </c>
      <c r="B4185" s="36" t="str">
        <f t="shared" si="520"/>
        <v/>
      </c>
      <c r="C4185" s="190"/>
      <c r="D4185" s="190"/>
      <c r="E4185" s="785"/>
      <c r="F4185" s="191"/>
      <c r="G4185" s="833"/>
      <c r="H4185" s="192"/>
      <c r="I4185" s="253"/>
      <c r="J4185" s="253"/>
      <c r="K4185" s="584"/>
      <c r="L4185" s="193"/>
      <c r="M4185" s="193"/>
      <c r="N4185" s="52" t="str">
        <f>IF(AND('331-CT'!$E$7=TH!H4185,OR(L4185="331",M4185="331")),"331",IF(AND(OR(L4185="131",M4185="131"),H4185='131-CT'!$E$7),"131",""))</f>
        <v/>
      </c>
      <c r="O4185" s="52" t="str">
        <f>IF(AND($B4185&gt;='111'!$N$11,$B4185&lt;='111'!$O$11,OR($L4185=$O$7,$M4185=$O$7)),"x","")</f>
        <v/>
      </c>
      <c r="P4185" s="52" t="str">
        <f>IF(AND($L4185=$O$7,$B4185&lt;'111'!$N$11),"x","")</f>
        <v/>
      </c>
      <c r="Q4185" s="52" t="str">
        <f>IF(AND($M4185=$O$7,$B4185&lt;'111'!$N$11),"x","")</f>
        <v/>
      </c>
      <c r="R4185" s="52" t="str">
        <f>IF(ISERROR(FIND('112'!$M$9,G4185,1)),"",IF((AND(FIND('112'!$M$9,G4185,1)&gt;=1,$B4185&gt;='112'!$N$8,$B4185&lt;='112'!$O$8,OR($L4185='112'!$I$6,$M4185='112'!$I$6))),"x",""))</f>
        <v/>
      </c>
      <c r="S4185" s="52" t="str">
        <f>IF(ISERROR(FIND('112'!$M$9,G4185,1)),"",IF((AND(LEFT(G4185,2)=LEFT('112'!$M$9,2),B4185&lt;'112'!$N$8,$L4185='112'!$I$6)),"x",""))</f>
        <v/>
      </c>
      <c r="T4185" s="52" t="str">
        <f>IF(ISERROR(FIND('112'!$M$9,G4185,1)),"",IF((AND(RIGHT(G4185,2)=RIGHT('112'!$M$9,2),B4185&lt;'112'!$N$8,$M4185='112'!$I$6)),"x",""))</f>
        <v/>
      </c>
      <c r="U4185" s="52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/>
      </c>
      <c r="V4185" s="52" t="str">
        <f>IF(OR(TH!L4185=TH!$V$7,M4185=TH!$V$7),"x","")</f>
        <v/>
      </c>
      <c r="W4185" s="52" t="str">
        <f>IF(AND(B4185&gt;='IN-NX'!$P$3,B4185&lt;='IN-NX'!$Q$3,'IN-NX'!$D$7=D4185,OR(LEFT(L4185,2)="15",AND(LEFT(M4185,2)&lt;&gt;"15",LEFT(M4185,2)&lt;&gt;"33"))),"x","")</f>
        <v/>
      </c>
      <c r="X4185" s="52" t="str">
        <f>IF(AND(OR(LEFT(TH!L4185,2)="15",LEFT(TH!M4185,2)="15"),'152-CT'!$J$8=TH!F4185),"x","")</f>
        <v/>
      </c>
      <c r="Y4185" s="52" t="str">
        <f>IF(AND(OR(LEFT(TH!L4185,2)="15",LEFT(TH!M4185,2)="15"),TK!$E$7=TH!F4185),"x","")</f>
        <v/>
      </c>
      <c r="Z4185" s="52" t="str">
        <f>IF(AND(B4185&lt;=NKC!$N$8,B4185&gt;=NKC!$M$8),"x","")</f>
        <v/>
      </c>
      <c r="AA4185" s="826"/>
    </row>
    <row r="4186" spans="1:27" ht="15.75" customHeight="1">
      <c r="A4186" s="827" t="str">
        <f>IF(B4186&lt;&gt;"",IF(AND(B4186&gt;=_TM1,B4186&lt;=_TM2,OR(TH!L4186="1111",TH!M4186="1111")),TH!D4186,""),"")</f>
        <v/>
      </c>
      <c r="B4186" s="36" t="str">
        <f t="shared" si="520"/>
        <v/>
      </c>
      <c r="C4186" s="190"/>
      <c r="D4186" s="190"/>
      <c r="E4186" s="785"/>
      <c r="F4186" s="191"/>
      <c r="G4186" s="833"/>
      <c r="H4186" s="192"/>
      <c r="I4186" s="253"/>
      <c r="J4186" s="253"/>
      <c r="K4186" s="584"/>
      <c r="L4186" s="193"/>
      <c r="M4186" s="193"/>
      <c r="N4186" s="52" t="str">
        <f>IF(AND('331-CT'!$E$7=TH!H4186,OR(L4186="331",M4186="331")),"331",IF(AND(OR(L4186="131",M4186="131"),H4186='131-CT'!$E$7),"131",""))</f>
        <v/>
      </c>
      <c r="O4186" s="52" t="str">
        <f>IF(AND($B4186&gt;='111'!$N$11,$B4186&lt;='111'!$O$11,OR($L4186=$O$7,$M4186=$O$7)),"x","")</f>
        <v/>
      </c>
      <c r="P4186" s="52" t="str">
        <f>IF(AND($L4186=$O$7,$B4186&lt;'111'!$N$11),"x","")</f>
        <v/>
      </c>
      <c r="Q4186" s="52" t="str">
        <f>IF(AND($M4186=$O$7,$B4186&lt;'111'!$N$11),"x","")</f>
        <v/>
      </c>
      <c r="R4186" s="52" t="str">
        <f>IF(ISERROR(FIND('112'!$M$9,G4186,1)),"",IF((AND(FIND('112'!$M$9,G4186,1)&gt;=1,$B4186&gt;='112'!$N$8,$B4186&lt;='112'!$O$8,OR($L4186='112'!$I$6,$M4186='112'!$I$6))),"x",""))</f>
        <v/>
      </c>
      <c r="S4186" s="52" t="str">
        <f>IF(ISERROR(FIND('112'!$M$9,G4186,1)),"",IF((AND(LEFT(G4186,2)=LEFT('112'!$M$9,2),B4186&lt;'112'!$N$8,$L4186='112'!$I$6)),"x",""))</f>
        <v/>
      </c>
      <c r="T4186" s="52" t="str">
        <f>IF(ISERROR(FIND('112'!$M$9,G4186,1)),"",IF((AND(RIGHT(G4186,2)=RIGHT('112'!$M$9,2),B4186&lt;'112'!$N$8,$M4186='112'!$I$6)),"x",""))</f>
        <v/>
      </c>
      <c r="U4186" s="52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/>
      </c>
      <c r="V4186" s="52" t="str">
        <f>IF(OR(TH!L4186=TH!$V$7,M4186=TH!$V$7),"x","")</f>
        <v/>
      </c>
      <c r="W4186" s="52" t="str">
        <f>IF(AND(B4186&gt;='IN-NX'!$P$3,B4186&lt;='IN-NX'!$Q$3,'IN-NX'!$D$7=D4186,OR(LEFT(L4186,2)="15",AND(LEFT(M4186,2)&lt;&gt;"15",LEFT(M4186,2)&lt;&gt;"33"))),"x","")</f>
        <v/>
      </c>
      <c r="X4186" s="52" t="str">
        <f>IF(AND(OR(LEFT(TH!L4186,2)="15",LEFT(TH!M4186,2)="15"),'152-CT'!$J$8=TH!F4186),"x","")</f>
        <v/>
      </c>
      <c r="Y4186" s="52" t="str">
        <f>IF(AND(OR(LEFT(TH!L4186,2)="15",LEFT(TH!M4186,2)="15"),TK!$E$7=TH!F4186),"x","")</f>
        <v/>
      </c>
      <c r="Z4186" s="52" t="str">
        <f>IF(AND(B4186&lt;=NKC!$N$8,B4186&gt;=NKC!$M$8),"x","")</f>
        <v/>
      </c>
      <c r="AA4186" s="826"/>
    </row>
    <row r="4187" spans="1:27" ht="15.75" customHeight="1">
      <c r="A4187" s="827" t="str">
        <f>IF(B4187&lt;&gt;"",IF(AND(B4187&gt;=_TM1,B4187&lt;=_TM2,OR(TH!L4187="1111",TH!M4187="1111")),TH!D4187,""),"")</f>
        <v/>
      </c>
      <c r="B4187" s="36" t="str">
        <f t="shared" si="520"/>
        <v/>
      </c>
      <c r="C4187" s="190"/>
      <c r="D4187" s="190"/>
      <c r="E4187" s="785"/>
      <c r="F4187" s="191"/>
      <c r="G4187" s="833"/>
      <c r="H4187" s="192"/>
      <c r="I4187" s="253"/>
      <c r="J4187" s="253"/>
      <c r="K4187" s="584"/>
      <c r="L4187" s="193"/>
      <c r="M4187" s="193"/>
      <c r="N4187" s="52" t="str">
        <f>IF(AND('331-CT'!$E$7=TH!H4187,OR(L4187="331",M4187="331")),"331",IF(AND(OR(L4187="131",M4187="131"),H4187='131-CT'!$E$7),"131",""))</f>
        <v/>
      </c>
      <c r="O4187" s="52" t="str">
        <f>IF(AND($B4187&gt;='111'!$N$11,$B4187&lt;='111'!$O$11,OR($L4187=$O$7,$M4187=$O$7)),"x","")</f>
        <v/>
      </c>
      <c r="P4187" s="52" t="str">
        <f>IF(AND($L4187=$O$7,$B4187&lt;'111'!$N$11),"x","")</f>
        <v/>
      </c>
      <c r="Q4187" s="52" t="str">
        <f>IF(AND($M4187=$O$7,$B4187&lt;'111'!$N$11),"x","")</f>
        <v/>
      </c>
      <c r="R4187" s="52" t="str">
        <f>IF(ISERROR(FIND('112'!$M$9,G4187,1)),"",IF((AND(FIND('112'!$M$9,G4187,1)&gt;=1,$B4187&gt;='112'!$N$8,$B4187&lt;='112'!$O$8,OR($L4187='112'!$I$6,$M4187='112'!$I$6))),"x",""))</f>
        <v/>
      </c>
      <c r="S4187" s="52" t="str">
        <f>IF(ISERROR(FIND('112'!$M$9,G4187,1)),"",IF((AND(LEFT(G4187,2)=LEFT('112'!$M$9,2),B4187&lt;'112'!$N$8,$L4187='112'!$I$6)),"x",""))</f>
        <v/>
      </c>
      <c r="T4187" s="52" t="str">
        <f>IF(ISERROR(FIND('112'!$M$9,G4187,1)),"",IF((AND(RIGHT(G4187,2)=RIGHT('112'!$M$9,2),B4187&lt;'112'!$N$8,$M4187='112'!$I$6)),"x",""))</f>
        <v/>
      </c>
      <c r="U4187" s="52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/>
      </c>
      <c r="V4187" s="52" t="str">
        <f>IF(OR(TH!L4187=TH!$V$7,M4187=TH!$V$7),"x","")</f>
        <v/>
      </c>
      <c r="W4187" s="52" t="str">
        <f>IF(AND(B4187&gt;='IN-NX'!$P$3,B4187&lt;='IN-NX'!$Q$3,'IN-NX'!$D$7=D4187,OR(LEFT(L4187,2)="15",AND(LEFT(M4187,2)&lt;&gt;"15",LEFT(M4187,2)&lt;&gt;"33"))),"x","")</f>
        <v/>
      </c>
      <c r="X4187" s="52" t="str">
        <f>IF(AND(OR(LEFT(TH!L4187,2)="15",LEFT(TH!M4187,2)="15"),'152-CT'!$J$8=TH!F4187),"x","")</f>
        <v/>
      </c>
      <c r="Y4187" s="52" t="str">
        <f>IF(AND(OR(LEFT(TH!L4187,2)="15",LEFT(TH!M4187,2)="15"),TK!$E$7=TH!F4187),"x","")</f>
        <v/>
      </c>
      <c r="Z4187" s="52" t="str">
        <f>IF(AND(B4187&lt;=NKC!$N$8,B4187&gt;=NKC!$M$8),"x","")</f>
        <v/>
      </c>
      <c r="AA4187" s="826"/>
    </row>
    <row r="4188" spans="1:27" ht="15.75" customHeight="1">
      <c r="A4188" s="827" t="str">
        <f>IF(B4188&lt;&gt;"",IF(AND(B4188&gt;=_TM1,B4188&lt;=_TM2,OR(TH!L4188="1111",TH!M4188="1111")),TH!D4188,""),"")</f>
        <v/>
      </c>
      <c r="B4188" s="36" t="str">
        <f t="shared" si="520"/>
        <v/>
      </c>
      <c r="C4188" s="190"/>
      <c r="D4188" s="190"/>
      <c r="E4188" s="785"/>
      <c r="F4188" s="191"/>
      <c r="G4188" s="833"/>
      <c r="H4188" s="192"/>
      <c r="I4188" s="253"/>
      <c r="J4188" s="253"/>
      <c r="K4188" s="584"/>
      <c r="L4188" s="193"/>
      <c r="M4188" s="193"/>
      <c r="N4188" s="52" t="str">
        <f>IF(AND('331-CT'!$E$7=TH!H4188,OR(L4188="331",M4188="331")),"331",IF(AND(OR(L4188="131",M4188="131"),H4188='131-CT'!$E$7),"131",""))</f>
        <v/>
      </c>
      <c r="O4188" s="52" t="str">
        <f>IF(AND($B4188&gt;='111'!$N$11,$B4188&lt;='111'!$O$11,OR($L4188=$O$7,$M4188=$O$7)),"x","")</f>
        <v/>
      </c>
      <c r="P4188" s="52" t="str">
        <f>IF(AND($L4188=$O$7,$B4188&lt;'111'!$N$11),"x","")</f>
        <v/>
      </c>
      <c r="Q4188" s="52" t="str">
        <f>IF(AND($M4188=$O$7,$B4188&lt;'111'!$N$11),"x","")</f>
        <v/>
      </c>
      <c r="R4188" s="52" t="str">
        <f>IF(ISERROR(FIND('112'!$M$9,G4188,1)),"",IF((AND(FIND('112'!$M$9,G4188,1)&gt;=1,$B4188&gt;='112'!$N$8,$B4188&lt;='112'!$O$8,OR($L4188='112'!$I$6,$M4188='112'!$I$6))),"x",""))</f>
        <v/>
      </c>
      <c r="S4188" s="52" t="str">
        <f>IF(ISERROR(FIND('112'!$M$9,G4188,1)),"",IF((AND(LEFT(G4188,2)=LEFT('112'!$M$9,2),B4188&lt;'112'!$N$8,$L4188='112'!$I$6)),"x",""))</f>
        <v/>
      </c>
      <c r="T4188" s="52" t="str">
        <f>IF(ISERROR(FIND('112'!$M$9,G4188,1)),"",IF((AND(RIGHT(G4188,2)=RIGHT('112'!$M$9,2),B4188&lt;'112'!$N$8,$M4188='112'!$I$6)),"x",""))</f>
        <v/>
      </c>
      <c r="U4188" s="52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/>
      </c>
      <c r="V4188" s="52" t="str">
        <f>IF(OR(TH!L4188=TH!$V$7,M4188=TH!$V$7),"x","")</f>
        <v/>
      </c>
      <c r="W4188" s="52" t="str">
        <f>IF(AND(B4188&gt;='IN-NX'!$P$3,B4188&lt;='IN-NX'!$Q$3,'IN-NX'!$D$7=D4188,OR(LEFT(L4188,2)="15",AND(LEFT(M4188,2)&lt;&gt;"15",LEFT(M4188,2)&lt;&gt;"33"))),"x","")</f>
        <v/>
      </c>
      <c r="X4188" s="52" t="str">
        <f>IF(AND(OR(LEFT(TH!L4188,2)="15",LEFT(TH!M4188,2)="15"),'152-CT'!$J$8=TH!F4188),"x","")</f>
        <v/>
      </c>
      <c r="Y4188" s="52" t="str">
        <f>IF(AND(OR(LEFT(TH!L4188,2)="15",LEFT(TH!M4188,2)="15"),TK!$E$7=TH!F4188),"x","")</f>
        <v/>
      </c>
      <c r="Z4188" s="52" t="str">
        <f>IF(AND(B4188&lt;=NKC!$N$8,B4188&gt;=NKC!$M$8),"x","")</f>
        <v/>
      </c>
      <c r="AA4188" s="826"/>
    </row>
    <row r="4189" spans="1:27" ht="15.75" customHeight="1">
      <c r="A4189" s="827" t="str">
        <f>IF(B4189&lt;&gt;"",IF(AND(B4189&gt;=_TM1,B4189&lt;=_TM2,OR(TH!L4189="1111",TH!M4189="1111")),TH!D4189,""),"")</f>
        <v/>
      </c>
      <c r="B4189" s="36" t="str">
        <f t="shared" si="520"/>
        <v/>
      </c>
      <c r="C4189" s="190"/>
      <c r="D4189" s="190"/>
      <c r="E4189" s="785"/>
      <c r="F4189" s="191"/>
      <c r="G4189" s="833"/>
      <c r="H4189" s="192"/>
      <c r="I4189" s="253"/>
      <c r="J4189" s="253"/>
      <c r="K4189" s="584"/>
      <c r="L4189" s="193"/>
      <c r="M4189" s="193"/>
      <c r="N4189" s="52" t="str">
        <f>IF(AND('331-CT'!$E$7=TH!H4189,OR(L4189="331",M4189="331")),"331",IF(AND(OR(L4189="131",M4189="131"),H4189='131-CT'!$E$7),"131",""))</f>
        <v/>
      </c>
      <c r="O4189" s="52" t="str">
        <f>IF(AND($B4189&gt;='111'!$N$11,$B4189&lt;='111'!$O$11,OR($L4189=$O$7,$M4189=$O$7)),"x","")</f>
        <v/>
      </c>
      <c r="P4189" s="52" t="str">
        <f>IF(AND($L4189=$O$7,$B4189&lt;'111'!$N$11),"x","")</f>
        <v/>
      </c>
      <c r="Q4189" s="52" t="str">
        <f>IF(AND($M4189=$O$7,$B4189&lt;'111'!$N$11),"x","")</f>
        <v/>
      </c>
      <c r="R4189" s="52" t="str">
        <f>IF(ISERROR(FIND('112'!$M$9,G4189,1)),"",IF((AND(FIND('112'!$M$9,G4189,1)&gt;=1,$B4189&gt;='112'!$N$8,$B4189&lt;='112'!$O$8,OR($L4189='112'!$I$6,$M4189='112'!$I$6))),"x",""))</f>
        <v/>
      </c>
      <c r="S4189" s="52" t="str">
        <f>IF(ISERROR(FIND('112'!$M$9,G4189,1)),"",IF((AND(LEFT(G4189,2)=LEFT('112'!$M$9,2),B4189&lt;'112'!$N$8,$L4189='112'!$I$6)),"x",""))</f>
        <v/>
      </c>
      <c r="T4189" s="52" t="str">
        <f>IF(ISERROR(FIND('112'!$M$9,G4189,1)),"",IF((AND(RIGHT(G4189,2)=RIGHT('112'!$M$9,2),B4189&lt;'112'!$N$8,$M4189='112'!$I$6)),"x",""))</f>
        <v/>
      </c>
      <c r="U4189" s="52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/>
      </c>
      <c r="V4189" s="52" t="str">
        <f>IF(OR(TH!L4189=TH!$V$7,M4189=TH!$V$7),"x","")</f>
        <v/>
      </c>
      <c r="W4189" s="52" t="str">
        <f>IF(AND(B4189&gt;='IN-NX'!$P$3,B4189&lt;='IN-NX'!$Q$3,'IN-NX'!$D$7=D4189,OR(LEFT(L4189,2)="15",AND(LEFT(M4189,2)&lt;&gt;"15",LEFT(M4189,2)&lt;&gt;"33"))),"x","")</f>
        <v/>
      </c>
      <c r="X4189" s="52" t="str">
        <f>IF(AND(OR(LEFT(TH!L4189,2)="15",LEFT(TH!M4189,2)="15"),'152-CT'!$J$8=TH!F4189),"x","")</f>
        <v/>
      </c>
      <c r="Y4189" s="52" t="str">
        <f>IF(AND(OR(LEFT(TH!L4189,2)="15",LEFT(TH!M4189,2)="15"),TK!$E$7=TH!F4189),"x","")</f>
        <v/>
      </c>
      <c r="Z4189" s="52" t="str">
        <f>IF(AND(B4189&lt;=NKC!$N$8,B4189&gt;=NKC!$M$8),"x","")</f>
        <v/>
      </c>
      <c r="AA4189" s="826"/>
    </row>
    <row r="4190" spans="1:27" ht="15.75" customHeight="1">
      <c r="A4190" s="827" t="str">
        <f>IF(B4190&lt;&gt;"",IF(AND(B4190&gt;=_TM1,B4190&lt;=_TM2,OR(TH!L4190="1111",TH!M4190="1111")),TH!D4190,""),"")</f>
        <v/>
      </c>
      <c r="B4190" s="36" t="str">
        <f t="shared" si="520"/>
        <v/>
      </c>
      <c r="C4190" s="190"/>
      <c r="D4190" s="190"/>
      <c r="E4190" s="785"/>
      <c r="F4190" s="40"/>
      <c r="G4190" s="832"/>
      <c r="H4190" s="7"/>
      <c r="I4190" s="253"/>
      <c r="J4190" s="253"/>
      <c r="K4190" s="584"/>
      <c r="L4190" s="39"/>
      <c r="M4190" s="39"/>
      <c r="N4190" s="52" t="str">
        <f>IF(AND('331-CT'!$E$7=TH!H4190,OR(L4190="331",M4190="331")),"331",IF(AND(OR(L4190="131",M4190="131"),H4190='131-CT'!$E$7),"131",""))</f>
        <v/>
      </c>
      <c r="O4190" s="52" t="str">
        <f>IF(AND($B4190&gt;='111'!$N$11,$B4190&lt;='111'!$O$11,OR($L4190=$O$7,$M4190=$O$7)),"x","")</f>
        <v/>
      </c>
      <c r="P4190" s="52" t="str">
        <f>IF(AND($L4190=$O$7,$B4190&lt;'111'!$N$11),"x","")</f>
        <v/>
      </c>
      <c r="Q4190" s="52" t="str">
        <f>IF(AND($M4190=$O$7,$B4190&lt;'111'!$N$11),"x","")</f>
        <v/>
      </c>
      <c r="R4190" s="52" t="str">
        <f>IF(ISERROR(FIND('112'!$M$9,G4190,1)),"",IF((AND(FIND('112'!$M$9,G4190,1)&gt;=1,$B4190&gt;='112'!$N$8,$B4190&lt;='112'!$O$8,OR($L4190='112'!$I$6,$M4190='112'!$I$6))),"x",""))</f>
        <v/>
      </c>
      <c r="S4190" s="52" t="str">
        <f>IF(ISERROR(FIND('112'!$M$9,G4190,1)),"",IF((AND(LEFT(G4190,2)=LEFT('112'!$M$9,2),B4190&lt;'112'!$N$8,$L4190='112'!$I$6)),"x",""))</f>
        <v/>
      </c>
      <c r="T4190" s="52" t="str">
        <f>IF(ISERROR(FIND('112'!$M$9,G4190,1)),"",IF((AND(RIGHT(G4190,2)=RIGHT('112'!$M$9,2),B4190&lt;'112'!$N$8,$M4190='112'!$I$6)),"x",""))</f>
        <v/>
      </c>
      <c r="U4190" s="52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/>
      </c>
      <c r="V4190" s="52" t="str">
        <f>IF(OR(TH!L4190=TH!$V$7,M4190=TH!$V$7),"x","")</f>
        <v/>
      </c>
      <c r="W4190" s="52" t="str">
        <f>IF(AND(B4190&gt;='IN-NX'!$P$3,B4190&lt;='IN-NX'!$Q$3,'IN-NX'!$D$7=D4190,OR(LEFT(L4190,2)="15",AND(LEFT(M4190,2)&lt;&gt;"15",LEFT(M4190,2)&lt;&gt;"33"))),"x","")</f>
        <v/>
      </c>
      <c r="X4190" s="52" t="str">
        <f>IF(AND(OR(LEFT(TH!L4190,2)="15",LEFT(TH!M4190,2)="15"),'152-CT'!$J$8=TH!F4190),"x","")</f>
        <v/>
      </c>
      <c r="Y4190" s="52" t="str">
        <f>IF(AND(OR(LEFT(TH!L4190,2)="15",LEFT(TH!M4190,2)="15"),TK!$E$7=TH!F4190),"x","")</f>
        <v/>
      </c>
      <c r="Z4190" s="52" t="str">
        <f>IF(AND(B4190&lt;=NKC!$N$8,B4190&gt;=NKC!$M$8),"x","")</f>
        <v/>
      </c>
      <c r="AA4190" s="826"/>
    </row>
    <row r="4191" spans="1:27" ht="15.75" customHeight="1">
      <c r="A4191" s="827" t="str">
        <f>IF(B4191&lt;&gt;"",IF(AND(B4191&gt;=_TM1,B4191&lt;=_TM2,OR(TH!L4191="1111",TH!M4191="1111")),TH!D4191,""),"")</f>
        <v/>
      </c>
      <c r="B4191" s="36" t="str">
        <f t="shared" si="520"/>
        <v/>
      </c>
      <c r="C4191" s="190"/>
      <c r="D4191" s="190"/>
      <c r="E4191" s="785"/>
      <c r="F4191" s="188"/>
      <c r="G4191" s="832"/>
      <c r="H4191" s="7"/>
      <c r="I4191" s="253"/>
      <c r="J4191" s="253"/>
      <c r="K4191" s="584"/>
      <c r="L4191" s="39"/>
      <c r="M4191" s="39"/>
      <c r="N4191" s="52" t="str">
        <f>IF(AND('331-CT'!$E$7=TH!H4191,OR(L4191="331",M4191="331")),"331",IF(AND(OR(L4191="131",M4191="131"),H4191='131-CT'!$E$7),"131",""))</f>
        <v/>
      </c>
      <c r="O4191" s="52" t="str">
        <f>IF(AND($B4191&gt;='111'!$N$11,$B4191&lt;='111'!$O$11,OR($L4191=$O$7,$M4191=$O$7)),"x","")</f>
        <v/>
      </c>
      <c r="P4191" s="52" t="str">
        <f>IF(AND($L4191=$O$7,$B4191&lt;'111'!$N$11),"x","")</f>
        <v/>
      </c>
      <c r="Q4191" s="52" t="str">
        <f>IF(AND($M4191=$O$7,$B4191&lt;'111'!$N$11),"x","")</f>
        <v/>
      </c>
      <c r="R4191" s="52" t="str">
        <f>IF(ISERROR(FIND('112'!$M$9,G4191,1)),"",IF((AND(FIND('112'!$M$9,G4191,1)&gt;=1,$B4191&gt;='112'!$N$8,$B4191&lt;='112'!$O$8,OR($L4191='112'!$I$6,$M4191='112'!$I$6))),"x",""))</f>
        <v/>
      </c>
      <c r="S4191" s="52" t="str">
        <f>IF(ISERROR(FIND('112'!$M$9,G4191,1)),"",IF((AND(LEFT(G4191,2)=LEFT('112'!$M$9,2),B4191&lt;'112'!$N$8,$L4191='112'!$I$6)),"x",""))</f>
        <v/>
      </c>
      <c r="T4191" s="52" t="str">
        <f>IF(ISERROR(FIND('112'!$M$9,G4191,1)),"",IF((AND(RIGHT(G4191,2)=RIGHT('112'!$M$9,2),B4191&lt;'112'!$N$8,$M4191='112'!$I$6)),"x",""))</f>
        <v/>
      </c>
      <c r="U4191" s="52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/>
      </c>
      <c r="V4191" s="52" t="str">
        <f>IF(OR(TH!L4191=TH!$V$7,M4191=TH!$V$7),"x","")</f>
        <v/>
      </c>
      <c r="W4191" s="52" t="str">
        <f>IF(AND(B4191&gt;='IN-NX'!$P$3,B4191&lt;='IN-NX'!$Q$3,'IN-NX'!$D$7=D4191,OR(LEFT(L4191,2)="15",AND(LEFT(M4191,2)&lt;&gt;"15",LEFT(M4191,2)&lt;&gt;"33"))),"x","")</f>
        <v/>
      </c>
      <c r="X4191" s="52" t="str">
        <f>IF(AND(OR(LEFT(TH!L4191,2)="15",LEFT(TH!M4191,2)="15"),'152-CT'!$J$8=TH!F4191),"x","")</f>
        <v/>
      </c>
      <c r="Y4191" s="52" t="str">
        <f>IF(AND(OR(LEFT(TH!L4191,2)="15",LEFT(TH!M4191,2)="15"),TK!$E$7=TH!F4191),"x","")</f>
        <v/>
      </c>
      <c r="Z4191" s="52" t="str">
        <f>IF(AND(B4191&lt;=NKC!$N$8,B4191&gt;=NKC!$M$8),"x","")</f>
        <v/>
      </c>
      <c r="AA4191" s="826"/>
    </row>
    <row r="4192" spans="1:27" ht="15.75" customHeight="1">
      <c r="A4192" s="827" t="str">
        <f>IF(B4192&lt;&gt;"",IF(AND(B4192&gt;=_TM1,B4192&lt;=_TM2,OR(TH!L4192="1111",TH!M4192="1111")),TH!D4192,""),"")</f>
        <v/>
      </c>
      <c r="B4192" s="36" t="str">
        <f t="shared" si="520"/>
        <v/>
      </c>
      <c r="C4192" s="190"/>
      <c r="D4192" s="190"/>
      <c r="E4192" s="785"/>
      <c r="F4192" s="40"/>
      <c r="G4192" s="832"/>
      <c r="H4192" s="7"/>
      <c r="I4192" s="253"/>
      <c r="J4192" s="253"/>
      <c r="K4192" s="584"/>
      <c r="L4192" s="39"/>
      <c r="M4192" s="39"/>
      <c r="N4192" s="52" t="str">
        <f>IF(AND('331-CT'!$E$7=TH!H4192,OR(L4192="331",M4192="331")),"331",IF(AND(OR(L4192="131",M4192="131"),H4192='131-CT'!$E$7),"131",""))</f>
        <v/>
      </c>
      <c r="O4192" s="52" t="str">
        <f>IF(AND($B4192&gt;='111'!$N$11,$B4192&lt;='111'!$O$11,OR($L4192=$O$7,$M4192=$O$7)),"x","")</f>
        <v/>
      </c>
      <c r="P4192" s="52" t="str">
        <f>IF(AND($L4192=$O$7,$B4192&lt;'111'!$N$11),"x","")</f>
        <v/>
      </c>
      <c r="Q4192" s="52" t="str">
        <f>IF(AND($M4192=$O$7,$B4192&lt;'111'!$N$11),"x","")</f>
        <v/>
      </c>
      <c r="R4192" s="52" t="str">
        <f>IF(ISERROR(FIND('112'!$M$9,G4192,1)),"",IF((AND(FIND('112'!$M$9,G4192,1)&gt;=1,$B4192&gt;='112'!$N$8,$B4192&lt;='112'!$O$8,OR($L4192='112'!$I$6,$M4192='112'!$I$6))),"x",""))</f>
        <v/>
      </c>
      <c r="S4192" s="52" t="str">
        <f>IF(ISERROR(FIND('112'!$M$9,G4192,1)),"",IF((AND(LEFT(G4192,2)=LEFT('112'!$M$9,2),B4192&lt;'112'!$N$8,$L4192='112'!$I$6)),"x",""))</f>
        <v/>
      </c>
      <c r="T4192" s="52" t="str">
        <f>IF(ISERROR(FIND('112'!$M$9,G4192,1)),"",IF((AND(RIGHT(G4192,2)=RIGHT('112'!$M$9,2),B4192&lt;'112'!$N$8,$M4192='112'!$I$6)),"x",""))</f>
        <v/>
      </c>
      <c r="U4192" s="52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/>
      </c>
      <c r="V4192" s="52" t="str">
        <f>IF(OR(TH!L4192=TH!$V$7,M4192=TH!$V$7),"x","")</f>
        <v/>
      </c>
      <c r="W4192" s="52" t="str">
        <f>IF(AND(B4192&gt;='IN-NX'!$P$3,B4192&lt;='IN-NX'!$Q$3,'IN-NX'!$D$7=D4192,OR(LEFT(L4192,2)="15",AND(LEFT(M4192,2)&lt;&gt;"15",LEFT(M4192,2)&lt;&gt;"33"))),"x","")</f>
        <v/>
      </c>
      <c r="X4192" s="52" t="str">
        <f>IF(AND(OR(LEFT(TH!L4192,2)="15",LEFT(TH!M4192,2)="15"),'152-CT'!$J$8=TH!F4192),"x","")</f>
        <v/>
      </c>
      <c r="Y4192" s="52" t="str">
        <f>IF(AND(OR(LEFT(TH!L4192,2)="15",LEFT(TH!M4192,2)="15"),TK!$E$7=TH!F4192),"x","")</f>
        <v/>
      </c>
      <c r="Z4192" s="52" t="str">
        <f>IF(AND(B4192&lt;=NKC!$N$8,B4192&gt;=NKC!$M$8),"x","")</f>
        <v/>
      </c>
      <c r="AA4192" s="826"/>
    </row>
    <row r="4193" spans="1:27" ht="15.75" customHeight="1">
      <c r="A4193" s="827" t="str">
        <f>IF(B4193&lt;&gt;"",IF(AND(B4193&gt;=_TM1,B4193&lt;=_TM2,OR(TH!L4193="1111",TH!M4193="1111")),TH!D4193,""),"")</f>
        <v/>
      </c>
      <c r="B4193" s="36" t="str">
        <f t="shared" si="520"/>
        <v/>
      </c>
      <c r="C4193" s="190"/>
      <c r="D4193" s="190"/>
      <c r="E4193" s="785"/>
      <c r="F4193" s="40"/>
      <c r="G4193" s="832"/>
      <c r="H4193" s="7"/>
      <c r="I4193" s="253"/>
      <c r="J4193" s="253"/>
      <c r="K4193" s="584"/>
      <c r="L4193" s="39"/>
      <c r="M4193" s="39"/>
      <c r="N4193" s="52" t="str">
        <f>IF(AND('331-CT'!$E$7=TH!H4193,OR(L4193="331",M4193="331")),"331",IF(AND(OR(L4193="131",M4193="131"),H4193='131-CT'!$E$7),"131",""))</f>
        <v/>
      </c>
      <c r="O4193" s="52" t="str">
        <f>IF(AND($B4193&gt;='111'!$N$11,$B4193&lt;='111'!$O$11,OR($L4193=$O$7,$M4193=$O$7)),"x","")</f>
        <v/>
      </c>
      <c r="P4193" s="52" t="str">
        <f>IF(AND($L4193=$O$7,$B4193&lt;'111'!$N$11),"x","")</f>
        <v/>
      </c>
      <c r="Q4193" s="52" t="str">
        <f>IF(AND($M4193=$O$7,$B4193&lt;'111'!$N$11),"x","")</f>
        <v/>
      </c>
      <c r="R4193" s="52" t="str">
        <f>IF(ISERROR(FIND('112'!$M$9,G4193,1)),"",IF((AND(FIND('112'!$M$9,G4193,1)&gt;=1,$B4193&gt;='112'!$N$8,$B4193&lt;='112'!$O$8,OR($L4193='112'!$I$6,$M4193='112'!$I$6))),"x",""))</f>
        <v/>
      </c>
      <c r="S4193" s="52" t="str">
        <f>IF(ISERROR(FIND('112'!$M$9,G4193,1)),"",IF((AND(LEFT(G4193,2)=LEFT('112'!$M$9,2),B4193&lt;'112'!$N$8,$L4193='112'!$I$6)),"x",""))</f>
        <v/>
      </c>
      <c r="T4193" s="52" t="str">
        <f>IF(ISERROR(FIND('112'!$M$9,G4193,1)),"",IF((AND(RIGHT(G4193,2)=RIGHT('112'!$M$9,2),B4193&lt;'112'!$N$8,$M4193='112'!$I$6)),"x",""))</f>
        <v/>
      </c>
      <c r="U4193" s="52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/>
      </c>
      <c r="V4193" s="52" t="str">
        <f>IF(OR(TH!L4193=TH!$V$7,M4193=TH!$V$7),"x","")</f>
        <v/>
      </c>
      <c r="W4193" s="52" t="str">
        <f>IF(AND(B4193&gt;='IN-NX'!$P$3,B4193&lt;='IN-NX'!$Q$3,'IN-NX'!$D$7=D4193,OR(LEFT(L4193,2)="15",AND(LEFT(M4193,2)&lt;&gt;"15",LEFT(M4193,2)&lt;&gt;"33"))),"x","")</f>
        <v/>
      </c>
      <c r="X4193" s="52" t="str">
        <f>IF(AND(OR(LEFT(TH!L4193,2)="15",LEFT(TH!M4193,2)="15"),'152-CT'!$J$8=TH!F4193),"x","")</f>
        <v/>
      </c>
      <c r="Y4193" s="52" t="str">
        <f>IF(AND(OR(LEFT(TH!L4193,2)="15",LEFT(TH!M4193,2)="15"),TK!$E$7=TH!F4193),"x","")</f>
        <v/>
      </c>
      <c r="Z4193" s="52" t="str">
        <f>IF(AND(B4193&lt;=NKC!$N$8,B4193&gt;=NKC!$M$8),"x","")</f>
        <v/>
      </c>
      <c r="AA4193" s="826"/>
    </row>
    <row r="4194" spans="1:27" ht="15.75" customHeight="1">
      <c r="A4194" s="827" t="str">
        <f>IF(B4194&lt;&gt;"",IF(AND(B4194&gt;=_TM1,B4194&lt;=_TM2,OR(TH!L4194="1111",TH!M4194="1111")),TH!D4194,""),"")</f>
        <v/>
      </c>
      <c r="B4194" s="36" t="str">
        <f t="shared" si="520"/>
        <v/>
      </c>
      <c r="C4194" s="190"/>
      <c r="D4194" s="190"/>
      <c r="E4194" s="785"/>
      <c r="F4194" s="40"/>
      <c r="G4194" s="832"/>
      <c r="H4194" s="7"/>
      <c r="I4194" s="253"/>
      <c r="J4194" s="253"/>
      <c r="K4194" s="584"/>
      <c r="L4194" s="39"/>
      <c r="M4194" s="39"/>
      <c r="N4194" s="52" t="str">
        <f>IF(AND('331-CT'!$E$7=TH!H4194,OR(L4194="331",M4194="331")),"331",IF(AND(OR(L4194="131",M4194="131"),H4194='131-CT'!$E$7),"131",""))</f>
        <v/>
      </c>
      <c r="O4194" s="52" t="str">
        <f>IF(AND($B4194&gt;='111'!$N$11,$B4194&lt;='111'!$O$11,OR($L4194=$O$7,$M4194=$O$7)),"x","")</f>
        <v/>
      </c>
      <c r="P4194" s="52" t="str">
        <f>IF(AND($L4194=$O$7,$B4194&lt;'111'!$N$11),"x","")</f>
        <v/>
      </c>
      <c r="Q4194" s="52" t="str">
        <f>IF(AND($M4194=$O$7,$B4194&lt;'111'!$N$11),"x","")</f>
        <v/>
      </c>
      <c r="R4194" s="52" t="str">
        <f>IF(ISERROR(FIND('112'!$M$9,G4194,1)),"",IF((AND(FIND('112'!$M$9,G4194,1)&gt;=1,$B4194&gt;='112'!$N$8,$B4194&lt;='112'!$O$8,OR($L4194='112'!$I$6,$M4194='112'!$I$6))),"x",""))</f>
        <v/>
      </c>
      <c r="S4194" s="52" t="str">
        <f>IF(ISERROR(FIND('112'!$M$9,G4194,1)),"",IF((AND(LEFT(G4194,2)=LEFT('112'!$M$9,2),B4194&lt;'112'!$N$8,$L4194='112'!$I$6)),"x",""))</f>
        <v/>
      </c>
      <c r="T4194" s="52" t="str">
        <f>IF(ISERROR(FIND('112'!$M$9,G4194,1)),"",IF((AND(RIGHT(G4194,2)=RIGHT('112'!$M$9,2),B4194&lt;'112'!$N$8,$M4194='112'!$I$6)),"x",""))</f>
        <v/>
      </c>
      <c r="U4194" s="52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/>
      </c>
      <c r="V4194" s="52" t="str">
        <f>IF(OR(TH!L4194=TH!$V$7,M4194=TH!$V$7),"x","")</f>
        <v/>
      </c>
      <c r="W4194" s="52" t="str">
        <f>IF(AND(B4194&gt;='IN-NX'!$P$3,B4194&lt;='IN-NX'!$Q$3,'IN-NX'!$D$7=D4194,OR(LEFT(L4194,2)="15",AND(LEFT(M4194,2)&lt;&gt;"15",LEFT(M4194,2)&lt;&gt;"33"))),"x","")</f>
        <v/>
      </c>
      <c r="X4194" s="52" t="str">
        <f>IF(AND(OR(LEFT(TH!L4194,2)="15",LEFT(TH!M4194,2)="15"),'152-CT'!$J$8=TH!F4194),"x","")</f>
        <v/>
      </c>
      <c r="Y4194" s="52" t="str">
        <f>IF(AND(OR(LEFT(TH!L4194,2)="15",LEFT(TH!M4194,2)="15"),TK!$E$7=TH!F4194),"x","")</f>
        <v/>
      </c>
      <c r="Z4194" s="52" t="str">
        <f>IF(AND(B4194&lt;=NKC!$N$8,B4194&gt;=NKC!$M$8),"x","")</f>
        <v/>
      </c>
      <c r="AA4194" s="826"/>
    </row>
    <row r="4195" spans="1:27" ht="15.75" customHeight="1">
      <c r="A4195" s="827" t="str">
        <f>IF(B4195&lt;&gt;"",IF(AND(B4195&gt;=_TM1,B4195&lt;=_TM2,OR(TH!L4195="1111",TH!M4195="1111")),TH!D4195,""),"")</f>
        <v/>
      </c>
      <c r="B4195" s="36" t="str">
        <f t="shared" si="520"/>
        <v/>
      </c>
      <c r="C4195" s="190"/>
      <c r="D4195" s="190"/>
      <c r="E4195" s="785"/>
      <c r="F4195" s="40"/>
      <c r="G4195" s="832"/>
      <c r="H4195" s="7"/>
      <c r="I4195" s="253"/>
      <c r="J4195" s="253"/>
      <c r="K4195" s="584"/>
      <c r="L4195" s="39"/>
      <c r="M4195" s="39"/>
      <c r="N4195" s="52" t="str">
        <f>IF(AND('331-CT'!$E$7=TH!H4195,OR(L4195="331",M4195="331")),"331",IF(AND(OR(L4195="131",M4195="131"),H4195='131-CT'!$E$7),"131",""))</f>
        <v/>
      </c>
      <c r="O4195" s="52" t="str">
        <f>IF(AND($B4195&gt;='111'!$N$11,$B4195&lt;='111'!$O$11,OR($L4195=$O$7,$M4195=$O$7)),"x","")</f>
        <v/>
      </c>
      <c r="P4195" s="52" t="str">
        <f>IF(AND($L4195=$O$7,$B4195&lt;'111'!$N$11),"x","")</f>
        <v/>
      </c>
      <c r="Q4195" s="52" t="str">
        <f>IF(AND($M4195=$O$7,$B4195&lt;'111'!$N$11),"x","")</f>
        <v/>
      </c>
      <c r="R4195" s="52" t="str">
        <f>IF(ISERROR(FIND('112'!$M$9,G4195,1)),"",IF((AND(FIND('112'!$M$9,G4195,1)&gt;=1,$B4195&gt;='112'!$N$8,$B4195&lt;='112'!$O$8,OR($L4195='112'!$I$6,$M4195='112'!$I$6))),"x",""))</f>
        <v/>
      </c>
      <c r="S4195" s="52" t="str">
        <f>IF(ISERROR(FIND('112'!$M$9,G4195,1)),"",IF((AND(LEFT(G4195,2)=LEFT('112'!$M$9,2),B4195&lt;'112'!$N$8,$L4195='112'!$I$6)),"x",""))</f>
        <v/>
      </c>
      <c r="T4195" s="52" t="str">
        <f>IF(ISERROR(FIND('112'!$M$9,G4195,1)),"",IF((AND(RIGHT(G4195,2)=RIGHT('112'!$M$9,2),B4195&lt;'112'!$N$8,$M4195='112'!$I$6)),"x",""))</f>
        <v/>
      </c>
      <c r="U4195" s="52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/>
      </c>
      <c r="V4195" s="52" t="str">
        <f>IF(OR(TH!L4195=TH!$V$7,M4195=TH!$V$7),"x","")</f>
        <v/>
      </c>
      <c r="W4195" s="52" t="str">
        <f>IF(AND(B4195&gt;='IN-NX'!$P$3,B4195&lt;='IN-NX'!$Q$3,'IN-NX'!$D$7=D4195,OR(LEFT(L4195,2)="15",AND(LEFT(M4195,2)&lt;&gt;"15",LEFT(M4195,2)&lt;&gt;"33"))),"x","")</f>
        <v/>
      </c>
      <c r="X4195" s="52" t="str">
        <f>IF(AND(OR(LEFT(TH!L4195,2)="15",LEFT(TH!M4195,2)="15"),'152-CT'!$J$8=TH!F4195),"x","")</f>
        <v/>
      </c>
      <c r="Y4195" s="52" t="str">
        <f>IF(AND(OR(LEFT(TH!L4195,2)="15",LEFT(TH!M4195,2)="15"),TK!$E$7=TH!F4195),"x","")</f>
        <v/>
      </c>
      <c r="Z4195" s="52" t="str">
        <f>IF(AND(B4195&lt;=NKC!$N$8,B4195&gt;=NKC!$M$8),"x","")</f>
        <v/>
      </c>
      <c r="AA4195" s="826"/>
    </row>
    <row r="4196" spans="1:27" ht="15.75" customHeight="1">
      <c r="A4196" s="827" t="str">
        <f>IF(B4196&lt;&gt;"",IF(AND(B4196&gt;=_TM1,B4196&lt;=_TM2,OR(TH!L4196="1111",TH!M4196="1111")),TH!D4196,""),"")</f>
        <v/>
      </c>
      <c r="B4196" s="36" t="str">
        <f t="shared" si="520"/>
        <v/>
      </c>
      <c r="C4196" s="190"/>
      <c r="D4196" s="190"/>
      <c r="E4196" s="785"/>
      <c r="F4196" s="40"/>
      <c r="G4196" s="832"/>
      <c r="H4196" s="7"/>
      <c r="I4196" s="253"/>
      <c r="J4196" s="253"/>
      <c r="K4196" s="584"/>
      <c r="L4196" s="39"/>
      <c r="M4196" s="39"/>
      <c r="N4196" s="52" t="str">
        <f>IF(AND('331-CT'!$E$7=TH!H4196,OR(L4196="331",M4196="331")),"331",IF(AND(OR(L4196="131",M4196="131"),H4196='131-CT'!$E$7),"131",""))</f>
        <v/>
      </c>
      <c r="O4196" s="52" t="str">
        <f>IF(AND($B4196&gt;='111'!$N$11,$B4196&lt;='111'!$O$11,OR($L4196=$O$7,$M4196=$O$7)),"x","")</f>
        <v/>
      </c>
      <c r="P4196" s="52" t="str">
        <f>IF(AND($L4196=$O$7,$B4196&lt;'111'!$N$11),"x","")</f>
        <v/>
      </c>
      <c r="Q4196" s="52" t="str">
        <f>IF(AND($M4196=$O$7,$B4196&lt;'111'!$N$11),"x","")</f>
        <v/>
      </c>
      <c r="R4196" s="52" t="str">
        <f>IF(ISERROR(FIND('112'!$M$9,G4196,1)),"",IF((AND(FIND('112'!$M$9,G4196,1)&gt;=1,$B4196&gt;='112'!$N$8,$B4196&lt;='112'!$O$8,OR($L4196='112'!$I$6,$M4196='112'!$I$6))),"x",""))</f>
        <v/>
      </c>
      <c r="S4196" s="52" t="str">
        <f>IF(ISERROR(FIND('112'!$M$9,G4196,1)),"",IF((AND(LEFT(G4196,2)=LEFT('112'!$M$9,2),B4196&lt;'112'!$N$8,$L4196='112'!$I$6)),"x",""))</f>
        <v/>
      </c>
      <c r="T4196" s="52" t="str">
        <f>IF(ISERROR(FIND('112'!$M$9,G4196,1)),"",IF((AND(RIGHT(G4196,2)=RIGHT('112'!$M$9,2),B4196&lt;'112'!$N$8,$M4196='112'!$I$6)),"x",""))</f>
        <v/>
      </c>
      <c r="U4196" s="52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/>
      </c>
      <c r="V4196" s="52" t="str">
        <f>IF(OR(TH!L4196=TH!$V$7,M4196=TH!$V$7),"x","")</f>
        <v/>
      </c>
      <c r="W4196" s="52" t="str">
        <f>IF(AND(B4196&gt;='IN-NX'!$P$3,B4196&lt;='IN-NX'!$Q$3,'IN-NX'!$D$7=D4196,OR(LEFT(L4196,2)="15",AND(LEFT(M4196,2)&lt;&gt;"15",LEFT(M4196,2)&lt;&gt;"33"))),"x","")</f>
        <v/>
      </c>
      <c r="X4196" s="52" t="str">
        <f>IF(AND(OR(LEFT(TH!L4196,2)="15",LEFT(TH!M4196,2)="15"),'152-CT'!$J$8=TH!F4196),"x","")</f>
        <v/>
      </c>
      <c r="Y4196" s="52" t="str">
        <f>IF(AND(OR(LEFT(TH!L4196,2)="15",LEFT(TH!M4196,2)="15"),TK!$E$7=TH!F4196),"x","")</f>
        <v/>
      </c>
      <c r="Z4196" s="52" t="str">
        <f>IF(AND(B4196&lt;=NKC!$N$8,B4196&gt;=NKC!$M$8),"x","")</f>
        <v/>
      </c>
      <c r="AA4196" s="826"/>
    </row>
    <row r="4197" spans="1:27" ht="15.75" customHeight="1">
      <c r="A4197" s="827" t="str">
        <f>IF(B4197&lt;&gt;"",IF(AND(B4197&gt;=_TM1,B4197&lt;=_TM2,OR(TH!L4197="1111",TH!M4197="1111")),TH!D4197,""),"")</f>
        <v/>
      </c>
      <c r="B4197" s="36" t="str">
        <f t="shared" si="520"/>
        <v/>
      </c>
      <c r="C4197" s="190"/>
      <c r="D4197" s="190"/>
      <c r="E4197" s="785"/>
      <c r="F4197" s="40"/>
      <c r="G4197" s="832"/>
      <c r="H4197" s="7"/>
      <c r="I4197" s="253"/>
      <c r="J4197" s="253"/>
      <c r="K4197" s="584"/>
      <c r="L4197" s="39"/>
      <c r="M4197" s="39"/>
      <c r="N4197" s="52" t="str">
        <f>IF(AND('331-CT'!$E$7=TH!H4197,OR(L4197="331",M4197="331")),"331",IF(AND(OR(L4197="131",M4197="131"),H4197='131-CT'!$E$7),"131",""))</f>
        <v/>
      </c>
      <c r="O4197" s="52" t="str">
        <f>IF(AND($B4197&gt;='111'!$N$11,$B4197&lt;='111'!$O$11,OR($L4197=$O$7,$M4197=$O$7)),"x","")</f>
        <v/>
      </c>
      <c r="P4197" s="52" t="str">
        <f>IF(AND($L4197=$O$7,$B4197&lt;'111'!$N$11),"x","")</f>
        <v/>
      </c>
      <c r="Q4197" s="52" t="str">
        <f>IF(AND($M4197=$O$7,$B4197&lt;'111'!$N$11),"x","")</f>
        <v/>
      </c>
      <c r="R4197" s="52" t="str">
        <f>IF(ISERROR(FIND('112'!$M$9,G4197,1)),"",IF((AND(FIND('112'!$M$9,G4197,1)&gt;=1,$B4197&gt;='112'!$N$8,$B4197&lt;='112'!$O$8,OR($L4197='112'!$I$6,$M4197='112'!$I$6))),"x",""))</f>
        <v/>
      </c>
      <c r="S4197" s="52" t="str">
        <f>IF(ISERROR(FIND('112'!$M$9,G4197,1)),"",IF((AND(LEFT(G4197,2)=LEFT('112'!$M$9,2),B4197&lt;'112'!$N$8,$L4197='112'!$I$6)),"x",""))</f>
        <v/>
      </c>
      <c r="T4197" s="52" t="str">
        <f>IF(ISERROR(FIND('112'!$M$9,G4197,1)),"",IF((AND(RIGHT(G4197,2)=RIGHT('112'!$M$9,2),B4197&lt;'112'!$N$8,$M4197='112'!$I$6)),"x",""))</f>
        <v/>
      </c>
      <c r="U4197" s="52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/>
      </c>
      <c r="V4197" s="52" t="str">
        <f>IF(OR(TH!L4197=TH!$V$7,M4197=TH!$V$7),"x","")</f>
        <v/>
      </c>
      <c r="W4197" s="52" t="str">
        <f>IF(AND(B4197&gt;='IN-NX'!$P$3,B4197&lt;='IN-NX'!$Q$3,'IN-NX'!$D$7=D4197,OR(LEFT(L4197,2)="15",AND(LEFT(M4197,2)&lt;&gt;"15",LEFT(M4197,2)&lt;&gt;"33"))),"x","")</f>
        <v/>
      </c>
      <c r="X4197" s="52" t="str">
        <f>IF(AND(OR(LEFT(TH!L4197,2)="15",LEFT(TH!M4197,2)="15"),'152-CT'!$J$8=TH!F4197),"x","")</f>
        <v/>
      </c>
      <c r="Y4197" s="52" t="str">
        <f>IF(AND(OR(LEFT(TH!L4197,2)="15",LEFT(TH!M4197,2)="15"),TK!$E$7=TH!F4197),"x","")</f>
        <v/>
      </c>
      <c r="Z4197" s="52" t="str">
        <f>IF(AND(B4197&lt;=NKC!$N$8,B4197&gt;=NKC!$M$8),"x","")</f>
        <v/>
      </c>
      <c r="AA4197" s="826"/>
    </row>
    <row r="4198" spans="1:27" ht="15.75" customHeight="1">
      <c r="A4198" s="827" t="str">
        <f>IF(B4198&lt;&gt;"",IF(AND(B4198&gt;=_TM1,B4198&lt;=_TM2,OR(TH!L4198="1111",TH!M4198="1111")),TH!D4198,""),"")</f>
        <v/>
      </c>
      <c r="B4198" s="36" t="str">
        <f t="shared" si="520"/>
        <v/>
      </c>
      <c r="C4198" s="190"/>
      <c r="D4198" s="190"/>
      <c r="E4198" s="785"/>
      <c r="F4198" s="40"/>
      <c r="G4198" s="832"/>
      <c r="H4198" s="7"/>
      <c r="I4198" s="253"/>
      <c r="J4198" s="253"/>
      <c r="K4198" s="584"/>
      <c r="L4198" s="39"/>
      <c r="M4198" s="39"/>
      <c r="N4198" s="52" t="str">
        <f>IF(AND('331-CT'!$E$7=TH!H4198,OR(L4198="331",M4198="331")),"331",IF(AND(OR(L4198="131",M4198="131"),H4198='131-CT'!$E$7),"131",""))</f>
        <v/>
      </c>
      <c r="O4198" s="52" t="str">
        <f>IF(AND($B4198&gt;='111'!$N$11,$B4198&lt;='111'!$O$11,OR($L4198=$O$7,$M4198=$O$7)),"x","")</f>
        <v/>
      </c>
      <c r="P4198" s="52" t="str">
        <f>IF(AND($L4198=$O$7,$B4198&lt;'111'!$N$11),"x","")</f>
        <v/>
      </c>
      <c r="Q4198" s="52" t="str">
        <f>IF(AND($M4198=$O$7,$B4198&lt;'111'!$N$11),"x","")</f>
        <v/>
      </c>
      <c r="R4198" s="52" t="str">
        <f>IF(ISERROR(FIND('112'!$M$9,G4198,1)),"",IF((AND(FIND('112'!$M$9,G4198,1)&gt;=1,$B4198&gt;='112'!$N$8,$B4198&lt;='112'!$O$8,OR($L4198='112'!$I$6,$M4198='112'!$I$6))),"x",""))</f>
        <v/>
      </c>
      <c r="S4198" s="52" t="str">
        <f>IF(ISERROR(FIND('112'!$M$9,G4198,1)),"",IF((AND(LEFT(G4198,2)=LEFT('112'!$M$9,2),B4198&lt;'112'!$N$8,$L4198='112'!$I$6)),"x",""))</f>
        <v/>
      </c>
      <c r="T4198" s="52" t="str">
        <f>IF(ISERROR(FIND('112'!$M$9,G4198,1)),"",IF((AND(RIGHT(G4198,2)=RIGHT('112'!$M$9,2),B4198&lt;'112'!$N$8,$M4198='112'!$I$6)),"x",""))</f>
        <v/>
      </c>
      <c r="U4198" s="52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/>
      </c>
      <c r="V4198" s="52" t="str">
        <f>IF(OR(TH!L4198=TH!$V$7,M4198=TH!$V$7),"x","")</f>
        <v/>
      </c>
      <c r="W4198" s="52" t="str">
        <f>IF(AND(B4198&gt;='IN-NX'!$P$3,B4198&lt;='IN-NX'!$Q$3,'IN-NX'!$D$7=D4198,OR(LEFT(L4198,2)="15",AND(LEFT(M4198,2)&lt;&gt;"15",LEFT(M4198,2)&lt;&gt;"33"))),"x","")</f>
        <v/>
      </c>
      <c r="X4198" s="52" t="str">
        <f>IF(AND(OR(LEFT(TH!L4198,2)="15",LEFT(TH!M4198,2)="15"),'152-CT'!$J$8=TH!F4198),"x","")</f>
        <v/>
      </c>
      <c r="Y4198" s="52" t="str">
        <f>IF(AND(OR(LEFT(TH!L4198,2)="15",LEFT(TH!M4198,2)="15"),TK!$E$7=TH!F4198),"x","")</f>
        <v/>
      </c>
      <c r="Z4198" s="52" t="str">
        <f>IF(AND(B4198&lt;=NKC!$N$8,B4198&gt;=NKC!$M$8),"x","")</f>
        <v/>
      </c>
      <c r="AA4198" s="826"/>
    </row>
    <row r="4199" spans="1:27" ht="15.75" customHeight="1">
      <c r="A4199" s="827" t="str">
        <f>IF(B4199&lt;&gt;"",IF(AND(B4199&gt;=_TM1,B4199&lt;=_TM2,OR(TH!L4199="1111",TH!M4199="1111")),TH!D4199,""),"")</f>
        <v/>
      </c>
      <c r="B4199" s="36" t="str">
        <f t="shared" si="520"/>
        <v/>
      </c>
      <c r="C4199" s="190"/>
      <c r="D4199" s="190"/>
      <c r="E4199" s="785"/>
      <c r="F4199" s="40"/>
      <c r="G4199" s="832"/>
      <c r="H4199" s="7"/>
      <c r="I4199" s="253"/>
      <c r="J4199" s="253"/>
      <c r="K4199" s="584"/>
      <c r="L4199" s="39"/>
      <c r="M4199" s="39"/>
      <c r="N4199" s="52" t="str">
        <f>IF(AND('331-CT'!$E$7=TH!H4199,OR(L4199="331",M4199="331")),"331",IF(AND(OR(L4199="131",M4199="131"),H4199='131-CT'!$E$7),"131",""))</f>
        <v/>
      </c>
      <c r="O4199" s="52" t="str">
        <f>IF(AND($B4199&gt;='111'!$N$11,$B4199&lt;='111'!$O$11,OR($L4199=$O$7,$M4199=$O$7)),"x","")</f>
        <v/>
      </c>
      <c r="P4199" s="52" t="str">
        <f>IF(AND($L4199=$O$7,$B4199&lt;'111'!$N$11),"x","")</f>
        <v/>
      </c>
      <c r="Q4199" s="52" t="str">
        <f>IF(AND($M4199=$O$7,$B4199&lt;'111'!$N$11),"x","")</f>
        <v/>
      </c>
      <c r="R4199" s="52" t="str">
        <f>IF(ISERROR(FIND('112'!$M$9,G4199,1)),"",IF((AND(FIND('112'!$M$9,G4199,1)&gt;=1,$B4199&gt;='112'!$N$8,$B4199&lt;='112'!$O$8,OR($L4199='112'!$I$6,$M4199='112'!$I$6))),"x",""))</f>
        <v/>
      </c>
      <c r="S4199" s="52" t="str">
        <f>IF(ISERROR(FIND('112'!$M$9,G4199,1)),"",IF((AND(LEFT(G4199,2)=LEFT('112'!$M$9,2),B4199&lt;'112'!$N$8,$L4199='112'!$I$6)),"x",""))</f>
        <v/>
      </c>
      <c r="T4199" s="52" t="str">
        <f>IF(ISERROR(FIND('112'!$M$9,G4199,1)),"",IF((AND(RIGHT(G4199,2)=RIGHT('112'!$M$9,2),B4199&lt;'112'!$N$8,$M4199='112'!$I$6)),"x",""))</f>
        <v/>
      </c>
      <c r="U4199" s="52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/>
      </c>
      <c r="V4199" s="52" t="str">
        <f>IF(OR(TH!L4199=TH!$V$7,M4199=TH!$V$7),"x","")</f>
        <v/>
      </c>
      <c r="W4199" s="52" t="str">
        <f>IF(AND(B4199&gt;='IN-NX'!$P$3,B4199&lt;='IN-NX'!$Q$3,'IN-NX'!$D$7=D4199,OR(LEFT(L4199,2)="15",AND(LEFT(M4199,2)&lt;&gt;"15",LEFT(M4199,2)&lt;&gt;"33"))),"x","")</f>
        <v/>
      </c>
      <c r="X4199" s="52" t="str">
        <f>IF(AND(OR(LEFT(TH!L4199,2)="15",LEFT(TH!M4199,2)="15"),'152-CT'!$J$8=TH!F4199),"x","")</f>
        <v/>
      </c>
      <c r="Y4199" s="52" t="str">
        <f>IF(AND(OR(LEFT(TH!L4199,2)="15",LEFT(TH!M4199,2)="15"),TK!$E$7=TH!F4199),"x","")</f>
        <v/>
      </c>
      <c r="Z4199" s="52" t="str">
        <f>IF(AND(B4199&lt;=NKC!$N$8,B4199&gt;=NKC!$M$8),"x","")</f>
        <v/>
      </c>
      <c r="AA4199" s="826"/>
    </row>
    <row r="4200" spans="1:27" ht="15.75" customHeight="1">
      <c r="A4200" s="827" t="str">
        <f>IF(B4200&lt;&gt;"",IF(AND(B4200&gt;=_TM1,B4200&lt;=_TM2,OR(TH!L4200="1111",TH!M4200="1111")),TH!D4200,""),"")</f>
        <v/>
      </c>
      <c r="B4200" s="36" t="str">
        <f t="shared" si="520"/>
        <v/>
      </c>
      <c r="C4200" s="190"/>
      <c r="D4200" s="190"/>
      <c r="E4200" s="785"/>
      <c r="F4200" s="188"/>
      <c r="G4200" s="832"/>
      <c r="H4200" s="7"/>
      <c r="I4200" s="253"/>
      <c r="J4200" s="253"/>
      <c r="K4200" s="584"/>
      <c r="L4200" s="39"/>
      <c r="M4200" s="39"/>
      <c r="N4200" s="52" t="str">
        <f>IF(AND('331-CT'!$E$7=TH!H4200,OR(L4200="331",M4200="331")),"331",IF(AND(OR(L4200="131",M4200="131"),H4200='131-CT'!$E$7),"131",""))</f>
        <v/>
      </c>
      <c r="O4200" s="52" t="str">
        <f>IF(AND($B4200&gt;='111'!$N$11,$B4200&lt;='111'!$O$11,OR($L4200=$O$7,$M4200=$O$7)),"x","")</f>
        <v/>
      </c>
      <c r="P4200" s="52" t="str">
        <f>IF(AND($L4200=$O$7,$B4200&lt;'111'!$N$11),"x","")</f>
        <v/>
      </c>
      <c r="Q4200" s="52" t="str">
        <f>IF(AND($M4200=$O$7,$B4200&lt;'111'!$N$11),"x","")</f>
        <v/>
      </c>
      <c r="R4200" s="52" t="str">
        <f>IF(ISERROR(FIND('112'!$M$9,G4200,1)),"",IF((AND(FIND('112'!$M$9,G4200,1)&gt;=1,$B4200&gt;='112'!$N$8,$B4200&lt;='112'!$O$8,OR($L4200='112'!$I$6,$M4200='112'!$I$6))),"x",""))</f>
        <v/>
      </c>
      <c r="S4200" s="52" t="str">
        <f>IF(ISERROR(FIND('112'!$M$9,G4200,1)),"",IF((AND(LEFT(G4200,2)=LEFT('112'!$M$9,2),B4200&lt;'112'!$N$8,$L4200='112'!$I$6)),"x",""))</f>
        <v/>
      </c>
      <c r="T4200" s="52" t="str">
        <f>IF(ISERROR(FIND('112'!$M$9,G4200,1)),"",IF((AND(RIGHT(G4200,2)=RIGHT('112'!$M$9,2),B4200&lt;'112'!$N$8,$M4200='112'!$I$6)),"x",""))</f>
        <v/>
      </c>
      <c r="U4200" s="52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/>
      </c>
      <c r="V4200" s="52" t="str">
        <f>IF(OR(TH!L4200=TH!$V$7,M4200=TH!$V$7),"x","")</f>
        <v/>
      </c>
      <c r="W4200" s="52" t="str">
        <f>IF(AND(B4200&gt;='IN-NX'!$P$3,B4200&lt;='IN-NX'!$Q$3,'IN-NX'!$D$7=D4200,OR(LEFT(L4200,2)="15",AND(LEFT(M4200,2)&lt;&gt;"15",LEFT(M4200,2)&lt;&gt;"33"))),"x","")</f>
        <v/>
      </c>
      <c r="X4200" s="52" t="str">
        <f>IF(AND(OR(LEFT(TH!L4200,2)="15",LEFT(TH!M4200,2)="15"),'152-CT'!$J$8=TH!F4200),"x","")</f>
        <v/>
      </c>
      <c r="Y4200" s="52" t="str">
        <f>IF(AND(OR(LEFT(TH!L4200,2)="15",LEFT(TH!M4200,2)="15"),TK!$E$7=TH!F4200),"x","")</f>
        <v/>
      </c>
      <c r="Z4200" s="52" t="str">
        <f>IF(AND(B4200&lt;=NKC!$N$8,B4200&gt;=NKC!$M$8),"x","")</f>
        <v/>
      </c>
      <c r="AA4200" s="826"/>
    </row>
    <row r="4201" spans="1:27" ht="15.75" customHeight="1">
      <c r="A4201" s="827" t="str">
        <f>IF(B4201&lt;&gt;"",IF(AND(B4201&gt;=_TM1,B4201&lt;=_TM2,OR(TH!L4201="1111",TH!M4201="1111")),TH!D4201,""),"")</f>
        <v/>
      </c>
      <c r="B4201" s="36" t="str">
        <f t="shared" si="520"/>
        <v/>
      </c>
      <c r="C4201" s="190"/>
      <c r="D4201" s="190"/>
      <c r="E4201" s="785"/>
      <c r="F4201" s="40"/>
      <c r="G4201" s="832"/>
      <c r="H4201" s="7"/>
      <c r="I4201" s="253"/>
      <c r="J4201" s="253"/>
      <c r="K4201" s="584"/>
      <c r="L4201" s="39"/>
      <c r="M4201" s="39"/>
      <c r="N4201" s="52" t="str">
        <f>IF(AND('331-CT'!$E$7=TH!H4201,OR(L4201="331",M4201="331")),"331",IF(AND(OR(L4201="131",M4201="131"),H4201='131-CT'!$E$7),"131",""))</f>
        <v/>
      </c>
      <c r="O4201" s="52" t="str">
        <f>IF(AND($B4201&gt;='111'!$N$11,$B4201&lt;='111'!$O$11,OR($L4201=$O$7,$M4201=$O$7)),"x","")</f>
        <v/>
      </c>
      <c r="P4201" s="52" t="str">
        <f>IF(AND($L4201=$O$7,$B4201&lt;'111'!$N$11),"x","")</f>
        <v/>
      </c>
      <c r="Q4201" s="52" t="str">
        <f>IF(AND($M4201=$O$7,$B4201&lt;'111'!$N$11),"x","")</f>
        <v/>
      </c>
      <c r="R4201" s="52" t="str">
        <f>IF(ISERROR(FIND('112'!$M$9,G4201,1)),"",IF((AND(FIND('112'!$M$9,G4201,1)&gt;=1,$B4201&gt;='112'!$N$8,$B4201&lt;='112'!$O$8,OR($L4201='112'!$I$6,$M4201='112'!$I$6))),"x",""))</f>
        <v/>
      </c>
      <c r="S4201" s="52" t="str">
        <f>IF(ISERROR(FIND('112'!$M$9,G4201,1)),"",IF((AND(LEFT(G4201,2)=LEFT('112'!$M$9,2),B4201&lt;'112'!$N$8,$L4201='112'!$I$6)),"x",""))</f>
        <v/>
      </c>
      <c r="T4201" s="52" t="str">
        <f>IF(ISERROR(FIND('112'!$M$9,G4201,1)),"",IF((AND(RIGHT(G4201,2)=RIGHT('112'!$M$9,2),B4201&lt;'112'!$N$8,$M4201='112'!$I$6)),"x",""))</f>
        <v/>
      </c>
      <c r="U4201" s="52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/>
      </c>
      <c r="V4201" s="52" t="str">
        <f>IF(OR(TH!L4201=TH!$V$7,M4201=TH!$V$7),"x","")</f>
        <v/>
      </c>
      <c r="W4201" s="52" t="str">
        <f>IF(AND(B4201&gt;='IN-NX'!$P$3,B4201&lt;='IN-NX'!$Q$3,'IN-NX'!$D$7=D4201,OR(LEFT(L4201,2)="15",AND(LEFT(M4201,2)&lt;&gt;"15",LEFT(M4201,2)&lt;&gt;"33"))),"x","")</f>
        <v/>
      </c>
      <c r="X4201" s="52" t="str">
        <f>IF(AND(OR(LEFT(TH!L4201,2)="15",LEFT(TH!M4201,2)="15"),'152-CT'!$J$8=TH!F4201),"x","")</f>
        <v/>
      </c>
      <c r="Y4201" s="52" t="str">
        <f>IF(AND(OR(LEFT(TH!L4201,2)="15",LEFT(TH!M4201,2)="15"),TK!$E$7=TH!F4201),"x","")</f>
        <v/>
      </c>
      <c r="Z4201" s="52" t="str">
        <f>IF(AND(B4201&lt;=NKC!$N$8,B4201&gt;=NKC!$M$8),"x","")</f>
        <v/>
      </c>
      <c r="AA4201" s="826"/>
    </row>
    <row r="4202" spans="1:27" ht="15.75" customHeight="1">
      <c r="A4202" s="827" t="str">
        <f>IF(B4202&lt;&gt;"",IF(AND(B4202&gt;=_TM1,B4202&lt;=_TM2,OR(TH!L4202="1111",TH!M4202="1111")),TH!D4202,""),"")</f>
        <v/>
      </c>
      <c r="B4202" s="36" t="str">
        <f t="shared" si="520"/>
        <v/>
      </c>
      <c r="C4202" s="190"/>
      <c r="D4202" s="37"/>
      <c r="E4202" s="785"/>
      <c r="F4202" s="40"/>
      <c r="G4202" s="832"/>
      <c r="H4202" s="7"/>
      <c r="I4202" s="253"/>
      <c r="J4202" s="253"/>
      <c r="K4202" s="584"/>
      <c r="L4202" s="39"/>
      <c r="M4202" s="39"/>
      <c r="N4202" s="52" t="str">
        <f>IF(AND('331-CT'!$E$7=TH!H4202,OR(L4202="331",M4202="331")),"331",IF(AND(OR(L4202="131",M4202="131"),H4202='131-CT'!$E$7),"131",""))</f>
        <v/>
      </c>
      <c r="O4202" s="52" t="str">
        <f>IF(AND($B4202&gt;='111'!$N$11,$B4202&lt;='111'!$O$11,OR($L4202=$O$7,$M4202=$O$7)),"x","")</f>
        <v/>
      </c>
      <c r="P4202" s="52" t="str">
        <f>IF(AND($L4202=$O$7,$B4202&lt;'111'!$N$11),"x","")</f>
        <v/>
      </c>
      <c r="Q4202" s="52" t="str">
        <f>IF(AND($M4202=$O$7,$B4202&lt;'111'!$N$11),"x","")</f>
        <v/>
      </c>
      <c r="R4202" s="52" t="str">
        <f>IF(ISERROR(FIND('112'!$M$9,G4202,1)),"",IF((AND(FIND('112'!$M$9,G4202,1)&gt;=1,$B4202&gt;='112'!$N$8,$B4202&lt;='112'!$O$8,OR($L4202='112'!$I$6,$M4202='112'!$I$6))),"x",""))</f>
        <v/>
      </c>
      <c r="S4202" s="52" t="str">
        <f>IF(ISERROR(FIND('112'!$M$9,G4202,1)),"",IF((AND(LEFT(G4202,2)=LEFT('112'!$M$9,2),B4202&lt;'112'!$N$8,$L4202='112'!$I$6)),"x",""))</f>
        <v/>
      </c>
      <c r="T4202" s="52" t="str">
        <f>IF(ISERROR(FIND('112'!$M$9,G4202,1)),"",IF((AND(RIGHT(G4202,2)=RIGHT('112'!$M$9,2),B4202&lt;'112'!$N$8,$M4202='112'!$I$6)),"x",""))</f>
        <v/>
      </c>
      <c r="U4202" s="52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/>
      </c>
      <c r="V4202" s="52" t="str">
        <f>IF(OR(TH!L4202=TH!$V$7,M4202=TH!$V$7),"x","")</f>
        <v/>
      </c>
      <c r="W4202" s="52" t="str">
        <f>IF(AND(B4202&gt;='IN-NX'!$P$3,B4202&lt;='IN-NX'!$Q$3,'IN-NX'!$D$7=D4202,OR(LEFT(L4202,2)="15",AND(LEFT(M4202,2)&lt;&gt;"15",LEFT(M4202,2)&lt;&gt;"33"))),"x","")</f>
        <v/>
      </c>
      <c r="X4202" s="52" t="str">
        <f>IF(AND(OR(LEFT(TH!L4202,2)="15",LEFT(TH!M4202,2)="15"),'152-CT'!$J$8=TH!F4202),"x","")</f>
        <v/>
      </c>
      <c r="Y4202" s="52" t="str">
        <f>IF(AND(OR(LEFT(TH!L4202,2)="15",LEFT(TH!M4202,2)="15"),TK!$E$7=TH!F4202),"x","")</f>
        <v/>
      </c>
      <c r="Z4202" s="52" t="str">
        <f>IF(AND(B4202&lt;=NKC!$N$8,B4202&gt;=NKC!$M$8),"x","")</f>
        <v/>
      </c>
      <c r="AA4202" s="826"/>
    </row>
    <row r="4203" spans="1:27" ht="15.75" customHeight="1">
      <c r="A4203" s="827" t="str">
        <f>IF(B4203&lt;&gt;"",IF(AND(B4203&gt;=_TM1,B4203&lt;=_TM2,OR(TH!L4203="1111",TH!M4203="1111")),TH!D4203,""),"")</f>
        <v/>
      </c>
      <c r="B4203" s="36" t="str">
        <f t="shared" si="520"/>
        <v/>
      </c>
      <c r="C4203" s="190"/>
      <c r="D4203" s="37"/>
      <c r="E4203" s="785"/>
      <c r="F4203" s="40"/>
      <c r="G4203" s="832"/>
      <c r="H4203" s="7"/>
      <c r="I4203" s="253"/>
      <c r="J4203" s="253"/>
      <c r="K4203" s="584"/>
      <c r="L4203" s="39"/>
      <c r="M4203" s="39"/>
      <c r="N4203" s="52" t="str">
        <f>IF(AND('331-CT'!$E$7=TH!H4203,OR(L4203="331",M4203="331")),"331",IF(AND(OR(L4203="131",M4203="131"),H4203='131-CT'!$E$7),"131",""))</f>
        <v/>
      </c>
      <c r="O4203" s="52" t="str">
        <f>IF(AND($B4203&gt;='111'!$N$11,$B4203&lt;='111'!$O$11,OR($L4203=$O$7,$M4203=$O$7)),"x","")</f>
        <v/>
      </c>
      <c r="P4203" s="52" t="str">
        <f>IF(AND($L4203=$O$7,$B4203&lt;'111'!$N$11),"x","")</f>
        <v/>
      </c>
      <c r="Q4203" s="52" t="str">
        <f>IF(AND($M4203=$O$7,$B4203&lt;'111'!$N$11),"x","")</f>
        <v/>
      </c>
      <c r="R4203" s="52" t="str">
        <f>IF(ISERROR(FIND('112'!$M$9,G4203,1)),"",IF((AND(FIND('112'!$M$9,G4203,1)&gt;=1,$B4203&gt;='112'!$N$8,$B4203&lt;='112'!$O$8,OR($L4203='112'!$I$6,$M4203='112'!$I$6))),"x",""))</f>
        <v/>
      </c>
      <c r="S4203" s="52" t="str">
        <f>IF(ISERROR(FIND('112'!$M$9,G4203,1)),"",IF((AND(LEFT(G4203,2)=LEFT('112'!$M$9,2),B4203&lt;'112'!$N$8,$L4203='112'!$I$6)),"x",""))</f>
        <v/>
      </c>
      <c r="T4203" s="52" t="str">
        <f>IF(ISERROR(FIND('112'!$M$9,G4203,1)),"",IF((AND(RIGHT(G4203,2)=RIGHT('112'!$M$9,2),B4203&lt;'112'!$N$8,$M4203='112'!$I$6)),"x",""))</f>
        <v/>
      </c>
      <c r="U4203" s="52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/>
      </c>
      <c r="V4203" s="52" t="str">
        <f>IF(OR(TH!L4203=TH!$V$7,M4203=TH!$V$7),"x","")</f>
        <v/>
      </c>
      <c r="W4203" s="52" t="str">
        <f>IF(AND(B4203&gt;='IN-NX'!$P$3,B4203&lt;='IN-NX'!$Q$3,'IN-NX'!$D$7=D4203,OR(LEFT(L4203,2)="15",AND(LEFT(M4203,2)&lt;&gt;"15",LEFT(M4203,2)&lt;&gt;"33"))),"x","")</f>
        <v/>
      </c>
      <c r="X4203" s="52" t="str">
        <f>IF(AND(OR(LEFT(TH!L4203,2)="15",LEFT(TH!M4203,2)="15"),'152-CT'!$J$8=TH!F4203),"x","")</f>
        <v/>
      </c>
      <c r="Y4203" s="52" t="str">
        <f>IF(AND(OR(LEFT(TH!L4203,2)="15",LEFT(TH!M4203,2)="15"),TK!$E$7=TH!F4203),"x","")</f>
        <v/>
      </c>
      <c r="Z4203" s="52" t="str">
        <f>IF(AND(B4203&lt;=NKC!$N$8,B4203&gt;=NKC!$M$8),"x","")</f>
        <v/>
      </c>
      <c r="AA4203" s="826"/>
    </row>
    <row r="4204" spans="1:27" ht="15.75" customHeight="1">
      <c r="A4204" s="827" t="str">
        <f>IF(B4204&lt;&gt;"",IF(AND(B4204&gt;=_TM1,B4204&lt;=_TM2,OR(TH!L4204="1111",TH!M4204="1111")),TH!D4204,""),"")</f>
        <v/>
      </c>
      <c r="B4204" s="36" t="str">
        <f t="shared" si="520"/>
        <v/>
      </c>
      <c r="C4204" s="190"/>
      <c r="D4204" s="37"/>
      <c r="E4204" s="785"/>
      <c r="F4204" s="40"/>
      <c r="G4204" s="832"/>
      <c r="H4204" s="7"/>
      <c r="I4204" s="253"/>
      <c r="J4204" s="253"/>
      <c r="K4204" s="584"/>
      <c r="L4204" s="39"/>
      <c r="M4204" s="39"/>
      <c r="N4204" s="52" t="str">
        <f>IF(AND('331-CT'!$E$7=TH!H4204,OR(L4204="331",M4204="331")),"331",IF(AND(OR(L4204="131",M4204="131"),H4204='131-CT'!$E$7),"131",""))</f>
        <v/>
      </c>
      <c r="O4204" s="52" t="str">
        <f>IF(AND($B4204&gt;='111'!$N$11,$B4204&lt;='111'!$O$11,OR($L4204=$O$7,$M4204=$O$7)),"x","")</f>
        <v/>
      </c>
      <c r="P4204" s="52" t="str">
        <f>IF(AND($L4204=$O$7,$B4204&lt;'111'!$N$11),"x","")</f>
        <v/>
      </c>
      <c r="Q4204" s="52" t="str">
        <f>IF(AND($M4204=$O$7,$B4204&lt;'111'!$N$11),"x","")</f>
        <v/>
      </c>
      <c r="R4204" s="52" t="str">
        <f>IF(ISERROR(FIND('112'!$M$9,G4204,1)),"",IF((AND(FIND('112'!$M$9,G4204,1)&gt;=1,$B4204&gt;='112'!$N$8,$B4204&lt;='112'!$O$8,OR($L4204='112'!$I$6,$M4204='112'!$I$6))),"x",""))</f>
        <v/>
      </c>
      <c r="S4204" s="52" t="str">
        <f>IF(ISERROR(FIND('112'!$M$9,G4204,1)),"",IF((AND(LEFT(G4204,2)=LEFT('112'!$M$9,2),B4204&lt;'112'!$N$8,$L4204='112'!$I$6)),"x",""))</f>
        <v/>
      </c>
      <c r="T4204" s="52" t="str">
        <f>IF(ISERROR(FIND('112'!$M$9,G4204,1)),"",IF((AND(RIGHT(G4204,2)=RIGHT('112'!$M$9,2),B4204&lt;'112'!$N$8,$M4204='112'!$I$6)),"x",""))</f>
        <v/>
      </c>
      <c r="U4204" s="52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/>
      </c>
      <c r="V4204" s="52" t="str">
        <f>IF(OR(TH!L4204=TH!$V$7,M4204=TH!$V$7),"x","")</f>
        <v/>
      </c>
      <c r="W4204" s="52" t="str">
        <f>IF(AND(B4204&gt;='IN-NX'!$P$3,B4204&lt;='IN-NX'!$Q$3,'IN-NX'!$D$7=D4204,OR(LEFT(L4204,2)="15",AND(LEFT(M4204,2)&lt;&gt;"15",LEFT(M4204,2)&lt;&gt;"33"))),"x","")</f>
        <v/>
      </c>
      <c r="X4204" s="52" t="str">
        <f>IF(AND(OR(LEFT(TH!L4204,2)="15",LEFT(TH!M4204,2)="15"),'152-CT'!$J$8=TH!F4204),"x","")</f>
        <v/>
      </c>
      <c r="Y4204" s="52" t="str">
        <f>IF(AND(OR(LEFT(TH!L4204,2)="15",LEFT(TH!M4204,2)="15"),TK!$E$7=TH!F4204),"x","")</f>
        <v/>
      </c>
      <c r="Z4204" s="52" t="str">
        <f>IF(AND(B4204&lt;=NKC!$N$8,B4204&gt;=NKC!$M$8),"x","")</f>
        <v/>
      </c>
      <c r="AA4204" s="826"/>
    </row>
    <row r="4205" spans="1:27" ht="15.75" customHeight="1">
      <c r="A4205" s="827" t="str">
        <f>IF(B4205&lt;&gt;"",IF(AND(B4205&gt;=_TM1,B4205&lt;=_TM2,OR(TH!L4205="1111",TH!M4205="1111")),TH!D4205,""),"")</f>
        <v/>
      </c>
      <c r="B4205" s="36" t="str">
        <f t="shared" si="520"/>
        <v/>
      </c>
      <c r="C4205" s="190"/>
      <c r="D4205" s="37"/>
      <c r="E4205" s="785"/>
      <c r="F4205" s="40"/>
      <c r="G4205" s="832"/>
      <c r="H4205" s="7"/>
      <c r="I4205" s="253"/>
      <c r="J4205" s="253"/>
      <c r="K4205" s="584"/>
      <c r="L4205" s="39"/>
      <c r="M4205" s="39"/>
      <c r="N4205" s="52" t="str">
        <f>IF(AND('331-CT'!$E$7=TH!H4205,OR(L4205="331",M4205="331")),"331",IF(AND(OR(L4205="131",M4205="131"),H4205='131-CT'!$E$7),"131",""))</f>
        <v/>
      </c>
      <c r="O4205" s="52" t="str">
        <f>IF(AND($B4205&gt;='111'!$N$11,$B4205&lt;='111'!$O$11,OR($L4205=$O$7,$M4205=$O$7)),"x","")</f>
        <v/>
      </c>
      <c r="P4205" s="52" t="str">
        <f>IF(AND($L4205=$O$7,$B4205&lt;'111'!$N$11),"x","")</f>
        <v/>
      </c>
      <c r="Q4205" s="52" t="str">
        <f>IF(AND($M4205=$O$7,$B4205&lt;'111'!$N$11),"x","")</f>
        <v/>
      </c>
      <c r="R4205" s="52" t="str">
        <f>IF(ISERROR(FIND('112'!$M$9,G4205,1)),"",IF((AND(FIND('112'!$M$9,G4205,1)&gt;=1,$B4205&gt;='112'!$N$8,$B4205&lt;='112'!$O$8,OR($L4205='112'!$I$6,$M4205='112'!$I$6))),"x",""))</f>
        <v/>
      </c>
      <c r="S4205" s="52" t="str">
        <f>IF(ISERROR(FIND('112'!$M$9,G4205,1)),"",IF((AND(LEFT(G4205,2)=LEFT('112'!$M$9,2),B4205&lt;'112'!$N$8,$L4205='112'!$I$6)),"x",""))</f>
        <v/>
      </c>
      <c r="T4205" s="52" t="str">
        <f>IF(ISERROR(FIND('112'!$M$9,G4205,1)),"",IF((AND(RIGHT(G4205,2)=RIGHT('112'!$M$9,2),B4205&lt;'112'!$N$8,$M4205='112'!$I$6)),"x",""))</f>
        <v/>
      </c>
      <c r="U4205" s="52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/>
      </c>
      <c r="V4205" s="52" t="str">
        <f>IF(OR(TH!L4205=TH!$V$7,M4205=TH!$V$7),"x","")</f>
        <v/>
      </c>
      <c r="W4205" s="52" t="str">
        <f>IF(AND(B4205&gt;='IN-NX'!$P$3,B4205&lt;='IN-NX'!$Q$3,'IN-NX'!$D$7=D4205,OR(LEFT(L4205,2)="15",AND(LEFT(M4205,2)&lt;&gt;"15",LEFT(M4205,2)&lt;&gt;"33"))),"x","")</f>
        <v/>
      </c>
      <c r="X4205" s="52" t="str">
        <f>IF(AND(OR(LEFT(TH!L4205,2)="15",LEFT(TH!M4205,2)="15"),'152-CT'!$J$8=TH!F4205),"x","")</f>
        <v/>
      </c>
      <c r="Y4205" s="52" t="str">
        <f>IF(AND(OR(LEFT(TH!L4205,2)="15",LEFT(TH!M4205,2)="15"),TK!$E$7=TH!F4205),"x","")</f>
        <v/>
      </c>
      <c r="Z4205" s="52" t="str">
        <f>IF(AND(B4205&lt;=NKC!$N$8,B4205&gt;=NKC!$M$8),"x","")</f>
        <v/>
      </c>
      <c r="AA4205" s="826"/>
    </row>
    <row r="4206" spans="1:27" ht="15.75" customHeight="1">
      <c r="A4206" s="827" t="str">
        <f>IF(B4206&lt;&gt;"",IF(AND(B4206&gt;=_TM1,B4206&lt;=_TM2,OR(TH!L4206="1111",TH!M4206="1111")),TH!D4206,""),"")</f>
        <v/>
      </c>
      <c r="B4206" s="36" t="str">
        <f t="shared" si="520"/>
        <v/>
      </c>
      <c r="C4206" s="190"/>
      <c r="D4206" s="37"/>
      <c r="E4206" s="785"/>
      <c r="F4206" s="40"/>
      <c r="G4206" s="832"/>
      <c r="H4206" s="7"/>
      <c r="I4206" s="253"/>
      <c r="J4206" s="253"/>
      <c r="K4206" s="584"/>
      <c r="L4206" s="39"/>
      <c r="M4206" s="39"/>
      <c r="N4206" s="52" t="str">
        <f>IF(AND('331-CT'!$E$7=TH!H4206,OR(L4206="331",M4206="331")),"331",IF(AND(OR(L4206="131",M4206="131"),H4206='131-CT'!$E$7),"131",""))</f>
        <v/>
      </c>
      <c r="O4206" s="52" t="str">
        <f>IF(AND($B4206&gt;='111'!$N$11,$B4206&lt;='111'!$O$11,OR($L4206=$O$7,$M4206=$O$7)),"x","")</f>
        <v/>
      </c>
      <c r="P4206" s="52" t="str">
        <f>IF(AND($L4206=$O$7,$B4206&lt;'111'!$N$11),"x","")</f>
        <v/>
      </c>
      <c r="Q4206" s="52" t="str">
        <f>IF(AND($M4206=$O$7,$B4206&lt;'111'!$N$11),"x","")</f>
        <v/>
      </c>
      <c r="R4206" s="52" t="str">
        <f>IF(ISERROR(FIND('112'!$M$9,G4206,1)),"",IF((AND(FIND('112'!$M$9,G4206,1)&gt;=1,$B4206&gt;='112'!$N$8,$B4206&lt;='112'!$O$8,OR($L4206='112'!$I$6,$M4206='112'!$I$6))),"x",""))</f>
        <v/>
      </c>
      <c r="S4206" s="52" t="str">
        <f>IF(ISERROR(FIND('112'!$M$9,G4206,1)),"",IF((AND(LEFT(G4206,2)=LEFT('112'!$M$9,2),B4206&lt;'112'!$N$8,$L4206='112'!$I$6)),"x",""))</f>
        <v/>
      </c>
      <c r="T4206" s="52" t="str">
        <f>IF(ISERROR(FIND('112'!$M$9,G4206,1)),"",IF((AND(RIGHT(G4206,2)=RIGHT('112'!$M$9,2),B4206&lt;'112'!$N$8,$M4206='112'!$I$6)),"x",""))</f>
        <v/>
      </c>
      <c r="U4206" s="52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/>
      </c>
      <c r="V4206" s="52" t="str">
        <f>IF(OR(TH!L4206=TH!$V$7,M4206=TH!$V$7),"x","")</f>
        <v/>
      </c>
      <c r="W4206" s="52" t="str">
        <f>IF(AND(B4206&gt;='IN-NX'!$P$3,B4206&lt;='IN-NX'!$Q$3,'IN-NX'!$D$7=D4206,OR(LEFT(L4206,2)="15",AND(LEFT(M4206,2)&lt;&gt;"15",LEFT(M4206,2)&lt;&gt;"33"))),"x","")</f>
        <v/>
      </c>
      <c r="X4206" s="52" t="str">
        <f>IF(AND(OR(LEFT(TH!L4206,2)="15",LEFT(TH!M4206,2)="15"),'152-CT'!$J$8=TH!F4206),"x","")</f>
        <v/>
      </c>
      <c r="Y4206" s="52" t="str">
        <f>IF(AND(OR(LEFT(TH!L4206,2)="15",LEFT(TH!M4206,2)="15"),TK!$E$7=TH!F4206),"x","")</f>
        <v/>
      </c>
      <c r="Z4206" s="52" t="str">
        <f>IF(AND(B4206&lt;=NKC!$N$8,B4206&gt;=NKC!$M$8),"x","")</f>
        <v/>
      </c>
      <c r="AA4206" s="826"/>
    </row>
    <row r="4207" spans="1:27" ht="15.75" customHeight="1">
      <c r="A4207" s="827" t="str">
        <f>IF(B4207&lt;&gt;"",IF(AND(B4207&gt;=_TM1,B4207&lt;=_TM2,OR(TH!L4207="1111",TH!M4207="1111")),TH!D4207,""),"")</f>
        <v/>
      </c>
      <c r="B4207" s="36" t="str">
        <f t="shared" si="520"/>
        <v/>
      </c>
      <c r="C4207" s="190"/>
      <c r="D4207" s="37"/>
      <c r="E4207" s="785"/>
      <c r="F4207" s="40"/>
      <c r="G4207" s="832"/>
      <c r="H4207" s="7"/>
      <c r="I4207" s="253"/>
      <c r="J4207" s="253"/>
      <c r="K4207" s="584"/>
      <c r="L4207" s="39"/>
      <c r="M4207" s="39"/>
      <c r="N4207" s="52" t="str">
        <f>IF(AND('331-CT'!$E$7=TH!H4207,OR(L4207="331",M4207="331")),"331",IF(AND(OR(L4207="131",M4207="131"),H4207='131-CT'!$E$7),"131",""))</f>
        <v/>
      </c>
      <c r="O4207" s="52" t="str">
        <f>IF(AND($B4207&gt;='111'!$N$11,$B4207&lt;='111'!$O$11,OR($L4207=$O$7,$M4207=$O$7)),"x","")</f>
        <v/>
      </c>
      <c r="P4207" s="52" t="str">
        <f>IF(AND($L4207=$O$7,$B4207&lt;'111'!$N$11),"x","")</f>
        <v/>
      </c>
      <c r="Q4207" s="52" t="str">
        <f>IF(AND($M4207=$O$7,$B4207&lt;'111'!$N$11),"x","")</f>
        <v/>
      </c>
      <c r="R4207" s="52" t="str">
        <f>IF(ISERROR(FIND('112'!$M$9,G4207,1)),"",IF((AND(FIND('112'!$M$9,G4207,1)&gt;=1,$B4207&gt;='112'!$N$8,$B4207&lt;='112'!$O$8,OR($L4207='112'!$I$6,$M4207='112'!$I$6))),"x",""))</f>
        <v/>
      </c>
      <c r="S4207" s="52" t="str">
        <f>IF(ISERROR(FIND('112'!$M$9,G4207,1)),"",IF((AND(LEFT(G4207,2)=LEFT('112'!$M$9,2),B4207&lt;'112'!$N$8,$L4207='112'!$I$6)),"x",""))</f>
        <v/>
      </c>
      <c r="T4207" s="52" t="str">
        <f>IF(ISERROR(FIND('112'!$M$9,G4207,1)),"",IF((AND(RIGHT(G4207,2)=RIGHT('112'!$M$9,2),B4207&lt;'112'!$N$8,$M4207='112'!$I$6)),"x",""))</f>
        <v/>
      </c>
      <c r="U4207" s="52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/>
      </c>
      <c r="V4207" s="52" t="str">
        <f>IF(OR(TH!L4207=TH!$V$7,M4207=TH!$V$7),"x","")</f>
        <v/>
      </c>
      <c r="W4207" s="52" t="str">
        <f>IF(AND(B4207&gt;='IN-NX'!$P$3,B4207&lt;='IN-NX'!$Q$3,'IN-NX'!$D$7=D4207,OR(LEFT(L4207,2)="15",AND(LEFT(M4207,2)&lt;&gt;"15",LEFT(M4207,2)&lt;&gt;"33"))),"x","")</f>
        <v/>
      </c>
      <c r="X4207" s="52" t="str">
        <f>IF(AND(OR(LEFT(TH!L4207,2)="15",LEFT(TH!M4207,2)="15"),'152-CT'!$J$8=TH!F4207),"x","")</f>
        <v/>
      </c>
      <c r="Y4207" s="52" t="str">
        <f>IF(AND(OR(LEFT(TH!L4207,2)="15",LEFT(TH!M4207,2)="15"),TK!$E$7=TH!F4207),"x","")</f>
        <v/>
      </c>
      <c r="Z4207" s="52" t="str">
        <f>IF(AND(B4207&lt;=NKC!$N$8,B4207&gt;=NKC!$M$8),"x","")</f>
        <v/>
      </c>
      <c r="AA4207" s="826"/>
    </row>
    <row r="4208" spans="1:27" ht="15.75" customHeight="1">
      <c r="A4208" s="827" t="str">
        <f>IF(B4208&lt;&gt;"",IF(AND(B4208&gt;=_TM1,B4208&lt;=_TM2,OR(TH!L4208="1111",TH!M4208="1111")),TH!D4208,""),"")</f>
        <v/>
      </c>
      <c r="B4208" s="36" t="str">
        <f t="shared" si="520"/>
        <v/>
      </c>
      <c r="C4208" s="190"/>
      <c r="D4208" s="37"/>
      <c r="E4208" s="785"/>
      <c r="F4208" s="40"/>
      <c r="G4208" s="832"/>
      <c r="H4208" s="7"/>
      <c r="I4208" s="253"/>
      <c r="J4208" s="253"/>
      <c r="K4208" s="584"/>
      <c r="L4208" s="39"/>
      <c r="M4208" s="39"/>
      <c r="N4208" s="52" t="str">
        <f>IF(AND('331-CT'!$E$7=TH!H4208,OR(L4208="331",M4208="331")),"331",IF(AND(OR(L4208="131",M4208="131"),H4208='131-CT'!$E$7),"131",""))</f>
        <v/>
      </c>
      <c r="O4208" s="52" t="str">
        <f>IF(AND($B4208&gt;='111'!$N$11,$B4208&lt;='111'!$O$11,OR($L4208=$O$7,$M4208=$O$7)),"x","")</f>
        <v/>
      </c>
      <c r="P4208" s="52" t="str">
        <f>IF(AND($L4208=$O$7,$B4208&lt;'111'!$N$11),"x","")</f>
        <v/>
      </c>
      <c r="Q4208" s="52" t="str">
        <f>IF(AND($M4208=$O$7,$B4208&lt;'111'!$N$11),"x","")</f>
        <v/>
      </c>
      <c r="R4208" s="52" t="str">
        <f>IF(ISERROR(FIND('112'!$M$9,G4208,1)),"",IF((AND(FIND('112'!$M$9,G4208,1)&gt;=1,$B4208&gt;='112'!$N$8,$B4208&lt;='112'!$O$8,OR($L4208='112'!$I$6,$M4208='112'!$I$6))),"x",""))</f>
        <v/>
      </c>
      <c r="S4208" s="52" t="str">
        <f>IF(ISERROR(FIND('112'!$M$9,G4208,1)),"",IF((AND(LEFT(G4208,2)=LEFT('112'!$M$9,2),B4208&lt;'112'!$N$8,$L4208='112'!$I$6)),"x",""))</f>
        <v/>
      </c>
      <c r="T4208" s="52" t="str">
        <f>IF(ISERROR(FIND('112'!$M$9,G4208,1)),"",IF((AND(RIGHT(G4208,2)=RIGHT('112'!$M$9,2),B4208&lt;'112'!$N$8,$M4208='112'!$I$6)),"x",""))</f>
        <v/>
      </c>
      <c r="U4208" s="52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/>
      </c>
      <c r="V4208" s="52" t="str">
        <f>IF(OR(TH!L4208=TH!$V$7,M4208=TH!$V$7),"x","")</f>
        <v/>
      </c>
      <c r="W4208" s="52" t="str">
        <f>IF(AND(B4208&gt;='IN-NX'!$P$3,B4208&lt;='IN-NX'!$Q$3,'IN-NX'!$D$7=D4208,OR(LEFT(L4208,2)="15",AND(LEFT(M4208,2)&lt;&gt;"15",LEFT(M4208,2)&lt;&gt;"33"))),"x","")</f>
        <v/>
      </c>
      <c r="X4208" s="52" t="str">
        <f>IF(AND(OR(LEFT(TH!L4208,2)="15",LEFT(TH!M4208,2)="15"),'152-CT'!$J$8=TH!F4208),"x","")</f>
        <v/>
      </c>
      <c r="Y4208" s="52" t="str">
        <f>IF(AND(OR(LEFT(TH!L4208,2)="15",LEFT(TH!M4208,2)="15"),TK!$E$7=TH!F4208),"x","")</f>
        <v/>
      </c>
      <c r="Z4208" s="52" t="str">
        <f>IF(AND(B4208&lt;=NKC!$N$8,B4208&gt;=NKC!$M$8),"x","")</f>
        <v/>
      </c>
      <c r="AA4208" s="826"/>
    </row>
    <row r="4209" spans="1:27" ht="15.75" customHeight="1">
      <c r="A4209" s="827" t="str">
        <f>IF(B4209&lt;&gt;"",IF(AND(B4209&gt;=_TM1,B4209&lt;=_TM2,OR(TH!L4209="1111",TH!M4209="1111")),TH!D4209,""),"")</f>
        <v/>
      </c>
      <c r="B4209" s="36" t="str">
        <f t="shared" si="520"/>
        <v/>
      </c>
      <c r="C4209" s="190"/>
      <c r="D4209" s="37"/>
      <c r="E4209" s="785"/>
      <c r="F4209" s="40"/>
      <c r="G4209" s="832"/>
      <c r="H4209" s="7"/>
      <c r="I4209" s="253"/>
      <c r="J4209" s="253"/>
      <c r="K4209" s="584"/>
      <c r="L4209" s="39"/>
      <c r="M4209" s="39"/>
      <c r="N4209" s="52" t="str">
        <f>IF(AND('331-CT'!$E$7=TH!H4209,OR(L4209="331",M4209="331")),"331",IF(AND(OR(L4209="131",M4209="131"),H4209='131-CT'!$E$7),"131",""))</f>
        <v/>
      </c>
      <c r="O4209" s="52" t="str">
        <f>IF(AND($B4209&gt;='111'!$N$11,$B4209&lt;='111'!$O$11,OR($L4209=$O$7,$M4209=$O$7)),"x","")</f>
        <v/>
      </c>
      <c r="P4209" s="52" t="str">
        <f>IF(AND($L4209=$O$7,$B4209&lt;'111'!$N$11),"x","")</f>
        <v/>
      </c>
      <c r="Q4209" s="52" t="str">
        <f>IF(AND($M4209=$O$7,$B4209&lt;'111'!$N$11),"x","")</f>
        <v/>
      </c>
      <c r="R4209" s="52" t="str">
        <f>IF(ISERROR(FIND('112'!$M$9,G4209,1)),"",IF((AND(FIND('112'!$M$9,G4209,1)&gt;=1,$B4209&gt;='112'!$N$8,$B4209&lt;='112'!$O$8,OR($L4209='112'!$I$6,$M4209='112'!$I$6))),"x",""))</f>
        <v/>
      </c>
      <c r="S4209" s="52" t="str">
        <f>IF(ISERROR(FIND('112'!$M$9,G4209,1)),"",IF((AND(LEFT(G4209,2)=LEFT('112'!$M$9,2),B4209&lt;'112'!$N$8,$L4209='112'!$I$6)),"x",""))</f>
        <v/>
      </c>
      <c r="T4209" s="52" t="str">
        <f>IF(ISERROR(FIND('112'!$M$9,G4209,1)),"",IF((AND(RIGHT(G4209,2)=RIGHT('112'!$M$9,2),B4209&lt;'112'!$N$8,$M4209='112'!$I$6)),"x",""))</f>
        <v/>
      </c>
      <c r="U4209" s="52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/>
      </c>
      <c r="V4209" s="52" t="str">
        <f>IF(OR(TH!L4209=TH!$V$7,M4209=TH!$V$7),"x","")</f>
        <v/>
      </c>
      <c r="W4209" s="52" t="str">
        <f>IF(AND(B4209&gt;='IN-NX'!$P$3,B4209&lt;='IN-NX'!$Q$3,'IN-NX'!$D$7=D4209,OR(LEFT(L4209,2)="15",AND(LEFT(M4209,2)&lt;&gt;"15",LEFT(M4209,2)&lt;&gt;"33"))),"x","")</f>
        <v/>
      </c>
      <c r="X4209" s="52" t="str">
        <f>IF(AND(OR(LEFT(TH!L4209,2)="15",LEFT(TH!M4209,2)="15"),'152-CT'!$J$8=TH!F4209),"x","")</f>
        <v/>
      </c>
      <c r="Y4209" s="52" t="str">
        <f>IF(AND(OR(LEFT(TH!L4209,2)="15",LEFT(TH!M4209,2)="15"),TK!$E$7=TH!F4209),"x","")</f>
        <v/>
      </c>
      <c r="Z4209" s="52" t="str">
        <f>IF(AND(B4209&lt;=NKC!$N$8,B4209&gt;=NKC!$M$8),"x","")</f>
        <v/>
      </c>
      <c r="AA4209" s="826"/>
    </row>
    <row r="4210" spans="1:27" ht="15.75" customHeight="1">
      <c r="A4210" s="827" t="str">
        <f>IF(B4210&lt;&gt;"",IF(AND(B4210&gt;=_TM1,B4210&lt;=_TM2,OR(TH!L4210="1111",TH!M4210="1111")),TH!D4210,""),"")</f>
        <v/>
      </c>
      <c r="B4210" s="36" t="str">
        <f t="shared" si="520"/>
        <v/>
      </c>
      <c r="C4210" s="190"/>
      <c r="D4210" s="37"/>
      <c r="E4210" s="785"/>
      <c r="F4210" s="40"/>
      <c r="G4210" s="832"/>
      <c r="H4210" s="7"/>
      <c r="I4210" s="253"/>
      <c r="J4210" s="253"/>
      <c r="K4210" s="584"/>
      <c r="L4210" s="39"/>
      <c r="M4210" s="39"/>
      <c r="N4210" s="52" t="str">
        <f>IF(AND('331-CT'!$E$7=TH!H4210,OR(L4210="331",M4210="331")),"331",IF(AND(OR(L4210="131",M4210="131"),H4210='131-CT'!$E$7),"131",""))</f>
        <v/>
      </c>
      <c r="O4210" s="52" t="str">
        <f>IF(AND($B4210&gt;='111'!$N$11,$B4210&lt;='111'!$O$11,OR($L4210=$O$7,$M4210=$O$7)),"x","")</f>
        <v/>
      </c>
      <c r="P4210" s="52" t="str">
        <f>IF(AND($L4210=$O$7,$B4210&lt;'111'!$N$11),"x","")</f>
        <v/>
      </c>
      <c r="Q4210" s="52" t="str">
        <f>IF(AND($M4210=$O$7,$B4210&lt;'111'!$N$11),"x","")</f>
        <v/>
      </c>
      <c r="R4210" s="52" t="str">
        <f>IF(ISERROR(FIND('112'!$M$9,G4210,1)),"",IF((AND(FIND('112'!$M$9,G4210,1)&gt;=1,$B4210&gt;='112'!$N$8,$B4210&lt;='112'!$O$8,OR($L4210='112'!$I$6,$M4210='112'!$I$6))),"x",""))</f>
        <v/>
      </c>
      <c r="S4210" s="52" t="str">
        <f>IF(ISERROR(FIND('112'!$M$9,G4210,1)),"",IF((AND(LEFT(G4210,2)=LEFT('112'!$M$9,2),B4210&lt;'112'!$N$8,$L4210='112'!$I$6)),"x",""))</f>
        <v/>
      </c>
      <c r="T4210" s="52" t="str">
        <f>IF(ISERROR(FIND('112'!$M$9,G4210,1)),"",IF((AND(RIGHT(G4210,2)=RIGHT('112'!$M$9,2),B4210&lt;'112'!$N$8,$M4210='112'!$I$6)),"x",""))</f>
        <v/>
      </c>
      <c r="U4210" s="52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/>
      </c>
      <c r="V4210" s="52" t="str">
        <f>IF(OR(TH!L4210=TH!$V$7,M4210=TH!$V$7),"x","")</f>
        <v/>
      </c>
      <c r="W4210" s="52" t="str">
        <f>IF(AND(B4210&gt;='IN-NX'!$P$3,B4210&lt;='IN-NX'!$Q$3,'IN-NX'!$D$7=D4210,OR(LEFT(L4210,2)="15",AND(LEFT(M4210,2)&lt;&gt;"15",LEFT(M4210,2)&lt;&gt;"33"))),"x","")</f>
        <v/>
      </c>
      <c r="X4210" s="52" t="str">
        <f>IF(AND(OR(LEFT(TH!L4210,2)="15",LEFT(TH!M4210,2)="15"),'152-CT'!$J$8=TH!F4210),"x","")</f>
        <v/>
      </c>
      <c r="Y4210" s="52" t="str">
        <f>IF(AND(OR(LEFT(TH!L4210,2)="15",LEFT(TH!M4210,2)="15"),TK!$E$7=TH!F4210),"x","")</f>
        <v/>
      </c>
      <c r="Z4210" s="52" t="str">
        <f>IF(AND(B4210&lt;=NKC!$N$8,B4210&gt;=NKC!$M$8),"x","")</f>
        <v/>
      </c>
      <c r="AA4210" s="826"/>
    </row>
    <row r="4211" spans="1:27" ht="15.75" customHeight="1">
      <c r="A4211" s="827" t="str">
        <f>IF(B4211&lt;&gt;"",IF(AND(B4211&gt;=_TM1,B4211&lt;=_TM2,OR(TH!L4211="1111",TH!M4211="1111")),TH!D4211,""),"")</f>
        <v/>
      </c>
      <c r="B4211" s="36" t="str">
        <f t="shared" si="520"/>
        <v/>
      </c>
      <c r="C4211" s="190"/>
      <c r="D4211" s="37"/>
      <c r="E4211" s="785"/>
      <c r="F4211" s="40"/>
      <c r="G4211" s="832"/>
      <c r="H4211" s="7"/>
      <c r="I4211" s="253"/>
      <c r="J4211" s="253"/>
      <c r="K4211" s="584"/>
      <c r="L4211" s="39"/>
      <c r="M4211" s="39"/>
      <c r="N4211" s="52" t="str">
        <f>IF(AND('331-CT'!$E$7=TH!H4211,OR(L4211="331",M4211="331")),"331",IF(AND(OR(L4211="131",M4211="131"),H4211='131-CT'!$E$7),"131",""))</f>
        <v/>
      </c>
      <c r="O4211" s="52" t="str">
        <f>IF(AND($B4211&gt;='111'!$N$11,$B4211&lt;='111'!$O$11,OR($L4211=$O$7,$M4211=$O$7)),"x","")</f>
        <v/>
      </c>
      <c r="P4211" s="52" t="str">
        <f>IF(AND($L4211=$O$7,$B4211&lt;'111'!$N$11),"x","")</f>
        <v/>
      </c>
      <c r="Q4211" s="52" t="str">
        <f>IF(AND($M4211=$O$7,$B4211&lt;'111'!$N$11),"x","")</f>
        <v/>
      </c>
      <c r="R4211" s="52" t="str">
        <f>IF(ISERROR(FIND('112'!$M$9,G4211,1)),"",IF((AND(FIND('112'!$M$9,G4211,1)&gt;=1,$B4211&gt;='112'!$N$8,$B4211&lt;='112'!$O$8,OR($L4211='112'!$I$6,$M4211='112'!$I$6))),"x",""))</f>
        <v/>
      </c>
      <c r="S4211" s="52" t="str">
        <f>IF(ISERROR(FIND('112'!$M$9,G4211,1)),"",IF((AND(LEFT(G4211,2)=LEFT('112'!$M$9,2),B4211&lt;'112'!$N$8,$L4211='112'!$I$6)),"x",""))</f>
        <v/>
      </c>
      <c r="T4211" s="52" t="str">
        <f>IF(ISERROR(FIND('112'!$M$9,G4211,1)),"",IF((AND(RIGHT(G4211,2)=RIGHT('112'!$M$9,2),B4211&lt;'112'!$N$8,$M4211='112'!$I$6)),"x",""))</f>
        <v/>
      </c>
      <c r="U4211" s="52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/>
      </c>
      <c r="V4211" s="52" t="str">
        <f>IF(OR(TH!L4211=TH!$V$7,M4211=TH!$V$7),"x","")</f>
        <v/>
      </c>
      <c r="W4211" s="52" t="str">
        <f>IF(AND(B4211&gt;='IN-NX'!$P$3,B4211&lt;='IN-NX'!$Q$3,'IN-NX'!$D$7=D4211,OR(LEFT(L4211,2)="15",AND(LEFT(M4211,2)&lt;&gt;"15",LEFT(M4211,2)&lt;&gt;"33"))),"x","")</f>
        <v/>
      </c>
      <c r="X4211" s="52" t="str">
        <f>IF(AND(OR(LEFT(TH!L4211,2)="15",LEFT(TH!M4211,2)="15"),'152-CT'!$J$8=TH!F4211),"x","")</f>
        <v/>
      </c>
      <c r="Y4211" s="52" t="str">
        <f>IF(AND(OR(LEFT(TH!L4211,2)="15",LEFT(TH!M4211,2)="15"),TK!$E$7=TH!F4211),"x","")</f>
        <v/>
      </c>
      <c r="Z4211" s="52" t="str">
        <f>IF(AND(B4211&lt;=NKC!$N$8,B4211&gt;=NKC!$M$8),"x","")</f>
        <v/>
      </c>
      <c r="AA4211" s="826"/>
    </row>
    <row r="4212" spans="1:27" ht="15.75" customHeight="1">
      <c r="A4212" s="827" t="str">
        <f>IF(B4212&lt;&gt;"",IF(AND(B4212&gt;=_TM1,B4212&lt;=_TM2,OR(TH!L4212="1111",TH!M4212="1111")),TH!D4212,""),"")</f>
        <v/>
      </c>
      <c r="B4212" s="36" t="str">
        <f t="shared" si="520"/>
        <v/>
      </c>
      <c r="C4212" s="190"/>
      <c r="D4212" s="37"/>
      <c r="E4212" s="785"/>
      <c r="F4212" s="40"/>
      <c r="G4212" s="832"/>
      <c r="H4212" s="7"/>
      <c r="I4212" s="253"/>
      <c r="J4212" s="253"/>
      <c r="K4212" s="584"/>
      <c r="L4212" s="39"/>
      <c r="M4212" s="39"/>
      <c r="N4212" s="52" t="str">
        <f>IF(AND('331-CT'!$E$7=TH!H4212,OR(L4212="331",M4212="331")),"331",IF(AND(OR(L4212="131",M4212="131"),H4212='131-CT'!$E$7),"131",""))</f>
        <v/>
      </c>
      <c r="O4212" s="52" t="str">
        <f>IF(AND($B4212&gt;='111'!$N$11,$B4212&lt;='111'!$O$11,OR($L4212=$O$7,$M4212=$O$7)),"x","")</f>
        <v/>
      </c>
      <c r="P4212" s="52" t="str">
        <f>IF(AND($L4212=$O$7,$B4212&lt;'111'!$N$11),"x","")</f>
        <v/>
      </c>
      <c r="Q4212" s="52" t="str">
        <f>IF(AND($M4212=$O$7,$B4212&lt;'111'!$N$11),"x","")</f>
        <v/>
      </c>
      <c r="R4212" s="52" t="str">
        <f>IF(ISERROR(FIND('112'!$M$9,G4212,1)),"",IF((AND(FIND('112'!$M$9,G4212,1)&gt;=1,$B4212&gt;='112'!$N$8,$B4212&lt;='112'!$O$8,OR($L4212='112'!$I$6,$M4212='112'!$I$6))),"x",""))</f>
        <v/>
      </c>
      <c r="S4212" s="52" t="str">
        <f>IF(ISERROR(FIND('112'!$M$9,G4212,1)),"",IF((AND(LEFT(G4212,2)=LEFT('112'!$M$9,2),B4212&lt;'112'!$N$8,$L4212='112'!$I$6)),"x",""))</f>
        <v/>
      </c>
      <c r="T4212" s="52" t="str">
        <f>IF(ISERROR(FIND('112'!$M$9,G4212,1)),"",IF((AND(RIGHT(G4212,2)=RIGHT('112'!$M$9,2),B4212&lt;'112'!$N$8,$M4212='112'!$I$6)),"x",""))</f>
        <v/>
      </c>
      <c r="U4212" s="52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/>
      </c>
      <c r="V4212" s="52" t="str">
        <f>IF(OR(TH!L4212=TH!$V$7,M4212=TH!$V$7),"x","")</f>
        <v/>
      </c>
      <c r="W4212" s="52" t="str">
        <f>IF(AND(B4212&gt;='IN-NX'!$P$3,B4212&lt;='IN-NX'!$Q$3,'IN-NX'!$D$7=D4212,OR(LEFT(L4212,2)="15",AND(LEFT(M4212,2)&lt;&gt;"15",LEFT(M4212,2)&lt;&gt;"33"))),"x","")</f>
        <v/>
      </c>
      <c r="X4212" s="52" t="str">
        <f>IF(AND(OR(LEFT(TH!L4212,2)="15",LEFT(TH!M4212,2)="15"),'152-CT'!$J$8=TH!F4212),"x","")</f>
        <v/>
      </c>
      <c r="Y4212" s="52" t="str">
        <f>IF(AND(OR(LEFT(TH!L4212,2)="15",LEFT(TH!M4212,2)="15"),TK!$E$7=TH!F4212),"x","")</f>
        <v/>
      </c>
      <c r="Z4212" s="52" t="str">
        <f>IF(AND(B4212&lt;=NKC!$N$8,B4212&gt;=NKC!$M$8),"x","")</f>
        <v/>
      </c>
      <c r="AA4212" s="826"/>
    </row>
    <row r="4213" spans="1:27" ht="15.75" customHeight="1">
      <c r="A4213" s="827" t="str">
        <f>IF(B4213&lt;&gt;"",IF(AND(B4213&gt;=_TM1,B4213&lt;=_TM2,OR(TH!L4213="1111",TH!M4213="1111")),TH!D4213,""),"")</f>
        <v/>
      </c>
      <c r="B4213" s="36" t="str">
        <f t="shared" si="520"/>
        <v/>
      </c>
      <c r="C4213" s="190"/>
      <c r="D4213" s="37"/>
      <c r="E4213" s="785"/>
      <c r="F4213" s="40"/>
      <c r="G4213" s="832"/>
      <c r="H4213" s="7"/>
      <c r="I4213" s="253"/>
      <c r="J4213" s="253"/>
      <c r="K4213" s="584"/>
      <c r="L4213" s="39"/>
      <c r="M4213" s="39"/>
      <c r="N4213" s="52" t="str">
        <f>IF(AND('331-CT'!$E$7=TH!H4213,OR(L4213="331",M4213="331")),"331",IF(AND(OR(L4213="131",M4213="131"),H4213='131-CT'!$E$7),"131",""))</f>
        <v/>
      </c>
      <c r="O4213" s="52" t="str">
        <f>IF(AND($B4213&gt;='111'!$N$11,$B4213&lt;='111'!$O$11,OR($L4213=$O$7,$M4213=$O$7)),"x","")</f>
        <v/>
      </c>
      <c r="P4213" s="52" t="str">
        <f>IF(AND($L4213=$O$7,$B4213&lt;'111'!$N$11),"x","")</f>
        <v/>
      </c>
      <c r="Q4213" s="52" t="str">
        <f>IF(AND($M4213=$O$7,$B4213&lt;'111'!$N$11),"x","")</f>
        <v/>
      </c>
      <c r="R4213" s="52" t="str">
        <f>IF(ISERROR(FIND('112'!$M$9,G4213,1)),"",IF((AND(FIND('112'!$M$9,G4213,1)&gt;=1,$B4213&gt;='112'!$N$8,$B4213&lt;='112'!$O$8,OR($L4213='112'!$I$6,$M4213='112'!$I$6))),"x",""))</f>
        <v/>
      </c>
      <c r="S4213" s="52" t="str">
        <f>IF(ISERROR(FIND('112'!$M$9,G4213,1)),"",IF((AND(LEFT(G4213,2)=LEFT('112'!$M$9,2),B4213&lt;'112'!$N$8,$L4213='112'!$I$6)),"x",""))</f>
        <v/>
      </c>
      <c r="T4213" s="52" t="str">
        <f>IF(ISERROR(FIND('112'!$M$9,G4213,1)),"",IF((AND(RIGHT(G4213,2)=RIGHT('112'!$M$9,2),B4213&lt;'112'!$N$8,$M4213='112'!$I$6)),"x",""))</f>
        <v/>
      </c>
      <c r="U4213" s="52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/>
      </c>
      <c r="V4213" s="52" t="str">
        <f>IF(OR(TH!L4213=TH!$V$7,M4213=TH!$V$7),"x","")</f>
        <v/>
      </c>
      <c r="W4213" s="52" t="str">
        <f>IF(AND(B4213&gt;='IN-NX'!$P$3,B4213&lt;='IN-NX'!$Q$3,'IN-NX'!$D$7=D4213,OR(LEFT(L4213,2)="15",AND(LEFT(M4213,2)&lt;&gt;"15",LEFT(M4213,2)&lt;&gt;"33"))),"x","")</f>
        <v/>
      </c>
      <c r="X4213" s="52" t="str">
        <f>IF(AND(OR(LEFT(TH!L4213,2)="15",LEFT(TH!M4213,2)="15"),'152-CT'!$J$8=TH!F4213),"x","")</f>
        <v/>
      </c>
      <c r="Y4213" s="52" t="str">
        <f>IF(AND(OR(LEFT(TH!L4213,2)="15",LEFT(TH!M4213,2)="15"),TK!$E$7=TH!F4213),"x","")</f>
        <v/>
      </c>
      <c r="Z4213" s="52" t="str">
        <f>IF(AND(B4213&lt;=NKC!$N$8,B4213&gt;=NKC!$M$8),"x","")</f>
        <v/>
      </c>
      <c r="AA4213" s="826"/>
    </row>
    <row r="4214" spans="1:27" ht="15.75" customHeight="1">
      <c r="A4214" s="827" t="str">
        <f>IF(B4214&lt;&gt;"",IF(AND(B4214&gt;=_TM1,B4214&lt;=_TM2,OR(TH!L4214="1111",TH!M4214="1111")),TH!D4214,""),"")</f>
        <v/>
      </c>
      <c r="B4214" s="36" t="str">
        <f t="shared" si="520"/>
        <v/>
      </c>
      <c r="C4214" s="190"/>
      <c r="D4214" s="37"/>
      <c r="E4214" s="785"/>
      <c r="F4214" s="40"/>
      <c r="G4214" s="832"/>
      <c r="H4214" s="7"/>
      <c r="I4214" s="253"/>
      <c r="J4214" s="253"/>
      <c r="K4214" s="584"/>
      <c r="L4214" s="39"/>
      <c r="M4214" s="39"/>
      <c r="N4214" s="52" t="str">
        <f>IF(AND('331-CT'!$E$7=TH!H4214,OR(L4214="331",M4214="331")),"331",IF(AND(OR(L4214="131",M4214="131"),H4214='131-CT'!$E$7),"131",""))</f>
        <v/>
      </c>
      <c r="O4214" s="52" t="str">
        <f>IF(AND($B4214&gt;='111'!$N$11,$B4214&lt;='111'!$O$11,OR($L4214=$O$7,$M4214=$O$7)),"x","")</f>
        <v/>
      </c>
      <c r="P4214" s="52" t="str">
        <f>IF(AND($L4214=$O$7,$B4214&lt;'111'!$N$11),"x","")</f>
        <v/>
      </c>
      <c r="Q4214" s="52" t="str">
        <f>IF(AND($M4214=$O$7,$B4214&lt;'111'!$N$11),"x","")</f>
        <v/>
      </c>
      <c r="R4214" s="52" t="str">
        <f>IF(ISERROR(FIND('112'!$M$9,G4214,1)),"",IF((AND(FIND('112'!$M$9,G4214,1)&gt;=1,$B4214&gt;='112'!$N$8,$B4214&lt;='112'!$O$8,OR($L4214='112'!$I$6,$M4214='112'!$I$6))),"x",""))</f>
        <v/>
      </c>
      <c r="S4214" s="52" t="str">
        <f>IF(ISERROR(FIND('112'!$M$9,G4214,1)),"",IF((AND(LEFT(G4214,2)=LEFT('112'!$M$9,2),B4214&lt;'112'!$N$8,$L4214='112'!$I$6)),"x",""))</f>
        <v/>
      </c>
      <c r="T4214" s="52" t="str">
        <f>IF(ISERROR(FIND('112'!$M$9,G4214,1)),"",IF((AND(RIGHT(G4214,2)=RIGHT('112'!$M$9,2),B4214&lt;'112'!$N$8,$M4214='112'!$I$6)),"x",""))</f>
        <v/>
      </c>
      <c r="U4214" s="52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/>
      </c>
      <c r="V4214" s="52" t="str">
        <f>IF(OR(TH!L4214=TH!$V$7,M4214=TH!$V$7),"x","")</f>
        <v/>
      </c>
      <c r="W4214" s="52" t="str">
        <f>IF(AND(B4214&gt;='IN-NX'!$P$3,B4214&lt;='IN-NX'!$Q$3,'IN-NX'!$D$7=D4214,OR(LEFT(L4214,2)="15",AND(LEFT(M4214,2)&lt;&gt;"15",LEFT(M4214,2)&lt;&gt;"33"))),"x","")</f>
        <v/>
      </c>
      <c r="X4214" s="52" t="str">
        <f>IF(AND(OR(LEFT(TH!L4214,2)="15",LEFT(TH!M4214,2)="15"),'152-CT'!$J$8=TH!F4214),"x","")</f>
        <v/>
      </c>
      <c r="Y4214" s="52" t="str">
        <f>IF(AND(OR(LEFT(TH!L4214,2)="15",LEFT(TH!M4214,2)="15"),TK!$E$7=TH!F4214),"x","")</f>
        <v/>
      </c>
      <c r="Z4214" s="52" t="str">
        <f>IF(AND(B4214&lt;=NKC!$N$8,B4214&gt;=NKC!$M$8),"x","")</f>
        <v/>
      </c>
      <c r="AA4214" s="826"/>
    </row>
    <row r="4215" spans="1:27" ht="15.75" customHeight="1">
      <c r="A4215" s="827" t="str">
        <f>IF(B4215&lt;&gt;"",IF(AND(B4215&gt;=_TM1,B4215&lt;=_TM2,OR(TH!L4215="1111",TH!M4215="1111")),TH!D4215,""),"")</f>
        <v/>
      </c>
      <c r="B4215" s="36" t="str">
        <f t="shared" si="520"/>
        <v/>
      </c>
      <c r="C4215" s="190"/>
      <c r="D4215" s="37"/>
      <c r="E4215" s="785"/>
      <c r="F4215" s="40"/>
      <c r="G4215" s="832"/>
      <c r="H4215" s="7"/>
      <c r="I4215" s="253"/>
      <c r="J4215" s="253"/>
      <c r="K4215" s="584"/>
      <c r="L4215" s="39"/>
      <c r="M4215" s="39"/>
      <c r="N4215" s="52" t="str">
        <f>IF(AND('331-CT'!$E$7=TH!H4215,OR(L4215="331",M4215="331")),"331",IF(AND(OR(L4215="131",M4215="131"),H4215='131-CT'!$E$7),"131",""))</f>
        <v/>
      </c>
      <c r="O4215" s="52" t="str">
        <f>IF(AND($B4215&gt;='111'!$N$11,$B4215&lt;='111'!$O$11,OR($L4215=$O$7,$M4215=$O$7)),"x","")</f>
        <v/>
      </c>
      <c r="P4215" s="52" t="str">
        <f>IF(AND($L4215=$O$7,$B4215&lt;'111'!$N$11),"x","")</f>
        <v/>
      </c>
      <c r="Q4215" s="52" t="str">
        <f>IF(AND($M4215=$O$7,$B4215&lt;'111'!$N$11),"x","")</f>
        <v/>
      </c>
      <c r="R4215" s="52" t="str">
        <f>IF(ISERROR(FIND('112'!$M$9,G4215,1)),"",IF((AND(FIND('112'!$M$9,G4215,1)&gt;=1,$B4215&gt;='112'!$N$8,$B4215&lt;='112'!$O$8,OR($L4215='112'!$I$6,$M4215='112'!$I$6))),"x",""))</f>
        <v/>
      </c>
      <c r="S4215" s="52" t="str">
        <f>IF(ISERROR(FIND('112'!$M$9,G4215,1)),"",IF((AND(LEFT(G4215,2)=LEFT('112'!$M$9,2),B4215&lt;'112'!$N$8,$L4215='112'!$I$6)),"x",""))</f>
        <v/>
      </c>
      <c r="T4215" s="52" t="str">
        <f>IF(ISERROR(FIND('112'!$M$9,G4215,1)),"",IF((AND(RIGHT(G4215,2)=RIGHT('112'!$M$9,2),B4215&lt;'112'!$N$8,$M4215='112'!$I$6)),"x",""))</f>
        <v/>
      </c>
      <c r="U4215" s="52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/>
      </c>
      <c r="V4215" s="52" t="str">
        <f>IF(OR(TH!L4215=TH!$V$7,M4215=TH!$V$7),"x","")</f>
        <v/>
      </c>
      <c r="W4215" s="52" t="str">
        <f>IF(AND(B4215&gt;='IN-NX'!$P$3,B4215&lt;='IN-NX'!$Q$3,'IN-NX'!$D$7=D4215,OR(LEFT(L4215,2)="15",AND(LEFT(M4215,2)&lt;&gt;"15",LEFT(M4215,2)&lt;&gt;"33"))),"x","")</f>
        <v/>
      </c>
      <c r="X4215" s="52" t="str">
        <f>IF(AND(OR(LEFT(TH!L4215,2)="15",LEFT(TH!M4215,2)="15"),'152-CT'!$J$8=TH!F4215),"x","")</f>
        <v/>
      </c>
      <c r="Y4215" s="52" t="str">
        <f>IF(AND(OR(LEFT(TH!L4215,2)="15",LEFT(TH!M4215,2)="15"),TK!$E$7=TH!F4215),"x","")</f>
        <v/>
      </c>
      <c r="Z4215" s="52" t="str">
        <f>IF(AND(B4215&lt;=NKC!$N$8,B4215&gt;=NKC!$M$8),"x","")</f>
        <v/>
      </c>
      <c r="AA4215" s="826"/>
    </row>
    <row r="4216" spans="1:27" ht="15.75" customHeight="1">
      <c r="A4216" s="827" t="str">
        <f>IF(B4216&lt;&gt;"",IF(AND(B4216&gt;=_TM1,B4216&lt;=_TM2,OR(TH!L4216="1111",TH!M4216="1111")),TH!D4216,""),"")</f>
        <v/>
      </c>
      <c r="B4216" s="36" t="str">
        <f t="shared" si="520"/>
        <v/>
      </c>
      <c r="C4216" s="190"/>
      <c r="D4216" s="37"/>
      <c r="E4216" s="785"/>
      <c r="F4216" s="40"/>
      <c r="G4216" s="832"/>
      <c r="H4216" s="7"/>
      <c r="I4216" s="253"/>
      <c r="J4216" s="253"/>
      <c r="K4216" s="584"/>
      <c r="L4216" s="39"/>
      <c r="M4216" s="39"/>
      <c r="N4216" s="52" t="str">
        <f>IF(AND('331-CT'!$E$7=TH!H4216,OR(L4216="331",M4216="331")),"331",IF(AND(OR(L4216="131",M4216="131"),H4216='131-CT'!$E$7),"131",""))</f>
        <v/>
      </c>
      <c r="O4216" s="52" t="str">
        <f>IF(AND($B4216&gt;='111'!$N$11,$B4216&lt;='111'!$O$11,OR($L4216=$O$7,$M4216=$O$7)),"x","")</f>
        <v/>
      </c>
      <c r="P4216" s="52" t="str">
        <f>IF(AND($L4216=$O$7,$B4216&lt;'111'!$N$11),"x","")</f>
        <v/>
      </c>
      <c r="Q4216" s="52" t="str">
        <f>IF(AND($M4216=$O$7,$B4216&lt;'111'!$N$11),"x","")</f>
        <v/>
      </c>
      <c r="R4216" s="52" t="str">
        <f>IF(ISERROR(FIND('112'!$M$9,G4216,1)),"",IF((AND(FIND('112'!$M$9,G4216,1)&gt;=1,$B4216&gt;='112'!$N$8,$B4216&lt;='112'!$O$8,OR($L4216='112'!$I$6,$M4216='112'!$I$6))),"x",""))</f>
        <v/>
      </c>
      <c r="S4216" s="52" t="str">
        <f>IF(ISERROR(FIND('112'!$M$9,G4216,1)),"",IF((AND(LEFT(G4216,2)=LEFT('112'!$M$9,2),B4216&lt;'112'!$N$8,$L4216='112'!$I$6)),"x",""))</f>
        <v/>
      </c>
      <c r="T4216" s="52" t="str">
        <f>IF(ISERROR(FIND('112'!$M$9,G4216,1)),"",IF((AND(RIGHT(G4216,2)=RIGHT('112'!$M$9,2),B4216&lt;'112'!$N$8,$M4216='112'!$I$6)),"x",""))</f>
        <v/>
      </c>
      <c r="U4216" s="52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/>
      </c>
      <c r="V4216" s="52" t="str">
        <f>IF(OR(TH!L4216=TH!$V$7,M4216=TH!$V$7),"x","")</f>
        <v/>
      </c>
      <c r="W4216" s="52" t="str">
        <f>IF(AND(B4216&gt;='IN-NX'!$P$3,B4216&lt;='IN-NX'!$Q$3,'IN-NX'!$D$7=D4216,OR(LEFT(L4216,2)="15",AND(LEFT(M4216,2)&lt;&gt;"15",LEFT(M4216,2)&lt;&gt;"33"))),"x","")</f>
        <v/>
      </c>
      <c r="X4216" s="52" t="str">
        <f>IF(AND(OR(LEFT(TH!L4216,2)="15",LEFT(TH!M4216,2)="15"),'152-CT'!$J$8=TH!F4216),"x","")</f>
        <v/>
      </c>
      <c r="Y4216" s="52" t="str">
        <f>IF(AND(OR(LEFT(TH!L4216,2)="15",LEFT(TH!M4216,2)="15"),TK!$E$7=TH!F4216),"x","")</f>
        <v/>
      </c>
      <c r="Z4216" s="52" t="str">
        <f>IF(AND(B4216&lt;=NKC!$N$8,B4216&gt;=NKC!$M$8),"x","")</f>
        <v/>
      </c>
      <c r="AA4216" s="826"/>
    </row>
    <row r="4217" spans="1:27" ht="15.75" customHeight="1">
      <c r="A4217" s="827" t="str">
        <f>IF(B4217&lt;&gt;"",IF(AND(B4217&gt;=_TM1,B4217&lt;=_TM2,OR(TH!L4217="1111",TH!M4217="1111")),TH!D4217,""),"")</f>
        <v/>
      </c>
      <c r="B4217" s="36" t="str">
        <f t="shared" si="520"/>
        <v/>
      </c>
      <c r="C4217" s="190"/>
      <c r="D4217" s="37"/>
      <c r="E4217" s="190"/>
      <c r="F4217" s="40"/>
      <c r="G4217" s="832"/>
      <c r="H4217" s="7"/>
      <c r="I4217" s="253"/>
      <c r="J4217" s="253"/>
      <c r="K4217" s="584"/>
      <c r="L4217" s="39"/>
      <c r="M4217" s="39"/>
      <c r="N4217" s="52" t="str">
        <f>IF(AND('331-CT'!$E$7=TH!H4217,OR(L4217="331",M4217="331")),"331",IF(AND(OR(L4217="131",M4217="131"),H4217='131-CT'!$E$7),"131",""))</f>
        <v/>
      </c>
      <c r="O4217" s="52" t="str">
        <f>IF(AND($B4217&gt;='111'!$N$11,$B4217&lt;='111'!$O$11,OR($L4217=$O$7,$M4217=$O$7)),"x","")</f>
        <v/>
      </c>
      <c r="P4217" s="52" t="str">
        <f>IF(AND($L4217=$O$7,$B4217&lt;'111'!$N$11),"x","")</f>
        <v/>
      </c>
      <c r="Q4217" s="52" t="str">
        <f>IF(AND($M4217=$O$7,$B4217&lt;'111'!$N$11),"x","")</f>
        <v/>
      </c>
      <c r="R4217" s="52" t="str">
        <f>IF(ISERROR(FIND('112'!$M$9,G4217,1)),"",IF((AND(FIND('112'!$M$9,G4217,1)&gt;=1,$B4217&gt;='112'!$N$8,$B4217&lt;='112'!$O$8,OR($L4217='112'!$I$6,$M4217='112'!$I$6))),"x",""))</f>
        <v/>
      </c>
      <c r="S4217" s="52" t="str">
        <f>IF(ISERROR(FIND('112'!$M$9,G4217,1)),"",IF((AND(LEFT(G4217,2)=LEFT('112'!$M$9,2),B4217&lt;'112'!$N$8,$L4217='112'!$I$6)),"x",""))</f>
        <v/>
      </c>
      <c r="T4217" s="52" t="str">
        <f>IF(ISERROR(FIND('112'!$M$9,G4217,1)),"",IF((AND(RIGHT(G4217,2)=RIGHT('112'!$M$9,2),B4217&lt;'112'!$N$8,$M4217='112'!$I$6)),"x",""))</f>
        <v/>
      </c>
      <c r="U4217" s="52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/>
      </c>
      <c r="V4217" s="52" t="str">
        <f>IF(OR(TH!L4217=TH!$V$7,M4217=TH!$V$7),"x","")</f>
        <v/>
      </c>
      <c r="W4217" s="52" t="str">
        <f>IF(AND(B4217&gt;='IN-NX'!$P$3,B4217&lt;='IN-NX'!$Q$3,'IN-NX'!$D$7=D4217,OR(LEFT(L4217,2)="15",AND(LEFT(M4217,2)&lt;&gt;"15",LEFT(M4217,2)&lt;&gt;"33"))),"x","")</f>
        <v/>
      </c>
      <c r="X4217" s="52" t="str">
        <f>IF(AND(OR(LEFT(TH!L4217,2)="15",LEFT(TH!M4217,2)="15"),'152-CT'!$J$8=TH!F4217),"x","")</f>
        <v/>
      </c>
      <c r="Y4217" s="52" t="str">
        <f>IF(AND(OR(LEFT(TH!L4217,2)="15",LEFT(TH!M4217,2)="15"),TK!$E$7=TH!F4217),"x","")</f>
        <v/>
      </c>
      <c r="Z4217" s="52" t="str">
        <f>IF(AND(B4217&lt;=NKC!$N$8,B4217&gt;=NKC!$M$8),"x","")</f>
        <v/>
      </c>
      <c r="AA4217" s="826"/>
    </row>
    <row r="4218" spans="1:27" ht="15.75" customHeight="1">
      <c r="A4218" s="827" t="str">
        <f>IF(B4218&lt;&gt;"",IF(AND(B4218&gt;=_TM1,B4218&lt;=_TM2,OR(TH!L4218="1111",TH!M4218="1111")),TH!D4218,""),"")</f>
        <v/>
      </c>
      <c r="B4218" s="36" t="str">
        <f t="shared" si="520"/>
        <v/>
      </c>
      <c r="C4218" s="190"/>
      <c r="D4218" s="37"/>
      <c r="E4218" s="190"/>
      <c r="F4218" s="40"/>
      <c r="G4218" s="832"/>
      <c r="H4218" s="7"/>
      <c r="I4218" s="253"/>
      <c r="J4218" s="253"/>
      <c r="K4218" s="584"/>
      <c r="L4218" s="39"/>
      <c r="M4218" s="39"/>
      <c r="N4218" s="52" t="str">
        <f>IF(AND('331-CT'!$E$7=TH!H4218,OR(L4218="331",M4218="331")),"331",IF(AND(OR(L4218="131",M4218="131"),H4218='131-CT'!$E$7),"131",""))</f>
        <v/>
      </c>
      <c r="O4218" s="52" t="str">
        <f>IF(AND($B4218&gt;='111'!$N$11,$B4218&lt;='111'!$O$11,OR($L4218=$O$7,$M4218=$O$7)),"x","")</f>
        <v/>
      </c>
      <c r="P4218" s="52" t="str">
        <f>IF(AND($L4218=$O$7,$B4218&lt;'111'!$N$11),"x","")</f>
        <v/>
      </c>
      <c r="Q4218" s="52" t="str">
        <f>IF(AND($M4218=$O$7,$B4218&lt;'111'!$N$11),"x","")</f>
        <v/>
      </c>
      <c r="R4218" s="52" t="str">
        <f>IF(ISERROR(FIND('112'!$M$9,G4218,1)),"",IF((AND(FIND('112'!$M$9,G4218,1)&gt;=1,$B4218&gt;='112'!$N$8,$B4218&lt;='112'!$O$8,OR($L4218='112'!$I$6,$M4218='112'!$I$6))),"x",""))</f>
        <v/>
      </c>
      <c r="S4218" s="52" t="str">
        <f>IF(ISERROR(FIND('112'!$M$9,G4218,1)),"",IF((AND(LEFT(G4218,2)=LEFT('112'!$M$9,2),B4218&lt;'112'!$N$8,$L4218='112'!$I$6)),"x",""))</f>
        <v/>
      </c>
      <c r="T4218" s="52" t="str">
        <f>IF(ISERROR(FIND('112'!$M$9,G4218,1)),"",IF((AND(RIGHT(G4218,2)=RIGHT('112'!$M$9,2),B4218&lt;'112'!$N$8,$M4218='112'!$I$6)),"x",""))</f>
        <v/>
      </c>
      <c r="U4218" s="52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/>
      </c>
      <c r="V4218" s="52" t="str">
        <f>IF(OR(TH!L4218=TH!$V$7,M4218=TH!$V$7),"x","")</f>
        <v/>
      </c>
      <c r="W4218" s="52" t="str">
        <f>IF(AND(B4218&gt;='IN-NX'!$P$3,B4218&lt;='IN-NX'!$Q$3,'IN-NX'!$D$7=D4218,OR(LEFT(L4218,2)="15",AND(LEFT(M4218,2)&lt;&gt;"15",LEFT(M4218,2)&lt;&gt;"33"))),"x","")</f>
        <v/>
      </c>
      <c r="X4218" s="52" t="str">
        <f>IF(AND(OR(LEFT(TH!L4218,2)="15",LEFT(TH!M4218,2)="15"),'152-CT'!$J$8=TH!F4218),"x","")</f>
        <v/>
      </c>
      <c r="Y4218" s="52" t="str">
        <f>IF(AND(OR(LEFT(TH!L4218,2)="15",LEFT(TH!M4218,2)="15"),TK!$E$7=TH!F4218),"x","")</f>
        <v/>
      </c>
      <c r="Z4218" s="52" t="str">
        <f>IF(AND(B4218&lt;=NKC!$N$8,B4218&gt;=NKC!$M$8),"x","")</f>
        <v/>
      </c>
      <c r="AA4218" s="826"/>
    </row>
    <row r="4219" spans="1:27" ht="15.75" customHeight="1">
      <c r="A4219" s="827" t="str">
        <f>IF(B4219&lt;&gt;"",IF(AND(B4219&gt;=_TM1,B4219&lt;=_TM2,OR(TH!L4219="1111",TH!M4219="1111")),TH!D4219,""),"")</f>
        <v/>
      </c>
      <c r="B4219" s="36" t="str">
        <f t="shared" si="520"/>
        <v/>
      </c>
      <c r="C4219" s="190"/>
      <c r="D4219" s="37"/>
      <c r="E4219" s="190"/>
      <c r="F4219" s="40"/>
      <c r="G4219" s="832"/>
      <c r="H4219" s="7"/>
      <c r="I4219" s="253"/>
      <c r="J4219" s="253"/>
      <c r="K4219" s="584"/>
      <c r="L4219" s="39"/>
      <c r="M4219" s="39"/>
      <c r="N4219" s="52" t="str">
        <f>IF(AND('331-CT'!$E$7=TH!H4219,OR(L4219="331",M4219="331")),"331",IF(AND(OR(L4219="131",M4219="131"),H4219='131-CT'!$E$7),"131",""))</f>
        <v/>
      </c>
      <c r="O4219" s="52" t="str">
        <f>IF(AND($B4219&gt;='111'!$N$11,$B4219&lt;='111'!$O$11,OR($L4219=$O$7,$M4219=$O$7)),"x","")</f>
        <v/>
      </c>
      <c r="P4219" s="52" t="str">
        <f>IF(AND($L4219=$O$7,$B4219&lt;'111'!$N$11),"x","")</f>
        <v/>
      </c>
      <c r="Q4219" s="52" t="str">
        <f>IF(AND($M4219=$O$7,$B4219&lt;'111'!$N$11),"x","")</f>
        <v/>
      </c>
      <c r="R4219" s="52" t="str">
        <f>IF(ISERROR(FIND('112'!$M$9,G4219,1)),"",IF((AND(FIND('112'!$M$9,G4219,1)&gt;=1,$B4219&gt;='112'!$N$8,$B4219&lt;='112'!$O$8,OR($L4219='112'!$I$6,$M4219='112'!$I$6))),"x",""))</f>
        <v/>
      </c>
      <c r="S4219" s="52" t="str">
        <f>IF(ISERROR(FIND('112'!$M$9,G4219,1)),"",IF((AND(LEFT(G4219,2)=LEFT('112'!$M$9,2),B4219&lt;'112'!$N$8,$L4219='112'!$I$6)),"x",""))</f>
        <v/>
      </c>
      <c r="T4219" s="52" t="str">
        <f>IF(ISERROR(FIND('112'!$M$9,G4219,1)),"",IF((AND(RIGHT(G4219,2)=RIGHT('112'!$M$9,2),B4219&lt;'112'!$N$8,$M4219='112'!$I$6)),"x",""))</f>
        <v/>
      </c>
      <c r="U4219" s="52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/>
      </c>
      <c r="V4219" s="52" t="str">
        <f>IF(OR(TH!L4219=TH!$V$7,M4219=TH!$V$7),"x","")</f>
        <v/>
      </c>
      <c r="W4219" s="52" t="str">
        <f>IF(AND(B4219&gt;='IN-NX'!$P$3,B4219&lt;='IN-NX'!$Q$3,'IN-NX'!$D$7=D4219,OR(LEFT(L4219,2)="15",AND(LEFT(M4219,2)&lt;&gt;"15",LEFT(M4219,2)&lt;&gt;"33"))),"x","")</f>
        <v/>
      </c>
      <c r="X4219" s="52" t="str">
        <f>IF(AND(OR(LEFT(TH!L4219,2)="15",LEFT(TH!M4219,2)="15"),'152-CT'!$J$8=TH!F4219),"x","")</f>
        <v/>
      </c>
      <c r="Y4219" s="52" t="str">
        <f>IF(AND(OR(LEFT(TH!L4219,2)="15",LEFT(TH!M4219,2)="15"),TK!$E$7=TH!F4219),"x","")</f>
        <v/>
      </c>
      <c r="Z4219" s="52" t="str">
        <f>IF(AND(B4219&lt;=NKC!$N$8,B4219&gt;=NKC!$M$8),"x","")</f>
        <v/>
      </c>
      <c r="AA4219" s="826"/>
    </row>
    <row r="4220" spans="1:27" ht="15.75" customHeight="1">
      <c r="A4220" s="827" t="str">
        <f>IF(B4220&lt;&gt;"",IF(AND(B4220&gt;=_TM1,B4220&lt;=_TM2,OR(TH!L4220="1111",TH!M4220="1111")),TH!D4220,""),"")</f>
        <v/>
      </c>
      <c r="B4220" s="36" t="str">
        <f t="shared" si="520"/>
        <v/>
      </c>
      <c r="C4220" s="190"/>
      <c r="D4220" s="37"/>
      <c r="E4220" s="190"/>
      <c r="F4220" s="40"/>
      <c r="G4220" s="832"/>
      <c r="H4220" s="7"/>
      <c r="I4220" s="253"/>
      <c r="J4220" s="253"/>
      <c r="K4220" s="584"/>
      <c r="L4220" s="39"/>
      <c r="M4220" s="39"/>
      <c r="N4220" s="52" t="str">
        <f>IF(AND('331-CT'!$E$7=TH!H4220,OR(L4220="331",M4220="331")),"331",IF(AND(OR(L4220="131",M4220="131"),H4220='131-CT'!$E$7),"131",""))</f>
        <v/>
      </c>
      <c r="O4220" s="52" t="str">
        <f>IF(AND($B4220&gt;='111'!$N$11,$B4220&lt;='111'!$O$11,OR($L4220=$O$7,$M4220=$O$7)),"x","")</f>
        <v/>
      </c>
      <c r="P4220" s="52" t="str">
        <f>IF(AND($L4220=$O$7,$B4220&lt;'111'!$N$11),"x","")</f>
        <v/>
      </c>
      <c r="Q4220" s="52" t="str">
        <f>IF(AND($M4220=$O$7,$B4220&lt;'111'!$N$11),"x","")</f>
        <v/>
      </c>
      <c r="R4220" s="52" t="str">
        <f>IF(ISERROR(FIND('112'!$M$9,G4220,1)),"",IF((AND(FIND('112'!$M$9,G4220,1)&gt;=1,$B4220&gt;='112'!$N$8,$B4220&lt;='112'!$O$8,OR($L4220='112'!$I$6,$M4220='112'!$I$6))),"x",""))</f>
        <v/>
      </c>
      <c r="S4220" s="52" t="str">
        <f>IF(ISERROR(FIND('112'!$M$9,G4220,1)),"",IF((AND(LEFT(G4220,2)=LEFT('112'!$M$9,2),B4220&lt;'112'!$N$8,$L4220='112'!$I$6)),"x",""))</f>
        <v/>
      </c>
      <c r="T4220" s="52" t="str">
        <f>IF(ISERROR(FIND('112'!$M$9,G4220,1)),"",IF((AND(RIGHT(G4220,2)=RIGHT('112'!$M$9,2),B4220&lt;'112'!$N$8,$M4220='112'!$I$6)),"x",""))</f>
        <v/>
      </c>
      <c r="U4220" s="52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/>
      </c>
      <c r="V4220" s="52" t="str">
        <f>IF(OR(TH!L4220=TH!$V$7,M4220=TH!$V$7),"x","")</f>
        <v/>
      </c>
      <c r="W4220" s="52" t="str">
        <f>IF(AND(B4220&gt;='IN-NX'!$P$3,B4220&lt;='IN-NX'!$Q$3,'IN-NX'!$D$7=D4220,OR(LEFT(L4220,2)="15",AND(LEFT(M4220,2)&lt;&gt;"15",LEFT(M4220,2)&lt;&gt;"33"))),"x","")</f>
        <v/>
      </c>
      <c r="X4220" s="52" t="str">
        <f>IF(AND(OR(LEFT(TH!L4220,2)="15",LEFT(TH!M4220,2)="15"),'152-CT'!$J$8=TH!F4220),"x","")</f>
        <v/>
      </c>
      <c r="Y4220" s="52" t="str">
        <f>IF(AND(OR(LEFT(TH!L4220,2)="15",LEFT(TH!M4220,2)="15"),TK!$E$7=TH!F4220),"x","")</f>
        <v/>
      </c>
      <c r="Z4220" s="52" t="str">
        <f>IF(AND(B4220&lt;=NKC!$N$8,B4220&gt;=NKC!$M$8),"x","")</f>
        <v/>
      </c>
      <c r="AA4220" s="826"/>
    </row>
    <row r="4221" spans="1:27" ht="15.75" customHeight="1">
      <c r="A4221" s="827" t="str">
        <f>IF(B4221&lt;&gt;"",IF(AND(B4221&gt;=_TM1,B4221&lt;=_TM2,OR(TH!L4221="1111",TH!M4221="1111")),TH!D4221,""),"")</f>
        <v/>
      </c>
      <c r="B4221" s="36" t="str">
        <f t="shared" si="520"/>
        <v/>
      </c>
      <c r="C4221" s="190"/>
      <c r="D4221" s="37"/>
      <c r="E4221" s="190"/>
      <c r="F4221" s="40"/>
      <c r="G4221" s="832"/>
      <c r="H4221" s="7"/>
      <c r="I4221" s="253"/>
      <c r="J4221" s="253"/>
      <c r="K4221" s="584"/>
      <c r="L4221" s="39"/>
      <c r="M4221" s="39"/>
      <c r="N4221" s="52" t="str">
        <f>IF(AND('331-CT'!$E$7=TH!H4221,OR(L4221="331",M4221="331")),"331",IF(AND(OR(L4221="131",M4221="131"),H4221='131-CT'!$E$7),"131",""))</f>
        <v/>
      </c>
      <c r="O4221" s="52" t="str">
        <f>IF(AND($B4221&gt;='111'!$N$11,$B4221&lt;='111'!$O$11,OR($L4221=$O$7,$M4221=$O$7)),"x","")</f>
        <v/>
      </c>
      <c r="P4221" s="52" t="str">
        <f>IF(AND($L4221=$O$7,$B4221&lt;'111'!$N$11),"x","")</f>
        <v/>
      </c>
      <c r="Q4221" s="52" t="str">
        <f>IF(AND($M4221=$O$7,$B4221&lt;'111'!$N$11),"x","")</f>
        <v/>
      </c>
      <c r="R4221" s="52" t="str">
        <f>IF(ISERROR(FIND('112'!$M$9,G4221,1)),"",IF((AND(FIND('112'!$M$9,G4221,1)&gt;=1,$B4221&gt;='112'!$N$8,$B4221&lt;='112'!$O$8,OR($L4221='112'!$I$6,$M4221='112'!$I$6))),"x",""))</f>
        <v/>
      </c>
      <c r="S4221" s="52" t="str">
        <f>IF(ISERROR(FIND('112'!$M$9,G4221,1)),"",IF((AND(LEFT(G4221,2)=LEFT('112'!$M$9,2),B4221&lt;'112'!$N$8,$L4221='112'!$I$6)),"x",""))</f>
        <v/>
      </c>
      <c r="T4221" s="52" t="str">
        <f>IF(ISERROR(FIND('112'!$M$9,G4221,1)),"",IF((AND(RIGHT(G4221,2)=RIGHT('112'!$M$9,2),B4221&lt;'112'!$N$8,$M4221='112'!$I$6)),"x",""))</f>
        <v/>
      </c>
      <c r="U4221" s="52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/>
      </c>
      <c r="V4221" s="52" t="str">
        <f>IF(OR(TH!L4221=TH!$V$7,M4221=TH!$V$7),"x","")</f>
        <v/>
      </c>
      <c r="W4221" s="52" t="str">
        <f>IF(AND(B4221&gt;='IN-NX'!$P$3,B4221&lt;='IN-NX'!$Q$3,'IN-NX'!$D$7=D4221,OR(LEFT(L4221,2)="15",AND(LEFT(M4221,2)&lt;&gt;"15",LEFT(M4221,2)&lt;&gt;"33"))),"x","")</f>
        <v/>
      </c>
      <c r="X4221" s="52" t="str">
        <f>IF(AND(OR(LEFT(TH!L4221,2)="15",LEFT(TH!M4221,2)="15"),'152-CT'!$J$8=TH!F4221),"x","")</f>
        <v/>
      </c>
      <c r="Y4221" s="52" t="str">
        <f>IF(AND(OR(LEFT(TH!L4221,2)="15",LEFT(TH!M4221,2)="15"),TK!$E$7=TH!F4221),"x","")</f>
        <v/>
      </c>
      <c r="Z4221" s="52" t="str">
        <f>IF(AND(B4221&lt;=NKC!$N$8,B4221&gt;=NKC!$M$8),"x","")</f>
        <v/>
      </c>
      <c r="AA4221" s="826"/>
    </row>
    <row r="4222" spans="1:27" ht="15.75" customHeight="1">
      <c r="A4222" s="827" t="str">
        <f>IF(B4222&lt;&gt;"",IF(AND(B4222&gt;=_TM1,B4222&lt;=_TM2,OR(TH!L4222="1111",TH!M4222="1111")),TH!D4222,""),"")</f>
        <v/>
      </c>
      <c r="B4222" s="36" t="str">
        <f t="shared" si="520"/>
        <v/>
      </c>
      <c r="C4222" s="190"/>
      <c r="D4222" s="37"/>
      <c r="E4222" s="190"/>
      <c r="F4222" s="40"/>
      <c r="G4222" s="832"/>
      <c r="H4222" s="7"/>
      <c r="I4222" s="253"/>
      <c r="J4222" s="253"/>
      <c r="K4222" s="584"/>
      <c r="L4222" s="39"/>
      <c r="M4222" s="39"/>
      <c r="N4222" s="52" t="str">
        <f>IF(AND('331-CT'!$E$7=TH!H4222,OR(L4222="331",M4222="331")),"331",IF(AND(OR(L4222="131",M4222="131"),H4222='131-CT'!$E$7),"131",""))</f>
        <v/>
      </c>
      <c r="O4222" s="52" t="str">
        <f>IF(AND($B4222&gt;='111'!$N$11,$B4222&lt;='111'!$O$11,OR($L4222=$O$7,$M4222=$O$7)),"x","")</f>
        <v/>
      </c>
      <c r="P4222" s="52" t="str">
        <f>IF(AND($L4222=$O$7,$B4222&lt;'111'!$N$11),"x","")</f>
        <v/>
      </c>
      <c r="Q4222" s="52" t="str">
        <f>IF(AND($M4222=$O$7,$B4222&lt;'111'!$N$11),"x","")</f>
        <v/>
      </c>
      <c r="R4222" s="52" t="str">
        <f>IF(ISERROR(FIND('112'!$M$9,G4222,1)),"",IF((AND(FIND('112'!$M$9,G4222,1)&gt;=1,$B4222&gt;='112'!$N$8,$B4222&lt;='112'!$O$8,OR($L4222='112'!$I$6,$M4222='112'!$I$6))),"x",""))</f>
        <v/>
      </c>
      <c r="S4222" s="52" t="str">
        <f>IF(ISERROR(FIND('112'!$M$9,G4222,1)),"",IF((AND(LEFT(G4222,2)=LEFT('112'!$M$9,2),B4222&lt;'112'!$N$8,$L4222='112'!$I$6)),"x",""))</f>
        <v/>
      </c>
      <c r="T4222" s="52" t="str">
        <f>IF(ISERROR(FIND('112'!$M$9,G4222,1)),"",IF((AND(RIGHT(G4222,2)=RIGHT('112'!$M$9,2),B4222&lt;'112'!$N$8,$M4222='112'!$I$6)),"x",""))</f>
        <v/>
      </c>
      <c r="U4222" s="52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/>
      </c>
      <c r="V4222" s="52" t="str">
        <f>IF(OR(TH!L4222=TH!$V$7,M4222=TH!$V$7),"x","")</f>
        <v/>
      </c>
      <c r="W4222" s="52" t="str">
        <f>IF(AND(B4222&gt;='IN-NX'!$P$3,B4222&lt;='IN-NX'!$Q$3,'IN-NX'!$D$7=D4222,OR(LEFT(L4222,2)="15",AND(LEFT(M4222,2)&lt;&gt;"15",LEFT(M4222,2)&lt;&gt;"33"))),"x","")</f>
        <v/>
      </c>
      <c r="X4222" s="52" t="str">
        <f>IF(AND(OR(LEFT(TH!L4222,2)="15",LEFT(TH!M4222,2)="15"),'152-CT'!$J$8=TH!F4222),"x","")</f>
        <v/>
      </c>
      <c r="Y4222" s="52" t="str">
        <f>IF(AND(OR(LEFT(TH!L4222,2)="15",LEFT(TH!M4222,2)="15"),TK!$E$7=TH!F4222),"x","")</f>
        <v/>
      </c>
      <c r="Z4222" s="52" t="str">
        <f>IF(AND(B4222&lt;=NKC!$N$8,B4222&gt;=NKC!$M$8),"x","")</f>
        <v/>
      </c>
      <c r="AA4222" s="826"/>
    </row>
    <row r="4223" spans="1:27" ht="15.75" customHeight="1">
      <c r="A4223" s="827" t="str">
        <f>IF(B4223&lt;&gt;"",IF(AND(B4223&gt;=_TM1,B4223&lt;=_TM2,OR(TH!L4223="1111",TH!M4223="1111")),TH!D4223,""),"")</f>
        <v/>
      </c>
      <c r="B4223" s="36" t="str">
        <f t="shared" si="520"/>
        <v/>
      </c>
      <c r="C4223" s="190"/>
      <c r="D4223" s="37"/>
      <c r="E4223" s="190"/>
      <c r="F4223" s="40"/>
      <c r="G4223" s="832"/>
      <c r="H4223" s="7"/>
      <c r="I4223" s="253"/>
      <c r="J4223" s="253"/>
      <c r="K4223" s="584"/>
      <c r="L4223" s="39"/>
      <c r="M4223" s="39"/>
      <c r="N4223" s="52" t="str">
        <f>IF(AND('331-CT'!$E$7=TH!H4223,OR(L4223="331",M4223="331")),"331",IF(AND(OR(L4223="131",M4223="131"),H4223='131-CT'!$E$7),"131",""))</f>
        <v/>
      </c>
      <c r="O4223" s="52" t="str">
        <f>IF(AND($B4223&gt;='111'!$N$11,$B4223&lt;='111'!$O$11,OR($L4223=$O$7,$M4223=$O$7)),"x","")</f>
        <v/>
      </c>
      <c r="P4223" s="52" t="str">
        <f>IF(AND($L4223=$O$7,$B4223&lt;'111'!$N$11),"x","")</f>
        <v/>
      </c>
      <c r="Q4223" s="52" t="str">
        <f>IF(AND($M4223=$O$7,$B4223&lt;'111'!$N$11),"x","")</f>
        <v/>
      </c>
      <c r="R4223" s="52" t="str">
        <f>IF(ISERROR(FIND('112'!$M$9,G4223,1)),"",IF((AND(FIND('112'!$M$9,G4223,1)&gt;=1,$B4223&gt;='112'!$N$8,$B4223&lt;='112'!$O$8,OR($L4223='112'!$I$6,$M4223='112'!$I$6))),"x",""))</f>
        <v/>
      </c>
      <c r="S4223" s="52" t="str">
        <f>IF(ISERROR(FIND('112'!$M$9,G4223,1)),"",IF((AND(LEFT(G4223,2)=LEFT('112'!$M$9,2),B4223&lt;'112'!$N$8,$L4223='112'!$I$6)),"x",""))</f>
        <v/>
      </c>
      <c r="T4223" s="52" t="str">
        <f>IF(ISERROR(FIND('112'!$M$9,G4223,1)),"",IF((AND(RIGHT(G4223,2)=RIGHT('112'!$M$9,2),B4223&lt;'112'!$N$8,$M4223='112'!$I$6)),"x",""))</f>
        <v/>
      </c>
      <c r="U4223" s="52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/>
      </c>
      <c r="V4223" s="52" t="str">
        <f>IF(OR(TH!L4223=TH!$V$7,M4223=TH!$V$7),"x","")</f>
        <v/>
      </c>
      <c r="W4223" s="52" t="str">
        <f>IF(AND(B4223&gt;='IN-NX'!$P$3,B4223&lt;='IN-NX'!$Q$3,'IN-NX'!$D$7=D4223,OR(LEFT(L4223,2)="15",AND(LEFT(M4223,2)&lt;&gt;"15",LEFT(M4223,2)&lt;&gt;"33"))),"x","")</f>
        <v/>
      </c>
      <c r="X4223" s="52" t="str">
        <f>IF(AND(OR(LEFT(TH!L4223,2)="15",LEFT(TH!M4223,2)="15"),'152-CT'!$J$8=TH!F4223),"x","")</f>
        <v/>
      </c>
      <c r="Y4223" s="52" t="str">
        <f>IF(AND(OR(LEFT(TH!L4223,2)="15",LEFT(TH!M4223,2)="15"),TK!$E$7=TH!F4223),"x","")</f>
        <v/>
      </c>
      <c r="Z4223" s="52" t="str">
        <f>IF(AND(B4223&lt;=NKC!$N$8,B4223&gt;=NKC!$M$8),"x","")</f>
        <v/>
      </c>
      <c r="AA4223" s="826"/>
    </row>
    <row r="4224" spans="1:27" ht="15.75" customHeight="1">
      <c r="A4224" s="827" t="str">
        <f>IF(B4224&lt;&gt;"",IF(AND(B4224&gt;=_TM1,B4224&lt;=_TM2,OR(TH!L4224="1111",TH!M4224="1111")),TH!D4224,""),"")</f>
        <v/>
      </c>
      <c r="B4224" s="36" t="str">
        <f t="shared" si="520"/>
        <v/>
      </c>
      <c r="C4224" s="190"/>
      <c r="D4224" s="37"/>
      <c r="E4224" s="190"/>
      <c r="F4224" s="40"/>
      <c r="G4224" s="832"/>
      <c r="H4224" s="7"/>
      <c r="I4224" s="253"/>
      <c r="J4224" s="253"/>
      <c r="K4224" s="584"/>
      <c r="L4224" s="39"/>
      <c r="M4224" s="39"/>
      <c r="N4224" s="52" t="str">
        <f>IF(AND('331-CT'!$E$7=TH!H4224,OR(L4224="331",M4224="331")),"331",IF(AND(OR(L4224="131",M4224="131"),H4224='131-CT'!$E$7),"131",""))</f>
        <v/>
      </c>
      <c r="O4224" s="52" t="str">
        <f>IF(AND($B4224&gt;='111'!$N$11,$B4224&lt;='111'!$O$11,OR($L4224=$O$7,$M4224=$O$7)),"x","")</f>
        <v/>
      </c>
      <c r="P4224" s="52" t="str">
        <f>IF(AND($L4224=$O$7,$B4224&lt;'111'!$N$11),"x","")</f>
        <v/>
      </c>
      <c r="Q4224" s="52" t="str">
        <f>IF(AND($M4224=$O$7,$B4224&lt;'111'!$N$11),"x","")</f>
        <v/>
      </c>
      <c r="R4224" s="52" t="str">
        <f>IF(ISERROR(FIND('112'!$M$9,G4224,1)),"",IF((AND(FIND('112'!$M$9,G4224,1)&gt;=1,$B4224&gt;='112'!$N$8,$B4224&lt;='112'!$O$8,OR($L4224='112'!$I$6,$M4224='112'!$I$6))),"x",""))</f>
        <v/>
      </c>
      <c r="S4224" s="52" t="str">
        <f>IF(ISERROR(FIND('112'!$M$9,G4224,1)),"",IF((AND(LEFT(G4224,2)=LEFT('112'!$M$9,2),B4224&lt;'112'!$N$8,$L4224='112'!$I$6)),"x",""))</f>
        <v/>
      </c>
      <c r="T4224" s="52" t="str">
        <f>IF(ISERROR(FIND('112'!$M$9,G4224,1)),"",IF((AND(RIGHT(G4224,2)=RIGHT('112'!$M$9,2),B4224&lt;'112'!$N$8,$M4224='112'!$I$6)),"x",""))</f>
        <v/>
      </c>
      <c r="U4224" s="52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/>
      </c>
      <c r="V4224" s="52" t="str">
        <f>IF(OR(TH!L4224=TH!$V$7,M4224=TH!$V$7),"x","")</f>
        <v/>
      </c>
      <c r="W4224" s="52" t="str">
        <f>IF(AND(B4224&gt;='IN-NX'!$P$3,B4224&lt;='IN-NX'!$Q$3,'IN-NX'!$D$7=D4224,OR(LEFT(L4224,2)="15",AND(LEFT(M4224,2)&lt;&gt;"15",LEFT(M4224,2)&lt;&gt;"33"))),"x","")</f>
        <v/>
      </c>
      <c r="X4224" s="52" t="str">
        <f>IF(AND(OR(LEFT(TH!L4224,2)="15",LEFT(TH!M4224,2)="15"),'152-CT'!$J$8=TH!F4224),"x","")</f>
        <v/>
      </c>
      <c r="Y4224" s="52" t="str">
        <f>IF(AND(OR(LEFT(TH!L4224,2)="15",LEFT(TH!M4224,2)="15"),TK!$E$7=TH!F4224),"x","")</f>
        <v/>
      </c>
      <c r="Z4224" s="52" t="str">
        <f>IF(AND(B4224&lt;=NKC!$N$8,B4224&gt;=NKC!$M$8),"x","")</f>
        <v/>
      </c>
      <c r="AA4224" s="826"/>
    </row>
    <row r="4225" spans="1:27" ht="15.75" customHeight="1">
      <c r="A4225" s="827" t="str">
        <f>IF(B4225&lt;&gt;"",IF(AND(B4225&gt;=_TM1,B4225&lt;=_TM2,OR(TH!L4225="1111",TH!M4225="1111")),TH!D4225,""),"")</f>
        <v/>
      </c>
      <c r="B4225" s="36" t="str">
        <f t="shared" si="520"/>
        <v/>
      </c>
      <c r="C4225" s="190"/>
      <c r="D4225" s="37"/>
      <c r="E4225" s="190"/>
      <c r="F4225" s="40"/>
      <c r="G4225" s="832"/>
      <c r="H4225" s="7"/>
      <c r="I4225" s="253"/>
      <c r="J4225" s="253"/>
      <c r="K4225" s="584"/>
      <c r="L4225" s="39"/>
      <c r="M4225" s="39"/>
      <c r="N4225" s="52" t="str">
        <f>IF(AND('331-CT'!$E$7=TH!H4225,OR(L4225="331",M4225="331")),"331",IF(AND(OR(L4225="131",M4225="131"),H4225='131-CT'!$E$7),"131",""))</f>
        <v/>
      </c>
      <c r="O4225" s="52" t="str">
        <f>IF(AND($B4225&gt;='111'!$N$11,$B4225&lt;='111'!$O$11,OR($L4225=$O$7,$M4225=$O$7)),"x","")</f>
        <v/>
      </c>
      <c r="P4225" s="52" t="str">
        <f>IF(AND($L4225=$O$7,$B4225&lt;'111'!$N$11),"x","")</f>
        <v/>
      </c>
      <c r="Q4225" s="52" t="str">
        <f>IF(AND($M4225=$O$7,$B4225&lt;'111'!$N$11),"x","")</f>
        <v/>
      </c>
      <c r="R4225" s="52" t="str">
        <f>IF(ISERROR(FIND('112'!$M$9,G4225,1)),"",IF((AND(FIND('112'!$M$9,G4225,1)&gt;=1,$B4225&gt;='112'!$N$8,$B4225&lt;='112'!$O$8,OR($L4225='112'!$I$6,$M4225='112'!$I$6))),"x",""))</f>
        <v/>
      </c>
      <c r="S4225" s="52" t="str">
        <f>IF(ISERROR(FIND('112'!$M$9,G4225,1)),"",IF((AND(LEFT(G4225,2)=LEFT('112'!$M$9,2),B4225&lt;'112'!$N$8,$L4225='112'!$I$6)),"x",""))</f>
        <v/>
      </c>
      <c r="T4225" s="52" t="str">
        <f>IF(ISERROR(FIND('112'!$M$9,G4225,1)),"",IF((AND(RIGHT(G4225,2)=RIGHT('112'!$M$9,2),B4225&lt;'112'!$N$8,$M4225='112'!$I$6)),"x",""))</f>
        <v/>
      </c>
      <c r="U4225" s="52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/>
      </c>
      <c r="V4225" s="52" t="str">
        <f>IF(OR(TH!L4225=TH!$V$7,M4225=TH!$V$7),"x","")</f>
        <v/>
      </c>
      <c r="W4225" s="52" t="str">
        <f>IF(AND(B4225&gt;='IN-NX'!$P$3,B4225&lt;='IN-NX'!$Q$3,'IN-NX'!$D$7=D4225,OR(LEFT(L4225,2)="15",AND(LEFT(M4225,2)&lt;&gt;"15",LEFT(M4225,2)&lt;&gt;"33"))),"x","")</f>
        <v/>
      </c>
      <c r="X4225" s="52" t="str">
        <f>IF(AND(OR(LEFT(TH!L4225,2)="15",LEFT(TH!M4225,2)="15"),'152-CT'!$J$8=TH!F4225),"x","")</f>
        <v/>
      </c>
      <c r="Y4225" s="52" t="str">
        <f>IF(AND(OR(LEFT(TH!L4225,2)="15",LEFT(TH!M4225,2)="15"),TK!$E$7=TH!F4225),"x","")</f>
        <v/>
      </c>
      <c r="Z4225" s="52" t="str">
        <f>IF(AND(B4225&lt;=NKC!$N$8,B4225&gt;=NKC!$M$8),"x","")</f>
        <v/>
      </c>
      <c r="AA4225" s="826"/>
    </row>
    <row r="4226" spans="1:27" ht="15.75" customHeight="1">
      <c r="A4226" s="827" t="str">
        <f>IF(B4226&lt;&gt;"",IF(AND(B4226&gt;=_TM1,B4226&lt;=_TM2,OR(TH!L4226="1111",TH!M4226="1111")),TH!D4226,""),"")</f>
        <v/>
      </c>
      <c r="B4226" s="36" t="str">
        <f t="shared" si="520"/>
        <v/>
      </c>
      <c r="C4226" s="190"/>
      <c r="D4226" s="37"/>
      <c r="E4226" s="190"/>
      <c r="F4226" s="40"/>
      <c r="G4226" s="832"/>
      <c r="H4226" s="7"/>
      <c r="I4226" s="253"/>
      <c r="J4226" s="253"/>
      <c r="K4226" s="584"/>
      <c r="L4226" s="39"/>
      <c r="M4226" s="39"/>
      <c r="N4226" s="52" t="str">
        <f>IF(AND('331-CT'!$E$7=TH!H4226,OR(L4226="331",M4226="331")),"331",IF(AND(OR(L4226="131",M4226="131"),H4226='131-CT'!$E$7),"131",""))</f>
        <v/>
      </c>
      <c r="O4226" s="52" t="str">
        <f>IF(AND($B4226&gt;='111'!$N$11,$B4226&lt;='111'!$O$11,OR($L4226=$O$7,$M4226=$O$7)),"x","")</f>
        <v/>
      </c>
      <c r="P4226" s="52" t="str">
        <f>IF(AND($L4226=$O$7,$B4226&lt;'111'!$N$11),"x","")</f>
        <v/>
      </c>
      <c r="Q4226" s="52" t="str">
        <f>IF(AND($M4226=$O$7,$B4226&lt;'111'!$N$11),"x","")</f>
        <v/>
      </c>
      <c r="R4226" s="52" t="str">
        <f>IF(ISERROR(FIND('112'!$M$9,G4226,1)),"",IF((AND(FIND('112'!$M$9,G4226,1)&gt;=1,$B4226&gt;='112'!$N$8,$B4226&lt;='112'!$O$8,OR($L4226='112'!$I$6,$M4226='112'!$I$6))),"x",""))</f>
        <v/>
      </c>
      <c r="S4226" s="52" t="str">
        <f>IF(ISERROR(FIND('112'!$M$9,G4226,1)),"",IF((AND(LEFT(G4226,2)=LEFT('112'!$M$9,2),B4226&lt;'112'!$N$8,$L4226='112'!$I$6)),"x",""))</f>
        <v/>
      </c>
      <c r="T4226" s="52" t="str">
        <f>IF(ISERROR(FIND('112'!$M$9,G4226,1)),"",IF((AND(RIGHT(G4226,2)=RIGHT('112'!$M$9,2),B4226&lt;'112'!$N$8,$M4226='112'!$I$6)),"x",""))</f>
        <v/>
      </c>
      <c r="U4226" s="52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/>
      </c>
      <c r="V4226" s="52" t="str">
        <f>IF(OR(TH!L4226=TH!$V$7,M4226=TH!$V$7),"x","")</f>
        <v/>
      </c>
      <c r="W4226" s="52" t="str">
        <f>IF(AND(B4226&gt;='IN-NX'!$P$3,B4226&lt;='IN-NX'!$Q$3,'IN-NX'!$D$7=D4226,OR(LEFT(L4226,2)="15",AND(LEFT(M4226,2)&lt;&gt;"15",LEFT(M4226,2)&lt;&gt;"33"))),"x","")</f>
        <v/>
      </c>
      <c r="X4226" s="52" t="str">
        <f>IF(AND(OR(LEFT(TH!L4226,2)="15",LEFT(TH!M4226,2)="15"),'152-CT'!$J$8=TH!F4226),"x","")</f>
        <v/>
      </c>
      <c r="Y4226" s="52" t="str">
        <f>IF(AND(OR(LEFT(TH!L4226,2)="15",LEFT(TH!M4226,2)="15"),TK!$E$7=TH!F4226),"x","")</f>
        <v/>
      </c>
      <c r="Z4226" s="52" t="str">
        <f>IF(AND(B4226&lt;=NKC!$N$8,B4226&gt;=NKC!$M$8),"x","")</f>
        <v/>
      </c>
      <c r="AA4226" s="826"/>
    </row>
    <row r="4227" spans="1:27" ht="15.75" customHeight="1">
      <c r="A4227" s="827" t="str">
        <f>IF(B4227&lt;&gt;"",IF(AND(B4227&gt;=_TM1,B4227&lt;=_TM2,OR(TH!L4227="1111",TH!M4227="1111")),TH!D4227,""),"")</f>
        <v/>
      </c>
      <c r="B4227" s="36" t="str">
        <f t="shared" si="520"/>
        <v/>
      </c>
      <c r="C4227" s="190"/>
      <c r="D4227" s="37"/>
      <c r="E4227" s="190"/>
      <c r="F4227" s="40"/>
      <c r="G4227" s="832"/>
      <c r="H4227" s="7"/>
      <c r="I4227" s="253"/>
      <c r="J4227" s="253"/>
      <c r="K4227" s="584"/>
      <c r="L4227" s="39"/>
      <c r="M4227" s="39"/>
      <c r="N4227" s="52" t="str">
        <f>IF(AND('331-CT'!$E$7=TH!H4227,OR(L4227="331",M4227="331")),"331",IF(AND(OR(L4227="131",M4227="131"),H4227='131-CT'!$E$7),"131",""))</f>
        <v/>
      </c>
      <c r="O4227" s="52" t="str">
        <f>IF(AND($B4227&gt;='111'!$N$11,$B4227&lt;='111'!$O$11,OR($L4227=$O$7,$M4227=$O$7)),"x","")</f>
        <v/>
      </c>
      <c r="P4227" s="52" t="str">
        <f>IF(AND($L4227=$O$7,$B4227&lt;'111'!$N$11),"x","")</f>
        <v/>
      </c>
      <c r="Q4227" s="52" t="str">
        <f>IF(AND($M4227=$O$7,$B4227&lt;'111'!$N$11),"x","")</f>
        <v/>
      </c>
      <c r="R4227" s="52" t="str">
        <f>IF(ISERROR(FIND('112'!$M$9,G4227,1)),"",IF((AND(FIND('112'!$M$9,G4227,1)&gt;=1,$B4227&gt;='112'!$N$8,$B4227&lt;='112'!$O$8,OR($L4227='112'!$I$6,$M4227='112'!$I$6))),"x",""))</f>
        <v/>
      </c>
      <c r="S4227" s="52" t="str">
        <f>IF(ISERROR(FIND('112'!$M$9,G4227,1)),"",IF((AND(LEFT(G4227,2)=LEFT('112'!$M$9,2),B4227&lt;'112'!$N$8,$L4227='112'!$I$6)),"x",""))</f>
        <v/>
      </c>
      <c r="T4227" s="52" t="str">
        <f>IF(ISERROR(FIND('112'!$M$9,G4227,1)),"",IF((AND(RIGHT(G4227,2)=RIGHT('112'!$M$9,2),B4227&lt;'112'!$N$8,$M4227='112'!$I$6)),"x",""))</f>
        <v/>
      </c>
      <c r="U4227" s="52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/>
      </c>
      <c r="V4227" s="52" t="str">
        <f>IF(OR(TH!L4227=TH!$V$7,M4227=TH!$V$7),"x","")</f>
        <v/>
      </c>
      <c r="W4227" s="52" t="str">
        <f>IF(AND(B4227&gt;='IN-NX'!$P$3,B4227&lt;='IN-NX'!$Q$3,'IN-NX'!$D$7=D4227,OR(LEFT(L4227,2)="15",AND(LEFT(M4227,2)&lt;&gt;"15",LEFT(M4227,2)&lt;&gt;"33"))),"x","")</f>
        <v/>
      </c>
      <c r="X4227" s="52" t="str">
        <f>IF(AND(OR(LEFT(TH!L4227,2)="15",LEFT(TH!M4227,2)="15"),'152-CT'!$J$8=TH!F4227),"x","")</f>
        <v/>
      </c>
      <c r="Y4227" s="52" t="str">
        <f>IF(AND(OR(LEFT(TH!L4227,2)="15",LEFT(TH!M4227,2)="15"),TK!$E$7=TH!F4227),"x","")</f>
        <v/>
      </c>
      <c r="Z4227" s="52" t="str">
        <f>IF(AND(B4227&lt;=NKC!$N$8,B4227&gt;=NKC!$M$8),"x","")</f>
        <v/>
      </c>
      <c r="AA4227" s="826"/>
    </row>
    <row r="4228" spans="1:27" ht="15.75" customHeight="1">
      <c r="A4228" s="827" t="str">
        <f>IF(B4228&lt;&gt;"",IF(AND(B4228&gt;=_TM1,B4228&lt;=_TM2,OR(TH!L4228="1111",TH!M4228="1111")),TH!D4228,""),"")</f>
        <v/>
      </c>
      <c r="B4228" s="36" t="str">
        <f t="shared" si="520"/>
        <v/>
      </c>
      <c r="C4228" s="190"/>
      <c r="D4228" s="37"/>
      <c r="E4228" s="190"/>
      <c r="F4228" s="40"/>
      <c r="G4228" s="832"/>
      <c r="H4228" s="7"/>
      <c r="I4228" s="253"/>
      <c r="J4228" s="253"/>
      <c r="K4228" s="584"/>
      <c r="L4228" s="39"/>
      <c r="M4228" s="39"/>
      <c r="N4228" s="52" t="str">
        <f>IF(AND('331-CT'!$E$7=TH!H4228,OR(L4228="331",M4228="331")),"331",IF(AND(OR(L4228="131",M4228="131"),H4228='131-CT'!$E$7),"131",""))</f>
        <v/>
      </c>
      <c r="O4228" s="52" t="str">
        <f>IF(AND($B4228&gt;='111'!$N$11,$B4228&lt;='111'!$O$11,OR($L4228=$O$7,$M4228=$O$7)),"x","")</f>
        <v/>
      </c>
      <c r="P4228" s="52" t="str">
        <f>IF(AND($L4228=$O$7,$B4228&lt;'111'!$N$11),"x","")</f>
        <v/>
      </c>
      <c r="Q4228" s="52" t="str">
        <f>IF(AND($M4228=$O$7,$B4228&lt;'111'!$N$11),"x","")</f>
        <v/>
      </c>
      <c r="R4228" s="52" t="str">
        <f>IF(ISERROR(FIND('112'!$M$9,G4228,1)),"",IF((AND(FIND('112'!$M$9,G4228,1)&gt;=1,$B4228&gt;='112'!$N$8,$B4228&lt;='112'!$O$8,OR($L4228='112'!$I$6,$M4228='112'!$I$6))),"x",""))</f>
        <v/>
      </c>
      <c r="S4228" s="52" t="str">
        <f>IF(ISERROR(FIND('112'!$M$9,G4228,1)),"",IF((AND(LEFT(G4228,2)=LEFT('112'!$M$9,2),B4228&lt;'112'!$N$8,$L4228='112'!$I$6)),"x",""))</f>
        <v/>
      </c>
      <c r="T4228" s="52" t="str">
        <f>IF(ISERROR(FIND('112'!$M$9,G4228,1)),"",IF((AND(RIGHT(G4228,2)=RIGHT('112'!$M$9,2),B4228&lt;'112'!$N$8,$M4228='112'!$I$6)),"x",""))</f>
        <v/>
      </c>
      <c r="U4228" s="52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/>
      </c>
      <c r="V4228" s="52" t="str">
        <f>IF(OR(TH!L4228=TH!$V$7,M4228=TH!$V$7),"x","")</f>
        <v/>
      </c>
      <c r="W4228" s="52" t="str">
        <f>IF(AND(B4228&gt;='IN-NX'!$P$3,B4228&lt;='IN-NX'!$Q$3,'IN-NX'!$D$7=D4228,OR(LEFT(L4228,2)="15",AND(LEFT(M4228,2)&lt;&gt;"15",LEFT(M4228,2)&lt;&gt;"33"))),"x","")</f>
        <v/>
      </c>
      <c r="X4228" s="52" t="str">
        <f>IF(AND(OR(LEFT(TH!L4228,2)="15",LEFT(TH!M4228,2)="15"),'152-CT'!$J$8=TH!F4228),"x","")</f>
        <v/>
      </c>
      <c r="Y4228" s="52" t="str">
        <f>IF(AND(OR(LEFT(TH!L4228,2)="15",LEFT(TH!M4228,2)="15"),TK!$E$7=TH!F4228),"x","")</f>
        <v/>
      </c>
      <c r="Z4228" s="52" t="str">
        <f>IF(AND(B4228&lt;=NKC!$N$8,B4228&gt;=NKC!$M$8),"x","")</f>
        <v/>
      </c>
      <c r="AA4228" s="826"/>
    </row>
    <row r="4229" spans="1:27" ht="15.75" customHeight="1">
      <c r="A4229" s="827" t="str">
        <f>IF(B4229&lt;&gt;"",IF(AND(B4229&gt;=_TM1,B4229&lt;=_TM2,OR(TH!L4229="1111",TH!M4229="1111")),TH!D4229,""),"")</f>
        <v/>
      </c>
      <c r="B4229" s="36" t="str">
        <f t="shared" si="520"/>
        <v/>
      </c>
      <c r="C4229" s="190"/>
      <c r="D4229" s="37"/>
      <c r="E4229" s="190"/>
      <c r="F4229" s="40"/>
      <c r="G4229" s="832"/>
      <c r="H4229" s="7"/>
      <c r="I4229" s="253"/>
      <c r="J4229" s="253"/>
      <c r="K4229" s="584"/>
      <c r="L4229" s="39"/>
      <c r="M4229" s="39"/>
      <c r="N4229" s="52" t="str">
        <f>IF(AND('331-CT'!$E$7=TH!H4229,OR(L4229="331",M4229="331")),"331",IF(AND(OR(L4229="131",M4229="131"),H4229='131-CT'!$E$7),"131",""))</f>
        <v/>
      </c>
      <c r="O4229" s="52" t="str">
        <f>IF(AND($B4229&gt;='111'!$N$11,$B4229&lt;='111'!$O$11,OR($L4229=$O$7,$M4229=$O$7)),"x","")</f>
        <v/>
      </c>
      <c r="P4229" s="52" t="str">
        <f>IF(AND($L4229=$O$7,$B4229&lt;'111'!$N$11),"x","")</f>
        <v/>
      </c>
      <c r="Q4229" s="52" t="str">
        <f>IF(AND($M4229=$O$7,$B4229&lt;'111'!$N$11),"x","")</f>
        <v/>
      </c>
      <c r="R4229" s="52" t="str">
        <f>IF(ISERROR(FIND('112'!$M$9,G4229,1)),"",IF((AND(FIND('112'!$M$9,G4229,1)&gt;=1,$B4229&gt;='112'!$N$8,$B4229&lt;='112'!$O$8,OR($L4229='112'!$I$6,$M4229='112'!$I$6))),"x",""))</f>
        <v/>
      </c>
      <c r="S4229" s="52" t="str">
        <f>IF(ISERROR(FIND('112'!$M$9,G4229,1)),"",IF((AND(LEFT(G4229,2)=LEFT('112'!$M$9,2),B4229&lt;'112'!$N$8,$L4229='112'!$I$6)),"x",""))</f>
        <v/>
      </c>
      <c r="T4229" s="52" t="str">
        <f>IF(ISERROR(FIND('112'!$M$9,G4229,1)),"",IF((AND(RIGHT(G4229,2)=RIGHT('112'!$M$9,2),B4229&lt;'112'!$N$8,$M4229='112'!$I$6)),"x",""))</f>
        <v/>
      </c>
      <c r="U4229" s="52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/>
      </c>
      <c r="V4229" s="52" t="str">
        <f>IF(OR(TH!L4229=TH!$V$7,M4229=TH!$V$7),"x","")</f>
        <v/>
      </c>
      <c r="W4229" s="52" t="str">
        <f>IF(AND(B4229&gt;='IN-NX'!$P$3,B4229&lt;='IN-NX'!$Q$3,'IN-NX'!$D$7=D4229,OR(LEFT(L4229,2)="15",AND(LEFT(M4229,2)&lt;&gt;"15",LEFT(M4229,2)&lt;&gt;"33"))),"x","")</f>
        <v/>
      </c>
      <c r="X4229" s="52" t="str">
        <f>IF(AND(OR(LEFT(TH!L4229,2)="15",LEFT(TH!M4229,2)="15"),'152-CT'!$J$8=TH!F4229),"x","")</f>
        <v/>
      </c>
      <c r="Y4229" s="52" t="str">
        <f>IF(AND(OR(LEFT(TH!L4229,2)="15",LEFT(TH!M4229,2)="15"),TK!$E$7=TH!F4229),"x","")</f>
        <v/>
      </c>
      <c r="Z4229" s="52" t="str">
        <f>IF(AND(B4229&lt;=NKC!$N$8,B4229&gt;=NKC!$M$8),"x","")</f>
        <v/>
      </c>
      <c r="AA4229" s="826"/>
    </row>
    <row r="4230" spans="1:27" ht="15.75" customHeight="1">
      <c r="A4230" s="827" t="str">
        <f>IF(B4230&lt;&gt;"",IF(AND(B4230&gt;=_TM1,B4230&lt;=_TM2,OR(TH!L4230="1111",TH!M4230="1111")),TH!D4230,""),"")</f>
        <v/>
      </c>
      <c r="B4230" s="36" t="str">
        <f t="shared" si="520"/>
        <v/>
      </c>
      <c r="C4230" s="190"/>
      <c r="D4230" s="37"/>
      <c r="E4230" s="190"/>
      <c r="F4230" s="40"/>
      <c r="G4230" s="832"/>
      <c r="H4230" s="7"/>
      <c r="I4230" s="253"/>
      <c r="J4230" s="253"/>
      <c r="K4230" s="584"/>
      <c r="L4230" s="39"/>
      <c r="M4230" s="39"/>
      <c r="N4230" s="52" t="str">
        <f>IF(AND('331-CT'!$E$7=TH!H4230,OR(L4230="331",M4230="331")),"331",IF(AND(OR(L4230="131",M4230="131"),H4230='131-CT'!$E$7),"131",""))</f>
        <v/>
      </c>
      <c r="O4230" s="52" t="str">
        <f>IF(AND($B4230&gt;='111'!$N$11,$B4230&lt;='111'!$O$11,OR($L4230=$O$7,$M4230=$O$7)),"x","")</f>
        <v/>
      </c>
      <c r="P4230" s="52" t="str">
        <f>IF(AND($L4230=$O$7,$B4230&lt;'111'!$N$11),"x","")</f>
        <v/>
      </c>
      <c r="Q4230" s="52" t="str">
        <f>IF(AND($M4230=$O$7,$B4230&lt;'111'!$N$11),"x","")</f>
        <v/>
      </c>
      <c r="R4230" s="52" t="str">
        <f>IF(ISERROR(FIND('112'!$M$9,G4230,1)),"",IF((AND(FIND('112'!$M$9,G4230,1)&gt;=1,$B4230&gt;='112'!$N$8,$B4230&lt;='112'!$O$8,OR($L4230='112'!$I$6,$M4230='112'!$I$6))),"x",""))</f>
        <v/>
      </c>
      <c r="S4230" s="52" t="str">
        <f>IF(ISERROR(FIND('112'!$M$9,G4230,1)),"",IF((AND(LEFT(G4230,2)=LEFT('112'!$M$9,2),B4230&lt;'112'!$N$8,$L4230='112'!$I$6)),"x",""))</f>
        <v/>
      </c>
      <c r="T4230" s="52" t="str">
        <f>IF(ISERROR(FIND('112'!$M$9,G4230,1)),"",IF((AND(RIGHT(G4230,2)=RIGHT('112'!$M$9,2),B4230&lt;'112'!$N$8,$M4230='112'!$I$6)),"x",""))</f>
        <v/>
      </c>
      <c r="U4230" s="52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/>
      </c>
      <c r="V4230" s="52" t="str">
        <f>IF(OR(TH!L4230=TH!$V$7,M4230=TH!$V$7),"x","")</f>
        <v/>
      </c>
      <c r="W4230" s="52" t="str">
        <f>IF(AND(B4230&gt;='IN-NX'!$P$3,B4230&lt;='IN-NX'!$Q$3,'IN-NX'!$D$7=D4230,OR(LEFT(L4230,2)="15",AND(LEFT(M4230,2)&lt;&gt;"15",LEFT(M4230,2)&lt;&gt;"33"))),"x","")</f>
        <v/>
      </c>
      <c r="X4230" s="52" t="str">
        <f>IF(AND(OR(LEFT(TH!L4230,2)="15",LEFT(TH!M4230,2)="15"),'152-CT'!$J$8=TH!F4230),"x","")</f>
        <v/>
      </c>
      <c r="Y4230" s="52" t="str">
        <f>IF(AND(OR(LEFT(TH!L4230,2)="15",LEFT(TH!M4230,2)="15"),TK!$E$7=TH!F4230),"x","")</f>
        <v/>
      </c>
      <c r="Z4230" s="52" t="str">
        <f>IF(AND(B4230&lt;=NKC!$N$8,B4230&gt;=NKC!$M$8),"x","")</f>
        <v/>
      </c>
      <c r="AA4230" s="826"/>
    </row>
    <row r="4231" spans="1:27" ht="15.75" customHeight="1">
      <c r="A4231" s="827" t="str">
        <f>IF(B4231&lt;&gt;"",IF(AND(B4231&gt;=_TM1,B4231&lt;=_TM2,OR(TH!L4231="1111",TH!M4231="1111")),TH!D4231,""),"")</f>
        <v/>
      </c>
      <c r="B4231" s="36" t="str">
        <f t="shared" si="520"/>
        <v/>
      </c>
      <c r="C4231" s="190"/>
      <c r="D4231" s="37"/>
      <c r="E4231" s="190"/>
      <c r="F4231" s="40"/>
      <c r="G4231" s="832"/>
      <c r="H4231" s="7"/>
      <c r="I4231" s="253"/>
      <c r="J4231" s="253"/>
      <c r="K4231" s="584"/>
      <c r="L4231" s="39"/>
      <c r="M4231" s="39"/>
      <c r="N4231" s="52" t="str">
        <f>IF(AND('331-CT'!$E$7=TH!H4231,OR(L4231="331",M4231="331")),"331",IF(AND(OR(L4231="131",M4231="131"),H4231='131-CT'!$E$7),"131",""))</f>
        <v/>
      </c>
      <c r="O4231" s="52" t="str">
        <f>IF(AND($B4231&gt;='111'!$N$11,$B4231&lt;='111'!$O$11,OR($L4231=$O$7,$M4231=$O$7)),"x","")</f>
        <v/>
      </c>
      <c r="P4231" s="52" t="str">
        <f>IF(AND($L4231=$O$7,$B4231&lt;'111'!$N$11),"x","")</f>
        <v/>
      </c>
      <c r="Q4231" s="52" t="str">
        <f>IF(AND($M4231=$O$7,$B4231&lt;'111'!$N$11),"x","")</f>
        <v/>
      </c>
      <c r="R4231" s="52" t="str">
        <f>IF(ISERROR(FIND('112'!$M$9,G4231,1)),"",IF((AND(FIND('112'!$M$9,G4231,1)&gt;=1,$B4231&gt;='112'!$N$8,$B4231&lt;='112'!$O$8,OR($L4231='112'!$I$6,$M4231='112'!$I$6))),"x",""))</f>
        <v/>
      </c>
      <c r="S4231" s="52" t="str">
        <f>IF(ISERROR(FIND('112'!$M$9,G4231,1)),"",IF((AND(LEFT(G4231,2)=LEFT('112'!$M$9,2),B4231&lt;'112'!$N$8,$L4231='112'!$I$6)),"x",""))</f>
        <v/>
      </c>
      <c r="T4231" s="52" t="str">
        <f>IF(ISERROR(FIND('112'!$M$9,G4231,1)),"",IF((AND(RIGHT(G4231,2)=RIGHT('112'!$M$9,2),B4231&lt;'112'!$N$8,$M4231='112'!$I$6)),"x",""))</f>
        <v/>
      </c>
      <c r="U4231" s="52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/>
      </c>
      <c r="V4231" s="52" t="str">
        <f>IF(OR(TH!L4231=TH!$V$7,M4231=TH!$V$7),"x","")</f>
        <v/>
      </c>
      <c r="W4231" s="52" t="str">
        <f>IF(AND(B4231&gt;='IN-NX'!$P$3,B4231&lt;='IN-NX'!$Q$3,'IN-NX'!$D$7=D4231,OR(LEFT(L4231,2)="15",AND(LEFT(M4231,2)&lt;&gt;"15",LEFT(M4231,2)&lt;&gt;"33"))),"x","")</f>
        <v/>
      </c>
      <c r="X4231" s="52" t="str">
        <f>IF(AND(OR(LEFT(TH!L4231,2)="15",LEFT(TH!M4231,2)="15"),'152-CT'!$J$8=TH!F4231),"x","")</f>
        <v/>
      </c>
      <c r="Y4231" s="52" t="str">
        <f>IF(AND(OR(LEFT(TH!L4231,2)="15",LEFT(TH!M4231,2)="15"),TK!$E$7=TH!F4231),"x","")</f>
        <v/>
      </c>
      <c r="Z4231" s="52" t="str">
        <f>IF(AND(B4231&lt;=NKC!$N$8,B4231&gt;=NKC!$M$8),"x","")</f>
        <v/>
      </c>
      <c r="AA4231" s="826"/>
    </row>
    <row r="4232" spans="1:27" ht="15.75" customHeight="1">
      <c r="A4232" s="827" t="str">
        <f>IF(B4232&lt;&gt;"",IF(AND(B4232&gt;=_TM1,B4232&lt;=_TM2,OR(TH!L4232="1111",TH!M4232="1111")),TH!D4232,""),"")</f>
        <v/>
      </c>
      <c r="B4232" s="36" t="str">
        <f t="shared" si="520"/>
        <v/>
      </c>
      <c r="C4232" s="190"/>
      <c r="D4232" s="37"/>
      <c r="E4232" s="190"/>
      <c r="F4232" s="40"/>
      <c r="G4232" s="832"/>
      <c r="H4232" s="7"/>
      <c r="I4232" s="253"/>
      <c r="J4232" s="253"/>
      <c r="K4232" s="584"/>
      <c r="L4232" s="39"/>
      <c r="M4232" s="39"/>
      <c r="N4232" s="52" t="str">
        <f>IF(AND('331-CT'!$E$7=TH!H4232,OR(L4232="331",M4232="331")),"331",IF(AND(OR(L4232="131",M4232="131"),H4232='131-CT'!$E$7),"131",""))</f>
        <v/>
      </c>
      <c r="O4232" s="52" t="str">
        <f>IF(AND($B4232&gt;='111'!$N$11,$B4232&lt;='111'!$O$11,OR($L4232=$O$7,$M4232=$O$7)),"x","")</f>
        <v/>
      </c>
      <c r="P4232" s="52" t="str">
        <f>IF(AND($L4232=$O$7,$B4232&lt;'111'!$N$11),"x","")</f>
        <v/>
      </c>
      <c r="Q4232" s="52" t="str">
        <f>IF(AND($M4232=$O$7,$B4232&lt;'111'!$N$11),"x","")</f>
        <v/>
      </c>
      <c r="R4232" s="52" t="str">
        <f>IF(ISERROR(FIND('112'!$M$9,G4232,1)),"",IF((AND(FIND('112'!$M$9,G4232,1)&gt;=1,$B4232&gt;='112'!$N$8,$B4232&lt;='112'!$O$8,OR($L4232='112'!$I$6,$M4232='112'!$I$6))),"x",""))</f>
        <v/>
      </c>
      <c r="S4232" s="52" t="str">
        <f>IF(ISERROR(FIND('112'!$M$9,G4232,1)),"",IF((AND(LEFT(G4232,2)=LEFT('112'!$M$9,2),B4232&lt;'112'!$N$8,$L4232='112'!$I$6)),"x",""))</f>
        <v/>
      </c>
      <c r="T4232" s="52" t="str">
        <f>IF(ISERROR(FIND('112'!$M$9,G4232,1)),"",IF((AND(RIGHT(G4232,2)=RIGHT('112'!$M$9,2),B4232&lt;'112'!$N$8,$M4232='112'!$I$6)),"x",""))</f>
        <v/>
      </c>
      <c r="U4232" s="52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/>
      </c>
      <c r="V4232" s="52" t="str">
        <f>IF(OR(TH!L4232=TH!$V$7,M4232=TH!$V$7),"x","")</f>
        <v/>
      </c>
      <c r="W4232" s="52" t="str">
        <f>IF(AND(B4232&gt;='IN-NX'!$P$3,B4232&lt;='IN-NX'!$Q$3,'IN-NX'!$D$7=D4232,OR(LEFT(L4232,2)="15",AND(LEFT(M4232,2)&lt;&gt;"15",LEFT(M4232,2)&lt;&gt;"33"))),"x","")</f>
        <v/>
      </c>
      <c r="X4232" s="52" t="str">
        <f>IF(AND(OR(LEFT(TH!L4232,2)="15",LEFT(TH!M4232,2)="15"),'152-CT'!$J$8=TH!F4232),"x","")</f>
        <v/>
      </c>
      <c r="Y4232" s="52" t="str">
        <f>IF(AND(OR(LEFT(TH!L4232,2)="15",LEFT(TH!M4232,2)="15"),TK!$E$7=TH!F4232),"x","")</f>
        <v/>
      </c>
      <c r="Z4232" s="52" t="str">
        <f>IF(AND(B4232&lt;=NKC!$N$8,B4232&gt;=NKC!$M$8),"x","")</f>
        <v/>
      </c>
      <c r="AA4232" s="826"/>
    </row>
    <row r="4233" spans="1:27" ht="15.75" customHeight="1">
      <c r="A4233" s="827" t="str">
        <f>IF(B4233&lt;&gt;"",IF(AND(B4233&gt;=_TM1,B4233&lt;=_TM2,OR(TH!L4233="1111",TH!M4233="1111")),TH!D4233,""),"")</f>
        <v/>
      </c>
      <c r="B4233" s="36" t="str">
        <f t="shared" si="520"/>
        <v/>
      </c>
      <c r="C4233" s="190"/>
      <c r="D4233" s="37"/>
      <c r="E4233" s="190"/>
      <c r="F4233" s="40"/>
      <c r="G4233" s="832"/>
      <c r="H4233" s="7"/>
      <c r="I4233" s="253"/>
      <c r="J4233" s="253"/>
      <c r="K4233" s="584"/>
      <c r="L4233" s="39"/>
      <c r="M4233" s="39"/>
      <c r="N4233" s="52" t="str">
        <f>IF(AND('331-CT'!$E$7=TH!H4233,OR(L4233="331",M4233="331")),"331",IF(AND(OR(L4233="131",M4233="131"),H4233='131-CT'!$E$7),"131",""))</f>
        <v/>
      </c>
      <c r="O4233" s="52" t="str">
        <f>IF(AND($B4233&gt;='111'!$N$11,$B4233&lt;='111'!$O$11,OR($L4233=$O$7,$M4233=$O$7)),"x","")</f>
        <v/>
      </c>
      <c r="P4233" s="52" t="str">
        <f>IF(AND($L4233=$O$7,$B4233&lt;'111'!$N$11),"x","")</f>
        <v/>
      </c>
      <c r="Q4233" s="52" t="str">
        <f>IF(AND($M4233=$O$7,$B4233&lt;'111'!$N$11),"x","")</f>
        <v/>
      </c>
      <c r="R4233" s="52" t="str">
        <f>IF(ISERROR(FIND('112'!$M$9,G4233,1)),"",IF((AND(FIND('112'!$M$9,G4233,1)&gt;=1,$B4233&gt;='112'!$N$8,$B4233&lt;='112'!$O$8,OR($L4233='112'!$I$6,$M4233='112'!$I$6))),"x",""))</f>
        <v/>
      </c>
      <c r="S4233" s="52" t="str">
        <f>IF(ISERROR(FIND('112'!$M$9,G4233,1)),"",IF((AND(LEFT(G4233,2)=LEFT('112'!$M$9,2),B4233&lt;'112'!$N$8,$L4233='112'!$I$6)),"x",""))</f>
        <v/>
      </c>
      <c r="T4233" s="52" t="str">
        <f>IF(ISERROR(FIND('112'!$M$9,G4233,1)),"",IF((AND(RIGHT(G4233,2)=RIGHT('112'!$M$9,2),B4233&lt;'112'!$N$8,$M4233='112'!$I$6)),"x",""))</f>
        <v/>
      </c>
      <c r="U4233" s="52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/>
      </c>
      <c r="V4233" s="52" t="str">
        <f>IF(OR(TH!L4233=TH!$V$7,M4233=TH!$V$7),"x","")</f>
        <v/>
      </c>
      <c r="W4233" s="52" t="str">
        <f>IF(AND(B4233&gt;='IN-NX'!$P$3,B4233&lt;='IN-NX'!$Q$3,'IN-NX'!$D$7=D4233,OR(LEFT(L4233,2)="15",AND(LEFT(M4233,2)&lt;&gt;"15",LEFT(M4233,2)&lt;&gt;"33"))),"x","")</f>
        <v/>
      </c>
      <c r="X4233" s="52" t="str">
        <f>IF(AND(OR(LEFT(TH!L4233,2)="15",LEFT(TH!M4233,2)="15"),'152-CT'!$J$8=TH!F4233),"x","")</f>
        <v/>
      </c>
      <c r="Y4233" s="52" t="str">
        <f>IF(AND(OR(LEFT(TH!L4233,2)="15",LEFT(TH!M4233,2)="15"),TK!$E$7=TH!F4233),"x","")</f>
        <v/>
      </c>
      <c r="Z4233" s="52" t="str">
        <f>IF(AND(B4233&lt;=NKC!$N$8,B4233&gt;=NKC!$M$8),"x","")</f>
        <v/>
      </c>
      <c r="AA4233" s="826"/>
    </row>
    <row r="4234" spans="1:27" ht="15.75" customHeight="1">
      <c r="A4234" s="827" t="str">
        <f>IF(B4234&lt;&gt;"",IF(AND(B4234&gt;=_TM1,B4234&lt;=_TM2,OR(TH!L4234="1111",TH!M4234="1111")),TH!D4234,""),"")</f>
        <v/>
      </c>
      <c r="B4234" s="36" t="str">
        <f t="shared" si="520"/>
        <v/>
      </c>
      <c r="C4234" s="190"/>
      <c r="D4234" s="37"/>
      <c r="E4234" s="190"/>
      <c r="F4234" s="40"/>
      <c r="G4234" s="832"/>
      <c r="H4234" s="7"/>
      <c r="I4234" s="253"/>
      <c r="J4234" s="253"/>
      <c r="K4234" s="584"/>
      <c r="L4234" s="39"/>
      <c r="M4234" s="39"/>
      <c r="N4234" s="52" t="str">
        <f>IF(AND('331-CT'!$E$7=TH!H4234,OR(L4234="331",M4234="331")),"331",IF(AND(OR(L4234="131",M4234="131"),H4234='131-CT'!$E$7),"131",""))</f>
        <v/>
      </c>
      <c r="O4234" s="52" t="str">
        <f>IF(AND($B4234&gt;='111'!$N$11,$B4234&lt;='111'!$O$11,OR($L4234=$O$7,$M4234=$O$7)),"x","")</f>
        <v/>
      </c>
      <c r="P4234" s="52" t="str">
        <f>IF(AND($L4234=$O$7,$B4234&lt;'111'!$N$11),"x","")</f>
        <v/>
      </c>
      <c r="Q4234" s="52" t="str">
        <f>IF(AND($M4234=$O$7,$B4234&lt;'111'!$N$11),"x","")</f>
        <v/>
      </c>
      <c r="R4234" s="52" t="str">
        <f>IF(ISERROR(FIND('112'!$M$9,G4234,1)),"",IF((AND(FIND('112'!$M$9,G4234,1)&gt;=1,$B4234&gt;='112'!$N$8,$B4234&lt;='112'!$O$8,OR($L4234='112'!$I$6,$M4234='112'!$I$6))),"x",""))</f>
        <v/>
      </c>
      <c r="S4234" s="52" t="str">
        <f>IF(ISERROR(FIND('112'!$M$9,G4234,1)),"",IF((AND(LEFT(G4234,2)=LEFT('112'!$M$9,2),B4234&lt;'112'!$N$8,$L4234='112'!$I$6)),"x",""))</f>
        <v/>
      </c>
      <c r="T4234" s="52" t="str">
        <f>IF(ISERROR(FIND('112'!$M$9,G4234,1)),"",IF((AND(RIGHT(G4234,2)=RIGHT('112'!$M$9,2),B4234&lt;'112'!$N$8,$M4234='112'!$I$6)),"x",""))</f>
        <v/>
      </c>
      <c r="U4234" s="52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/>
      </c>
      <c r="V4234" s="52" t="str">
        <f>IF(OR(TH!L4234=TH!$V$7,M4234=TH!$V$7),"x","")</f>
        <v/>
      </c>
      <c r="W4234" s="52" t="str">
        <f>IF(AND(B4234&gt;='IN-NX'!$P$3,B4234&lt;='IN-NX'!$Q$3,'IN-NX'!$D$7=D4234,OR(LEFT(L4234,2)="15",AND(LEFT(M4234,2)&lt;&gt;"15",LEFT(M4234,2)&lt;&gt;"33"))),"x","")</f>
        <v/>
      </c>
      <c r="X4234" s="52" t="str">
        <f>IF(AND(OR(LEFT(TH!L4234,2)="15",LEFT(TH!M4234,2)="15"),'152-CT'!$J$8=TH!F4234),"x","")</f>
        <v/>
      </c>
      <c r="Y4234" s="52" t="str">
        <f>IF(AND(OR(LEFT(TH!L4234,2)="15",LEFT(TH!M4234,2)="15"),TK!$E$7=TH!F4234),"x","")</f>
        <v/>
      </c>
      <c r="Z4234" s="52" t="str">
        <f>IF(AND(B4234&lt;=NKC!$N$8,B4234&gt;=NKC!$M$8),"x","")</f>
        <v/>
      </c>
      <c r="AA4234" s="826"/>
    </row>
    <row r="4235" spans="1:27" ht="15.75" customHeight="1">
      <c r="A4235" s="827" t="str">
        <f>IF(B4235&lt;&gt;"",IF(AND(B4235&gt;=_TM1,B4235&lt;=_TM2,OR(TH!L4235="1111",TH!M4235="1111")),TH!D4235,""),"")</f>
        <v/>
      </c>
      <c r="B4235" s="36" t="str">
        <f t="shared" si="520"/>
        <v/>
      </c>
      <c r="C4235" s="190"/>
      <c r="D4235" s="37"/>
      <c r="E4235" s="190"/>
      <c r="F4235" s="40"/>
      <c r="G4235" s="832"/>
      <c r="H4235" s="7"/>
      <c r="I4235" s="253"/>
      <c r="J4235" s="253"/>
      <c r="K4235" s="584"/>
      <c r="L4235" s="39"/>
      <c r="M4235" s="39"/>
      <c r="N4235" s="52" t="str">
        <f>IF(AND('331-CT'!$E$7=TH!H4235,OR(L4235="331",M4235="331")),"331",IF(AND(OR(L4235="131",M4235="131"),H4235='131-CT'!$E$7),"131",""))</f>
        <v/>
      </c>
      <c r="O4235" s="52" t="str">
        <f>IF(AND($B4235&gt;='111'!$N$11,$B4235&lt;='111'!$O$11,OR($L4235=$O$7,$M4235=$O$7)),"x","")</f>
        <v/>
      </c>
      <c r="P4235" s="52" t="str">
        <f>IF(AND($L4235=$O$7,$B4235&lt;'111'!$N$11),"x","")</f>
        <v/>
      </c>
      <c r="Q4235" s="52" t="str">
        <f>IF(AND($M4235=$O$7,$B4235&lt;'111'!$N$11),"x","")</f>
        <v/>
      </c>
      <c r="R4235" s="52" t="str">
        <f>IF(ISERROR(FIND('112'!$M$9,G4235,1)),"",IF((AND(FIND('112'!$M$9,G4235,1)&gt;=1,$B4235&gt;='112'!$N$8,$B4235&lt;='112'!$O$8,OR($L4235='112'!$I$6,$M4235='112'!$I$6))),"x",""))</f>
        <v/>
      </c>
      <c r="S4235" s="52" t="str">
        <f>IF(ISERROR(FIND('112'!$M$9,G4235,1)),"",IF((AND(LEFT(G4235,2)=LEFT('112'!$M$9,2),B4235&lt;'112'!$N$8,$L4235='112'!$I$6)),"x",""))</f>
        <v/>
      </c>
      <c r="T4235" s="52" t="str">
        <f>IF(ISERROR(FIND('112'!$M$9,G4235,1)),"",IF((AND(RIGHT(G4235,2)=RIGHT('112'!$M$9,2),B4235&lt;'112'!$N$8,$M4235='112'!$I$6)),"x",""))</f>
        <v/>
      </c>
      <c r="U4235" s="52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/>
      </c>
      <c r="V4235" s="52" t="str">
        <f>IF(OR(TH!L4235=TH!$V$7,M4235=TH!$V$7),"x","")</f>
        <v/>
      </c>
      <c r="W4235" s="52" t="str">
        <f>IF(AND(B4235&gt;='IN-NX'!$P$3,B4235&lt;='IN-NX'!$Q$3,'IN-NX'!$D$7=D4235,OR(LEFT(L4235,2)="15",AND(LEFT(M4235,2)&lt;&gt;"15",LEFT(M4235,2)&lt;&gt;"33"))),"x","")</f>
        <v/>
      </c>
      <c r="X4235" s="52" t="str">
        <f>IF(AND(OR(LEFT(TH!L4235,2)="15",LEFT(TH!M4235,2)="15"),'152-CT'!$J$8=TH!F4235),"x","")</f>
        <v/>
      </c>
      <c r="Y4235" s="52" t="str">
        <f>IF(AND(OR(LEFT(TH!L4235,2)="15",LEFT(TH!M4235,2)="15"),TK!$E$7=TH!F4235),"x","")</f>
        <v/>
      </c>
      <c r="Z4235" s="52" t="str">
        <f>IF(AND(B4235&lt;=NKC!$N$8,B4235&gt;=NKC!$M$8),"x","")</f>
        <v/>
      </c>
      <c r="AA4235" s="826"/>
    </row>
    <row r="4236" spans="1:27" ht="15.75" customHeight="1">
      <c r="A4236" s="827" t="str">
        <f>IF(B4236&lt;&gt;"",IF(AND(B4236&gt;=_TM1,B4236&lt;=_TM2,OR(TH!L4236="1111",TH!M4236="1111")),TH!D4236,""),"")</f>
        <v/>
      </c>
      <c r="B4236" s="36" t="str">
        <f t="shared" si="520"/>
        <v/>
      </c>
      <c r="C4236" s="190"/>
      <c r="D4236" s="37"/>
      <c r="E4236" s="190"/>
      <c r="F4236" s="191"/>
      <c r="G4236" s="833"/>
      <c r="H4236" s="192"/>
      <c r="I4236" s="253"/>
      <c r="J4236" s="253"/>
      <c r="K4236" s="584"/>
      <c r="L4236" s="39"/>
      <c r="M4236" s="39"/>
      <c r="N4236" s="52" t="str">
        <f>IF(AND('331-CT'!$E$7=TH!H4236,OR(L4236="331",M4236="331")),"331",IF(AND(OR(L4236="131",M4236="131"),H4236='131-CT'!$E$7),"131",""))</f>
        <v/>
      </c>
      <c r="O4236" s="52" t="str">
        <f>IF(AND($B4236&gt;='111'!$N$11,$B4236&lt;='111'!$O$11,OR($L4236=$O$7,$M4236=$O$7)),"x","")</f>
        <v/>
      </c>
      <c r="P4236" s="52" t="str">
        <f>IF(AND($L4236=$O$7,$B4236&lt;'111'!$N$11),"x","")</f>
        <v/>
      </c>
      <c r="Q4236" s="52" t="str">
        <f>IF(AND($M4236=$O$7,$B4236&lt;'111'!$N$11),"x","")</f>
        <v/>
      </c>
      <c r="R4236" s="52" t="str">
        <f>IF(ISERROR(FIND('112'!$M$9,G4236,1)),"",IF((AND(FIND('112'!$M$9,G4236,1)&gt;=1,$B4236&gt;='112'!$N$8,$B4236&lt;='112'!$O$8,OR($L4236='112'!$I$6,$M4236='112'!$I$6))),"x",""))</f>
        <v/>
      </c>
      <c r="S4236" s="52" t="str">
        <f>IF(ISERROR(FIND('112'!$M$9,G4236,1)),"",IF((AND(LEFT(G4236,2)=LEFT('112'!$M$9,2),B4236&lt;'112'!$N$8,$L4236='112'!$I$6)),"x",""))</f>
        <v/>
      </c>
      <c r="T4236" s="52" t="str">
        <f>IF(ISERROR(FIND('112'!$M$9,G4236,1)),"",IF((AND(RIGHT(G4236,2)=RIGHT('112'!$M$9,2),B4236&lt;'112'!$N$8,$M4236='112'!$I$6)),"x",""))</f>
        <v/>
      </c>
      <c r="U4236" s="52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/>
      </c>
      <c r="V4236" s="52" t="str">
        <f>IF(OR(TH!L4236=TH!$V$7,M4236=TH!$V$7),"x","")</f>
        <v/>
      </c>
      <c r="W4236" s="52" t="str">
        <f>IF(AND(B4236&gt;='IN-NX'!$P$3,B4236&lt;='IN-NX'!$Q$3,'IN-NX'!$D$7=D4236,OR(LEFT(L4236,2)="15",AND(LEFT(M4236,2)&lt;&gt;"15",LEFT(M4236,2)&lt;&gt;"33"))),"x","")</f>
        <v/>
      </c>
      <c r="X4236" s="52" t="str">
        <f>IF(AND(OR(LEFT(TH!L4236,2)="15",LEFT(TH!M4236,2)="15"),'152-CT'!$J$8=TH!F4236),"x","")</f>
        <v/>
      </c>
      <c r="Y4236" s="52" t="str">
        <f>IF(AND(OR(LEFT(TH!L4236,2)="15",LEFT(TH!M4236,2)="15"),TK!$E$7=TH!F4236),"x","")</f>
        <v/>
      </c>
      <c r="Z4236" s="52" t="str">
        <f>IF(AND(B4236&lt;=NKC!$N$8,B4236&gt;=NKC!$M$8),"x","")</f>
        <v/>
      </c>
      <c r="AA4236" s="826"/>
    </row>
    <row r="4237" spans="1:27" ht="15.75" customHeight="1">
      <c r="A4237" s="827" t="str">
        <f>IF(B4237&lt;&gt;"",IF(AND(B4237&gt;=_TM1,B4237&lt;=_TM2,OR(TH!L4237="1111",TH!M4237="1111")),TH!D4237,""),"")</f>
        <v/>
      </c>
      <c r="B4237" s="36" t="str">
        <f t="shared" si="520"/>
        <v/>
      </c>
      <c r="C4237" s="190"/>
      <c r="D4237" s="37"/>
      <c r="E4237" s="190"/>
      <c r="F4237" s="191"/>
      <c r="G4237" s="833"/>
      <c r="H4237" s="192"/>
      <c r="I4237" s="253"/>
      <c r="J4237" s="253"/>
      <c r="K4237" s="584"/>
      <c r="L4237" s="39"/>
      <c r="M4237" s="39"/>
      <c r="N4237" s="52" t="str">
        <f>IF(AND('331-CT'!$E$7=TH!H4237,OR(L4237="331",M4237="331")),"331",IF(AND(OR(L4237="131",M4237="131"),H4237='131-CT'!$E$7),"131",""))</f>
        <v/>
      </c>
      <c r="O4237" s="52" t="str">
        <f>IF(AND($B4237&gt;='111'!$N$11,$B4237&lt;='111'!$O$11,OR($L4237=$O$7,$M4237=$O$7)),"x","")</f>
        <v/>
      </c>
      <c r="P4237" s="52" t="str">
        <f>IF(AND($L4237=$O$7,$B4237&lt;'111'!$N$11),"x","")</f>
        <v/>
      </c>
      <c r="Q4237" s="52" t="str">
        <f>IF(AND($M4237=$O$7,$B4237&lt;'111'!$N$11),"x","")</f>
        <v/>
      </c>
      <c r="R4237" s="52" t="str">
        <f>IF(ISERROR(FIND('112'!$M$9,G4237,1)),"",IF((AND(FIND('112'!$M$9,G4237,1)&gt;=1,$B4237&gt;='112'!$N$8,$B4237&lt;='112'!$O$8,OR($L4237='112'!$I$6,$M4237='112'!$I$6))),"x",""))</f>
        <v/>
      </c>
      <c r="S4237" s="52" t="str">
        <f>IF(ISERROR(FIND('112'!$M$9,G4237,1)),"",IF((AND(LEFT(G4237,2)=LEFT('112'!$M$9,2),B4237&lt;'112'!$N$8,$L4237='112'!$I$6)),"x",""))</f>
        <v/>
      </c>
      <c r="T4237" s="52" t="str">
        <f>IF(ISERROR(FIND('112'!$M$9,G4237,1)),"",IF((AND(RIGHT(G4237,2)=RIGHT('112'!$M$9,2),B4237&lt;'112'!$N$8,$M4237='112'!$I$6)),"x",""))</f>
        <v/>
      </c>
      <c r="U4237" s="52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/>
      </c>
      <c r="V4237" s="52" t="str">
        <f>IF(OR(TH!L4237=TH!$V$7,M4237=TH!$V$7),"x","")</f>
        <v/>
      </c>
      <c r="W4237" s="52" t="str">
        <f>IF(AND(B4237&gt;='IN-NX'!$P$3,B4237&lt;='IN-NX'!$Q$3,'IN-NX'!$D$7=D4237,OR(LEFT(L4237,2)="15",AND(LEFT(M4237,2)&lt;&gt;"15",LEFT(M4237,2)&lt;&gt;"33"))),"x","")</f>
        <v/>
      </c>
      <c r="X4237" s="52" t="str">
        <f>IF(AND(OR(LEFT(TH!L4237,2)="15",LEFT(TH!M4237,2)="15"),'152-CT'!$J$8=TH!F4237),"x","")</f>
        <v/>
      </c>
      <c r="Y4237" s="52" t="str">
        <f>IF(AND(OR(LEFT(TH!L4237,2)="15",LEFT(TH!M4237,2)="15"),TK!$E$7=TH!F4237),"x","")</f>
        <v/>
      </c>
      <c r="Z4237" s="52" t="str">
        <f>IF(AND(B4237&lt;=NKC!$N$8,B4237&gt;=NKC!$M$8),"x","")</f>
        <v/>
      </c>
      <c r="AA4237" s="826"/>
    </row>
    <row r="4238" spans="1:27" ht="15.75" customHeight="1">
      <c r="A4238" s="827" t="str">
        <f>IF(B4238&lt;&gt;"",IF(AND(B4238&gt;=_TM1,B4238&lt;=_TM2,OR(TH!L4238="1111",TH!M4238="1111")),TH!D4238,""),"")</f>
        <v/>
      </c>
      <c r="B4238" s="36" t="str">
        <f t="shared" si="520"/>
        <v/>
      </c>
      <c r="C4238" s="190"/>
      <c r="D4238" s="37"/>
      <c r="E4238" s="190"/>
      <c r="F4238" s="191"/>
      <c r="G4238" s="833"/>
      <c r="H4238" s="192"/>
      <c r="I4238" s="253"/>
      <c r="J4238" s="253"/>
      <c r="K4238" s="584"/>
      <c r="L4238" s="39"/>
      <c r="M4238" s="39"/>
      <c r="N4238" s="52" t="str">
        <f>IF(AND('331-CT'!$E$7=TH!H4238,OR(L4238="331",M4238="331")),"331",IF(AND(OR(L4238="131",M4238="131"),H4238='131-CT'!$E$7),"131",""))</f>
        <v/>
      </c>
      <c r="O4238" s="52" t="str">
        <f>IF(AND($B4238&gt;='111'!$N$11,$B4238&lt;='111'!$O$11,OR($L4238=$O$7,$M4238=$O$7)),"x","")</f>
        <v/>
      </c>
      <c r="P4238" s="52" t="str">
        <f>IF(AND($L4238=$O$7,$B4238&lt;'111'!$N$11),"x","")</f>
        <v/>
      </c>
      <c r="Q4238" s="52" t="str">
        <f>IF(AND($M4238=$O$7,$B4238&lt;'111'!$N$11),"x","")</f>
        <v/>
      </c>
      <c r="R4238" s="52" t="str">
        <f>IF(ISERROR(FIND('112'!$M$9,G4238,1)),"",IF((AND(FIND('112'!$M$9,G4238,1)&gt;=1,$B4238&gt;='112'!$N$8,$B4238&lt;='112'!$O$8,OR($L4238='112'!$I$6,$M4238='112'!$I$6))),"x",""))</f>
        <v/>
      </c>
      <c r="S4238" s="52" t="str">
        <f>IF(ISERROR(FIND('112'!$M$9,G4238,1)),"",IF((AND(LEFT(G4238,2)=LEFT('112'!$M$9,2),B4238&lt;'112'!$N$8,$L4238='112'!$I$6)),"x",""))</f>
        <v/>
      </c>
      <c r="T4238" s="52" t="str">
        <f>IF(ISERROR(FIND('112'!$M$9,G4238,1)),"",IF((AND(RIGHT(G4238,2)=RIGHT('112'!$M$9,2),B4238&lt;'112'!$N$8,$M4238='112'!$I$6)),"x",""))</f>
        <v/>
      </c>
      <c r="U4238" s="52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/>
      </c>
      <c r="V4238" s="52" t="str">
        <f>IF(OR(TH!L4238=TH!$V$7,M4238=TH!$V$7),"x","")</f>
        <v/>
      </c>
      <c r="W4238" s="52" t="str">
        <f>IF(AND(B4238&gt;='IN-NX'!$P$3,B4238&lt;='IN-NX'!$Q$3,'IN-NX'!$D$7=D4238,OR(LEFT(L4238,2)="15",AND(LEFT(M4238,2)&lt;&gt;"15",LEFT(M4238,2)&lt;&gt;"33"))),"x","")</f>
        <v/>
      </c>
      <c r="X4238" s="52" t="str">
        <f>IF(AND(OR(LEFT(TH!L4238,2)="15",LEFT(TH!M4238,2)="15"),'152-CT'!$J$8=TH!F4238),"x","")</f>
        <v/>
      </c>
      <c r="Y4238" s="52" t="str">
        <f>IF(AND(OR(LEFT(TH!L4238,2)="15",LEFT(TH!M4238,2)="15"),TK!$E$7=TH!F4238),"x","")</f>
        <v/>
      </c>
      <c r="Z4238" s="52" t="str">
        <f>IF(AND(B4238&lt;=NKC!$N$8,B4238&gt;=NKC!$M$8),"x","")</f>
        <v/>
      </c>
      <c r="AA4238" s="826"/>
    </row>
    <row r="4239" spans="1:27" ht="15.75" customHeight="1">
      <c r="A4239" s="827" t="str">
        <f>IF(B4239&lt;&gt;"",IF(AND(B4239&gt;=_TM1,B4239&lt;=_TM2,OR(TH!L4239="1111",TH!M4239="1111")),TH!D4239,""),"")</f>
        <v/>
      </c>
      <c r="B4239" s="36" t="str">
        <f t="shared" si="520"/>
        <v/>
      </c>
      <c r="C4239" s="190"/>
      <c r="D4239" s="37"/>
      <c r="E4239" s="190"/>
      <c r="F4239" s="191"/>
      <c r="G4239" s="833"/>
      <c r="H4239" s="192"/>
      <c r="I4239" s="253"/>
      <c r="J4239" s="253"/>
      <c r="K4239" s="584"/>
      <c r="L4239" s="39"/>
      <c r="M4239" s="39"/>
      <c r="N4239" s="52" t="str">
        <f>IF(AND('331-CT'!$E$7=TH!H4239,OR(L4239="331",M4239="331")),"331",IF(AND(OR(L4239="131",M4239="131"),H4239='131-CT'!$E$7),"131",""))</f>
        <v/>
      </c>
      <c r="O4239" s="52" t="str">
        <f>IF(AND($B4239&gt;='111'!$N$11,$B4239&lt;='111'!$O$11,OR($L4239=$O$7,$M4239=$O$7)),"x","")</f>
        <v/>
      </c>
      <c r="P4239" s="52" t="str">
        <f>IF(AND($L4239=$O$7,$B4239&lt;'111'!$N$11),"x","")</f>
        <v/>
      </c>
      <c r="Q4239" s="52" t="str">
        <f>IF(AND($M4239=$O$7,$B4239&lt;'111'!$N$11),"x","")</f>
        <v/>
      </c>
      <c r="R4239" s="52" t="str">
        <f>IF(ISERROR(FIND('112'!$M$9,G4239,1)),"",IF((AND(FIND('112'!$M$9,G4239,1)&gt;=1,$B4239&gt;='112'!$N$8,$B4239&lt;='112'!$O$8,OR($L4239='112'!$I$6,$M4239='112'!$I$6))),"x",""))</f>
        <v/>
      </c>
      <c r="S4239" s="52" t="str">
        <f>IF(ISERROR(FIND('112'!$M$9,G4239,1)),"",IF((AND(LEFT(G4239,2)=LEFT('112'!$M$9,2),B4239&lt;'112'!$N$8,$L4239='112'!$I$6)),"x",""))</f>
        <v/>
      </c>
      <c r="T4239" s="52" t="str">
        <f>IF(ISERROR(FIND('112'!$M$9,G4239,1)),"",IF((AND(RIGHT(G4239,2)=RIGHT('112'!$M$9,2),B4239&lt;'112'!$N$8,$M4239='112'!$I$6)),"x",""))</f>
        <v/>
      </c>
      <c r="U4239" s="52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/>
      </c>
      <c r="V4239" s="52" t="str">
        <f>IF(OR(TH!L4239=TH!$V$7,M4239=TH!$V$7),"x","")</f>
        <v/>
      </c>
      <c r="W4239" s="52" t="str">
        <f>IF(AND(B4239&gt;='IN-NX'!$P$3,B4239&lt;='IN-NX'!$Q$3,'IN-NX'!$D$7=D4239,OR(LEFT(L4239,2)="15",AND(LEFT(M4239,2)&lt;&gt;"15",LEFT(M4239,2)&lt;&gt;"33"))),"x","")</f>
        <v/>
      </c>
      <c r="X4239" s="52" t="str">
        <f>IF(AND(OR(LEFT(TH!L4239,2)="15",LEFT(TH!M4239,2)="15"),'152-CT'!$J$8=TH!F4239),"x","")</f>
        <v/>
      </c>
      <c r="Y4239" s="52" t="str">
        <f>IF(AND(OR(LEFT(TH!L4239,2)="15",LEFT(TH!M4239,2)="15"),TK!$E$7=TH!F4239),"x","")</f>
        <v/>
      </c>
      <c r="Z4239" s="52" t="str">
        <f>IF(AND(B4239&lt;=NKC!$N$8,B4239&gt;=NKC!$M$8),"x","")</f>
        <v/>
      </c>
      <c r="AA4239" s="826"/>
    </row>
    <row r="4240" spans="1:27" ht="15.75" customHeight="1">
      <c r="A4240" s="827" t="str">
        <f>IF(B4240&lt;&gt;"",IF(AND(B4240&gt;=_TM1,B4240&lt;=_TM2,OR(TH!L4240="1111",TH!M4240="1111")),TH!D4240,""),"")</f>
        <v/>
      </c>
      <c r="B4240" s="36" t="str">
        <f t="shared" si="520"/>
        <v/>
      </c>
      <c r="C4240" s="190"/>
      <c r="D4240" s="37"/>
      <c r="E4240" s="190"/>
      <c r="F4240" s="191"/>
      <c r="G4240" s="833"/>
      <c r="H4240" s="192"/>
      <c r="I4240" s="253"/>
      <c r="J4240" s="253"/>
      <c r="K4240" s="584"/>
      <c r="L4240" s="39"/>
      <c r="M4240" s="39"/>
      <c r="N4240" s="52" t="str">
        <f>IF(AND('331-CT'!$E$7=TH!H4240,OR(L4240="331",M4240="331")),"331",IF(AND(OR(L4240="131",M4240="131"),H4240='131-CT'!$E$7),"131",""))</f>
        <v/>
      </c>
      <c r="O4240" s="52" t="str">
        <f>IF(AND($B4240&gt;='111'!$N$11,$B4240&lt;='111'!$O$11,OR($L4240=$O$7,$M4240=$O$7)),"x","")</f>
        <v/>
      </c>
      <c r="P4240" s="52" t="str">
        <f>IF(AND($L4240=$O$7,$B4240&lt;'111'!$N$11),"x","")</f>
        <v/>
      </c>
      <c r="Q4240" s="52" t="str">
        <f>IF(AND($M4240=$O$7,$B4240&lt;'111'!$N$11),"x","")</f>
        <v/>
      </c>
      <c r="R4240" s="52" t="str">
        <f>IF(ISERROR(FIND('112'!$M$9,G4240,1)),"",IF((AND(FIND('112'!$M$9,G4240,1)&gt;=1,$B4240&gt;='112'!$N$8,$B4240&lt;='112'!$O$8,OR($L4240='112'!$I$6,$M4240='112'!$I$6))),"x",""))</f>
        <v/>
      </c>
      <c r="S4240" s="52" t="str">
        <f>IF(ISERROR(FIND('112'!$M$9,G4240,1)),"",IF((AND(LEFT(G4240,2)=LEFT('112'!$M$9,2),B4240&lt;'112'!$N$8,$L4240='112'!$I$6)),"x",""))</f>
        <v/>
      </c>
      <c r="T4240" s="52" t="str">
        <f>IF(ISERROR(FIND('112'!$M$9,G4240,1)),"",IF((AND(RIGHT(G4240,2)=RIGHT('112'!$M$9,2),B4240&lt;'112'!$N$8,$M4240='112'!$I$6)),"x",""))</f>
        <v/>
      </c>
      <c r="U4240" s="52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/>
      </c>
      <c r="V4240" s="52" t="str">
        <f>IF(OR(TH!L4240=TH!$V$7,M4240=TH!$V$7),"x","")</f>
        <v/>
      </c>
      <c r="W4240" s="52" t="str">
        <f>IF(AND(B4240&gt;='IN-NX'!$P$3,B4240&lt;='IN-NX'!$Q$3,'IN-NX'!$D$7=D4240,OR(LEFT(L4240,2)="15",AND(LEFT(M4240,2)&lt;&gt;"15",LEFT(M4240,2)&lt;&gt;"33"))),"x","")</f>
        <v/>
      </c>
      <c r="X4240" s="52" t="str">
        <f>IF(AND(OR(LEFT(TH!L4240,2)="15",LEFT(TH!M4240,2)="15"),'152-CT'!$J$8=TH!F4240),"x","")</f>
        <v/>
      </c>
      <c r="Y4240" s="52" t="str">
        <f>IF(AND(OR(LEFT(TH!L4240,2)="15",LEFT(TH!M4240,2)="15"),TK!$E$7=TH!F4240),"x","")</f>
        <v/>
      </c>
      <c r="Z4240" s="52" t="str">
        <f>IF(AND(B4240&lt;=NKC!$N$8,B4240&gt;=NKC!$M$8),"x","")</f>
        <v/>
      </c>
      <c r="AA4240" s="826"/>
    </row>
    <row r="4241" spans="1:27" ht="15.75" customHeight="1">
      <c r="A4241" s="827" t="str">
        <f>IF(B4241&lt;&gt;"",IF(AND(B4241&gt;=_TM1,B4241&lt;=_TM2,OR(TH!L4241="1111",TH!M4241="1111")),TH!D4241,""),"")</f>
        <v/>
      </c>
      <c r="B4241" s="36" t="str">
        <f t="shared" si="520"/>
        <v/>
      </c>
      <c r="C4241" s="190"/>
      <c r="D4241" s="37"/>
      <c r="E4241" s="190"/>
      <c r="F4241" s="191"/>
      <c r="G4241" s="833"/>
      <c r="H4241" s="192"/>
      <c r="I4241" s="253"/>
      <c r="J4241" s="253"/>
      <c r="K4241" s="584"/>
      <c r="L4241" s="39"/>
      <c r="M4241" s="39"/>
      <c r="N4241" s="52" t="str">
        <f>IF(AND('331-CT'!$E$7=TH!H4241,OR(L4241="331",M4241="331")),"331",IF(AND(OR(L4241="131",M4241="131"),H4241='131-CT'!$E$7),"131",""))</f>
        <v/>
      </c>
      <c r="O4241" s="52" t="str">
        <f>IF(AND($B4241&gt;='111'!$N$11,$B4241&lt;='111'!$O$11,OR($L4241=$O$7,$M4241=$O$7)),"x","")</f>
        <v/>
      </c>
      <c r="P4241" s="52" t="str">
        <f>IF(AND($L4241=$O$7,$B4241&lt;'111'!$N$11),"x","")</f>
        <v/>
      </c>
      <c r="Q4241" s="52" t="str">
        <f>IF(AND($M4241=$O$7,$B4241&lt;'111'!$N$11),"x","")</f>
        <v/>
      </c>
      <c r="R4241" s="52" t="str">
        <f>IF(ISERROR(FIND('112'!$M$9,G4241,1)),"",IF((AND(FIND('112'!$M$9,G4241,1)&gt;=1,$B4241&gt;='112'!$N$8,$B4241&lt;='112'!$O$8,OR($L4241='112'!$I$6,$M4241='112'!$I$6))),"x",""))</f>
        <v/>
      </c>
      <c r="S4241" s="52" t="str">
        <f>IF(ISERROR(FIND('112'!$M$9,G4241,1)),"",IF((AND(LEFT(G4241,2)=LEFT('112'!$M$9,2),B4241&lt;'112'!$N$8,$L4241='112'!$I$6)),"x",""))</f>
        <v/>
      </c>
      <c r="T4241" s="52" t="str">
        <f>IF(ISERROR(FIND('112'!$M$9,G4241,1)),"",IF((AND(RIGHT(G4241,2)=RIGHT('112'!$M$9,2),B4241&lt;'112'!$N$8,$M4241='112'!$I$6)),"x",""))</f>
        <v/>
      </c>
      <c r="U4241" s="52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/>
      </c>
      <c r="V4241" s="52" t="str">
        <f>IF(OR(TH!L4241=TH!$V$7,M4241=TH!$V$7),"x","")</f>
        <v/>
      </c>
      <c r="W4241" s="52" t="str">
        <f>IF(AND(B4241&gt;='IN-NX'!$P$3,B4241&lt;='IN-NX'!$Q$3,'IN-NX'!$D$7=D4241,OR(LEFT(L4241,2)="15",AND(LEFT(M4241,2)&lt;&gt;"15",LEFT(M4241,2)&lt;&gt;"33"))),"x","")</f>
        <v/>
      </c>
      <c r="X4241" s="52" t="str">
        <f>IF(AND(OR(LEFT(TH!L4241,2)="15",LEFT(TH!M4241,2)="15"),'152-CT'!$J$8=TH!F4241),"x","")</f>
        <v/>
      </c>
      <c r="Y4241" s="52" t="str">
        <f>IF(AND(OR(LEFT(TH!L4241,2)="15",LEFT(TH!M4241,2)="15"),TK!$E$7=TH!F4241),"x","")</f>
        <v/>
      </c>
      <c r="Z4241" s="52" t="str">
        <f>IF(AND(B4241&lt;=NKC!$N$8,B4241&gt;=NKC!$M$8),"x","")</f>
        <v/>
      </c>
      <c r="AA4241" s="826"/>
    </row>
    <row r="4242" spans="1:27" ht="15.75" customHeight="1">
      <c r="A4242" s="827" t="str">
        <f>IF(B4242&lt;&gt;"",IF(AND(B4242&gt;=_TM1,B4242&lt;=_TM2,OR(TH!L4242="1111",TH!M4242="1111")),TH!D4242,""),"")</f>
        <v/>
      </c>
      <c r="B4242" s="36" t="str">
        <f t="shared" si="520"/>
        <v/>
      </c>
      <c r="C4242" s="190"/>
      <c r="D4242" s="37"/>
      <c r="E4242" s="190"/>
      <c r="F4242" s="191"/>
      <c r="G4242" s="833"/>
      <c r="H4242" s="192"/>
      <c r="I4242" s="253"/>
      <c r="J4242" s="253"/>
      <c r="K4242" s="584"/>
      <c r="L4242" s="39"/>
      <c r="M4242" s="39"/>
      <c r="N4242" s="52" t="str">
        <f>IF(AND('331-CT'!$E$7=TH!H4242,OR(L4242="331",M4242="331")),"331",IF(AND(OR(L4242="131",M4242="131"),H4242='131-CT'!$E$7),"131",""))</f>
        <v/>
      </c>
      <c r="O4242" s="52" t="str">
        <f>IF(AND($B4242&gt;='111'!$N$11,$B4242&lt;='111'!$O$11,OR($L4242=$O$7,$M4242=$O$7)),"x","")</f>
        <v/>
      </c>
      <c r="P4242" s="52" t="str">
        <f>IF(AND($L4242=$O$7,$B4242&lt;'111'!$N$11),"x","")</f>
        <v/>
      </c>
      <c r="Q4242" s="52" t="str">
        <f>IF(AND($M4242=$O$7,$B4242&lt;'111'!$N$11),"x","")</f>
        <v/>
      </c>
      <c r="R4242" s="52" t="str">
        <f>IF(ISERROR(FIND('112'!$M$9,G4242,1)),"",IF((AND(FIND('112'!$M$9,G4242,1)&gt;=1,$B4242&gt;='112'!$N$8,$B4242&lt;='112'!$O$8,OR($L4242='112'!$I$6,$M4242='112'!$I$6))),"x",""))</f>
        <v/>
      </c>
      <c r="S4242" s="52" t="str">
        <f>IF(ISERROR(FIND('112'!$M$9,G4242,1)),"",IF((AND(LEFT(G4242,2)=LEFT('112'!$M$9,2),B4242&lt;'112'!$N$8,$L4242='112'!$I$6)),"x",""))</f>
        <v/>
      </c>
      <c r="T4242" s="52" t="str">
        <f>IF(ISERROR(FIND('112'!$M$9,G4242,1)),"",IF((AND(RIGHT(G4242,2)=RIGHT('112'!$M$9,2),B4242&lt;'112'!$N$8,$M4242='112'!$I$6)),"x",""))</f>
        <v/>
      </c>
      <c r="U4242" s="52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/>
      </c>
      <c r="V4242" s="52" t="str">
        <f>IF(OR(TH!L4242=TH!$V$7,M4242=TH!$V$7),"x","")</f>
        <v/>
      </c>
      <c r="W4242" s="52" t="str">
        <f>IF(AND(B4242&gt;='IN-NX'!$P$3,B4242&lt;='IN-NX'!$Q$3,'IN-NX'!$D$7=D4242,OR(LEFT(L4242,2)="15",AND(LEFT(M4242,2)&lt;&gt;"15",LEFT(M4242,2)&lt;&gt;"33"))),"x","")</f>
        <v/>
      </c>
      <c r="X4242" s="52" t="str">
        <f>IF(AND(OR(LEFT(TH!L4242,2)="15",LEFT(TH!M4242,2)="15"),'152-CT'!$J$8=TH!F4242),"x","")</f>
        <v/>
      </c>
      <c r="Y4242" s="52" t="str">
        <f>IF(AND(OR(LEFT(TH!L4242,2)="15",LEFT(TH!M4242,2)="15"),TK!$E$7=TH!F4242),"x","")</f>
        <v/>
      </c>
      <c r="Z4242" s="52" t="str">
        <f>IF(AND(B4242&lt;=NKC!$N$8,B4242&gt;=NKC!$M$8),"x","")</f>
        <v/>
      </c>
      <c r="AA4242" s="826"/>
    </row>
    <row r="4243" spans="1:27" ht="15.75" customHeight="1">
      <c r="A4243" s="827" t="str">
        <f>IF(B4243&lt;&gt;"",IF(AND(B4243&gt;=_TM1,B4243&lt;=_TM2,OR(TH!L4243="1111",TH!M4243="1111")),TH!D4243,""),"")</f>
        <v/>
      </c>
      <c r="B4243" s="36" t="str">
        <f t="shared" si="520"/>
        <v/>
      </c>
      <c r="C4243" s="190"/>
      <c r="D4243" s="37"/>
      <c r="E4243" s="190"/>
      <c r="F4243" s="191"/>
      <c r="G4243" s="833"/>
      <c r="H4243" s="192"/>
      <c r="I4243" s="253"/>
      <c r="J4243" s="253"/>
      <c r="K4243" s="584"/>
      <c r="L4243" s="39"/>
      <c r="M4243" s="39"/>
      <c r="N4243" s="52" t="str">
        <f>IF(AND('331-CT'!$E$7=TH!H4243,OR(L4243="331",M4243="331")),"331",IF(AND(OR(L4243="131",M4243="131"),H4243='131-CT'!$E$7),"131",""))</f>
        <v/>
      </c>
      <c r="O4243" s="52" t="str">
        <f>IF(AND($B4243&gt;='111'!$N$11,$B4243&lt;='111'!$O$11,OR($L4243=$O$7,$M4243=$O$7)),"x","")</f>
        <v/>
      </c>
      <c r="P4243" s="52" t="str">
        <f>IF(AND($L4243=$O$7,$B4243&lt;'111'!$N$11),"x","")</f>
        <v/>
      </c>
      <c r="Q4243" s="52" t="str">
        <f>IF(AND($M4243=$O$7,$B4243&lt;'111'!$N$11),"x","")</f>
        <v/>
      </c>
      <c r="R4243" s="52" t="str">
        <f>IF(ISERROR(FIND('112'!$M$9,G4243,1)),"",IF((AND(FIND('112'!$M$9,G4243,1)&gt;=1,$B4243&gt;='112'!$N$8,$B4243&lt;='112'!$O$8,OR($L4243='112'!$I$6,$M4243='112'!$I$6))),"x",""))</f>
        <v/>
      </c>
      <c r="S4243" s="52" t="str">
        <f>IF(ISERROR(FIND('112'!$M$9,G4243,1)),"",IF((AND(LEFT(G4243,2)=LEFT('112'!$M$9,2),B4243&lt;'112'!$N$8,$L4243='112'!$I$6)),"x",""))</f>
        <v/>
      </c>
      <c r="T4243" s="52" t="str">
        <f>IF(ISERROR(FIND('112'!$M$9,G4243,1)),"",IF((AND(RIGHT(G4243,2)=RIGHT('112'!$M$9,2),B4243&lt;'112'!$N$8,$M4243='112'!$I$6)),"x",""))</f>
        <v/>
      </c>
      <c r="U4243" s="52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/>
      </c>
      <c r="V4243" s="52" t="str">
        <f>IF(OR(TH!L4243=TH!$V$7,M4243=TH!$V$7),"x","")</f>
        <v/>
      </c>
      <c r="W4243" s="52" t="str">
        <f>IF(AND(B4243&gt;='IN-NX'!$P$3,B4243&lt;='IN-NX'!$Q$3,'IN-NX'!$D$7=D4243,OR(LEFT(L4243,2)="15",AND(LEFT(M4243,2)&lt;&gt;"15",LEFT(M4243,2)&lt;&gt;"33"))),"x","")</f>
        <v/>
      </c>
      <c r="X4243" s="52" t="str">
        <f>IF(AND(OR(LEFT(TH!L4243,2)="15",LEFT(TH!M4243,2)="15"),'152-CT'!$J$8=TH!F4243),"x","")</f>
        <v/>
      </c>
      <c r="Y4243" s="52" t="str">
        <f>IF(AND(OR(LEFT(TH!L4243,2)="15",LEFT(TH!M4243,2)="15"),TK!$E$7=TH!F4243),"x","")</f>
        <v/>
      </c>
      <c r="Z4243" s="52" t="str">
        <f>IF(AND(B4243&lt;=NKC!$N$8,B4243&gt;=NKC!$M$8),"x","")</f>
        <v/>
      </c>
      <c r="AA4243" s="826"/>
    </row>
    <row r="4244" spans="1:27" ht="15.75" customHeight="1">
      <c r="A4244" s="827" t="str">
        <f>IF(B4244&lt;&gt;"",IF(AND(B4244&gt;=_TM1,B4244&lt;=_TM2,OR(TH!L4244="1111",TH!M4244="1111")),TH!D4244,""),"")</f>
        <v/>
      </c>
      <c r="B4244" s="36" t="str">
        <f t="shared" ref="B4244:B4307" si="521">IF(C4244&lt;&gt;"",MONTH(C4244),"")</f>
        <v/>
      </c>
      <c r="C4244" s="190"/>
      <c r="D4244" s="37"/>
      <c r="E4244" s="190"/>
      <c r="F4244" s="191"/>
      <c r="G4244" s="833"/>
      <c r="H4244" s="192"/>
      <c r="I4244" s="253"/>
      <c r="J4244" s="253"/>
      <c r="K4244" s="584"/>
      <c r="L4244" s="39"/>
      <c r="M4244" s="39"/>
      <c r="N4244" s="52" t="str">
        <f>IF(AND('331-CT'!$E$7=TH!H4244,OR(L4244="331",M4244="331")),"331",IF(AND(OR(L4244="131",M4244="131"),H4244='131-CT'!$E$7),"131",""))</f>
        <v/>
      </c>
      <c r="O4244" s="52" t="str">
        <f>IF(AND($B4244&gt;='111'!$N$11,$B4244&lt;='111'!$O$11,OR($L4244=$O$7,$M4244=$O$7)),"x","")</f>
        <v/>
      </c>
      <c r="P4244" s="52" t="str">
        <f>IF(AND($L4244=$O$7,$B4244&lt;'111'!$N$11),"x","")</f>
        <v/>
      </c>
      <c r="Q4244" s="52" t="str">
        <f>IF(AND($M4244=$O$7,$B4244&lt;'111'!$N$11),"x","")</f>
        <v/>
      </c>
      <c r="R4244" s="52" t="str">
        <f>IF(ISERROR(FIND('112'!$M$9,G4244,1)),"",IF((AND(FIND('112'!$M$9,G4244,1)&gt;=1,$B4244&gt;='112'!$N$8,$B4244&lt;='112'!$O$8,OR($L4244='112'!$I$6,$M4244='112'!$I$6))),"x",""))</f>
        <v/>
      </c>
      <c r="S4244" s="52" t="str">
        <f>IF(ISERROR(FIND('112'!$M$9,G4244,1)),"",IF((AND(LEFT(G4244,2)=LEFT('112'!$M$9,2),B4244&lt;'112'!$N$8,$L4244='112'!$I$6)),"x",""))</f>
        <v/>
      </c>
      <c r="T4244" s="52" t="str">
        <f>IF(ISERROR(FIND('112'!$M$9,G4244,1)),"",IF((AND(RIGHT(G4244,2)=RIGHT('112'!$M$9,2),B4244&lt;'112'!$N$8,$M4244='112'!$I$6)),"x",""))</f>
        <v/>
      </c>
      <c r="U4244" s="52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/>
      </c>
      <c r="V4244" s="52" t="str">
        <f>IF(OR(TH!L4244=TH!$V$7,M4244=TH!$V$7),"x","")</f>
        <v/>
      </c>
      <c r="W4244" s="52" t="str">
        <f>IF(AND(B4244&gt;='IN-NX'!$P$3,B4244&lt;='IN-NX'!$Q$3,'IN-NX'!$D$7=D4244,OR(LEFT(L4244,2)="15",AND(LEFT(M4244,2)&lt;&gt;"15",LEFT(M4244,2)&lt;&gt;"33"))),"x","")</f>
        <v/>
      </c>
      <c r="X4244" s="52" t="str">
        <f>IF(AND(OR(LEFT(TH!L4244,2)="15",LEFT(TH!M4244,2)="15"),'152-CT'!$J$8=TH!F4244),"x","")</f>
        <v/>
      </c>
      <c r="Y4244" s="52" t="str">
        <f>IF(AND(OR(LEFT(TH!L4244,2)="15",LEFT(TH!M4244,2)="15"),TK!$E$7=TH!F4244),"x","")</f>
        <v/>
      </c>
      <c r="Z4244" s="52" t="str">
        <f>IF(AND(B4244&lt;=NKC!$N$8,B4244&gt;=NKC!$M$8),"x","")</f>
        <v/>
      </c>
      <c r="AA4244" s="826"/>
    </row>
    <row r="4245" spans="1:27" ht="15.75" customHeight="1">
      <c r="A4245" s="827" t="str">
        <f>IF(B4245&lt;&gt;"",IF(AND(B4245&gt;=_TM1,B4245&lt;=_TM2,OR(TH!L4245="1111",TH!M4245="1111")),TH!D4245,""),"")</f>
        <v/>
      </c>
      <c r="B4245" s="36" t="str">
        <f t="shared" si="521"/>
        <v/>
      </c>
      <c r="C4245" s="190"/>
      <c r="D4245" s="37"/>
      <c r="E4245" s="190"/>
      <c r="F4245" s="191"/>
      <c r="G4245" s="833"/>
      <c r="H4245" s="192"/>
      <c r="I4245" s="253"/>
      <c r="J4245" s="253"/>
      <c r="K4245" s="584"/>
      <c r="L4245" s="39"/>
      <c r="M4245" s="39"/>
      <c r="N4245" s="52" t="str">
        <f>IF(AND('331-CT'!$E$7=TH!H4245,OR(L4245="331",M4245="331")),"331",IF(AND(OR(L4245="131",M4245="131"),H4245='131-CT'!$E$7),"131",""))</f>
        <v/>
      </c>
      <c r="O4245" s="52" t="str">
        <f>IF(AND($B4245&gt;='111'!$N$11,$B4245&lt;='111'!$O$11,OR($L4245=$O$7,$M4245=$O$7)),"x","")</f>
        <v/>
      </c>
      <c r="P4245" s="52" t="str">
        <f>IF(AND($L4245=$O$7,$B4245&lt;'111'!$N$11),"x","")</f>
        <v/>
      </c>
      <c r="Q4245" s="52" t="str">
        <f>IF(AND($M4245=$O$7,$B4245&lt;'111'!$N$11),"x","")</f>
        <v/>
      </c>
      <c r="R4245" s="52" t="str">
        <f>IF(ISERROR(FIND('112'!$M$9,G4245,1)),"",IF((AND(FIND('112'!$M$9,G4245,1)&gt;=1,$B4245&gt;='112'!$N$8,$B4245&lt;='112'!$O$8,OR($L4245='112'!$I$6,$M4245='112'!$I$6))),"x",""))</f>
        <v/>
      </c>
      <c r="S4245" s="52" t="str">
        <f>IF(ISERROR(FIND('112'!$M$9,G4245,1)),"",IF((AND(LEFT(G4245,2)=LEFT('112'!$M$9,2),B4245&lt;'112'!$N$8,$L4245='112'!$I$6)),"x",""))</f>
        <v/>
      </c>
      <c r="T4245" s="52" t="str">
        <f>IF(ISERROR(FIND('112'!$M$9,G4245,1)),"",IF((AND(RIGHT(G4245,2)=RIGHT('112'!$M$9,2),B4245&lt;'112'!$N$8,$M4245='112'!$I$6)),"x",""))</f>
        <v/>
      </c>
      <c r="U4245" s="52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/>
      </c>
      <c r="V4245" s="52" t="str">
        <f>IF(OR(TH!L4245=TH!$V$7,M4245=TH!$V$7),"x","")</f>
        <v/>
      </c>
      <c r="W4245" s="52" t="str">
        <f>IF(AND(B4245&gt;='IN-NX'!$P$3,B4245&lt;='IN-NX'!$Q$3,'IN-NX'!$D$7=D4245,OR(LEFT(L4245,2)="15",AND(LEFT(M4245,2)&lt;&gt;"15",LEFT(M4245,2)&lt;&gt;"33"))),"x","")</f>
        <v/>
      </c>
      <c r="X4245" s="52" t="str">
        <f>IF(AND(OR(LEFT(TH!L4245,2)="15",LEFT(TH!M4245,2)="15"),'152-CT'!$J$8=TH!F4245),"x","")</f>
        <v/>
      </c>
      <c r="Y4245" s="52" t="str">
        <f>IF(AND(OR(LEFT(TH!L4245,2)="15",LEFT(TH!M4245,2)="15"),TK!$E$7=TH!F4245),"x","")</f>
        <v/>
      </c>
      <c r="Z4245" s="52" t="str">
        <f>IF(AND(B4245&lt;=NKC!$N$8,B4245&gt;=NKC!$M$8),"x","")</f>
        <v/>
      </c>
      <c r="AA4245" s="826"/>
    </row>
    <row r="4246" spans="1:27" ht="15.75" customHeight="1">
      <c r="A4246" s="827" t="str">
        <f>IF(B4246&lt;&gt;"",IF(AND(B4246&gt;=_TM1,B4246&lt;=_TM2,OR(TH!L4246="1111",TH!M4246="1111")),TH!D4246,""),"")</f>
        <v/>
      </c>
      <c r="B4246" s="36" t="str">
        <f t="shared" si="521"/>
        <v/>
      </c>
      <c r="C4246" s="190"/>
      <c r="D4246" s="37"/>
      <c r="E4246" s="190"/>
      <c r="F4246" s="191"/>
      <c r="G4246" s="833"/>
      <c r="H4246" s="192"/>
      <c r="I4246" s="253"/>
      <c r="J4246" s="253"/>
      <c r="K4246" s="584"/>
      <c r="L4246" s="39"/>
      <c r="M4246" s="39"/>
      <c r="N4246" s="52" t="str">
        <f>IF(AND('331-CT'!$E$7=TH!H4246,OR(L4246="331",M4246="331")),"331",IF(AND(OR(L4246="131",M4246="131"),H4246='131-CT'!$E$7),"131",""))</f>
        <v/>
      </c>
      <c r="O4246" s="52" t="str">
        <f>IF(AND($B4246&gt;='111'!$N$11,$B4246&lt;='111'!$O$11,OR($L4246=$O$7,$M4246=$O$7)),"x","")</f>
        <v/>
      </c>
      <c r="P4246" s="52" t="str">
        <f>IF(AND($L4246=$O$7,$B4246&lt;'111'!$N$11),"x","")</f>
        <v/>
      </c>
      <c r="Q4246" s="52" t="str">
        <f>IF(AND($M4246=$O$7,$B4246&lt;'111'!$N$11),"x","")</f>
        <v/>
      </c>
      <c r="R4246" s="52" t="str">
        <f>IF(ISERROR(FIND('112'!$M$9,G4246,1)),"",IF((AND(FIND('112'!$M$9,G4246,1)&gt;=1,$B4246&gt;='112'!$N$8,$B4246&lt;='112'!$O$8,OR($L4246='112'!$I$6,$M4246='112'!$I$6))),"x",""))</f>
        <v/>
      </c>
      <c r="S4246" s="52" t="str">
        <f>IF(ISERROR(FIND('112'!$M$9,G4246,1)),"",IF((AND(LEFT(G4246,2)=LEFT('112'!$M$9,2),B4246&lt;'112'!$N$8,$L4246='112'!$I$6)),"x",""))</f>
        <v/>
      </c>
      <c r="T4246" s="52" t="str">
        <f>IF(ISERROR(FIND('112'!$M$9,G4246,1)),"",IF((AND(RIGHT(G4246,2)=RIGHT('112'!$M$9,2),B4246&lt;'112'!$N$8,$M4246='112'!$I$6)),"x",""))</f>
        <v/>
      </c>
      <c r="U4246" s="52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/>
      </c>
      <c r="V4246" s="52" t="str">
        <f>IF(OR(TH!L4246=TH!$V$7,M4246=TH!$V$7),"x","")</f>
        <v/>
      </c>
      <c r="W4246" s="52" t="str">
        <f>IF(AND(B4246&gt;='IN-NX'!$P$3,B4246&lt;='IN-NX'!$Q$3,'IN-NX'!$D$7=D4246,OR(LEFT(L4246,2)="15",AND(LEFT(M4246,2)&lt;&gt;"15",LEFT(M4246,2)&lt;&gt;"33"))),"x","")</f>
        <v/>
      </c>
      <c r="X4246" s="52" t="str">
        <f>IF(AND(OR(LEFT(TH!L4246,2)="15",LEFT(TH!M4246,2)="15"),'152-CT'!$J$8=TH!F4246),"x","")</f>
        <v/>
      </c>
      <c r="Y4246" s="52" t="str">
        <f>IF(AND(OR(LEFT(TH!L4246,2)="15",LEFT(TH!M4246,2)="15"),TK!$E$7=TH!F4246),"x","")</f>
        <v/>
      </c>
      <c r="Z4246" s="52" t="str">
        <f>IF(AND(B4246&lt;=NKC!$N$8,B4246&gt;=NKC!$M$8),"x","")</f>
        <v/>
      </c>
      <c r="AA4246" s="826"/>
    </row>
    <row r="4247" spans="1:27" ht="15.75" customHeight="1">
      <c r="A4247" s="827" t="str">
        <f>IF(B4247&lt;&gt;"",IF(AND(B4247&gt;=_TM1,B4247&lt;=_TM2,OR(TH!L4247="1111",TH!M4247="1111")),TH!D4247,""),"")</f>
        <v/>
      </c>
      <c r="B4247" s="36" t="str">
        <f t="shared" si="521"/>
        <v/>
      </c>
      <c r="C4247" s="190"/>
      <c r="D4247" s="37"/>
      <c r="E4247" s="190"/>
      <c r="F4247" s="191"/>
      <c r="G4247" s="833"/>
      <c r="H4247" s="192"/>
      <c r="I4247" s="253"/>
      <c r="J4247" s="253"/>
      <c r="K4247" s="584"/>
      <c r="L4247" s="39"/>
      <c r="M4247" s="39"/>
      <c r="N4247" s="52" t="str">
        <f>IF(AND('331-CT'!$E$7=TH!H4247,OR(L4247="331",M4247="331")),"331",IF(AND(OR(L4247="131",M4247="131"),H4247='131-CT'!$E$7),"131",""))</f>
        <v/>
      </c>
      <c r="O4247" s="52" t="str">
        <f>IF(AND($B4247&gt;='111'!$N$11,$B4247&lt;='111'!$O$11,OR($L4247=$O$7,$M4247=$O$7)),"x","")</f>
        <v/>
      </c>
      <c r="P4247" s="52" t="str">
        <f>IF(AND($L4247=$O$7,$B4247&lt;'111'!$N$11),"x","")</f>
        <v/>
      </c>
      <c r="Q4247" s="52" t="str">
        <f>IF(AND($M4247=$O$7,$B4247&lt;'111'!$N$11),"x","")</f>
        <v/>
      </c>
      <c r="R4247" s="52" t="str">
        <f>IF(ISERROR(FIND('112'!$M$9,G4247,1)),"",IF((AND(FIND('112'!$M$9,G4247,1)&gt;=1,$B4247&gt;='112'!$N$8,$B4247&lt;='112'!$O$8,OR($L4247='112'!$I$6,$M4247='112'!$I$6))),"x",""))</f>
        <v/>
      </c>
      <c r="S4247" s="52" t="str">
        <f>IF(ISERROR(FIND('112'!$M$9,G4247,1)),"",IF((AND(LEFT(G4247,2)=LEFT('112'!$M$9,2),B4247&lt;'112'!$N$8,$L4247='112'!$I$6)),"x",""))</f>
        <v/>
      </c>
      <c r="T4247" s="52" t="str">
        <f>IF(ISERROR(FIND('112'!$M$9,G4247,1)),"",IF((AND(RIGHT(G4247,2)=RIGHT('112'!$M$9,2),B4247&lt;'112'!$N$8,$M4247='112'!$I$6)),"x",""))</f>
        <v/>
      </c>
      <c r="U4247" s="52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/>
      </c>
      <c r="V4247" s="52" t="str">
        <f>IF(OR(TH!L4247=TH!$V$7,M4247=TH!$V$7),"x","")</f>
        <v/>
      </c>
      <c r="W4247" s="52" t="str">
        <f>IF(AND(B4247&gt;='IN-NX'!$P$3,B4247&lt;='IN-NX'!$Q$3,'IN-NX'!$D$7=D4247,OR(LEFT(L4247,2)="15",AND(LEFT(M4247,2)&lt;&gt;"15",LEFT(M4247,2)&lt;&gt;"33"))),"x","")</f>
        <v/>
      </c>
      <c r="X4247" s="52" t="str">
        <f>IF(AND(OR(LEFT(TH!L4247,2)="15",LEFT(TH!M4247,2)="15"),'152-CT'!$J$8=TH!F4247),"x","")</f>
        <v/>
      </c>
      <c r="Y4247" s="52" t="str">
        <f>IF(AND(OR(LEFT(TH!L4247,2)="15",LEFT(TH!M4247,2)="15"),TK!$E$7=TH!F4247),"x","")</f>
        <v/>
      </c>
      <c r="Z4247" s="52" t="str">
        <f>IF(AND(B4247&lt;=NKC!$N$8,B4247&gt;=NKC!$M$8),"x","")</f>
        <v/>
      </c>
      <c r="AA4247" s="826"/>
    </row>
    <row r="4248" spans="1:27" ht="15.75" customHeight="1">
      <c r="A4248" s="827" t="str">
        <f>IF(B4248&lt;&gt;"",IF(AND(B4248&gt;=_TM1,B4248&lt;=_TM2,OR(TH!L4248="1111",TH!M4248="1111")),TH!D4248,""),"")</f>
        <v/>
      </c>
      <c r="B4248" s="36" t="str">
        <f t="shared" si="521"/>
        <v/>
      </c>
      <c r="C4248" s="190"/>
      <c r="D4248" s="37"/>
      <c r="E4248" s="190"/>
      <c r="F4248" s="191"/>
      <c r="G4248" s="833"/>
      <c r="H4248" s="192"/>
      <c r="I4248" s="253"/>
      <c r="J4248" s="253"/>
      <c r="K4248" s="584"/>
      <c r="L4248" s="39"/>
      <c r="M4248" s="39"/>
      <c r="N4248" s="52" t="str">
        <f>IF(AND('331-CT'!$E$7=TH!H4248,OR(L4248="331",M4248="331")),"331",IF(AND(OR(L4248="131",M4248="131"),H4248='131-CT'!$E$7),"131",""))</f>
        <v/>
      </c>
      <c r="O4248" s="52" t="str">
        <f>IF(AND($B4248&gt;='111'!$N$11,$B4248&lt;='111'!$O$11,OR($L4248=$O$7,$M4248=$O$7)),"x","")</f>
        <v/>
      </c>
      <c r="P4248" s="52" t="str">
        <f>IF(AND($L4248=$O$7,$B4248&lt;'111'!$N$11),"x","")</f>
        <v/>
      </c>
      <c r="Q4248" s="52" t="str">
        <f>IF(AND($M4248=$O$7,$B4248&lt;'111'!$N$11),"x","")</f>
        <v/>
      </c>
      <c r="R4248" s="52" t="str">
        <f>IF(ISERROR(FIND('112'!$M$9,G4248,1)),"",IF((AND(FIND('112'!$M$9,G4248,1)&gt;=1,$B4248&gt;='112'!$N$8,$B4248&lt;='112'!$O$8,OR($L4248='112'!$I$6,$M4248='112'!$I$6))),"x",""))</f>
        <v/>
      </c>
      <c r="S4248" s="52" t="str">
        <f>IF(ISERROR(FIND('112'!$M$9,G4248,1)),"",IF((AND(LEFT(G4248,2)=LEFT('112'!$M$9,2),B4248&lt;'112'!$N$8,$L4248='112'!$I$6)),"x",""))</f>
        <v/>
      </c>
      <c r="T4248" s="52" t="str">
        <f>IF(ISERROR(FIND('112'!$M$9,G4248,1)),"",IF((AND(RIGHT(G4248,2)=RIGHT('112'!$M$9,2),B4248&lt;'112'!$N$8,$M4248='112'!$I$6)),"x",""))</f>
        <v/>
      </c>
      <c r="U4248" s="52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/>
      </c>
      <c r="V4248" s="52" t="str">
        <f>IF(OR(TH!L4248=TH!$V$7,M4248=TH!$V$7),"x","")</f>
        <v/>
      </c>
      <c r="W4248" s="52" t="str">
        <f>IF(AND(B4248&gt;='IN-NX'!$P$3,B4248&lt;='IN-NX'!$Q$3,'IN-NX'!$D$7=D4248,OR(LEFT(L4248,2)="15",AND(LEFT(M4248,2)&lt;&gt;"15",LEFT(M4248,2)&lt;&gt;"33"))),"x","")</f>
        <v/>
      </c>
      <c r="X4248" s="52" t="str">
        <f>IF(AND(OR(LEFT(TH!L4248,2)="15",LEFT(TH!M4248,2)="15"),'152-CT'!$J$8=TH!F4248),"x","")</f>
        <v/>
      </c>
      <c r="Y4248" s="52" t="str">
        <f>IF(AND(OR(LEFT(TH!L4248,2)="15",LEFT(TH!M4248,2)="15"),TK!$E$7=TH!F4248),"x","")</f>
        <v/>
      </c>
      <c r="Z4248" s="52" t="str">
        <f>IF(AND(B4248&lt;=NKC!$N$8,B4248&gt;=NKC!$M$8),"x","")</f>
        <v/>
      </c>
      <c r="AA4248" s="826"/>
    </row>
    <row r="4249" spans="1:27" ht="15.75" customHeight="1">
      <c r="A4249" s="827" t="str">
        <f>IF(B4249&lt;&gt;"",IF(AND(B4249&gt;=_TM1,B4249&lt;=_TM2,OR(TH!L4249="1111",TH!M4249="1111")),TH!D4249,""),"")</f>
        <v/>
      </c>
      <c r="B4249" s="36" t="str">
        <f t="shared" si="521"/>
        <v/>
      </c>
      <c r="C4249" s="190"/>
      <c r="D4249" s="37"/>
      <c r="E4249" s="190"/>
      <c r="F4249" s="191"/>
      <c r="G4249" s="833"/>
      <c r="H4249" s="192"/>
      <c r="I4249" s="253"/>
      <c r="J4249" s="253"/>
      <c r="K4249" s="584"/>
      <c r="L4249" s="39"/>
      <c r="M4249" s="39"/>
      <c r="N4249" s="52" t="str">
        <f>IF(AND('331-CT'!$E$7=TH!H4249,OR(L4249="331",M4249="331")),"331",IF(AND(OR(L4249="131",M4249="131"),H4249='131-CT'!$E$7),"131",""))</f>
        <v/>
      </c>
      <c r="O4249" s="52" t="str">
        <f>IF(AND($B4249&gt;='111'!$N$11,$B4249&lt;='111'!$O$11,OR($L4249=$O$7,$M4249=$O$7)),"x","")</f>
        <v/>
      </c>
      <c r="P4249" s="52" t="str">
        <f>IF(AND($L4249=$O$7,$B4249&lt;'111'!$N$11),"x","")</f>
        <v/>
      </c>
      <c r="Q4249" s="52" t="str">
        <f>IF(AND($M4249=$O$7,$B4249&lt;'111'!$N$11),"x","")</f>
        <v/>
      </c>
      <c r="R4249" s="52" t="str">
        <f>IF(ISERROR(FIND('112'!$M$9,G4249,1)),"",IF((AND(FIND('112'!$M$9,G4249,1)&gt;=1,$B4249&gt;='112'!$N$8,$B4249&lt;='112'!$O$8,OR($L4249='112'!$I$6,$M4249='112'!$I$6))),"x",""))</f>
        <v/>
      </c>
      <c r="S4249" s="52" t="str">
        <f>IF(ISERROR(FIND('112'!$M$9,G4249,1)),"",IF((AND(LEFT(G4249,2)=LEFT('112'!$M$9,2),B4249&lt;'112'!$N$8,$L4249='112'!$I$6)),"x",""))</f>
        <v/>
      </c>
      <c r="T4249" s="52" t="str">
        <f>IF(ISERROR(FIND('112'!$M$9,G4249,1)),"",IF((AND(RIGHT(G4249,2)=RIGHT('112'!$M$9,2),B4249&lt;'112'!$N$8,$M4249='112'!$I$6)),"x",""))</f>
        <v/>
      </c>
      <c r="U4249" s="52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/>
      </c>
      <c r="V4249" s="52" t="str">
        <f>IF(OR(TH!L4249=TH!$V$7,M4249=TH!$V$7),"x","")</f>
        <v/>
      </c>
      <c r="W4249" s="52" t="str">
        <f>IF(AND(B4249&gt;='IN-NX'!$P$3,B4249&lt;='IN-NX'!$Q$3,'IN-NX'!$D$7=D4249,OR(LEFT(L4249,2)="15",AND(LEFT(M4249,2)&lt;&gt;"15",LEFT(M4249,2)&lt;&gt;"33"))),"x","")</f>
        <v/>
      </c>
      <c r="X4249" s="52" t="str">
        <f>IF(AND(OR(LEFT(TH!L4249,2)="15",LEFT(TH!M4249,2)="15"),'152-CT'!$J$8=TH!F4249),"x","")</f>
        <v/>
      </c>
      <c r="Y4249" s="52" t="str">
        <f>IF(AND(OR(LEFT(TH!L4249,2)="15",LEFT(TH!M4249,2)="15"),TK!$E$7=TH!F4249),"x","")</f>
        <v/>
      </c>
      <c r="Z4249" s="52" t="str">
        <f>IF(AND(B4249&lt;=NKC!$N$8,B4249&gt;=NKC!$M$8),"x","")</f>
        <v/>
      </c>
      <c r="AA4249" s="826"/>
    </row>
    <row r="4250" spans="1:27" ht="15.75" customHeight="1">
      <c r="A4250" s="827" t="str">
        <f>IF(B4250&lt;&gt;"",IF(AND(B4250&gt;=_TM1,B4250&lt;=_TM2,OR(TH!L4250="1111",TH!M4250="1111")),TH!D4250,""),"")</f>
        <v/>
      </c>
      <c r="B4250" s="36" t="str">
        <f t="shared" si="521"/>
        <v/>
      </c>
      <c r="C4250" s="190"/>
      <c r="D4250" s="37"/>
      <c r="E4250" s="190"/>
      <c r="F4250" s="191"/>
      <c r="G4250" s="833"/>
      <c r="H4250" s="192"/>
      <c r="I4250" s="253"/>
      <c r="J4250" s="253"/>
      <c r="K4250" s="584"/>
      <c r="L4250" s="39"/>
      <c r="M4250" s="39"/>
      <c r="N4250" s="52" t="str">
        <f>IF(AND('331-CT'!$E$7=TH!H4250,OR(L4250="331",M4250="331")),"331",IF(AND(OR(L4250="131",M4250="131"),H4250='131-CT'!$E$7),"131",""))</f>
        <v/>
      </c>
      <c r="O4250" s="52" t="str">
        <f>IF(AND($B4250&gt;='111'!$N$11,$B4250&lt;='111'!$O$11,OR($L4250=$O$7,$M4250=$O$7)),"x","")</f>
        <v/>
      </c>
      <c r="P4250" s="52" t="str">
        <f>IF(AND($L4250=$O$7,$B4250&lt;'111'!$N$11),"x","")</f>
        <v/>
      </c>
      <c r="Q4250" s="52" t="str">
        <f>IF(AND($M4250=$O$7,$B4250&lt;'111'!$N$11),"x","")</f>
        <v/>
      </c>
      <c r="R4250" s="52" t="str">
        <f>IF(ISERROR(FIND('112'!$M$9,G4250,1)),"",IF((AND(FIND('112'!$M$9,G4250,1)&gt;=1,$B4250&gt;='112'!$N$8,$B4250&lt;='112'!$O$8,OR($L4250='112'!$I$6,$M4250='112'!$I$6))),"x",""))</f>
        <v/>
      </c>
      <c r="S4250" s="52" t="str">
        <f>IF(ISERROR(FIND('112'!$M$9,G4250,1)),"",IF((AND(LEFT(G4250,2)=LEFT('112'!$M$9,2),B4250&lt;'112'!$N$8,$L4250='112'!$I$6)),"x",""))</f>
        <v/>
      </c>
      <c r="T4250" s="52" t="str">
        <f>IF(ISERROR(FIND('112'!$M$9,G4250,1)),"",IF((AND(RIGHT(G4250,2)=RIGHT('112'!$M$9,2),B4250&lt;'112'!$N$8,$M4250='112'!$I$6)),"x",""))</f>
        <v/>
      </c>
      <c r="U4250" s="52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/>
      </c>
      <c r="V4250" s="52" t="str">
        <f>IF(OR(TH!L4250=TH!$V$7,M4250=TH!$V$7),"x","")</f>
        <v/>
      </c>
      <c r="W4250" s="52" t="str">
        <f>IF(AND(B4250&gt;='IN-NX'!$P$3,B4250&lt;='IN-NX'!$Q$3,'IN-NX'!$D$7=D4250,OR(LEFT(L4250,2)="15",AND(LEFT(M4250,2)&lt;&gt;"15",LEFT(M4250,2)&lt;&gt;"33"))),"x","")</f>
        <v/>
      </c>
      <c r="X4250" s="52" t="str">
        <f>IF(AND(OR(LEFT(TH!L4250,2)="15",LEFT(TH!M4250,2)="15"),'152-CT'!$J$8=TH!F4250),"x","")</f>
        <v/>
      </c>
      <c r="Y4250" s="52" t="str">
        <f>IF(AND(OR(LEFT(TH!L4250,2)="15",LEFT(TH!M4250,2)="15"),TK!$E$7=TH!F4250),"x","")</f>
        <v/>
      </c>
      <c r="Z4250" s="52" t="str">
        <f>IF(AND(B4250&lt;=NKC!$N$8,B4250&gt;=NKC!$M$8),"x","")</f>
        <v/>
      </c>
      <c r="AA4250" s="826"/>
    </row>
    <row r="4251" spans="1:27" ht="15.75" customHeight="1">
      <c r="A4251" s="827" t="str">
        <f>IF(B4251&lt;&gt;"",IF(AND(B4251&gt;=_TM1,B4251&lt;=_TM2,OR(TH!L4251="1111",TH!M4251="1111")),TH!D4251,""),"")</f>
        <v/>
      </c>
      <c r="B4251" s="36" t="str">
        <f t="shared" si="521"/>
        <v/>
      </c>
      <c r="C4251" s="190"/>
      <c r="D4251" s="37"/>
      <c r="E4251" s="190"/>
      <c r="F4251" s="191"/>
      <c r="G4251" s="833"/>
      <c r="H4251" s="192"/>
      <c r="I4251" s="253"/>
      <c r="J4251" s="253"/>
      <c r="K4251" s="584"/>
      <c r="L4251" s="39"/>
      <c r="M4251" s="39"/>
      <c r="N4251" s="52" t="str">
        <f>IF(AND('331-CT'!$E$7=TH!H4251,OR(L4251="331",M4251="331")),"331",IF(AND(OR(L4251="131",M4251="131"),H4251='131-CT'!$E$7),"131",""))</f>
        <v/>
      </c>
      <c r="O4251" s="52" t="str">
        <f>IF(AND($B4251&gt;='111'!$N$11,$B4251&lt;='111'!$O$11,OR($L4251=$O$7,$M4251=$O$7)),"x","")</f>
        <v/>
      </c>
      <c r="P4251" s="52" t="str">
        <f>IF(AND($L4251=$O$7,$B4251&lt;'111'!$N$11),"x","")</f>
        <v/>
      </c>
      <c r="Q4251" s="52" t="str">
        <f>IF(AND($M4251=$O$7,$B4251&lt;'111'!$N$11),"x","")</f>
        <v/>
      </c>
      <c r="R4251" s="52" t="str">
        <f>IF(ISERROR(FIND('112'!$M$9,G4251,1)),"",IF((AND(FIND('112'!$M$9,G4251,1)&gt;=1,$B4251&gt;='112'!$N$8,$B4251&lt;='112'!$O$8,OR($L4251='112'!$I$6,$M4251='112'!$I$6))),"x",""))</f>
        <v/>
      </c>
      <c r="S4251" s="52" t="str">
        <f>IF(ISERROR(FIND('112'!$M$9,G4251,1)),"",IF((AND(LEFT(G4251,2)=LEFT('112'!$M$9,2),B4251&lt;'112'!$N$8,$L4251='112'!$I$6)),"x",""))</f>
        <v/>
      </c>
      <c r="T4251" s="52" t="str">
        <f>IF(ISERROR(FIND('112'!$M$9,G4251,1)),"",IF((AND(RIGHT(G4251,2)=RIGHT('112'!$M$9,2),B4251&lt;'112'!$N$8,$M4251='112'!$I$6)),"x",""))</f>
        <v/>
      </c>
      <c r="U4251" s="52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/>
      </c>
      <c r="V4251" s="52" t="str">
        <f>IF(OR(TH!L4251=TH!$V$7,M4251=TH!$V$7),"x","")</f>
        <v/>
      </c>
      <c r="W4251" s="52" t="str">
        <f>IF(AND(B4251&gt;='IN-NX'!$P$3,B4251&lt;='IN-NX'!$Q$3,'IN-NX'!$D$7=D4251,OR(LEFT(L4251,2)="15",AND(LEFT(M4251,2)&lt;&gt;"15",LEFT(M4251,2)&lt;&gt;"33"))),"x","")</f>
        <v/>
      </c>
      <c r="X4251" s="52" t="str">
        <f>IF(AND(OR(LEFT(TH!L4251,2)="15",LEFT(TH!M4251,2)="15"),'152-CT'!$J$8=TH!F4251),"x","")</f>
        <v/>
      </c>
      <c r="Y4251" s="52" t="str">
        <f>IF(AND(OR(LEFT(TH!L4251,2)="15",LEFT(TH!M4251,2)="15"),TK!$E$7=TH!F4251),"x","")</f>
        <v/>
      </c>
      <c r="Z4251" s="52" t="str">
        <f>IF(AND(B4251&lt;=NKC!$N$8,B4251&gt;=NKC!$M$8),"x","")</f>
        <v/>
      </c>
      <c r="AA4251" s="826"/>
    </row>
    <row r="4252" spans="1:27" ht="15.75" customHeight="1">
      <c r="A4252" s="827" t="str">
        <f>IF(B4252&lt;&gt;"",IF(AND(B4252&gt;=_TM1,B4252&lt;=_TM2,OR(TH!L4252="1111",TH!M4252="1111")),TH!D4252,""),"")</f>
        <v/>
      </c>
      <c r="B4252" s="36" t="str">
        <f t="shared" si="521"/>
        <v/>
      </c>
      <c r="C4252" s="190"/>
      <c r="D4252" s="37"/>
      <c r="E4252" s="190"/>
      <c r="F4252" s="191"/>
      <c r="G4252" s="833"/>
      <c r="H4252" s="192"/>
      <c r="I4252" s="253"/>
      <c r="J4252" s="253"/>
      <c r="K4252" s="584"/>
      <c r="L4252" s="39"/>
      <c r="M4252" s="39"/>
      <c r="N4252" s="52" t="str">
        <f>IF(AND('331-CT'!$E$7=TH!H4252,OR(L4252="331",M4252="331")),"331",IF(AND(OR(L4252="131",M4252="131"),H4252='131-CT'!$E$7),"131",""))</f>
        <v/>
      </c>
      <c r="O4252" s="52" t="str">
        <f>IF(AND($B4252&gt;='111'!$N$11,$B4252&lt;='111'!$O$11,OR($L4252=$O$7,$M4252=$O$7)),"x","")</f>
        <v/>
      </c>
      <c r="P4252" s="52" t="str">
        <f>IF(AND($L4252=$O$7,$B4252&lt;'111'!$N$11),"x","")</f>
        <v/>
      </c>
      <c r="Q4252" s="52" t="str">
        <f>IF(AND($M4252=$O$7,$B4252&lt;'111'!$N$11),"x","")</f>
        <v/>
      </c>
      <c r="R4252" s="52" t="str">
        <f>IF(ISERROR(FIND('112'!$M$9,G4252,1)),"",IF((AND(FIND('112'!$M$9,G4252,1)&gt;=1,$B4252&gt;='112'!$N$8,$B4252&lt;='112'!$O$8,OR($L4252='112'!$I$6,$M4252='112'!$I$6))),"x",""))</f>
        <v/>
      </c>
      <c r="S4252" s="52" t="str">
        <f>IF(ISERROR(FIND('112'!$M$9,G4252,1)),"",IF((AND(LEFT(G4252,2)=LEFT('112'!$M$9,2),B4252&lt;'112'!$N$8,$L4252='112'!$I$6)),"x",""))</f>
        <v/>
      </c>
      <c r="T4252" s="52" t="str">
        <f>IF(ISERROR(FIND('112'!$M$9,G4252,1)),"",IF((AND(RIGHT(G4252,2)=RIGHT('112'!$M$9,2),B4252&lt;'112'!$N$8,$M4252='112'!$I$6)),"x",""))</f>
        <v/>
      </c>
      <c r="U4252" s="52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/>
      </c>
      <c r="V4252" s="52" t="str">
        <f>IF(OR(TH!L4252=TH!$V$7,M4252=TH!$V$7),"x","")</f>
        <v/>
      </c>
      <c r="W4252" s="52" t="str">
        <f>IF(AND(B4252&gt;='IN-NX'!$P$3,B4252&lt;='IN-NX'!$Q$3,'IN-NX'!$D$7=D4252,OR(LEFT(L4252,2)="15",AND(LEFT(M4252,2)&lt;&gt;"15",LEFT(M4252,2)&lt;&gt;"33"))),"x","")</f>
        <v/>
      </c>
      <c r="X4252" s="52" t="str">
        <f>IF(AND(OR(LEFT(TH!L4252,2)="15",LEFT(TH!M4252,2)="15"),'152-CT'!$J$8=TH!F4252),"x","")</f>
        <v/>
      </c>
      <c r="Y4252" s="52" t="str">
        <f>IF(AND(OR(LEFT(TH!L4252,2)="15",LEFT(TH!M4252,2)="15"),TK!$E$7=TH!F4252),"x","")</f>
        <v/>
      </c>
      <c r="Z4252" s="52" t="str">
        <f>IF(AND(B4252&lt;=NKC!$N$8,B4252&gt;=NKC!$M$8),"x","")</f>
        <v/>
      </c>
      <c r="AA4252" s="826"/>
    </row>
    <row r="4253" spans="1:27" ht="15.75" customHeight="1">
      <c r="A4253" s="827" t="str">
        <f>IF(B4253&lt;&gt;"",IF(AND(B4253&gt;=_TM1,B4253&lt;=_TM2,OR(TH!L4253="1111",TH!M4253="1111")),TH!D4253,""),"")</f>
        <v/>
      </c>
      <c r="B4253" s="36" t="str">
        <f t="shared" si="521"/>
        <v/>
      </c>
      <c r="C4253" s="190"/>
      <c r="D4253" s="37"/>
      <c r="E4253" s="190"/>
      <c r="F4253" s="191"/>
      <c r="G4253" s="833"/>
      <c r="H4253" s="192"/>
      <c r="I4253" s="253"/>
      <c r="J4253" s="253"/>
      <c r="K4253" s="584"/>
      <c r="L4253" s="39"/>
      <c r="M4253" s="39"/>
      <c r="N4253" s="52" t="str">
        <f>IF(AND('331-CT'!$E$7=TH!H4253,OR(L4253="331",M4253="331")),"331",IF(AND(OR(L4253="131",M4253="131"),H4253='131-CT'!$E$7),"131",""))</f>
        <v/>
      </c>
      <c r="O4253" s="52" t="str">
        <f>IF(AND($B4253&gt;='111'!$N$11,$B4253&lt;='111'!$O$11,OR($L4253=$O$7,$M4253=$O$7)),"x","")</f>
        <v/>
      </c>
      <c r="P4253" s="52" t="str">
        <f>IF(AND($L4253=$O$7,$B4253&lt;'111'!$N$11),"x","")</f>
        <v/>
      </c>
      <c r="Q4253" s="52" t="str">
        <f>IF(AND($M4253=$O$7,$B4253&lt;'111'!$N$11),"x","")</f>
        <v/>
      </c>
      <c r="R4253" s="52" t="str">
        <f>IF(ISERROR(FIND('112'!$M$9,G4253,1)),"",IF((AND(FIND('112'!$M$9,G4253,1)&gt;=1,$B4253&gt;='112'!$N$8,$B4253&lt;='112'!$O$8,OR($L4253='112'!$I$6,$M4253='112'!$I$6))),"x",""))</f>
        <v/>
      </c>
      <c r="S4253" s="52" t="str">
        <f>IF(ISERROR(FIND('112'!$M$9,G4253,1)),"",IF((AND(LEFT(G4253,2)=LEFT('112'!$M$9,2),B4253&lt;'112'!$N$8,$L4253='112'!$I$6)),"x",""))</f>
        <v/>
      </c>
      <c r="T4253" s="52" t="str">
        <f>IF(ISERROR(FIND('112'!$M$9,G4253,1)),"",IF((AND(RIGHT(G4253,2)=RIGHT('112'!$M$9,2),B4253&lt;'112'!$N$8,$M4253='112'!$I$6)),"x",""))</f>
        <v/>
      </c>
      <c r="U4253" s="52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/>
      </c>
      <c r="V4253" s="52" t="str">
        <f>IF(OR(TH!L4253=TH!$V$7,M4253=TH!$V$7),"x","")</f>
        <v/>
      </c>
      <c r="W4253" s="52" t="str">
        <f>IF(AND(B4253&gt;='IN-NX'!$P$3,B4253&lt;='IN-NX'!$Q$3,'IN-NX'!$D$7=D4253,OR(LEFT(L4253,2)="15",AND(LEFT(M4253,2)&lt;&gt;"15",LEFT(M4253,2)&lt;&gt;"33"))),"x","")</f>
        <v/>
      </c>
      <c r="X4253" s="52" t="str">
        <f>IF(AND(OR(LEFT(TH!L4253,2)="15",LEFT(TH!M4253,2)="15"),'152-CT'!$J$8=TH!F4253),"x","")</f>
        <v/>
      </c>
      <c r="Y4253" s="52" t="str">
        <f>IF(AND(OR(LEFT(TH!L4253,2)="15",LEFT(TH!M4253,2)="15"),TK!$E$7=TH!F4253),"x","")</f>
        <v/>
      </c>
      <c r="Z4253" s="52" t="str">
        <f>IF(AND(B4253&lt;=NKC!$N$8,B4253&gt;=NKC!$M$8),"x","")</f>
        <v/>
      </c>
      <c r="AA4253" s="826"/>
    </row>
    <row r="4254" spans="1:27" ht="15.75" customHeight="1">
      <c r="A4254" s="827" t="str">
        <f>IF(B4254&lt;&gt;"",IF(AND(B4254&gt;=_TM1,B4254&lt;=_TM2,OR(TH!L4254="1111",TH!M4254="1111")),TH!D4254,""),"")</f>
        <v/>
      </c>
      <c r="B4254" s="36" t="str">
        <f t="shared" si="521"/>
        <v/>
      </c>
      <c r="C4254" s="190"/>
      <c r="D4254" s="37"/>
      <c r="E4254" s="190"/>
      <c r="F4254" s="191"/>
      <c r="G4254" s="833"/>
      <c r="H4254" s="192"/>
      <c r="I4254" s="253"/>
      <c r="J4254" s="253"/>
      <c r="K4254" s="584"/>
      <c r="L4254" s="39"/>
      <c r="M4254" s="39"/>
      <c r="N4254" s="52" t="str">
        <f>IF(AND('331-CT'!$E$7=TH!H4254,OR(L4254="331",M4254="331")),"331",IF(AND(OR(L4254="131",M4254="131"),H4254='131-CT'!$E$7),"131",""))</f>
        <v/>
      </c>
      <c r="O4254" s="52" t="str">
        <f>IF(AND($B4254&gt;='111'!$N$11,$B4254&lt;='111'!$O$11,OR($L4254=$O$7,$M4254=$O$7)),"x","")</f>
        <v/>
      </c>
      <c r="P4254" s="52" t="str">
        <f>IF(AND($L4254=$O$7,$B4254&lt;'111'!$N$11),"x","")</f>
        <v/>
      </c>
      <c r="Q4254" s="52" t="str">
        <f>IF(AND($M4254=$O$7,$B4254&lt;'111'!$N$11),"x","")</f>
        <v/>
      </c>
      <c r="R4254" s="52" t="str">
        <f>IF(ISERROR(FIND('112'!$M$9,G4254,1)),"",IF((AND(FIND('112'!$M$9,G4254,1)&gt;=1,$B4254&gt;='112'!$N$8,$B4254&lt;='112'!$O$8,OR($L4254='112'!$I$6,$M4254='112'!$I$6))),"x",""))</f>
        <v/>
      </c>
      <c r="S4254" s="52" t="str">
        <f>IF(ISERROR(FIND('112'!$M$9,G4254,1)),"",IF((AND(LEFT(G4254,2)=LEFT('112'!$M$9,2),B4254&lt;'112'!$N$8,$L4254='112'!$I$6)),"x",""))</f>
        <v/>
      </c>
      <c r="T4254" s="52" t="str">
        <f>IF(ISERROR(FIND('112'!$M$9,G4254,1)),"",IF((AND(RIGHT(G4254,2)=RIGHT('112'!$M$9,2),B4254&lt;'112'!$N$8,$M4254='112'!$I$6)),"x",""))</f>
        <v/>
      </c>
      <c r="U4254" s="52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/>
      </c>
      <c r="V4254" s="52" t="str">
        <f>IF(OR(TH!L4254=TH!$V$7,M4254=TH!$V$7),"x","")</f>
        <v/>
      </c>
      <c r="W4254" s="52" t="str">
        <f>IF(AND(B4254&gt;='IN-NX'!$P$3,B4254&lt;='IN-NX'!$Q$3,'IN-NX'!$D$7=D4254,OR(LEFT(L4254,2)="15",AND(LEFT(M4254,2)&lt;&gt;"15",LEFT(M4254,2)&lt;&gt;"33"))),"x","")</f>
        <v/>
      </c>
      <c r="X4254" s="52" t="str">
        <f>IF(AND(OR(LEFT(TH!L4254,2)="15",LEFT(TH!M4254,2)="15"),'152-CT'!$J$8=TH!F4254),"x","")</f>
        <v/>
      </c>
      <c r="Y4254" s="52" t="str">
        <f>IF(AND(OR(LEFT(TH!L4254,2)="15",LEFT(TH!M4254,2)="15"),TK!$E$7=TH!F4254),"x","")</f>
        <v/>
      </c>
      <c r="Z4254" s="52" t="str">
        <f>IF(AND(B4254&lt;=NKC!$N$8,B4254&gt;=NKC!$M$8),"x","")</f>
        <v/>
      </c>
      <c r="AA4254" s="826"/>
    </row>
    <row r="4255" spans="1:27" ht="15.75" customHeight="1">
      <c r="A4255" s="827" t="str">
        <f>IF(B4255&lt;&gt;"",IF(AND(B4255&gt;=_TM1,B4255&lt;=_TM2,OR(TH!L4255="1111",TH!M4255="1111")),TH!D4255,""),"")</f>
        <v/>
      </c>
      <c r="B4255" s="36" t="str">
        <f t="shared" si="521"/>
        <v/>
      </c>
      <c r="C4255" s="190"/>
      <c r="D4255" s="37"/>
      <c r="E4255" s="190"/>
      <c r="F4255" s="191"/>
      <c r="G4255" s="833"/>
      <c r="H4255" s="192"/>
      <c r="I4255" s="253"/>
      <c r="J4255" s="253"/>
      <c r="K4255" s="584"/>
      <c r="L4255" s="39"/>
      <c r="M4255" s="39"/>
      <c r="N4255" s="52" t="str">
        <f>IF(AND('331-CT'!$E$7=TH!H4255,OR(L4255="331",M4255="331")),"331",IF(AND(OR(L4255="131",M4255="131"),H4255='131-CT'!$E$7),"131",""))</f>
        <v/>
      </c>
      <c r="O4255" s="52" t="str">
        <f>IF(AND($B4255&gt;='111'!$N$11,$B4255&lt;='111'!$O$11,OR($L4255=$O$7,$M4255=$O$7)),"x","")</f>
        <v/>
      </c>
      <c r="P4255" s="52" t="str">
        <f>IF(AND($L4255=$O$7,$B4255&lt;'111'!$N$11),"x","")</f>
        <v/>
      </c>
      <c r="Q4255" s="52" t="str">
        <f>IF(AND($M4255=$O$7,$B4255&lt;'111'!$N$11),"x","")</f>
        <v/>
      </c>
      <c r="R4255" s="52" t="str">
        <f>IF(ISERROR(FIND('112'!$M$9,G4255,1)),"",IF((AND(FIND('112'!$M$9,G4255,1)&gt;=1,$B4255&gt;='112'!$N$8,$B4255&lt;='112'!$O$8,OR($L4255='112'!$I$6,$M4255='112'!$I$6))),"x",""))</f>
        <v/>
      </c>
      <c r="S4255" s="52" t="str">
        <f>IF(ISERROR(FIND('112'!$M$9,G4255,1)),"",IF((AND(LEFT(G4255,2)=LEFT('112'!$M$9,2),B4255&lt;'112'!$N$8,$L4255='112'!$I$6)),"x",""))</f>
        <v/>
      </c>
      <c r="T4255" s="52" t="str">
        <f>IF(ISERROR(FIND('112'!$M$9,G4255,1)),"",IF((AND(RIGHT(G4255,2)=RIGHT('112'!$M$9,2),B4255&lt;'112'!$N$8,$M4255='112'!$I$6)),"x",""))</f>
        <v/>
      </c>
      <c r="U4255" s="52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/>
      </c>
      <c r="V4255" s="52" t="str">
        <f>IF(OR(TH!L4255=TH!$V$7,M4255=TH!$V$7),"x","")</f>
        <v/>
      </c>
      <c r="W4255" s="52" t="str">
        <f>IF(AND(B4255&gt;='IN-NX'!$P$3,B4255&lt;='IN-NX'!$Q$3,'IN-NX'!$D$7=D4255,OR(LEFT(L4255,2)="15",AND(LEFT(M4255,2)&lt;&gt;"15",LEFT(M4255,2)&lt;&gt;"33"))),"x","")</f>
        <v/>
      </c>
      <c r="X4255" s="52" t="str">
        <f>IF(AND(OR(LEFT(TH!L4255,2)="15",LEFT(TH!M4255,2)="15"),'152-CT'!$J$8=TH!F4255),"x","")</f>
        <v/>
      </c>
      <c r="Y4255" s="52" t="str">
        <f>IF(AND(OR(LEFT(TH!L4255,2)="15",LEFT(TH!M4255,2)="15"),TK!$E$7=TH!F4255),"x","")</f>
        <v/>
      </c>
      <c r="Z4255" s="52" t="str">
        <f>IF(AND(B4255&lt;=NKC!$N$8,B4255&gt;=NKC!$M$8),"x","")</f>
        <v/>
      </c>
      <c r="AA4255" s="826"/>
    </row>
    <row r="4256" spans="1:27" ht="15.75" customHeight="1">
      <c r="A4256" s="827" t="str">
        <f>IF(B4256&lt;&gt;"",IF(AND(B4256&gt;=_TM1,B4256&lt;=_TM2,OR(TH!L4256="1111",TH!M4256="1111")),TH!D4256,""),"")</f>
        <v/>
      </c>
      <c r="B4256" s="36" t="str">
        <f t="shared" si="521"/>
        <v/>
      </c>
      <c r="C4256" s="190"/>
      <c r="D4256" s="37"/>
      <c r="E4256" s="190"/>
      <c r="F4256" s="191"/>
      <c r="G4256" s="833"/>
      <c r="H4256" s="192"/>
      <c r="I4256" s="253"/>
      <c r="J4256" s="253"/>
      <c r="K4256" s="584"/>
      <c r="L4256" s="39"/>
      <c r="M4256" s="39"/>
      <c r="N4256" s="52" t="str">
        <f>IF(AND('331-CT'!$E$7=TH!H4256,OR(L4256="331",M4256="331")),"331",IF(AND(OR(L4256="131",M4256="131"),H4256='131-CT'!$E$7),"131",""))</f>
        <v/>
      </c>
      <c r="O4256" s="52" t="str">
        <f>IF(AND($B4256&gt;='111'!$N$11,$B4256&lt;='111'!$O$11,OR($L4256=$O$7,$M4256=$O$7)),"x","")</f>
        <v/>
      </c>
      <c r="P4256" s="52" t="str">
        <f>IF(AND($L4256=$O$7,$B4256&lt;'111'!$N$11),"x","")</f>
        <v/>
      </c>
      <c r="Q4256" s="52" t="str">
        <f>IF(AND($M4256=$O$7,$B4256&lt;'111'!$N$11),"x","")</f>
        <v/>
      </c>
      <c r="R4256" s="52" t="str">
        <f>IF(ISERROR(FIND('112'!$M$9,G4256,1)),"",IF((AND(FIND('112'!$M$9,G4256,1)&gt;=1,$B4256&gt;='112'!$N$8,$B4256&lt;='112'!$O$8,OR($L4256='112'!$I$6,$M4256='112'!$I$6))),"x",""))</f>
        <v/>
      </c>
      <c r="S4256" s="52" t="str">
        <f>IF(ISERROR(FIND('112'!$M$9,G4256,1)),"",IF((AND(LEFT(G4256,2)=LEFT('112'!$M$9,2),B4256&lt;'112'!$N$8,$L4256='112'!$I$6)),"x",""))</f>
        <v/>
      </c>
      <c r="T4256" s="52" t="str">
        <f>IF(ISERROR(FIND('112'!$M$9,G4256,1)),"",IF((AND(RIGHT(G4256,2)=RIGHT('112'!$M$9,2),B4256&lt;'112'!$N$8,$M4256='112'!$I$6)),"x",""))</f>
        <v/>
      </c>
      <c r="U4256" s="52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/>
      </c>
      <c r="V4256" s="52" t="str">
        <f>IF(OR(TH!L4256=TH!$V$7,M4256=TH!$V$7),"x","")</f>
        <v/>
      </c>
      <c r="W4256" s="52" t="str">
        <f>IF(AND(B4256&gt;='IN-NX'!$P$3,B4256&lt;='IN-NX'!$Q$3,'IN-NX'!$D$7=D4256,OR(LEFT(L4256,2)="15",AND(LEFT(M4256,2)&lt;&gt;"15",LEFT(M4256,2)&lt;&gt;"33"))),"x","")</f>
        <v/>
      </c>
      <c r="X4256" s="52" t="str">
        <f>IF(AND(OR(LEFT(TH!L4256,2)="15",LEFT(TH!M4256,2)="15"),'152-CT'!$J$8=TH!F4256),"x","")</f>
        <v/>
      </c>
      <c r="Y4256" s="52" t="str">
        <f>IF(AND(OR(LEFT(TH!L4256,2)="15",LEFT(TH!M4256,2)="15"),TK!$E$7=TH!F4256),"x","")</f>
        <v/>
      </c>
      <c r="Z4256" s="52" t="str">
        <f>IF(AND(B4256&lt;=NKC!$N$8,B4256&gt;=NKC!$M$8),"x","")</f>
        <v/>
      </c>
      <c r="AA4256" s="826"/>
    </row>
    <row r="4257" spans="1:27" ht="15.75" customHeight="1">
      <c r="A4257" s="827" t="str">
        <f>IF(B4257&lt;&gt;"",IF(AND(B4257&gt;=_TM1,B4257&lt;=_TM2,OR(TH!L4257="1111",TH!M4257="1111")),TH!D4257,""),"")</f>
        <v/>
      </c>
      <c r="B4257" s="36" t="str">
        <f t="shared" si="521"/>
        <v/>
      </c>
      <c r="C4257" s="190"/>
      <c r="D4257" s="37"/>
      <c r="E4257" s="190"/>
      <c r="F4257" s="191"/>
      <c r="G4257" s="833"/>
      <c r="H4257" s="192"/>
      <c r="I4257" s="253"/>
      <c r="J4257" s="253"/>
      <c r="K4257" s="584"/>
      <c r="L4257" s="39"/>
      <c r="M4257" s="39"/>
      <c r="N4257" s="52" t="str">
        <f>IF(AND('331-CT'!$E$7=TH!H4257,OR(L4257="331",M4257="331")),"331",IF(AND(OR(L4257="131",M4257="131"),H4257='131-CT'!$E$7),"131",""))</f>
        <v/>
      </c>
      <c r="O4257" s="52" t="str">
        <f>IF(AND($B4257&gt;='111'!$N$11,$B4257&lt;='111'!$O$11,OR($L4257=$O$7,$M4257=$O$7)),"x","")</f>
        <v/>
      </c>
      <c r="P4257" s="52" t="str">
        <f>IF(AND($L4257=$O$7,$B4257&lt;'111'!$N$11),"x","")</f>
        <v/>
      </c>
      <c r="Q4257" s="52" t="str">
        <f>IF(AND($M4257=$O$7,$B4257&lt;'111'!$N$11),"x","")</f>
        <v/>
      </c>
      <c r="R4257" s="52" t="str">
        <f>IF(ISERROR(FIND('112'!$M$9,G4257,1)),"",IF((AND(FIND('112'!$M$9,G4257,1)&gt;=1,$B4257&gt;='112'!$N$8,$B4257&lt;='112'!$O$8,OR($L4257='112'!$I$6,$M4257='112'!$I$6))),"x",""))</f>
        <v/>
      </c>
      <c r="S4257" s="52" t="str">
        <f>IF(ISERROR(FIND('112'!$M$9,G4257,1)),"",IF((AND(LEFT(G4257,2)=LEFT('112'!$M$9,2),B4257&lt;'112'!$N$8,$L4257='112'!$I$6)),"x",""))</f>
        <v/>
      </c>
      <c r="T4257" s="52" t="str">
        <f>IF(ISERROR(FIND('112'!$M$9,G4257,1)),"",IF((AND(RIGHT(G4257,2)=RIGHT('112'!$M$9,2),B4257&lt;'112'!$N$8,$M4257='112'!$I$6)),"x",""))</f>
        <v/>
      </c>
      <c r="U4257" s="52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/>
      </c>
      <c r="V4257" s="52" t="str">
        <f>IF(OR(TH!L4257=TH!$V$7,M4257=TH!$V$7),"x","")</f>
        <v/>
      </c>
      <c r="W4257" s="52" t="str">
        <f>IF(AND(B4257&gt;='IN-NX'!$P$3,B4257&lt;='IN-NX'!$Q$3,'IN-NX'!$D$7=D4257,OR(LEFT(L4257,2)="15",AND(LEFT(M4257,2)&lt;&gt;"15",LEFT(M4257,2)&lt;&gt;"33"))),"x","")</f>
        <v/>
      </c>
      <c r="X4257" s="52" t="str">
        <f>IF(AND(OR(LEFT(TH!L4257,2)="15",LEFT(TH!M4257,2)="15"),'152-CT'!$J$8=TH!F4257),"x","")</f>
        <v/>
      </c>
      <c r="Y4257" s="52" t="str">
        <f>IF(AND(OR(LEFT(TH!L4257,2)="15",LEFT(TH!M4257,2)="15"),TK!$E$7=TH!F4257),"x","")</f>
        <v/>
      </c>
      <c r="Z4257" s="52" t="str">
        <f>IF(AND(B4257&lt;=NKC!$N$8,B4257&gt;=NKC!$M$8),"x","")</f>
        <v/>
      </c>
      <c r="AA4257" s="826"/>
    </row>
    <row r="4258" spans="1:27" ht="15.75" customHeight="1">
      <c r="A4258" s="827" t="str">
        <f>IF(B4258&lt;&gt;"",IF(AND(B4258&gt;=_TM1,B4258&lt;=_TM2,OR(TH!L4258="1111",TH!M4258="1111")),TH!D4258,""),"")</f>
        <v/>
      </c>
      <c r="B4258" s="36" t="str">
        <f t="shared" si="521"/>
        <v/>
      </c>
      <c r="C4258" s="190"/>
      <c r="D4258" s="37"/>
      <c r="E4258" s="190"/>
      <c r="F4258" s="191"/>
      <c r="G4258" s="833"/>
      <c r="H4258" s="192"/>
      <c r="I4258" s="253"/>
      <c r="J4258" s="253"/>
      <c r="K4258" s="584"/>
      <c r="L4258" s="39"/>
      <c r="M4258" s="39"/>
      <c r="N4258" s="52" t="str">
        <f>IF(AND('331-CT'!$E$7=TH!H4258,OR(L4258="331",M4258="331")),"331",IF(AND(OR(L4258="131",M4258="131"),H4258='131-CT'!$E$7),"131",""))</f>
        <v/>
      </c>
      <c r="O4258" s="52" t="str">
        <f>IF(AND($B4258&gt;='111'!$N$11,$B4258&lt;='111'!$O$11,OR($L4258=$O$7,$M4258=$O$7)),"x","")</f>
        <v/>
      </c>
      <c r="P4258" s="52" t="str">
        <f>IF(AND($L4258=$O$7,$B4258&lt;'111'!$N$11),"x","")</f>
        <v/>
      </c>
      <c r="Q4258" s="52" t="str">
        <f>IF(AND($M4258=$O$7,$B4258&lt;'111'!$N$11),"x","")</f>
        <v/>
      </c>
      <c r="R4258" s="52" t="str">
        <f>IF(ISERROR(FIND('112'!$M$9,G4258,1)),"",IF((AND(FIND('112'!$M$9,G4258,1)&gt;=1,$B4258&gt;='112'!$N$8,$B4258&lt;='112'!$O$8,OR($L4258='112'!$I$6,$M4258='112'!$I$6))),"x",""))</f>
        <v/>
      </c>
      <c r="S4258" s="52" t="str">
        <f>IF(ISERROR(FIND('112'!$M$9,G4258,1)),"",IF((AND(LEFT(G4258,2)=LEFT('112'!$M$9,2),B4258&lt;'112'!$N$8,$L4258='112'!$I$6)),"x",""))</f>
        <v/>
      </c>
      <c r="T4258" s="52" t="str">
        <f>IF(ISERROR(FIND('112'!$M$9,G4258,1)),"",IF((AND(RIGHT(G4258,2)=RIGHT('112'!$M$9,2),B4258&lt;'112'!$N$8,$M4258='112'!$I$6)),"x",""))</f>
        <v/>
      </c>
      <c r="U4258" s="52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/>
      </c>
      <c r="V4258" s="52" t="str">
        <f>IF(OR(TH!L4258=TH!$V$7,M4258=TH!$V$7),"x","")</f>
        <v/>
      </c>
      <c r="W4258" s="52" t="str">
        <f>IF(AND(B4258&gt;='IN-NX'!$P$3,B4258&lt;='IN-NX'!$Q$3,'IN-NX'!$D$7=D4258,OR(LEFT(L4258,2)="15",AND(LEFT(M4258,2)&lt;&gt;"15",LEFT(M4258,2)&lt;&gt;"33"))),"x","")</f>
        <v/>
      </c>
      <c r="X4258" s="52" t="str">
        <f>IF(AND(OR(LEFT(TH!L4258,2)="15",LEFT(TH!M4258,2)="15"),'152-CT'!$J$8=TH!F4258),"x","")</f>
        <v/>
      </c>
      <c r="Y4258" s="52" t="str">
        <f>IF(AND(OR(LEFT(TH!L4258,2)="15",LEFT(TH!M4258,2)="15"),TK!$E$7=TH!F4258),"x","")</f>
        <v/>
      </c>
      <c r="Z4258" s="52" t="str">
        <f>IF(AND(B4258&lt;=NKC!$N$8,B4258&gt;=NKC!$M$8),"x","")</f>
        <v/>
      </c>
      <c r="AA4258" s="826"/>
    </row>
    <row r="4259" spans="1:27" ht="15.75" customHeight="1">
      <c r="A4259" s="827" t="str">
        <f>IF(B4259&lt;&gt;"",IF(AND(B4259&gt;=_TM1,B4259&lt;=_TM2,OR(TH!L4259="1111",TH!M4259="1111")),TH!D4259,""),"")</f>
        <v/>
      </c>
      <c r="B4259" s="36" t="str">
        <f t="shared" si="521"/>
        <v/>
      </c>
      <c r="C4259" s="190"/>
      <c r="D4259" s="37"/>
      <c r="E4259" s="190"/>
      <c r="F4259" s="191"/>
      <c r="G4259" s="833"/>
      <c r="H4259" s="192"/>
      <c r="I4259" s="253"/>
      <c r="J4259" s="253"/>
      <c r="K4259" s="584"/>
      <c r="L4259" s="39"/>
      <c r="M4259" s="39"/>
      <c r="N4259" s="52" t="str">
        <f>IF(AND('331-CT'!$E$7=TH!H4259,OR(L4259="331",M4259="331")),"331",IF(AND(OR(L4259="131",M4259="131"),H4259='131-CT'!$E$7),"131",""))</f>
        <v/>
      </c>
      <c r="O4259" s="52" t="str">
        <f>IF(AND($B4259&gt;='111'!$N$11,$B4259&lt;='111'!$O$11,OR($L4259=$O$7,$M4259=$O$7)),"x","")</f>
        <v/>
      </c>
      <c r="P4259" s="52" t="str">
        <f>IF(AND($L4259=$O$7,$B4259&lt;'111'!$N$11),"x","")</f>
        <v/>
      </c>
      <c r="Q4259" s="52" t="str">
        <f>IF(AND($M4259=$O$7,$B4259&lt;'111'!$N$11),"x","")</f>
        <v/>
      </c>
      <c r="R4259" s="52" t="str">
        <f>IF(ISERROR(FIND('112'!$M$9,G4259,1)),"",IF((AND(FIND('112'!$M$9,G4259,1)&gt;=1,$B4259&gt;='112'!$N$8,$B4259&lt;='112'!$O$8,OR($L4259='112'!$I$6,$M4259='112'!$I$6))),"x",""))</f>
        <v/>
      </c>
      <c r="S4259" s="52" t="str">
        <f>IF(ISERROR(FIND('112'!$M$9,G4259,1)),"",IF((AND(LEFT(G4259,2)=LEFT('112'!$M$9,2),B4259&lt;'112'!$N$8,$L4259='112'!$I$6)),"x",""))</f>
        <v/>
      </c>
      <c r="T4259" s="52" t="str">
        <f>IF(ISERROR(FIND('112'!$M$9,G4259,1)),"",IF((AND(RIGHT(G4259,2)=RIGHT('112'!$M$9,2),B4259&lt;'112'!$N$8,$M4259='112'!$I$6)),"x",""))</f>
        <v/>
      </c>
      <c r="U4259" s="52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/>
      </c>
      <c r="V4259" s="52" t="str">
        <f>IF(OR(TH!L4259=TH!$V$7,M4259=TH!$V$7),"x","")</f>
        <v/>
      </c>
      <c r="W4259" s="52" t="str">
        <f>IF(AND(B4259&gt;='IN-NX'!$P$3,B4259&lt;='IN-NX'!$Q$3,'IN-NX'!$D$7=D4259,OR(LEFT(L4259,2)="15",AND(LEFT(M4259,2)&lt;&gt;"15",LEFT(M4259,2)&lt;&gt;"33"))),"x","")</f>
        <v/>
      </c>
      <c r="X4259" s="52" t="str">
        <f>IF(AND(OR(LEFT(TH!L4259,2)="15",LEFT(TH!M4259,2)="15"),'152-CT'!$J$8=TH!F4259),"x","")</f>
        <v/>
      </c>
      <c r="Y4259" s="52" t="str">
        <f>IF(AND(OR(LEFT(TH!L4259,2)="15",LEFT(TH!M4259,2)="15"),TK!$E$7=TH!F4259),"x","")</f>
        <v/>
      </c>
      <c r="Z4259" s="52" t="str">
        <f>IF(AND(B4259&lt;=NKC!$N$8,B4259&gt;=NKC!$M$8),"x","")</f>
        <v/>
      </c>
      <c r="AA4259" s="826"/>
    </row>
    <row r="4260" spans="1:27" ht="15.75" customHeight="1">
      <c r="A4260" s="827" t="str">
        <f>IF(B4260&lt;&gt;"",IF(AND(B4260&gt;=_TM1,B4260&lt;=_TM2,OR(TH!L4260="1111",TH!M4260="1111")),TH!D4260,""),"")</f>
        <v/>
      </c>
      <c r="B4260" s="36" t="str">
        <f t="shared" si="521"/>
        <v/>
      </c>
      <c r="C4260" s="190"/>
      <c r="D4260" s="37"/>
      <c r="E4260" s="190"/>
      <c r="F4260" s="191"/>
      <c r="G4260" s="833"/>
      <c r="H4260" s="192"/>
      <c r="I4260" s="253"/>
      <c r="J4260" s="253"/>
      <c r="K4260" s="584"/>
      <c r="L4260" s="39"/>
      <c r="M4260" s="39"/>
      <c r="N4260" s="52" t="str">
        <f>IF(AND('331-CT'!$E$7=TH!H4260,OR(L4260="331",M4260="331")),"331",IF(AND(OR(L4260="131",M4260="131"),H4260='131-CT'!$E$7),"131",""))</f>
        <v/>
      </c>
      <c r="O4260" s="52" t="str">
        <f>IF(AND($B4260&gt;='111'!$N$11,$B4260&lt;='111'!$O$11,OR($L4260=$O$7,$M4260=$O$7)),"x","")</f>
        <v/>
      </c>
      <c r="P4260" s="52" t="str">
        <f>IF(AND($L4260=$O$7,$B4260&lt;'111'!$N$11),"x","")</f>
        <v/>
      </c>
      <c r="Q4260" s="52" t="str">
        <f>IF(AND($M4260=$O$7,$B4260&lt;'111'!$N$11),"x","")</f>
        <v/>
      </c>
      <c r="R4260" s="52" t="str">
        <f>IF(ISERROR(FIND('112'!$M$9,G4260,1)),"",IF((AND(FIND('112'!$M$9,G4260,1)&gt;=1,$B4260&gt;='112'!$N$8,$B4260&lt;='112'!$O$8,OR($L4260='112'!$I$6,$M4260='112'!$I$6))),"x",""))</f>
        <v/>
      </c>
      <c r="S4260" s="52" t="str">
        <f>IF(ISERROR(FIND('112'!$M$9,G4260,1)),"",IF((AND(LEFT(G4260,2)=LEFT('112'!$M$9,2),B4260&lt;'112'!$N$8,$L4260='112'!$I$6)),"x",""))</f>
        <v/>
      </c>
      <c r="T4260" s="52" t="str">
        <f>IF(ISERROR(FIND('112'!$M$9,G4260,1)),"",IF((AND(RIGHT(G4260,2)=RIGHT('112'!$M$9,2),B4260&lt;'112'!$N$8,$M4260='112'!$I$6)),"x",""))</f>
        <v/>
      </c>
      <c r="U4260" s="52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/>
      </c>
      <c r="V4260" s="52" t="str">
        <f>IF(OR(TH!L4260=TH!$V$7,M4260=TH!$V$7),"x","")</f>
        <v/>
      </c>
      <c r="W4260" s="52" t="str">
        <f>IF(AND(B4260&gt;='IN-NX'!$P$3,B4260&lt;='IN-NX'!$Q$3,'IN-NX'!$D$7=D4260,OR(LEFT(L4260,2)="15",AND(LEFT(M4260,2)&lt;&gt;"15",LEFT(M4260,2)&lt;&gt;"33"))),"x","")</f>
        <v/>
      </c>
      <c r="X4260" s="52" t="str">
        <f>IF(AND(OR(LEFT(TH!L4260,2)="15",LEFT(TH!M4260,2)="15"),'152-CT'!$J$8=TH!F4260),"x","")</f>
        <v/>
      </c>
      <c r="Y4260" s="52" t="str">
        <f>IF(AND(OR(LEFT(TH!L4260,2)="15",LEFT(TH!M4260,2)="15"),TK!$E$7=TH!F4260),"x","")</f>
        <v/>
      </c>
      <c r="Z4260" s="52" t="str">
        <f>IF(AND(B4260&lt;=NKC!$N$8,B4260&gt;=NKC!$M$8),"x","")</f>
        <v/>
      </c>
      <c r="AA4260" s="826"/>
    </row>
    <row r="4261" spans="1:27" ht="15.75" customHeight="1">
      <c r="A4261" s="827" t="str">
        <f>IF(B4261&lt;&gt;"",IF(AND(B4261&gt;=_TM1,B4261&lt;=_TM2,OR(TH!L4261="1111",TH!M4261="1111")),TH!D4261,""),"")</f>
        <v/>
      </c>
      <c r="B4261" s="36" t="str">
        <f t="shared" si="521"/>
        <v/>
      </c>
      <c r="C4261" s="190"/>
      <c r="D4261" s="37"/>
      <c r="E4261" s="190"/>
      <c r="F4261" s="191"/>
      <c r="G4261" s="833"/>
      <c r="H4261" s="192"/>
      <c r="I4261" s="253"/>
      <c r="J4261" s="253"/>
      <c r="K4261" s="584"/>
      <c r="L4261" s="39"/>
      <c r="M4261" s="39"/>
      <c r="N4261" s="52" t="str">
        <f>IF(AND('331-CT'!$E$7=TH!H4261,OR(L4261="331",M4261="331")),"331",IF(AND(OR(L4261="131",M4261="131"),H4261='131-CT'!$E$7),"131",""))</f>
        <v/>
      </c>
      <c r="O4261" s="52" t="str">
        <f>IF(AND($B4261&gt;='111'!$N$11,$B4261&lt;='111'!$O$11,OR($L4261=$O$7,$M4261=$O$7)),"x","")</f>
        <v/>
      </c>
      <c r="P4261" s="52" t="str">
        <f>IF(AND($L4261=$O$7,$B4261&lt;'111'!$N$11),"x","")</f>
        <v/>
      </c>
      <c r="Q4261" s="52" t="str">
        <f>IF(AND($M4261=$O$7,$B4261&lt;'111'!$N$11),"x","")</f>
        <v/>
      </c>
      <c r="R4261" s="52" t="str">
        <f>IF(ISERROR(FIND('112'!$M$9,G4261,1)),"",IF((AND(FIND('112'!$M$9,G4261,1)&gt;=1,$B4261&gt;='112'!$N$8,$B4261&lt;='112'!$O$8,OR($L4261='112'!$I$6,$M4261='112'!$I$6))),"x",""))</f>
        <v/>
      </c>
      <c r="S4261" s="52" t="str">
        <f>IF(ISERROR(FIND('112'!$M$9,G4261,1)),"",IF((AND(LEFT(G4261,2)=LEFT('112'!$M$9,2),B4261&lt;'112'!$N$8,$L4261='112'!$I$6)),"x",""))</f>
        <v/>
      </c>
      <c r="T4261" s="52" t="str">
        <f>IF(ISERROR(FIND('112'!$M$9,G4261,1)),"",IF((AND(RIGHT(G4261,2)=RIGHT('112'!$M$9,2),B4261&lt;'112'!$N$8,$M4261='112'!$I$6)),"x",""))</f>
        <v/>
      </c>
      <c r="U4261" s="52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/>
      </c>
      <c r="V4261" s="52" t="str">
        <f>IF(OR(TH!L4261=TH!$V$7,M4261=TH!$V$7),"x","")</f>
        <v/>
      </c>
      <c r="W4261" s="52" t="str">
        <f>IF(AND(B4261&gt;='IN-NX'!$P$3,B4261&lt;='IN-NX'!$Q$3,'IN-NX'!$D$7=D4261,OR(LEFT(L4261,2)="15",AND(LEFT(M4261,2)&lt;&gt;"15",LEFT(M4261,2)&lt;&gt;"33"))),"x","")</f>
        <v/>
      </c>
      <c r="X4261" s="52" t="str">
        <f>IF(AND(OR(LEFT(TH!L4261,2)="15",LEFT(TH!M4261,2)="15"),'152-CT'!$J$8=TH!F4261),"x","")</f>
        <v/>
      </c>
      <c r="Y4261" s="52" t="str">
        <f>IF(AND(OR(LEFT(TH!L4261,2)="15",LEFT(TH!M4261,2)="15"),TK!$E$7=TH!F4261),"x","")</f>
        <v/>
      </c>
      <c r="Z4261" s="52" t="str">
        <f>IF(AND(B4261&lt;=NKC!$N$8,B4261&gt;=NKC!$M$8),"x","")</f>
        <v/>
      </c>
      <c r="AA4261" s="826"/>
    </row>
    <row r="4262" spans="1:27" ht="15.75" customHeight="1">
      <c r="A4262" s="827" t="str">
        <f>IF(B4262&lt;&gt;"",IF(AND(B4262&gt;=_TM1,B4262&lt;=_TM2,OR(TH!L4262="1111",TH!M4262="1111")),TH!D4262,""),"")</f>
        <v/>
      </c>
      <c r="B4262" s="36" t="str">
        <f t="shared" si="521"/>
        <v/>
      </c>
      <c r="C4262" s="190"/>
      <c r="D4262" s="37"/>
      <c r="E4262" s="190"/>
      <c r="F4262" s="191"/>
      <c r="G4262" s="833"/>
      <c r="H4262" s="192"/>
      <c r="I4262" s="253"/>
      <c r="J4262" s="253"/>
      <c r="K4262" s="584"/>
      <c r="L4262" s="39"/>
      <c r="M4262" s="39"/>
      <c r="N4262" s="52" t="str">
        <f>IF(AND('331-CT'!$E$7=TH!H4262,OR(L4262="331",M4262="331")),"331",IF(AND(OR(L4262="131",M4262="131"),H4262='131-CT'!$E$7),"131",""))</f>
        <v/>
      </c>
      <c r="O4262" s="52" t="str">
        <f>IF(AND($B4262&gt;='111'!$N$11,$B4262&lt;='111'!$O$11,OR($L4262=$O$7,$M4262=$O$7)),"x","")</f>
        <v/>
      </c>
      <c r="P4262" s="52" t="str">
        <f>IF(AND($L4262=$O$7,$B4262&lt;'111'!$N$11),"x","")</f>
        <v/>
      </c>
      <c r="Q4262" s="52" t="str">
        <f>IF(AND($M4262=$O$7,$B4262&lt;'111'!$N$11),"x","")</f>
        <v/>
      </c>
      <c r="R4262" s="52" t="str">
        <f>IF(ISERROR(FIND('112'!$M$9,G4262,1)),"",IF((AND(FIND('112'!$M$9,G4262,1)&gt;=1,$B4262&gt;='112'!$N$8,$B4262&lt;='112'!$O$8,OR($L4262='112'!$I$6,$M4262='112'!$I$6))),"x",""))</f>
        <v/>
      </c>
      <c r="S4262" s="52" t="str">
        <f>IF(ISERROR(FIND('112'!$M$9,G4262,1)),"",IF((AND(LEFT(G4262,2)=LEFT('112'!$M$9,2),B4262&lt;'112'!$N$8,$L4262='112'!$I$6)),"x",""))</f>
        <v/>
      </c>
      <c r="T4262" s="52" t="str">
        <f>IF(ISERROR(FIND('112'!$M$9,G4262,1)),"",IF((AND(RIGHT(G4262,2)=RIGHT('112'!$M$9,2),B4262&lt;'112'!$N$8,$M4262='112'!$I$6)),"x",""))</f>
        <v/>
      </c>
      <c r="U4262" s="52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/>
      </c>
      <c r="V4262" s="52" t="str">
        <f>IF(OR(TH!L4262=TH!$V$7,M4262=TH!$V$7),"x","")</f>
        <v/>
      </c>
      <c r="W4262" s="52" t="str">
        <f>IF(AND(B4262&gt;='IN-NX'!$P$3,B4262&lt;='IN-NX'!$Q$3,'IN-NX'!$D$7=D4262,OR(LEFT(L4262,2)="15",AND(LEFT(M4262,2)&lt;&gt;"15",LEFT(M4262,2)&lt;&gt;"33"))),"x","")</f>
        <v/>
      </c>
      <c r="X4262" s="52" t="str">
        <f>IF(AND(OR(LEFT(TH!L4262,2)="15",LEFT(TH!M4262,2)="15"),'152-CT'!$J$8=TH!F4262),"x","")</f>
        <v/>
      </c>
      <c r="Y4262" s="52" t="str">
        <f>IF(AND(OR(LEFT(TH!L4262,2)="15",LEFT(TH!M4262,2)="15"),TK!$E$7=TH!F4262),"x","")</f>
        <v/>
      </c>
      <c r="Z4262" s="52" t="str">
        <f>IF(AND(B4262&lt;=NKC!$N$8,B4262&gt;=NKC!$M$8),"x","")</f>
        <v/>
      </c>
      <c r="AA4262" s="826"/>
    </row>
    <row r="4263" spans="1:27" ht="15.75" customHeight="1">
      <c r="A4263" s="827" t="str">
        <f>IF(B4263&lt;&gt;"",IF(AND(B4263&gt;=_TM1,B4263&lt;=_TM2,OR(TH!L4263="1111",TH!M4263="1111")),TH!D4263,""),"")</f>
        <v/>
      </c>
      <c r="B4263" s="36" t="str">
        <f t="shared" si="521"/>
        <v/>
      </c>
      <c r="C4263" s="190"/>
      <c r="D4263" s="37"/>
      <c r="E4263" s="190"/>
      <c r="F4263" s="191"/>
      <c r="G4263" s="833"/>
      <c r="H4263" s="192"/>
      <c r="I4263" s="253"/>
      <c r="J4263" s="253"/>
      <c r="K4263" s="584"/>
      <c r="L4263" s="39"/>
      <c r="M4263" s="39"/>
      <c r="N4263" s="52" t="str">
        <f>IF(AND('331-CT'!$E$7=TH!H4263,OR(L4263="331",M4263="331")),"331",IF(AND(OR(L4263="131",M4263="131"),H4263='131-CT'!$E$7),"131",""))</f>
        <v/>
      </c>
      <c r="O4263" s="52" t="str">
        <f>IF(AND($B4263&gt;='111'!$N$11,$B4263&lt;='111'!$O$11,OR($L4263=$O$7,$M4263=$O$7)),"x","")</f>
        <v/>
      </c>
      <c r="P4263" s="52" t="str">
        <f>IF(AND($L4263=$O$7,$B4263&lt;'111'!$N$11),"x","")</f>
        <v/>
      </c>
      <c r="Q4263" s="52" t="str">
        <f>IF(AND($M4263=$O$7,$B4263&lt;'111'!$N$11),"x","")</f>
        <v/>
      </c>
      <c r="R4263" s="52" t="str">
        <f>IF(ISERROR(FIND('112'!$M$9,G4263,1)),"",IF((AND(FIND('112'!$M$9,G4263,1)&gt;=1,$B4263&gt;='112'!$N$8,$B4263&lt;='112'!$O$8,OR($L4263='112'!$I$6,$M4263='112'!$I$6))),"x",""))</f>
        <v/>
      </c>
      <c r="S4263" s="52" t="str">
        <f>IF(ISERROR(FIND('112'!$M$9,G4263,1)),"",IF((AND(LEFT(G4263,2)=LEFT('112'!$M$9,2),B4263&lt;'112'!$N$8,$L4263='112'!$I$6)),"x",""))</f>
        <v/>
      </c>
      <c r="T4263" s="52" t="str">
        <f>IF(ISERROR(FIND('112'!$M$9,G4263,1)),"",IF((AND(RIGHT(G4263,2)=RIGHT('112'!$M$9,2),B4263&lt;'112'!$N$8,$M4263='112'!$I$6)),"x",""))</f>
        <v/>
      </c>
      <c r="U4263" s="52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/>
      </c>
      <c r="V4263" s="52" t="str">
        <f>IF(OR(TH!L4263=TH!$V$7,M4263=TH!$V$7),"x","")</f>
        <v/>
      </c>
      <c r="W4263" s="52" t="str">
        <f>IF(AND(B4263&gt;='IN-NX'!$P$3,B4263&lt;='IN-NX'!$Q$3,'IN-NX'!$D$7=D4263,OR(LEFT(L4263,2)="15",AND(LEFT(M4263,2)&lt;&gt;"15",LEFT(M4263,2)&lt;&gt;"33"))),"x","")</f>
        <v/>
      </c>
      <c r="X4263" s="52" t="str">
        <f>IF(AND(OR(LEFT(TH!L4263,2)="15",LEFT(TH!M4263,2)="15"),'152-CT'!$J$8=TH!F4263),"x","")</f>
        <v/>
      </c>
      <c r="Y4263" s="52" t="str">
        <f>IF(AND(OR(LEFT(TH!L4263,2)="15",LEFT(TH!M4263,2)="15"),TK!$E$7=TH!F4263),"x","")</f>
        <v/>
      </c>
      <c r="Z4263" s="52" t="str">
        <f>IF(AND(B4263&lt;=NKC!$N$8,B4263&gt;=NKC!$M$8),"x","")</f>
        <v/>
      </c>
      <c r="AA4263" s="826"/>
    </row>
    <row r="4264" spans="1:27" ht="15.75" customHeight="1">
      <c r="A4264" s="827" t="str">
        <f>IF(B4264&lt;&gt;"",IF(AND(B4264&gt;=_TM1,B4264&lt;=_TM2,OR(TH!L4264="1111",TH!M4264="1111")),TH!D4264,""),"")</f>
        <v/>
      </c>
      <c r="B4264" s="36" t="str">
        <f t="shared" si="521"/>
        <v/>
      </c>
      <c r="C4264" s="190"/>
      <c r="D4264" s="37"/>
      <c r="E4264" s="190"/>
      <c r="F4264" s="191"/>
      <c r="G4264" s="833"/>
      <c r="H4264" s="192"/>
      <c r="I4264" s="253"/>
      <c r="J4264" s="253"/>
      <c r="K4264" s="584"/>
      <c r="L4264" s="39"/>
      <c r="M4264" s="39"/>
      <c r="N4264" s="52" t="str">
        <f>IF(AND('331-CT'!$E$7=TH!H4264,OR(L4264="331",M4264="331")),"331",IF(AND(OR(L4264="131",M4264="131"),H4264='131-CT'!$E$7),"131",""))</f>
        <v/>
      </c>
      <c r="O4264" s="52" t="str">
        <f>IF(AND($B4264&gt;='111'!$N$11,$B4264&lt;='111'!$O$11,OR($L4264=$O$7,$M4264=$O$7)),"x","")</f>
        <v/>
      </c>
      <c r="P4264" s="52" t="str">
        <f>IF(AND($L4264=$O$7,$B4264&lt;'111'!$N$11),"x","")</f>
        <v/>
      </c>
      <c r="Q4264" s="52" t="str">
        <f>IF(AND($M4264=$O$7,$B4264&lt;'111'!$N$11),"x","")</f>
        <v/>
      </c>
      <c r="R4264" s="52" t="str">
        <f>IF(ISERROR(FIND('112'!$M$9,G4264,1)),"",IF((AND(FIND('112'!$M$9,G4264,1)&gt;=1,$B4264&gt;='112'!$N$8,$B4264&lt;='112'!$O$8,OR($L4264='112'!$I$6,$M4264='112'!$I$6))),"x",""))</f>
        <v/>
      </c>
      <c r="S4264" s="52" t="str">
        <f>IF(ISERROR(FIND('112'!$M$9,G4264,1)),"",IF((AND(LEFT(G4264,2)=LEFT('112'!$M$9,2),B4264&lt;'112'!$N$8,$L4264='112'!$I$6)),"x",""))</f>
        <v/>
      </c>
      <c r="T4264" s="52" t="str">
        <f>IF(ISERROR(FIND('112'!$M$9,G4264,1)),"",IF((AND(RIGHT(G4264,2)=RIGHT('112'!$M$9,2),B4264&lt;'112'!$N$8,$M4264='112'!$I$6)),"x",""))</f>
        <v/>
      </c>
      <c r="U4264" s="52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/>
      </c>
      <c r="V4264" s="52" t="str">
        <f>IF(OR(TH!L4264=TH!$V$7,M4264=TH!$V$7),"x","")</f>
        <v/>
      </c>
      <c r="W4264" s="52" t="str">
        <f>IF(AND(B4264&gt;='IN-NX'!$P$3,B4264&lt;='IN-NX'!$Q$3,'IN-NX'!$D$7=D4264,OR(LEFT(L4264,2)="15",AND(LEFT(M4264,2)&lt;&gt;"15",LEFT(M4264,2)&lt;&gt;"33"))),"x","")</f>
        <v/>
      </c>
      <c r="X4264" s="52" t="str">
        <f>IF(AND(OR(LEFT(TH!L4264,2)="15",LEFT(TH!M4264,2)="15"),'152-CT'!$J$8=TH!F4264),"x","")</f>
        <v/>
      </c>
      <c r="Y4264" s="52" t="str">
        <f>IF(AND(OR(LEFT(TH!L4264,2)="15",LEFT(TH!M4264,2)="15"),TK!$E$7=TH!F4264),"x","")</f>
        <v/>
      </c>
      <c r="Z4264" s="52" t="str">
        <f>IF(AND(B4264&lt;=NKC!$N$8,B4264&gt;=NKC!$M$8),"x","")</f>
        <v/>
      </c>
      <c r="AA4264" s="826"/>
    </row>
    <row r="4265" spans="1:27" ht="15.75" customHeight="1">
      <c r="A4265" s="827" t="str">
        <f>IF(B4265&lt;&gt;"",IF(AND(B4265&gt;=_TM1,B4265&lt;=_TM2,OR(TH!L4265="1111",TH!M4265="1111")),TH!D4265,""),"")</f>
        <v/>
      </c>
      <c r="B4265" s="36" t="str">
        <f t="shared" si="521"/>
        <v/>
      </c>
      <c r="C4265" s="190"/>
      <c r="D4265" s="37"/>
      <c r="E4265" s="190"/>
      <c r="F4265" s="191"/>
      <c r="G4265" s="833"/>
      <c r="H4265" s="192"/>
      <c r="I4265" s="253"/>
      <c r="J4265" s="253"/>
      <c r="K4265" s="584"/>
      <c r="L4265" s="39"/>
      <c r="M4265" s="39"/>
      <c r="N4265" s="52" t="str">
        <f>IF(AND('331-CT'!$E$7=TH!H4265,OR(L4265="331",M4265="331")),"331",IF(AND(OR(L4265="131",M4265="131"),H4265='131-CT'!$E$7),"131",""))</f>
        <v/>
      </c>
      <c r="O4265" s="52" t="str">
        <f>IF(AND($B4265&gt;='111'!$N$11,$B4265&lt;='111'!$O$11,OR($L4265=$O$7,$M4265=$O$7)),"x","")</f>
        <v/>
      </c>
      <c r="P4265" s="52" t="str">
        <f>IF(AND($L4265=$O$7,$B4265&lt;'111'!$N$11),"x","")</f>
        <v/>
      </c>
      <c r="Q4265" s="52" t="str">
        <f>IF(AND($M4265=$O$7,$B4265&lt;'111'!$N$11),"x","")</f>
        <v/>
      </c>
      <c r="R4265" s="52" t="str">
        <f>IF(ISERROR(FIND('112'!$M$9,G4265,1)),"",IF((AND(FIND('112'!$M$9,G4265,1)&gt;=1,$B4265&gt;='112'!$N$8,$B4265&lt;='112'!$O$8,OR($L4265='112'!$I$6,$M4265='112'!$I$6))),"x",""))</f>
        <v/>
      </c>
      <c r="S4265" s="52" t="str">
        <f>IF(ISERROR(FIND('112'!$M$9,G4265,1)),"",IF((AND(LEFT(G4265,2)=LEFT('112'!$M$9,2),B4265&lt;'112'!$N$8,$L4265='112'!$I$6)),"x",""))</f>
        <v/>
      </c>
      <c r="T4265" s="52" t="str">
        <f>IF(ISERROR(FIND('112'!$M$9,G4265,1)),"",IF((AND(RIGHT(G4265,2)=RIGHT('112'!$M$9,2),B4265&lt;'112'!$N$8,$M4265='112'!$I$6)),"x",""))</f>
        <v/>
      </c>
      <c r="U4265" s="52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/>
      </c>
      <c r="V4265" s="52" t="str">
        <f>IF(OR(TH!L4265=TH!$V$7,M4265=TH!$V$7),"x","")</f>
        <v/>
      </c>
      <c r="W4265" s="52" t="str">
        <f>IF(AND(B4265&gt;='IN-NX'!$P$3,B4265&lt;='IN-NX'!$Q$3,'IN-NX'!$D$7=D4265,OR(LEFT(L4265,2)="15",AND(LEFT(M4265,2)&lt;&gt;"15",LEFT(M4265,2)&lt;&gt;"33"))),"x","")</f>
        <v/>
      </c>
      <c r="X4265" s="52" t="str">
        <f>IF(AND(OR(LEFT(TH!L4265,2)="15",LEFT(TH!M4265,2)="15"),'152-CT'!$J$8=TH!F4265),"x","")</f>
        <v/>
      </c>
      <c r="Y4265" s="52" t="str">
        <f>IF(AND(OR(LEFT(TH!L4265,2)="15",LEFT(TH!M4265,2)="15"),TK!$E$7=TH!F4265),"x","")</f>
        <v/>
      </c>
      <c r="Z4265" s="52" t="str">
        <f>IF(AND(B4265&lt;=NKC!$N$8,B4265&gt;=NKC!$M$8),"x","")</f>
        <v/>
      </c>
      <c r="AA4265" s="826"/>
    </row>
    <row r="4266" spans="1:27" ht="15.75" customHeight="1">
      <c r="A4266" s="827" t="str">
        <f>IF(B4266&lt;&gt;"",IF(AND(B4266&gt;=_TM1,B4266&lt;=_TM2,OR(TH!L4266="1111",TH!M4266="1111")),TH!D4266,""),"")</f>
        <v/>
      </c>
      <c r="B4266" s="36" t="str">
        <f t="shared" si="521"/>
        <v/>
      </c>
      <c r="C4266" s="190"/>
      <c r="D4266" s="37"/>
      <c r="E4266" s="190"/>
      <c r="F4266" s="191"/>
      <c r="G4266" s="833"/>
      <c r="H4266" s="192"/>
      <c r="I4266" s="253"/>
      <c r="J4266" s="253"/>
      <c r="K4266" s="584"/>
      <c r="L4266" s="39"/>
      <c r="M4266" s="39"/>
      <c r="N4266" s="52" t="str">
        <f>IF(AND('331-CT'!$E$7=TH!H4266,OR(L4266="331",M4266="331")),"331",IF(AND(OR(L4266="131",M4266="131"),H4266='131-CT'!$E$7),"131",""))</f>
        <v/>
      </c>
      <c r="O4266" s="52" t="str">
        <f>IF(AND($B4266&gt;='111'!$N$11,$B4266&lt;='111'!$O$11,OR($L4266=$O$7,$M4266=$O$7)),"x","")</f>
        <v/>
      </c>
      <c r="P4266" s="52" t="str">
        <f>IF(AND($L4266=$O$7,$B4266&lt;'111'!$N$11),"x","")</f>
        <v/>
      </c>
      <c r="Q4266" s="52" t="str">
        <f>IF(AND($M4266=$O$7,$B4266&lt;'111'!$N$11),"x","")</f>
        <v/>
      </c>
      <c r="R4266" s="52" t="str">
        <f>IF(ISERROR(FIND('112'!$M$9,G4266,1)),"",IF((AND(FIND('112'!$M$9,G4266,1)&gt;=1,$B4266&gt;='112'!$N$8,$B4266&lt;='112'!$O$8,OR($L4266='112'!$I$6,$M4266='112'!$I$6))),"x",""))</f>
        <v/>
      </c>
      <c r="S4266" s="52" t="str">
        <f>IF(ISERROR(FIND('112'!$M$9,G4266,1)),"",IF((AND(LEFT(G4266,2)=LEFT('112'!$M$9,2),B4266&lt;'112'!$N$8,$L4266='112'!$I$6)),"x",""))</f>
        <v/>
      </c>
      <c r="T4266" s="52" t="str">
        <f>IF(ISERROR(FIND('112'!$M$9,G4266,1)),"",IF((AND(RIGHT(G4266,2)=RIGHT('112'!$M$9,2),B4266&lt;'112'!$N$8,$M4266='112'!$I$6)),"x",""))</f>
        <v/>
      </c>
      <c r="U4266" s="52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/>
      </c>
      <c r="V4266" s="52" t="str">
        <f>IF(OR(TH!L4266=TH!$V$7,M4266=TH!$V$7),"x","")</f>
        <v/>
      </c>
      <c r="W4266" s="52" t="str">
        <f>IF(AND(B4266&gt;='IN-NX'!$P$3,B4266&lt;='IN-NX'!$Q$3,'IN-NX'!$D$7=D4266,OR(LEFT(L4266,2)="15",AND(LEFT(M4266,2)&lt;&gt;"15",LEFT(M4266,2)&lt;&gt;"33"))),"x","")</f>
        <v/>
      </c>
      <c r="X4266" s="52" t="str">
        <f>IF(AND(OR(LEFT(TH!L4266,2)="15",LEFT(TH!M4266,2)="15"),'152-CT'!$J$8=TH!F4266),"x","")</f>
        <v/>
      </c>
      <c r="Y4266" s="52" t="str">
        <f>IF(AND(OR(LEFT(TH!L4266,2)="15",LEFT(TH!M4266,2)="15"),TK!$E$7=TH!F4266),"x","")</f>
        <v/>
      </c>
      <c r="Z4266" s="52" t="str">
        <f>IF(AND(B4266&lt;=NKC!$N$8,B4266&gt;=NKC!$M$8),"x","")</f>
        <v/>
      </c>
      <c r="AA4266" s="826"/>
    </row>
    <row r="4267" spans="1:27" ht="15.75" customHeight="1">
      <c r="A4267" s="827" t="str">
        <f>IF(B4267&lt;&gt;"",IF(AND(B4267&gt;=_TM1,B4267&lt;=_TM2,OR(TH!L4267="1111",TH!M4267="1111")),TH!D4267,""),"")</f>
        <v/>
      </c>
      <c r="B4267" s="36" t="str">
        <f t="shared" si="521"/>
        <v/>
      </c>
      <c r="C4267" s="190"/>
      <c r="D4267" s="37"/>
      <c r="E4267" s="190"/>
      <c r="F4267" s="191"/>
      <c r="G4267" s="833"/>
      <c r="H4267" s="192"/>
      <c r="I4267" s="253"/>
      <c r="J4267" s="253"/>
      <c r="K4267" s="584"/>
      <c r="L4267" s="39"/>
      <c r="M4267" s="39"/>
      <c r="N4267" s="52" t="str">
        <f>IF(AND('331-CT'!$E$7=TH!H4267,OR(L4267="331",M4267="331")),"331",IF(AND(OR(L4267="131",M4267="131"),H4267='131-CT'!$E$7),"131",""))</f>
        <v/>
      </c>
      <c r="O4267" s="52" t="str">
        <f>IF(AND($B4267&gt;='111'!$N$11,$B4267&lt;='111'!$O$11,OR($L4267=$O$7,$M4267=$O$7)),"x","")</f>
        <v/>
      </c>
      <c r="P4267" s="52" t="str">
        <f>IF(AND($L4267=$O$7,$B4267&lt;'111'!$N$11),"x","")</f>
        <v/>
      </c>
      <c r="Q4267" s="52" t="str">
        <f>IF(AND($M4267=$O$7,$B4267&lt;'111'!$N$11),"x","")</f>
        <v/>
      </c>
      <c r="R4267" s="52" t="str">
        <f>IF(ISERROR(FIND('112'!$M$9,G4267,1)),"",IF((AND(FIND('112'!$M$9,G4267,1)&gt;=1,$B4267&gt;='112'!$N$8,$B4267&lt;='112'!$O$8,OR($L4267='112'!$I$6,$M4267='112'!$I$6))),"x",""))</f>
        <v/>
      </c>
      <c r="S4267" s="52" t="str">
        <f>IF(ISERROR(FIND('112'!$M$9,G4267,1)),"",IF((AND(LEFT(G4267,2)=LEFT('112'!$M$9,2),B4267&lt;'112'!$N$8,$L4267='112'!$I$6)),"x",""))</f>
        <v/>
      </c>
      <c r="T4267" s="52" t="str">
        <f>IF(ISERROR(FIND('112'!$M$9,G4267,1)),"",IF((AND(RIGHT(G4267,2)=RIGHT('112'!$M$9,2),B4267&lt;'112'!$N$8,$M4267='112'!$I$6)),"x",""))</f>
        <v/>
      </c>
      <c r="U4267" s="52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/>
      </c>
      <c r="V4267" s="52" t="str">
        <f>IF(OR(TH!L4267=TH!$V$7,M4267=TH!$V$7),"x","")</f>
        <v/>
      </c>
      <c r="W4267" s="52" t="str">
        <f>IF(AND(B4267&gt;='IN-NX'!$P$3,B4267&lt;='IN-NX'!$Q$3,'IN-NX'!$D$7=D4267,OR(LEFT(L4267,2)="15",AND(LEFT(M4267,2)&lt;&gt;"15",LEFT(M4267,2)&lt;&gt;"33"))),"x","")</f>
        <v/>
      </c>
      <c r="X4267" s="52" t="str">
        <f>IF(AND(OR(LEFT(TH!L4267,2)="15",LEFT(TH!M4267,2)="15"),'152-CT'!$J$8=TH!F4267),"x","")</f>
        <v/>
      </c>
      <c r="Y4267" s="52" t="str">
        <f>IF(AND(OR(LEFT(TH!L4267,2)="15",LEFT(TH!M4267,2)="15"),TK!$E$7=TH!F4267),"x","")</f>
        <v/>
      </c>
      <c r="Z4267" s="52" t="str">
        <f>IF(AND(B4267&lt;=NKC!$N$8,B4267&gt;=NKC!$M$8),"x","")</f>
        <v/>
      </c>
      <c r="AA4267" s="826"/>
    </row>
    <row r="4268" spans="1:27" ht="15.75" customHeight="1">
      <c r="A4268" s="827" t="str">
        <f>IF(B4268&lt;&gt;"",IF(AND(B4268&gt;=_TM1,B4268&lt;=_TM2,OR(TH!L4268="1111",TH!M4268="1111")),TH!D4268,""),"")</f>
        <v/>
      </c>
      <c r="B4268" s="36" t="str">
        <f t="shared" si="521"/>
        <v/>
      </c>
      <c r="C4268" s="190"/>
      <c r="D4268" s="37"/>
      <c r="E4268" s="190"/>
      <c r="F4268" s="191"/>
      <c r="G4268" s="833"/>
      <c r="H4268" s="192"/>
      <c r="I4268" s="253"/>
      <c r="J4268" s="253"/>
      <c r="K4268" s="584"/>
      <c r="L4268" s="39"/>
      <c r="M4268" s="39"/>
      <c r="N4268" s="52" t="str">
        <f>IF(AND('331-CT'!$E$7=TH!H4268,OR(L4268="331",M4268="331")),"331",IF(AND(OR(L4268="131",M4268="131"),H4268='131-CT'!$E$7),"131",""))</f>
        <v/>
      </c>
      <c r="O4268" s="52" t="str">
        <f>IF(AND($B4268&gt;='111'!$N$11,$B4268&lt;='111'!$O$11,OR($L4268=$O$7,$M4268=$O$7)),"x","")</f>
        <v/>
      </c>
      <c r="P4268" s="52" t="str">
        <f>IF(AND($L4268=$O$7,$B4268&lt;'111'!$N$11),"x","")</f>
        <v/>
      </c>
      <c r="Q4268" s="52" t="str">
        <f>IF(AND($M4268=$O$7,$B4268&lt;'111'!$N$11),"x","")</f>
        <v/>
      </c>
      <c r="R4268" s="52" t="str">
        <f>IF(ISERROR(FIND('112'!$M$9,G4268,1)),"",IF((AND(FIND('112'!$M$9,G4268,1)&gt;=1,$B4268&gt;='112'!$N$8,$B4268&lt;='112'!$O$8,OR($L4268='112'!$I$6,$M4268='112'!$I$6))),"x",""))</f>
        <v/>
      </c>
      <c r="S4268" s="52" t="str">
        <f>IF(ISERROR(FIND('112'!$M$9,G4268,1)),"",IF((AND(LEFT(G4268,2)=LEFT('112'!$M$9,2),B4268&lt;'112'!$N$8,$L4268='112'!$I$6)),"x",""))</f>
        <v/>
      </c>
      <c r="T4268" s="52" t="str">
        <f>IF(ISERROR(FIND('112'!$M$9,G4268,1)),"",IF((AND(RIGHT(G4268,2)=RIGHT('112'!$M$9,2),B4268&lt;'112'!$N$8,$M4268='112'!$I$6)),"x",""))</f>
        <v/>
      </c>
      <c r="U4268" s="52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/>
      </c>
      <c r="V4268" s="52" t="str">
        <f>IF(OR(TH!L4268=TH!$V$7,M4268=TH!$V$7),"x","")</f>
        <v/>
      </c>
      <c r="W4268" s="52" t="str">
        <f>IF(AND(B4268&gt;='IN-NX'!$P$3,B4268&lt;='IN-NX'!$Q$3,'IN-NX'!$D$7=D4268,OR(LEFT(L4268,2)="15",AND(LEFT(M4268,2)&lt;&gt;"15",LEFT(M4268,2)&lt;&gt;"33"))),"x","")</f>
        <v/>
      </c>
      <c r="X4268" s="52" t="str">
        <f>IF(AND(OR(LEFT(TH!L4268,2)="15",LEFT(TH!M4268,2)="15"),'152-CT'!$J$8=TH!F4268),"x","")</f>
        <v/>
      </c>
      <c r="Y4268" s="52" t="str">
        <f>IF(AND(OR(LEFT(TH!L4268,2)="15",LEFT(TH!M4268,2)="15"),TK!$E$7=TH!F4268),"x","")</f>
        <v/>
      </c>
      <c r="Z4268" s="52" t="str">
        <f>IF(AND(B4268&lt;=NKC!$N$8,B4268&gt;=NKC!$M$8),"x","")</f>
        <v/>
      </c>
      <c r="AA4268" s="826"/>
    </row>
    <row r="4269" spans="1:27" ht="15.75" customHeight="1">
      <c r="A4269" s="827" t="str">
        <f>IF(B4269&lt;&gt;"",IF(AND(B4269&gt;=_TM1,B4269&lt;=_TM2,OR(TH!L4269="1111",TH!M4269="1111")),TH!D4269,""),"")</f>
        <v/>
      </c>
      <c r="B4269" s="36" t="str">
        <f t="shared" si="521"/>
        <v/>
      </c>
      <c r="C4269" s="190"/>
      <c r="D4269" s="37"/>
      <c r="E4269" s="190"/>
      <c r="F4269" s="191"/>
      <c r="G4269" s="833"/>
      <c r="H4269" s="192"/>
      <c r="I4269" s="253"/>
      <c r="J4269" s="253"/>
      <c r="K4269" s="584"/>
      <c r="L4269" s="39"/>
      <c r="M4269" s="39"/>
      <c r="N4269" s="52" t="str">
        <f>IF(AND('331-CT'!$E$7=TH!H4269,OR(L4269="331",M4269="331")),"331",IF(AND(OR(L4269="131",M4269="131"),H4269='131-CT'!$E$7),"131",""))</f>
        <v/>
      </c>
      <c r="O4269" s="52" t="str">
        <f>IF(AND($B4269&gt;='111'!$N$11,$B4269&lt;='111'!$O$11,OR($L4269=$O$7,$M4269=$O$7)),"x","")</f>
        <v/>
      </c>
      <c r="P4269" s="52" t="str">
        <f>IF(AND($L4269=$O$7,$B4269&lt;'111'!$N$11),"x","")</f>
        <v/>
      </c>
      <c r="Q4269" s="52" t="str">
        <f>IF(AND($M4269=$O$7,$B4269&lt;'111'!$N$11),"x","")</f>
        <v/>
      </c>
      <c r="R4269" s="52" t="str">
        <f>IF(ISERROR(FIND('112'!$M$9,G4269,1)),"",IF((AND(FIND('112'!$M$9,G4269,1)&gt;=1,$B4269&gt;='112'!$N$8,$B4269&lt;='112'!$O$8,OR($L4269='112'!$I$6,$M4269='112'!$I$6))),"x",""))</f>
        <v/>
      </c>
      <c r="S4269" s="52" t="str">
        <f>IF(ISERROR(FIND('112'!$M$9,G4269,1)),"",IF((AND(LEFT(G4269,2)=LEFT('112'!$M$9,2),B4269&lt;'112'!$N$8,$L4269='112'!$I$6)),"x",""))</f>
        <v/>
      </c>
      <c r="T4269" s="52" t="str">
        <f>IF(ISERROR(FIND('112'!$M$9,G4269,1)),"",IF((AND(RIGHT(G4269,2)=RIGHT('112'!$M$9,2),B4269&lt;'112'!$N$8,$M4269='112'!$I$6)),"x",""))</f>
        <v/>
      </c>
      <c r="U4269" s="52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/>
      </c>
      <c r="V4269" s="52" t="str">
        <f>IF(OR(TH!L4269=TH!$V$7,M4269=TH!$V$7),"x","")</f>
        <v/>
      </c>
      <c r="W4269" s="52" t="str">
        <f>IF(AND(B4269&gt;='IN-NX'!$P$3,B4269&lt;='IN-NX'!$Q$3,'IN-NX'!$D$7=D4269,OR(LEFT(L4269,2)="15",AND(LEFT(M4269,2)&lt;&gt;"15",LEFT(M4269,2)&lt;&gt;"33"))),"x","")</f>
        <v/>
      </c>
      <c r="X4269" s="52" t="str">
        <f>IF(AND(OR(LEFT(TH!L4269,2)="15",LEFT(TH!M4269,2)="15"),'152-CT'!$J$8=TH!F4269),"x","")</f>
        <v/>
      </c>
      <c r="Y4269" s="52" t="str">
        <f>IF(AND(OR(LEFT(TH!L4269,2)="15",LEFT(TH!M4269,2)="15"),TK!$E$7=TH!F4269),"x","")</f>
        <v/>
      </c>
      <c r="Z4269" s="52" t="str">
        <f>IF(AND(B4269&lt;=NKC!$N$8,B4269&gt;=NKC!$M$8),"x","")</f>
        <v/>
      </c>
      <c r="AA4269" s="826"/>
    </row>
    <row r="4270" spans="1:27" ht="15.75" customHeight="1">
      <c r="A4270" s="827" t="str">
        <f>IF(B4270&lt;&gt;"",IF(AND(B4270&gt;=_TM1,B4270&lt;=_TM2,OR(TH!L4270="1111",TH!M4270="1111")),TH!D4270,""),"")</f>
        <v/>
      </c>
      <c r="B4270" s="36" t="str">
        <f t="shared" si="521"/>
        <v/>
      </c>
      <c r="C4270" s="190"/>
      <c r="D4270" s="190"/>
      <c r="E4270" s="190"/>
      <c r="F4270" s="191"/>
      <c r="G4270" s="833"/>
      <c r="H4270" s="192"/>
      <c r="I4270" s="253"/>
      <c r="J4270" s="253"/>
      <c r="K4270" s="584"/>
      <c r="L4270" s="193"/>
      <c r="M4270" s="193"/>
      <c r="N4270" s="52" t="str">
        <f>IF(AND('331-CT'!$E$7=TH!H4270,OR(L4270="331",M4270="331")),"331",IF(AND(OR(L4270="131",M4270="131"),H4270='131-CT'!$E$7),"131",""))</f>
        <v/>
      </c>
      <c r="O4270" s="52" t="str">
        <f>IF(AND($B4270&gt;='111'!$N$11,$B4270&lt;='111'!$O$11,OR($L4270=$O$7,$M4270=$O$7)),"x","")</f>
        <v/>
      </c>
      <c r="P4270" s="52" t="str">
        <f>IF(AND($L4270=$O$7,$B4270&lt;'111'!$N$11),"x","")</f>
        <v/>
      </c>
      <c r="Q4270" s="52" t="str">
        <f>IF(AND($M4270=$O$7,$B4270&lt;'111'!$N$11),"x","")</f>
        <v/>
      </c>
      <c r="R4270" s="52" t="str">
        <f>IF(ISERROR(FIND('112'!$M$9,G4270,1)),"",IF((AND(FIND('112'!$M$9,G4270,1)&gt;=1,$B4270&gt;='112'!$N$8,$B4270&lt;='112'!$O$8,OR($L4270='112'!$I$6,$M4270='112'!$I$6))),"x",""))</f>
        <v/>
      </c>
      <c r="S4270" s="52" t="str">
        <f>IF(ISERROR(FIND('112'!$M$9,G4270,1)),"",IF((AND(LEFT(G4270,2)=LEFT('112'!$M$9,2),B4270&lt;'112'!$N$8,$L4270='112'!$I$6)),"x",""))</f>
        <v/>
      </c>
      <c r="T4270" s="52" t="str">
        <f>IF(ISERROR(FIND('112'!$M$9,G4270,1)),"",IF((AND(RIGHT(G4270,2)=RIGHT('112'!$M$9,2),B4270&lt;'112'!$N$8,$M4270='112'!$I$6)),"x",""))</f>
        <v/>
      </c>
      <c r="U4270" s="52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/>
      </c>
      <c r="V4270" s="52" t="str">
        <f>IF(OR(TH!L4270=TH!$V$7,M4270=TH!$V$7),"x","")</f>
        <v/>
      </c>
      <c r="W4270" s="52" t="str">
        <f>IF(AND(B4270&gt;='IN-NX'!$P$3,B4270&lt;='IN-NX'!$Q$3,'IN-NX'!$D$7=D4270,OR(LEFT(L4270,2)="15",AND(LEFT(M4270,2)&lt;&gt;"15",LEFT(M4270,2)&lt;&gt;"33"))),"x","")</f>
        <v/>
      </c>
      <c r="X4270" s="52" t="str">
        <f>IF(AND(OR(LEFT(TH!L4270,2)="15",LEFT(TH!M4270,2)="15"),'152-CT'!$J$8=TH!F4270),"x","")</f>
        <v/>
      </c>
      <c r="Y4270" s="52" t="str">
        <f>IF(AND(OR(LEFT(TH!L4270,2)="15",LEFT(TH!M4270,2)="15"),TK!$E$7=TH!F4270),"x","")</f>
        <v/>
      </c>
      <c r="Z4270" s="52" t="str">
        <f>IF(AND(B4270&lt;=NKC!$N$8,B4270&gt;=NKC!$M$8),"x","")</f>
        <v/>
      </c>
      <c r="AA4270" s="826"/>
    </row>
    <row r="4271" spans="1:27" ht="15.75" customHeight="1">
      <c r="A4271" s="827" t="str">
        <f>IF(B4271&lt;&gt;"",IF(AND(B4271&gt;=_TM1,B4271&lt;=_TM2,OR(TH!L4271="1111",TH!M4271="1111")),TH!D4271,""),"")</f>
        <v/>
      </c>
      <c r="B4271" s="36" t="str">
        <f t="shared" si="521"/>
        <v/>
      </c>
      <c r="C4271" s="190"/>
      <c r="D4271" s="190"/>
      <c r="E4271" s="190"/>
      <c r="F4271" s="191"/>
      <c r="G4271" s="833"/>
      <c r="H4271" s="192"/>
      <c r="I4271" s="253"/>
      <c r="J4271" s="253"/>
      <c r="K4271" s="584"/>
      <c r="L4271" s="193"/>
      <c r="M4271" s="193"/>
      <c r="N4271" s="52" t="str">
        <f>IF(AND('331-CT'!$E$7=TH!H4271,OR(L4271="331",M4271="331")),"331",IF(AND(OR(L4271="131",M4271="131"),H4271='131-CT'!$E$7),"131",""))</f>
        <v/>
      </c>
      <c r="O4271" s="52" t="str">
        <f>IF(AND($B4271&gt;='111'!$N$11,$B4271&lt;='111'!$O$11,OR($L4271=$O$7,$M4271=$O$7)),"x","")</f>
        <v/>
      </c>
      <c r="P4271" s="52" t="str">
        <f>IF(AND($L4271=$O$7,$B4271&lt;'111'!$N$11),"x","")</f>
        <v/>
      </c>
      <c r="Q4271" s="52" t="str">
        <f>IF(AND($M4271=$O$7,$B4271&lt;'111'!$N$11),"x","")</f>
        <v/>
      </c>
      <c r="R4271" s="52" t="str">
        <f>IF(ISERROR(FIND('112'!$M$9,G4271,1)),"",IF((AND(FIND('112'!$M$9,G4271,1)&gt;=1,$B4271&gt;='112'!$N$8,$B4271&lt;='112'!$O$8,OR($L4271='112'!$I$6,$M4271='112'!$I$6))),"x",""))</f>
        <v/>
      </c>
      <c r="S4271" s="52" t="str">
        <f>IF(ISERROR(FIND('112'!$M$9,G4271,1)),"",IF((AND(LEFT(G4271,2)=LEFT('112'!$M$9,2),B4271&lt;'112'!$N$8,$L4271='112'!$I$6)),"x",""))</f>
        <v/>
      </c>
      <c r="T4271" s="52" t="str">
        <f>IF(ISERROR(FIND('112'!$M$9,G4271,1)),"",IF((AND(RIGHT(G4271,2)=RIGHT('112'!$M$9,2),B4271&lt;'112'!$N$8,$M4271='112'!$I$6)),"x",""))</f>
        <v/>
      </c>
      <c r="U4271" s="52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/>
      </c>
      <c r="V4271" s="52" t="str">
        <f>IF(OR(TH!L4271=TH!$V$7,M4271=TH!$V$7),"x","")</f>
        <v/>
      </c>
      <c r="W4271" s="52" t="str">
        <f>IF(AND(B4271&gt;='IN-NX'!$P$3,B4271&lt;='IN-NX'!$Q$3,'IN-NX'!$D$7=D4271,OR(LEFT(L4271,2)="15",AND(LEFT(M4271,2)&lt;&gt;"15",LEFT(M4271,2)&lt;&gt;"33"))),"x","")</f>
        <v/>
      </c>
      <c r="X4271" s="52" t="str">
        <f>IF(AND(OR(LEFT(TH!L4271,2)="15",LEFT(TH!M4271,2)="15"),'152-CT'!$J$8=TH!F4271),"x","")</f>
        <v/>
      </c>
      <c r="Y4271" s="52" t="str">
        <f>IF(AND(OR(LEFT(TH!L4271,2)="15",LEFT(TH!M4271,2)="15"),TK!$E$7=TH!F4271),"x","")</f>
        <v/>
      </c>
      <c r="Z4271" s="52" t="str">
        <f>IF(AND(B4271&lt;=NKC!$N$8,B4271&gt;=NKC!$M$8),"x","")</f>
        <v/>
      </c>
      <c r="AA4271" s="826"/>
    </row>
    <row r="4272" spans="1:27" ht="15.75" customHeight="1">
      <c r="A4272" s="827" t="str">
        <f>IF(B4272&lt;&gt;"",IF(AND(B4272&gt;=_TM1,B4272&lt;=_TM2,OR(TH!L4272="1111",TH!M4272="1111")),TH!D4272,""),"")</f>
        <v/>
      </c>
      <c r="B4272" s="36" t="str">
        <f t="shared" si="521"/>
        <v/>
      </c>
      <c r="C4272" s="190"/>
      <c r="D4272" s="190"/>
      <c r="E4272" s="190"/>
      <c r="F4272" s="191"/>
      <c r="G4272" s="833"/>
      <c r="H4272" s="192"/>
      <c r="I4272" s="253"/>
      <c r="J4272" s="253"/>
      <c r="K4272" s="584"/>
      <c r="L4272" s="193"/>
      <c r="M4272" s="193"/>
      <c r="N4272" s="52" t="str">
        <f>IF(AND('331-CT'!$E$7=TH!H4272,OR(L4272="331",M4272="331")),"331",IF(AND(OR(L4272="131",M4272="131"),H4272='131-CT'!$E$7),"131",""))</f>
        <v/>
      </c>
      <c r="O4272" s="52" t="str">
        <f>IF(AND($B4272&gt;='111'!$N$11,$B4272&lt;='111'!$O$11,OR($L4272=$O$7,$M4272=$O$7)),"x","")</f>
        <v/>
      </c>
      <c r="P4272" s="52" t="str">
        <f>IF(AND($L4272=$O$7,$B4272&lt;'111'!$N$11),"x","")</f>
        <v/>
      </c>
      <c r="Q4272" s="52" t="str">
        <f>IF(AND($M4272=$O$7,$B4272&lt;'111'!$N$11),"x","")</f>
        <v/>
      </c>
      <c r="R4272" s="52" t="str">
        <f>IF(ISERROR(FIND('112'!$M$9,G4272,1)),"",IF((AND(FIND('112'!$M$9,G4272,1)&gt;=1,$B4272&gt;='112'!$N$8,$B4272&lt;='112'!$O$8,OR($L4272='112'!$I$6,$M4272='112'!$I$6))),"x",""))</f>
        <v/>
      </c>
      <c r="S4272" s="52" t="str">
        <f>IF(ISERROR(FIND('112'!$M$9,G4272,1)),"",IF((AND(LEFT(G4272,2)=LEFT('112'!$M$9,2),B4272&lt;'112'!$N$8,$L4272='112'!$I$6)),"x",""))</f>
        <v/>
      </c>
      <c r="T4272" s="52" t="str">
        <f>IF(ISERROR(FIND('112'!$M$9,G4272,1)),"",IF((AND(RIGHT(G4272,2)=RIGHT('112'!$M$9,2),B4272&lt;'112'!$N$8,$M4272='112'!$I$6)),"x",""))</f>
        <v/>
      </c>
      <c r="U4272" s="52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/>
      </c>
      <c r="V4272" s="52" t="str">
        <f>IF(OR(TH!L4272=TH!$V$7,M4272=TH!$V$7),"x","")</f>
        <v/>
      </c>
      <c r="W4272" s="52" t="str">
        <f>IF(AND(B4272&gt;='IN-NX'!$P$3,B4272&lt;='IN-NX'!$Q$3,'IN-NX'!$D$7=D4272,OR(LEFT(L4272,2)="15",AND(LEFT(M4272,2)&lt;&gt;"15",LEFT(M4272,2)&lt;&gt;"33"))),"x","")</f>
        <v/>
      </c>
      <c r="X4272" s="52" t="str">
        <f>IF(AND(OR(LEFT(TH!L4272,2)="15",LEFT(TH!M4272,2)="15"),'152-CT'!$J$8=TH!F4272),"x","")</f>
        <v/>
      </c>
      <c r="Y4272" s="52" t="str">
        <f>IF(AND(OR(LEFT(TH!L4272,2)="15",LEFT(TH!M4272,2)="15"),TK!$E$7=TH!F4272),"x","")</f>
        <v/>
      </c>
      <c r="Z4272" s="52" t="str">
        <f>IF(AND(B4272&lt;=NKC!$N$8,B4272&gt;=NKC!$M$8),"x","")</f>
        <v/>
      </c>
      <c r="AA4272" s="826"/>
    </row>
    <row r="4273" spans="1:27" ht="15.75" customHeight="1">
      <c r="A4273" s="827" t="str">
        <f>IF(B4273&lt;&gt;"",IF(AND(B4273&gt;=_TM1,B4273&lt;=_TM2,OR(TH!L4273="1111",TH!M4273="1111")),TH!D4273,""),"")</f>
        <v/>
      </c>
      <c r="B4273" s="36" t="str">
        <f t="shared" si="521"/>
        <v/>
      </c>
      <c r="C4273" s="190"/>
      <c r="D4273" s="190"/>
      <c r="E4273" s="190"/>
      <c r="F4273" s="191"/>
      <c r="G4273" s="833"/>
      <c r="H4273" s="192"/>
      <c r="I4273" s="253"/>
      <c r="J4273" s="253"/>
      <c r="K4273" s="584"/>
      <c r="L4273" s="193"/>
      <c r="M4273" s="193"/>
      <c r="N4273" s="52" t="str">
        <f>IF(AND('331-CT'!$E$7=TH!H4273,OR(L4273="331",M4273="331")),"331",IF(AND(OR(L4273="131",M4273="131"),H4273='131-CT'!$E$7),"131",""))</f>
        <v/>
      </c>
      <c r="O4273" s="52" t="str">
        <f>IF(AND($B4273&gt;='111'!$N$11,$B4273&lt;='111'!$O$11,OR($L4273=$O$7,$M4273=$O$7)),"x","")</f>
        <v/>
      </c>
      <c r="P4273" s="52" t="str">
        <f>IF(AND($L4273=$O$7,$B4273&lt;'111'!$N$11),"x","")</f>
        <v/>
      </c>
      <c r="Q4273" s="52" t="str">
        <f>IF(AND($M4273=$O$7,$B4273&lt;'111'!$N$11),"x","")</f>
        <v/>
      </c>
      <c r="R4273" s="52" t="str">
        <f>IF(ISERROR(FIND('112'!$M$9,G4273,1)),"",IF((AND(FIND('112'!$M$9,G4273,1)&gt;=1,$B4273&gt;='112'!$N$8,$B4273&lt;='112'!$O$8,OR($L4273='112'!$I$6,$M4273='112'!$I$6))),"x",""))</f>
        <v/>
      </c>
      <c r="S4273" s="52" t="str">
        <f>IF(ISERROR(FIND('112'!$M$9,G4273,1)),"",IF((AND(LEFT(G4273,2)=LEFT('112'!$M$9,2),B4273&lt;'112'!$N$8,$L4273='112'!$I$6)),"x",""))</f>
        <v/>
      </c>
      <c r="T4273" s="52" t="str">
        <f>IF(ISERROR(FIND('112'!$M$9,G4273,1)),"",IF((AND(RIGHT(G4273,2)=RIGHT('112'!$M$9,2),B4273&lt;'112'!$N$8,$M4273='112'!$I$6)),"x",""))</f>
        <v/>
      </c>
      <c r="U4273" s="52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/>
      </c>
      <c r="V4273" s="52" t="str">
        <f>IF(OR(TH!L4273=TH!$V$7,M4273=TH!$V$7),"x","")</f>
        <v/>
      </c>
      <c r="W4273" s="52" t="str">
        <f>IF(AND(B4273&gt;='IN-NX'!$P$3,B4273&lt;='IN-NX'!$Q$3,'IN-NX'!$D$7=D4273,OR(LEFT(L4273,2)="15",AND(LEFT(M4273,2)&lt;&gt;"15",LEFT(M4273,2)&lt;&gt;"33"))),"x","")</f>
        <v/>
      </c>
      <c r="X4273" s="52" t="str">
        <f>IF(AND(OR(LEFT(TH!L4273,2)="15",LEFT(TH!M4273,2)="15"),'152-CT'!$J$8=TH!F4273),"x","")</f>
        <v/>
      </c>
      <c r="Y4273" s="52" t="str">
        <f>IF(AND(OR(LEFT(TH!L4273,2)="15",LEFT(TH!M4273,2)="15"),TK!$E$7=TH!F4273),"x","")</f>
        <v/>
      </c>
      <c r="Z4273" s="52" t="str">
        <f>IF(AND(B4273&lt;=NKC!$N$8,B4273&gt;=NKC!$M$8),"x","")</f>
        <v/>
      </c>
      <c r="AA4273" s="826"/>
    </row>
    <row r="4274" spans="1:27" ht="15.75" customHeight="1">
      <c r="A4274" s="827" t="str">
        <f>IF(B4274&lt;&gt;"",IF(AND(B4274&gt;=_TM1,B4274&lt;=_TM2,OR(TH!L4274="1111",TH!M4274="1111")),TH!D4274,""),"")</f>
        <v/>
      </c>
      <c r="B4274" s="36" t="str">
        <f t="shared" si="521"/>
        <v/>
      </c>
      <c r="C4274" s="190"/>
      <c r="D4274" s="37"/>
      <c r="E4274" s="190"/>
      <c r="F4274" s="40"/>
      <c r="G4274" s="832"/>
      <c r="H4274" s="7"/>
      <c r="I4274" s="253"/>
      <c r="J4274" s="253"/>
      <c r="K4274" s="584"/>
      <c r="L4274" s="39"/>
      <c r="M4274" s="39"/>
      <c r="N4274" s="52" t="str">
        <f>IF(AND('331-CT'!$E$7=TH!H4274,OR(L4274="331",M4274="331")),"331",IF(AND(OR(L4274="131",M4274="131"),H4274='131-CT'!$E$7),"131",""))</f>
        <v/>
      </c>
      <c r="O4274" s="52" t="str">
        <f>IF(AND($B4274&gt;='111'!$N$11,$B4274&lt;='111'!$O$11,OR($L4274=$O$7,$M4274=$O$7)),"x","")</f>
        <v/>
      </c>
      <c r="P4274" s="52" t="str">
        <f>IF(AND($L4274=$O$7,$B4274&lt;'111'!$N$11),"x","")</f>
        <v/>
      </c>
      <c r="Q4274" s="52" t="str">
        <f>IF(AND($M4274=$O$7,$B4274&lt;'111'!$N$11),"x","")</f>
        <v/>
      </c>
      <c r="R4274" s="52" t="str">
        <f>IF(ISERROR(FIND('112'!$M$9,G4274,1)),"",IF((AND(FIND('112'!$M$9,G4274,1)&gt;=1,$B4274&gt;='112'!$N$8,$B4274&lt;='112'!$O$8,OR($L4274='112'!$I$6,$M4274='112'!$I$6))),"x",""))</f>
        <v/>
      </c>
      <c r="S4274" s="52" t="str">
        <f>IF(ISERROR(FIND('112'!$M$9,G4274,1)),"",IF((AND(LEFT(G4274,2)=LEFT('112'!$M$9,2),B4274&lt;'112'!$N$8,$L4274='112'!$I$6)),"x",""))</f>
        <v/>
      </c>
      <c r="T4274" s="52" t="str">
        <f>IF(ISERROR(FIND('112'!$M$9,G4274,1)),"",IF((AND(RIGHT(G4274,2)=RIGHT('112'!$M$9,2),B4274&lt;'112'!$N$8,$M4274='112'!$I$6)),"x",""))</f>
        <v/>
      </c>
      <c r="U4274" s="52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/>
      </c>
      <c r="V4274" s="52" t="str">
        <f>IF(OR(TH!L4274=TH!$V$7,M4274=TH!$V$7),"x","")</f>
        <v/>
      </c>
      <c r="W4274" s="52" t="str">
        <f>IF(AND(B4274&gt;='IN-NX'!$P$3,B4274&lt;='IN-NX'!$Q$3,'IN-NX'!$D$7=D4274,OR(LEFT(L4274,2)="15",AND(LEFT(M4274,2)&lt;&gt;"15",LEFT(M4274,2)&lt;&gt;"33"))),"x","")</f>
        <v/>
      </c>
      <c r="X4274" s="52" t="str">
        <f>IF(AND(OR(LEFT(TH!L4274,2)="15",LEFT(TH!M4274,2)="15"),'152-CT'!$J$8=TH!F4274),"x","")</f>
        <v/>
      </c>
      <c r="Y4274" s="52" t="str">
        <f>IF(AND(OR(LEFT(TH!L4274,2)="15",LEFT(TH!M4274,2)="15"),TK!$E$7=TH!F4274),"x","")</f>
        <v/>
      </c>
      <c r="Z4274" s="52" t="str">
        <f>IF(AND(B4274&lt;=NKC!$N$8,B4274&gt;=NKC!$M$8),"x","")</f>
        <v/>
      </c>
      <c r="AA4274" s="826"/>
    </row>
    <row r="4275" spans="1:27" ht="15.75" customHeight="1">
      <c r="A4275" s="827" t="str">
        <f>IF(B4275&lt;&gt;"",IF(AND(B4275&gt;=_TM1,B4275&lt;=_TM2,OR(TH!L4275="1111",TH!M4275="1111")),TH!D4275,""),"")</f>
        <v/>
      </c>
      <c r="B4275" s="36" t="str">
        <f t="shared" si="521"/>
        <v/>
      </c>
      <c r="C4275" s="190"/>
      <c r="D4275" s="37"/>
      <c r="E4275" s="190"/>
      <c r="F4275" s="40"/>
      <c r="G4275" s="832"/>
      <c r="H4275" s="7"/>
      <c r="I4275" s="253"/>
      <c r="J4275" s="253"/>
      <c r="K4275" s="584"/>
      <c r="L4275" s="39"/>
      <c r="M4275" s="39"/>
      <c r="N4275" s="52" t="str">
        <f>IF(AND('331-CT'!$E$7=TH!H4275,OR(L4275="331",M4275="331")),"331",IF(AND(OR(L4275="131",M4275="131"),H4275='131-CT'!$E$7),"131",""))</f>
        <v/>
      </c>
      <c r="O4275" s="52" t="str">
        <f>IF(AND($B4275&gt;='111'!$N$11,$B4275&lt;='111'!$O$11,OR($L4275=$O$7,$M4275=$O$7)),"x","")</f>
        <v/>
      </c>
      <c r="P4275" s="52" t="str">
        <f>IF(AND($L4275=$O$7,$B4275&lt;'111'!$N$11),"x","")</f>
        <v/>
      </c>
      <c r="Q4275" s="52" t="str">
        <f>IF(AND($M4275=$O$7,$B4275&lt;'111'!$N$11),"x","")</f>
        <v/>
      </c>
      <c r="R4275" s="52" t="str">
        <f>IF(ISERROR(FIND('112'!$M$9,G4275,1)),"",IF((AND(FIND('112'!$M$9,G4275,1)&gt;=1,$B4275&gt;='112'!$N$8,$B4275&lt;='112'!$O$8,OR($L4275='112'!$I$6,$M4275='112'!$I$6))),"x",""))</f>
        <v/>
      </c>
      <c r="S4275" s="52" t="str">
        <f>IF(ISERROR(FIND('112'!$M$9,G4275,1)),"",IF((AND(LEFT(G4275,2)=LEFT('112'!$M$9,2),B4275&lt;'112'!$N$8,$L4275='112'!$I$6)),"x",""))</f>
        <v/>
      </c>
      <c r="T4275" s="52" t="str">
        <f>IF(ISERROR(FIND('112'!$M$9,G4275,1)),"",IF((AND(RIGHT(G4275,2)=RIGHT('112'!$M$9,2),B4275&lt;'112'!$N$8,$M4275='112'!$I$6)),"x",""))</f>
        <v/>
      </c>
      <c r="U4275" s="52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/>
      </c>
      <c r="V4275" s="52" t="str">
        <f>IF(OR(TH!L4275=TH!$V$7,M4275=TH!$V$7),"x","")</f>
        <v/>
      </c>
      <c r="W4275" s="52" t="str">
        <f>IF(AND(B4275&gt;='IN-NX'!$P$3,B4275&lt;='IN-NX'!$Q$3,'IN-NX'!$D$7=D4275,OR(LEFT(L4275,2)="15",AND(LEFT(M4275,2)&lt;&gt;"15",LEFT(M4275,2)&lt;&gt;"33"))),"x","")</f>
        <v/>
      </c>
      <c r="X4275" s="52" t="str">
        <f>IF(AND(OR(LEFT(TH!L4275,2)="15",LEFT(TH!M4275,2)="15"),'152-CT'!$J$8=TH!F4275),"x","")</f>
        <v/>
      </c>
      <c r="Y4275" s="52" t="str">
        <f>IF(AND(OR(LEFT(TH!L4275,2)="15",LEFT(TH!M4275,2)="15"),TK!$E$7=TH!F4275),"x","")</f>
        <v/>
      </c>
      <c r="Z4275" s="52" t="str">
        <f>IF(AND(B4275&lt;=NKC!$N$8,B4275&gt;=NKC!$M$8),"x","")</f>
        <v/>
      </c>
      <c r="AA4275" s="826"/>
    </row>
    <row r="4276" spans="1:27" ht="15.75" customHeight="1">
      <c r="A4276" s="827" t="str">
        <f>IF(B4276&lt;&gt;"",IF(AND(B4276&gt;=_TM1,B4276&lt;=_TM2,OR(TH!L4276="1111",TH!M4276="1111")),TH!D4276,""),"")</f>
        <v/>
      </c>
      <c r="B4276" s="36" t="str">
        <f t="shared" si="521"/>
        <v/>
      </c>
      <c r="C4276" s="190"/>
      <c r="D4276" s="37"/>
      <c r="E4276" s="190"/>
      <c r="F4276" s="40"/>
      <c r="G4276" s="832"/>
      <c r="H4276" s="7"/>
      <c r="I4276" s="253"/>
      <c r="J4276" s="253"/>
      <c r="K4276" s="584"/>
      <c r="L4276" s="39"/>
      <c r="M4276" s="39"/>
      <c r="N4276" s="52" t="str">
        <f>IF(AND('331-CT'!$E$7=TH!H4276,OR(L4276="331",M4276="331")),"331",IF(AND(OR(L4276="131",M4276="131"),H4276='131-CT'!$E$7),"131",""))</f>
        <v/>
      </c>
      <c r="O4276" s="52" t="str">
        <f>IF(AND($B4276&gt;='111'!$N$11,$B4276&lt;='111'!$O$11,OR($L4276=$O$7,$M4276=$O$7)),"x","")</f>
        <v/>
      </c>
      <c r="P4276" s="52" t="str">
        <f>IF(AND($L4276=$O$7,$B4276&lt;'111'!$N$11),"x","")</f>
        <v/>
      </c>
      <c r="Q4276" s="52" t="str">
        <f>IF(AND($M4276=$O$7,$B4276&lt;'111'!$N$11),"x","")</f>
        <v/>
      </c>
      <c r="R4276" s="52" t="str">
        <f>IF(ISERROR(FIND('112'!$M$9,G4276,1)),"",IF((AND(FIND('112'!$M$9,G4276,1)&gt;=1,$B4276&gt;='112'!$N$8,$B4276&lt;='112'!$O$8,OR($L4276='112'!$I$6,$M4276='112'!$I$6))),"x",""))</f>
        <v/>
      </c>
      <c r="S4276" s="52" t="str">
        <f>IF(ISERROR(FIND('112'!$M$9,G4276,1)),"",IF((AND(LEFT(G4276,2)=LEFT('112'!$M$9,2),B4276&lt;'112'!$N$8,$L4276='112'!$I$6)),"x",""))</f>
        <v/>
      </c>
      <c r="T4276" s="52" t="str">
        <f>IF(ISERROR(FIND('112'!$M$9,G4276,1)),"",IF((AND(RIGHT(G4276,2)=RIGHT('112'!$M$9,2),B4276&lt;'112'!$N$8,$M4276='112'!$I$6)),"x",""))</f>
        <v/>
      </c>
      <c r="U4276" s="52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/>
      </c>
      <c r="V4276" s="52" t="str">
        <f>IF(OR(TH!L4276=TH!$V$7,M4276=TH!$V$7),"x","")</f>
        <v/>
      </c>
      <c r="W4276" s="52" t="str">
        <f>IF(AND(B4276&gt;='IN-NX'!$P$3,B4276&lt;='IN-NX'!$Q$3,'IN-NX'!$D$7=D4276,OR(LEFT(L4276,2)="15",AND(LEFT(M4276,2)&lt;&gt;"15",LEFT(M4276,2)&lt;&gt;"33"))),"x","")</f>
        <v/>
      </c>
      <c r="X4276" s="52" t="str">
        <f>IF(AND(OR(LEFT(TH!L4276,2)="15",LEFT(TH!M4276,2)="15"),'152-CT'!$J$8=TH!F4276),"x","")</f>
        <v/>
      </c>
      <c r="Y4276" s="52" t="str">
        <f>IF(AND(OR(LEFT(TH!L4276,2)="15",LEFT(TH!M4276,2)="15"),TK!$E$7=TH!F4276),"x","")</f>
        <v/>
      </c>
      <c r="Z4276" s="52" t="str">
        <f>IF(AND(B4276&lt;=NKC!$N$8,B4276&gt;=NKC!$M$8),"x","")</f>
        <v/>
      </c>
      <c r="AA4276" s="826"/>
    </row>
    <row r="4277" spans="1:27" ht="15.75" customHeight="1">
      <c r="A4277" s="827" t="str">
        <f>IF(B4277&lt;&gt;"",IF(AND(B4277&gt;=_TM1,B4277&lt;=_TM2,OR(TH!L4277="1111",TH!M4277="1111")),TH!D4277,""),"")</f>
        <v/>
      </c>
      <c r="B4277" s="36" t="str">
        <f t="shared" si="521"/>
        <v/>
      </c>
      <c r="C4277" s="190"/>
      <c r="D4277" s="37"/>
      <c r="E4277" s="190"/>
      <c r="F4277" s="191"/>
      <c r="G4277" s="833"/>
      <c r="H4277" s="192"/>
      <c r="I4277" s="253"/>
      <c r="J4277" s="253"/>
      <c r="K4277" s="584"/>
      <c r="L4277" s="39"/>
      <c r="M4277" s="39"/>
      <c r="N4277" s="52" t="str">
        <f>IF(AND('331-CT'!$E$7=TH!H4277,OR(L4277="331",M4277="331")),"331",IF(AND(OR(L4277="131",M4277="131"),H4277='131-CT'!$E$7),"131",""))</f>
        <v/>
      </c>
      <c r="O4277" s="52" t="str">
        <f>IF(AND($B4277&gt;='111'!$N$11,$B4277&lt;='111'!$O$11,OR($L4277=$O$7,$M4277=$O$7)),"x","")</f>
        <v/>
      </c>
      <c r="P4277" s="52" t="str">
        <f>IF(AND($L4277=$O$7,$B4277&lt;'111'!$N$11),"x","")</f>
        <v/>
      </c>
      <c r="Q4277" s="52" t="str">
        <f>IF(AND($M4277=$O$7,$B4277&lt;'111'!$N$11),"x","")</f>
        <v/>
      </c>
      <c r="R4277" s="52" t="str">
        <f>IF(ISERROR(FIND('112'!$M$9,G4277,1)),"",IF((AND(FIND('112'!$M$9,G4277,1)&gt;=1,$B4277&gt;='112'!$N$8,$B4277&lt;='112'!$O$8,OR($L4277='112'!$I$6,$M4277='112'!$I$6))),"x",""))</f>
        <v/>
      </c>
      <c r="S4277" s="52" t="str">
        <f>IF(ISERROR(FIND('112'!$M$9,G4277,1)),"",IF((AND(LEFT(G4277,2)=LEFT('112'!$M$9,2),B4277&lt;'112'!$N$8,$L4277='112'!$I$6)),"x",""))</f>
        <v/>
      </c>
      <c r="T4277" s="52" t="str">
        <f>IF(ISERROR(FIND('112'!$M$9,G4277,1)),"",IF((AND(RIGHT(G4277,2)=RIGHT('112'!$M$9,2),B4277&lt;'112'!$N$8,$M4277='112'!$I$6)),"x",""))</f>
        <v/>
      </c>
      <c r="U4277" s="52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/>
      </c>
      <c r="V4277" s="52" t="str">
        <f>IF(OR(TH!L4277=TH!$V$7,M4277=TH!$V$7),"x","")</f>
        <v/>
      </c>
      <c r="W4277" s="52" t="str">
        <f>IF(AND(B4277&gt;='IN-NX'!$P$3,B4277&lt;='IN-NX'!$Q$3,'IN-NX'!$D$7=D4277,OR(LEFT(L4277,2)="15",AND(LEFT(M4277,2)&lt;&gt;"15",LEFT(M4277,2)&lt;&gt;"33"))),"x","")</f>
        <v/>
      </c>
      <c r="X4277" s="52" t="str">
        <f>IF(AND(OR(LEFT(TH!L4277,2)="15",LEFT(TH!M4277,2)="15"),'152-CT'!$J$8=TH!F4277),"x","")</f>
        <v/>
      </c>
      <c r="Y4277" s="52" t="str">
        <f>IF(AND(OR(LEFT(TH!L4277,2)="15",LEFT(TH!M4277,2)="15"),TK!$E$7=TH!F4277),"x","")</f>
        <v/>
      </c>
      <c r="Z4277" s="52" t="str">
        <f>IF(AND(B4277&lt;=NKC!$N$8,B4277&gt;=NKC!$M$8),"x","")</f>
        <v/>
      </c>
      <c r="AA4277" s="826"/>
    </row>
    <row r="4278" spans="1:27" ht="15.75" customHeight="1">
      <c r="A4278" s="827" t="str">
        <f>IF(B4278&lt;&gt;"",IF(AND(B4278&gt;=_TM1,B4278&lt;=_TM2,OR(TH!L4278="1111",TH!M4278="1111")),TH!D4278,""),"")</f>
        <v/>
      </c>
      <c r="B4278" s="36" t="str">
        <f t="shared" si="521"/>
        <v/>
      </c>
      <c r="C4278" s="190"/>
      <c r="D4278" s="37"/>
      <c r="E4278" s="190"/>
      <c r="F4278" s="191"/>
      <c r="G4278" s="833"/>
      <c r="H4278" s="192"/>
      <c r="I4278" s="253"/>
      <c r="J4278" s="253"/>
      <c r="K4278" s="584"/>
      <c r="L4278" s="39"/>
      <c r="M4278" s="39"/>
      <c r="N4278" s="52" t="str">
        <f>IF(AND('331-CT'!$E$7=TH!H4278,OR(L4278="331",M4278="331")),"331",IF(AND(OR(L4278="131",M4278="131"),H4278='131-CT'!$E$7),"131",""))</f>
        <v/>
      </c>
      <c r="O4278" s="52" t="str">
        <f>IF(AND($B4278&gt;='111'!$N$11,$B4278&lt;='111'!$O$11,OR($L4278=$O$7,$M4278=$O$7)),"x","")</f>
        <v/>
      </c>
      <c r="P4278" s="52" t="str">
        <f>IF(AND($L4278=$O$7,$B4278&lt;'111'!$N$11),"x","")</f>
        <v/>
      </c>
      <c r="Q4278" s="52" t="str">
        <f>IF(AND($M4278=$O$7,$B4278&lt;'111'!$N$11),"x","")</f>
        <v/>
      </c>
      <c r="R4278" s="52" t="str">
        <f>IF(ISERROR(FIND('112'!$M$9,G4278,1)),"",IF((AND(FIND('112'!$M$9,G4278,1)&gt;=1,$B4278&gt;='112'!$N$8,$B4278&lt;='112'!$O$8,OR($L4278='112'!$I$6,$M4278='112'!$I$6))),"x",""))</f>
        <v/>
      </c>
      <c r="S4278" s="52" t="str">
        <f>IF(ISERROR(FIND('112'!$M$9,G4278,1)),"",IF((AND(LEFT(G4278,2)=LEFT('112'!$M$9,2),B4278&lt;'112'!$N$8,$L4278='112'!$I$6)),"x",""))</f>
        <v/>
      </c>
      <c r="T4278" s="52" t="str">
        <f>IF(ISERROR(FIND('112'!$M$9,G4278,1)),"",IF((AND(RIGHT(G4278,2)=RIGHT('112'!$M$9,2),B4278&lt;'112'!$N$8,$M4278='112'!$I$6)),"x",""))</f>
        <v/>
      </c>
      <c r="U4278" s="52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/>
      </c>
      <c r="V4278" s="52" t="str">
        <f>IF(OR(TH!L4278=TH!$V$7,M4278=TH!$V$7),"x","")</f>
        <v/>
      </c>
      <c r="W4278" s="52" t="str">
        <f>IF(AND(B4278&gt;='IN-NX'!$P$3,B4278&lt;='IN-NX'!$Q$3,'IN-NX'!$D$7=D4278,OR(LEFT(L4278,2)="15",AND(LEFT(M4278,2)&lt;&gt;"15",LEFT(M4278,2)&lt;&gt;"33"))),"x","")</f>
        <v/>
      </c>
      <c r="X4278" s="52" t="str">
        <f>IF(AND(OR(LEFT(TH!L4278,2)="15",LEFT(TH!M4278,2)="15"),'152-CT'!$J$8=TH!F4278),"x","")</f>
        <v/>
      </c>
      <c r="Y4278" s="52" t="str">
        <f>IF(AND(OR(LEFT(TH!L4278,2)="15",LEFT(TH!M4278,2)="15"),TK!$E$7=TH!F4278),"x","")</f>
        <v/>
      </c>
      <c r="Z4278" s="52" t="str">
        <f>IF(AND(B4278&lt;=NKC!$N$8,B4278&gt;=NKC!$M$8),"x","")</f>
        <v/>
      </c>
      <c r="AA4278" s="826"/>
    </row>
    <row r="4279" spans="1:27" ht="15.75" customHeight="1">
      <c r="A4279" s="827" t="str">
        <f>IF(B4279&lt;&gt;"",IF(AND(B4279&gt;=_TM1,B4279&lt;=_TM2,OR(TH!L4279="1111",TH!M4279="1111")),TH!D4279,""),"")</f>
        <v/>
      </c>
      <c r="B4279" s="36" t="str">
        <f t="shared" si="521"/>
        <v/>
      </c>
      <c r="C4279" s="190"/>
      <c r="D4279" s="37"/>
      <c r="E4279" s="190"/>
      <c r="F4279" s="191"/>
      <c r="G4279" s="833"/>
      <c r="H4279" s="192"/>
      <c r="I4279" s="253"/>
      <c r="J4279" s="253"/>
      <c r="K4279" s="584"/>
      <c r="L4279" s="39"/>
      <c r="M4279" s="39"/>
      <c r="N4279" s="52" t="str">
        <f>IF(AND('331-CT'!$E$7=TH!H4279,OR(L4279="331",M4279="331")),"331",IF(AND(OR(L4279="131",M4279="131"),H4279='131-CT'!$E$7),"131",""))</f>
        <v/>
      </c>
      <c r="O4279" s="52" t="str">
        <f>IF(AND($B4279&gt;='111'!$N$11,$B4279&lt;='111'!$O$11,OR($L4279=$O$7,$M4279=$O$7)),"x","")</f>
        <v/>
      </c>
      <c r="P4279" s="52" t="str">
        <f>IF(AND($L4279=$O$7,$B4279&lt;'111'!$N$11),"x","")</f>
        <v/>
      </c>
      <c r="Q4279" s="52" t="str">
        <f>IF(AND($M4279=$O$7,$B4279&lt;'111'!$N$11),"x","")</f>
        <v/>
      </c>
      <c r="R4279" s="52" t="str">
        <f>IF(ISERROR(FIND('112'!$M$9,G4279,1)),"",IF((AND(FIND('112'!$M$9,G4279,1)&gt;=1,$B4279&gt;='112'!$N$8,$B4279&lt;='112'!$O$8,OR($L4279='112'!$I$6,$M4279='112'!$I$6))),"x",""))</f>
        <v/>
      </c>
      <c r="S4279" s="52" t="str">
        <f>IF(ISERROR(FIND('112'!$M$9,G4279,1)),"",IF((AND(LEFT(G4279,2)=LEFT('112'!$M$9,2),B4279&lt;'112'!$N$8,$L4279='112'!$I$6)),"x",""))</f>
        <v/>
      </c>
      <c r="T4279" s="52" t="str">
        <f>IF(ISERROR(FIND('112'!$M$9,G4279,1)),"",IF((AND(RIGHT(G4279,2)=RIGHT('112'!$M$9,2),B4279&lt;'112'!$N$8,$M4279='112'!$I$6)),"x",""))</f>
        <v/>
      </c>
      <c r="U4279" s="52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/>
      </c>
      <c r="V4279" s="52" t="str">
        <f>IF(OR(TH!L4279=TH!$V$7,M4279=TH!$V$7),"x","")</f>
        <v/>
      </c>
      <c r="W4279" s="52" t="str">
        <f>IF(AND(B4279&gt;='IN-NX'!$P$3,B4279&lt;='IN-NX'!$Q$3,'IN-NX'!$D$7=D4279,OR(LEFT(L4279,2)="15",AND(LEFT(M4279,2)&lt;&gt;"15",LEFT(M4279,2)&lt;&gt;"33"))),"x","")</f>
        <v/>
      </c>
      <c r="X4279" s="52" t="str">
        <f>IF(AND(OR(LEFT(TH!L4279,2)="15",LEFT(TH!M4279,2)="15"),'152-CT'!$J$8=TH!F4279),"x","")</f>
        <v/>
      </c>
      <c r="Y4279" s="52" t="str">
        <f>IF(AND(OR(LEFT(TH!L4279,2)="15",LEFT(TH!M4279,2)="15"),TK!$E$7=TH!F4279),"x","")</f>
        <v/>
      </c>
      <c r="Z4279" s="52" t="str">
        <f>IF(AND(B4279&lt;=NKC!$N$8,B4279&gt;=NKC!$M$8),"x","")</f>
        <v/>
      </c>
      <c r="AA4279" s="826"/>
    </row>
    <row r="4280" spans="1:27" ht="15.75" customHeight="1">
      <c r="A4280" s="827" t="str">
        <f>IF(B4280&lt;&gt;"",IF(AND(B4280&gt;=_TM1,B4280&lt;=_TM2,OR(TH!L4280="1111",TH!M4280="1111")),TH!D4280,""),"")</f>
        <v/>
      </c>
      <c r="B4280" s="36" t="str">
        <f t="shared" si="521"/>
        <v/>
      </c>
      <c r="C4280" s="190"/>
      <c r="D4280" s="190"/>
      <c r="E4280" s="190"/>
      <c r="F4280" s="191"/>
      <c r="G4280" s="833"/>
      <c r="H4280" s="192"/>
      <c r="I4280" s="253"/>
      <c r="J4280" s="253"/>
      <c r="K4280" s="584"/>
      <c r="L4280" s="193"/>
      <c r="M4280" s="193"/>
      <c r="N4280" s="52" t="str">
        <f>IF(AND('331-CT'!$E$7=TH!H4280,OR(L4280="331",M4280="331")),"331",IF(AND(OR(L4280="131",M4280="131"),H4280='131-CT'!$E$7),"131",""))</f>
        <v/>
      </c>
      <c r="O4280" s="52" t="str">
        <f>IF(AND($B4280&gt;='111'!$N$11,$B4280&lt;='111'!$O$11,OR($L4280=$O$7,$M4280=$O$7)),"x","")</f>
        <v/>
      </c>
      <c r="P4280" s="52" t="str">
        <f>IF(AND($L4280=$O$7,$B4280&lt;'111'!$N$11),"x","")</f>
        <v/>
      </c>
      <c r="Q4280" s="52" t="str">
        <f>IF(AND($M4280=$O$7,$B4280&lt;'111'!$N$11),"x","")</f>
        <v/>
      </c>
      <c r="R4280" s="52" t="str">
        <f>IF(ISERROR(FIND('112'!$M$9,G4280,1)),"",IF((AND(FIND('112'!$M$9,G4280,1)&gt;=1,$B4280&gt;='112'!$N$8,$B4280&lt;='112'!$O$8,OR($L4280='112'!$I$6,$M4280='112'!$I$6))),"x",""))</f>
        <v/>
      </c>
      <c r="S4280" s="52" t="str">
        <f>IF(ISERROR(FIND('112'!$M$9,G4280,1)),"",IF((AND(LEFT(G4280,2)=LEFT('112'!$M$9,2),B4280&lt;'112'!$N$8,$L4280='112'!$I$6)),"x",""))</f>
        <v/>
      </c>
      <c r="T4280" s="52" t="str">
        <f>IF(ISERROR(FIND('112'!$M$9,G4280,1)),"",IF((AND(RIGHT(G4280,2)=RIGHT('112'!$M$9,2),B4280&lt;'112'!$N$8,$M4280='112'!$I$6)),"x",""))</f>
        <v/>
      </c>
      <c r="U4280" s="52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/>
      </c>
      <c r="V4280" s="52" t="str">
        <f>IF(OR(TH!L4280=TH!$V$7,M4280=TH!$V$7),"x","")</f>
        <v/>
      </c>
      <c r="W4280" s="52" t="str">
        <f>IF(AND(B4280&gt;='IN-NX'!$P$3,B4280&lt;='IN-NX'!$Q$3,'IN-NX'!$D$7=D4280,OR(LEFT(L4280,2)="15",AND(LEFT(M4280,2)&lt;&gt;"15",LEFT(M4280,2)&lt;&gt;"33"))),"x","")</f>
        <v/>
      </c>
      <c r="X4280" s="52" t="str">
        <f>IF(AND(OR(LEFT(TH!L4280,2)="15",LEFT(TH!M4280,2)="15"),'152-CT'!$J$8=TH!F4280),"x","")</f>
        <v/>
      </c>
      <c r="Y4280" s="52" t="str">
        <f>IF(AND(OR(LEFT(TH!L4280,2)="15",LEFT(TH!M4280,2)="15"),TK!$E$7=TH!F4280),"x","")</f>
        <v/>
      </c>
      <c r="Z4280" s="52" t="str">
        <f>IF(AND(B4280&lt;=NKC!$N$8,B4280&gt;=NKC!$M$8),"x","")</f>
        <v/>
      </c>
      <c r="AA4280" s="826"/>
    </row>
    <row r="4281" spans="1:27" ht="15.75" customHeight="1">
      <c r="A4281" s="827" t="str">
        <f>IF(B4281&lt;&gt;"",IF(AND(B4281&gt;=_TM1,B4281&lt;=_TM2,OR(TH!L4281="1111",TH!M4281="1111")),TH!D4281,""),"")</f>
        <v/>
      </c>
      <c r="B4281" s="36" t="str">
        <f t="shared" si="521"/>
        <v/>
      </c>
      <c r="C4281" s="190"/>
      <c r="D4281" s="190"/>
      <c r="E4281" s="190"/>
      <c r="F4281" s="191"/>
      <c r="G4281" s="833"/>
      <c r="H4281" s="192"/>
      <c r="I4281" s="253"/>
      <c r="J4281" s="253"/>
      <c r="K4281" s="584"/>
      <c r="L4281" s="193"/>
      <c r="M4281" s="193"/>
      <c r="N4281" s="52" t="str">
        <f>IF(AND('331-CT'!$E$7=TH!H4281,OR(L4281="331",M4281="331")),"331",IF(AND(OR(L4281="131",M4281="131"),H4281='131-CT'!$E$7),"131",""))</f>
        <v/>
      </c>
      <c r="O4281" s="52" t="str">
        <f>IF(AND($B4281&gt;='111'!$N$11,$B4281&lt;='111'!$O$11,OR($L4281=$O$7,$M4281=$O$7)),"x","")</f>
        <v/>
      </c>
      <c r="P4281" s="52" t="str">
        <f>IF(AND($L4281=$O$7,$B4281&lt;'111'!$N$11),"x","")</f>
        <v/>
      </c>
      <c r="Q4281" s="52" t="str">
        <f>IF(AND($M4281=$O$7,$B4281&lt;'111'!$N$11),"x","")</f>
        <v/>
      </c>
      <c r="R4281" s="52" t="str">
        <f>IF(ISERROR(FIND('112'!$M$9,G4281,1)),"",IF((AND(FIND('112'!$M$9,G4281,1)&gt;=1,$B4281&gt;='112'!$N$8,$B4281&lt;='112'!$O$8,OR($L4281='112'!$I$6,$M4281='112'!$I$6))),"x",""))</f>
        <v/>
      </c>
      <c r="S4281" s="52" t="str">
        <f>IF(ISERROR(FIND('112'!$M$9,G4281,1)),"",IF((AND(LEFT(G4281,2)=LEFT('112'!$M$9,2),B4281&lt;'112'!$N$8,$L4281='112'!$I$6)),"x",""))</f>
        <v/>
      </c>
      <c r="T4281" s="52" t="str">
        <f>IF(ISERROR(FIND('112'!$M$9,G4281,1)),"",IF((AND(RIGHT(G4281,2)=RIGHT('112'!$M$9,2),B4281&lt;'112'!$N$8,$M4281='112'!$I$6)),"x",""))</f>
        <v/>
      </c>
      <c r="U4281" s="52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/>
      </c>
      <c r="V4281" s="52" t="str">
        <f>IF(OR(TH!L4281=TH!$V$7,M4281=TH!$V$7),"x","")</f>
        <v/>
      </c>
      <c r="W4281" s="52" t="str">
        <f>IF(AND(B4281&gt;='IN-NX'!$P$3,B4281&lt;='IN-NX'!$Q$3,'IN-NX'!$D$7=D4281,OR(LEFT(L4281,2)="15",AND(LEFT(M4281,2)&lt;&gt;"15",LEFT(M4281,2)&lt;&gt;"33"))),"x","")</f>
        <v/>
      </c>
      <c r="X4281" s="52" t="str">
        <f>IF(AND(OR(LEFT(TH!L4281,2)="15",LEFT(TH!M4281,2)="15"),'152-CT'!$J$8=TH!F4281),"x","")</f>
        <v/>
      </c>
      <c r="Y4281" s="52" t="str">
        <f>IF(AND(OR(LEFT(TH!L4281,2)="15",LEFT(TH!M4281,2)="15"),TK!$E$7=TH!F4281),"x","")</f>
        <v/>
      </c>
      <c r="Z4281" s="52" t="str">
        <f>IF(AND(B4281&lt;=NKC!$N$8,B4281&gt;=NKC!$M$8),"x","")</f>
        <v/>
      </c>
      <c r="AA4281" s="826"/>
    </row>
    <row r="4282" spans="1:27" ht="15.75" customHeight="1">
      <c r="A4282" s="827" t="str">
        <f>IF(B4282&lt;&gt;"",IF(AND(B4282&gt;=_TM1,B4282&lt;=_TM2,OR(TH!L4282="1111",TH!M4282="1111")),TH!D4282,""),"")</f>
        <v/>
      </c>
      <c r="B4282" s="36" t="str">
        <f t="shared" si="521"/>
        <v/>
      </c>
      <c r="C4282" s="190"/>
      <c r="D4282" s="190"/>
      <c r="E4282" s="190"/>
      <c r="F4282" s="191"/>
      <c r="G4282" s="833"/>
      <c r="H4282" s="192"/>
      <c r="I4282" s="253"/>
      <c r="J4282" s="253"/>
      <c r="K4282" s="584"/>
      <c r="L4282" s="193"/>
      <c r="M4282" s="193"/>
      <c r="N4282" s="52" t="str">
        <f>IF(AND('331-CT'!$E$7=TH!H4282,OR(L4282="331",M4282="331")),"331",IF(AND(OR(L4282="131",M4282="131"),H4282='131-CT'!$E$7),"131",""))</f>
        <v/>
      </c>
      <c r="O4282" s="52" t="str">
        <f>IF(AND($B4282&gt;='111'!$N$11,$B4282&lt;='111'!$O$11,OR($L4282=$O$7,$M4282=$O$7)),"x","")</f>
        <v/>
      </c>
      <c r="P4282" s="52" t="str">
        <f>IF(AND($L4282=$O$7,$B4282&lt;'111'!$N$11),"x","")</f>
        <v/>
      </c>
      <c r="Q4282" s="52" t="str">
        <f>IF(AND($M4282=$O$7,$B4282&lt;'111'!$N$11),"x","")</f>
        <v/>
      </c>
      <c r="R4282" s="52" t="str">
        <f>IF(ISERROR(FIND('112'!$M$9,G4282,1)),"",IF((AND(FIND('112'!$M$9,G4282,1)&gt;=1,$B4282&gt;='112'!$N$8,$B4282&lt;='112'!$O$8,OR($L4282='112'!$I$6,$M4282='112'!$I$6))),"x",""))</f>
        <v/>
      </c>
      <c r="S4282" s="52" t="str">
        <f>IF(ISERROR(FIND('112'!$M$9,G4282,1)),"",IF((AND(LEFT(G4282,2)=LEFT('112'!$M$9,2),B4282&lt;'112'!$N$8,$L4282='112'!$I$6)),"x",""))</f>
        <v/>
      </c>
      <c r="T4282" s="52" t="str">
        <f>IF(ISERROR(FIND('112'!$M$9,G4282,1)),"",IF((AND(RIGHT(G4282,2)=RIGHT('112'!$M$9,2),B4282&lt;'112'!$N$8,$M4282='112'!$I$6)),"x",""))</f>
        <v/>
      </c>
      <c r="U4282" s="52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/>
      </c>
      <c r="V4282" s="52" t="str">
        <f>IF(OR(TH!L4282=TH!$V$7,M4282=TH!$V$7),"x","")</f>
        <v/>
      </c>
      <c r="W4282" s="52" t="str">
        <f>IF(AND(B4282&gt;='IN-NX'!$P$3,B4282&lt;='IN-NX'!$Q$3,'IN-NX'!$D$7=D4282,OR(LEFT(L4282,2)="15",AND(LEFT(M4282,2)&lt;&gt;"15",LEFT(M4282,2)&lt;&gt;"33"))),"x","")</f>
        <v/>
      </c>
      <c r="X4282" s="52" t="str">
        <f>IF(AND(OR(LEFT(TH!L4282,2)="15",LEFT(TH!M4282,2)="15"),'152-CT'!$J$8=TH!F4282),"x","")</f>
        <v/>
      </c>
      <c r="Y4282" s="52" t="str">
        <f>IF(AND(OR(LEFT(TH!L4282,2)="15",LEFT(TH!M4282,2)="15"),TK!$E$7=TH!F4282),"x","")</f>
        <v/>
      </c>
      <c r="Z4282" s="52" t="str">
        <f>IF(AND(B4282&lt;=NKC!$N$8,B4282&gt;=NKC!$M$8),"x","")</f>
        <v/>
      </c>
      <c r="AA4282" s="826"/>
    </row>
    <row r="4283" spans="1:27" ht="15.75" customHeight="1">
      <c r="A4283" s="827" t="str">
        <f>IF(B4283&lt;&gt;"",IF(AND(B4283&gt;=_TM1,B4283&lt;=_TM2,OR(TH!L4283="1111",TH!M4283="1111")),TH!D4283,""),"")</f>
        <v/>
      </c>
      <c r="B4283" s="36" t="str">
        <f t="shared" si="521"/>
        <v/>
      </c>
      <c r="C4283" s="190"/>
      <c r="D4283" s="190"/>
      <c r="E4283" s="190"/>
      <c r="F4283" s="191"/>
      <c r="G4283" s="833"/>
      <c r="H4283" s="192"/>
      <c r="I4283" s="253"/>
      <c r="J4283" s="253"/>
      <c r="K4283" s="584"/>
      <c r="L4283" s="193"/>
      <c r="M4283" s="193"/>
      <c r="N4283" s="52" t="str">
        <f>IF(AND('331-CT'!$E$7=TH!H4283,OR(L4283="331",M4283="331")),"331",IF(AND(OR(L4283="131",M4283="131"),H4283='131-CT'!$E$7),"131",""))</f>
        <v/>
      </c>
      <c r="O4283" s="52" t="str">
        <f>IF(AND($B4283&gt;='111'!$N$11,$B4283&lt;='111'!$O$11,OR($L4283=$O$7,$M4283=$O$7)),"x","")</f>
        <v/>
      </c>
      <c r="P4283" s="52" t="str">
        <f>IF(AND($L4283=$O$7,$B4283&lt;'111'!$N$11),"x","")</f>
        <v/>
      </c>
      <c r="Q4283" s="52" t="str">
        <f>IF(AND($M4283=$O$7,$B4283&lt;'111'!$N$11),"x","")</f>
        <v/>
      </c>
      <c r="R4283" s="52" t="str">
        <f>IF(ISERROR(FIND('112'!$M$9,G4283,1)),"",IF((AND(FIND('112'!$M$9,G4283,1)&gt;=1,$B4283&gt;='112'!$N$8,$B4283&lt;='112'!$O$8,OR($L4283='112'!$I$6,$M4283='112'!$I$6))),"x",""))</f>
        <v/>
      </c>
      <c r="S4283" s="52" t="str">
        <f>IF(ISERROR(FIND('112'!$M$9,G4283,1)),"",IF((AND(LEFT(G4283,2)=LEFT('112'!$M$9,2),B4283&lt;'112'!$N$8,$L4283='112'!$I$6)),"x",""))</f>
        <v/>
      </c>
      <c r="T4283" s="52" t="str">
        <f>IF(ISERROR(FIND('112'!$M$9,G4283,1)),"",IF((AND(RIGHT(G4283,2)=RIGHT('112'!$M$9,2),B4283&lt;'112'!$N$8,$M4283='112'!$I$6)),"x",""))</f>
        <v/>
      </c>
      <c r="U4283" s="52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/>
      </c>
      <c r="V4283" s="52" t="str">
        <f>IF(OR(TH!L4283=TH!$V$7,M4283=TH!$V$7),"x","")</f>
        <v/>
      </c>
      <c r="W4283" s="52" t="str">
        <f>IF(AND(B4283&gt;='IN-NX'!$P$3,B4283&lt;='IN-NX'!$Q$3,'IN-NX'!$D$7=D4283,OR(LEFT(L4283,2)="15",AND(LEFT(M4283,2)&lt;&gt;"15",LEFT(M4283,2)&lt;&gt;"33"))),"x","")</f>
        <v/>
      </c>
      <c r="X4283" s="52" t="str">
        <f>IF(AND(OR(LEFT(TH!L4283,2)="15",LEFT(TH!M4283,2)="15"),'152-CT'!$J$8=TH!F4283),"x","")</f>
        <v/>
      </c>
      <c r="Y4283" s="52" t="str">
        <f>IF(AND(OR(LEFT(TH!L4283,2)="15",LEFT(TH!M4283,2)="15"),TK!$E$7=TH!F4283),"x","")</f>
        <v/>
      </c>
      <c r="Z4283" s="52" t="str">
        <f>IF(AND(B4283&lt;=NKC!$N$8,B4283&gt;=NKC!$M$8),"x","")</f>
        <v/>
      </c>
      <c r="AA4283" s="826"/>
    </row>
    <row r="4284" spans="1:27" ht="15.75" customHeight="1">
      <c r="A4284" s="827" t="str">
        <f>IF(B4284&lt;&gt;"",IF(AND(B4284&gt;=_TM1,B4284&lt;=_TM2,OR(TH!L4284="1111",TH!M4284="1111")),TH!D4284,""),"")</f>
        <v/>
      </c>
      <c r="B4284" s="36" t="str">
        <f t="shared" si="521"/>
        <v/>
      </c>
      <c r="C4284" s="190"/>
      <c r="D4284" s="190"/>
      <c r="E4284" s="190"/>
      <c r="F4284" s="191"/>
      <c r="G4284" s="833"/>
      <c r="H4284" s="192"/>
      <c r="I4284" s="253"/>
      <c r="J4284" s="253"/>
      <c r="K4284" s="584"/>
      <c r="L4284" s="193"/>
      <c r="M4284" s="193"/>
      <c r="N4284" s="52" t="str">
        <f>IF(AND('331-CT'!$E$7=TH!H4284,OR(L4284="331",M4284="331")),"331",IF(AND(OR(L4284="131",M4284="131"),H4284='131-CT'!$E$7),"131",""))</f>
        <v/>
      </c>
      <c r="O4284" s="52" t="str">
        <f>IF(AND($B4284&gt;='111'!$N$11,$B4284&lt;='111'!$O$11,OR($L4284=$O$7,$M4284=$O$7)),"x","")</f>
        <v/>
      </c>
      <c r="P4284" s="52" t="str">
        <f>IF(AND($L4284=$O$7,$B4284&lt;'111'!$N$11),"x","")</f>
        <v/>
      </c>
      <c r="Q4284" s="52" t="str">
        <f>IF(AND($M4284=$O$7,$B4284&lt;'111'!$N$11),"x","")</f>
        <v/>
      </c>
      <c r="R4284" s="52" t="str">
        <f>IF(ISERROR(FIND('112'!$M$9,G4284,1)),"",IF((AND(FIND('112'!$M$9,G4284,1)&gt;=1,$B4284&gt;='112'!$N$8,$B4284&lt;='112'!$O$8,OR($L4284='112'!$I$6,$M4284='112'!$I$6))),"x",""))</f>
        <v/>
      </c>
      <c r="S4284" s="52" t="str">
        <f>IF(ISERROR(FIND('112'!$M$9,G4284,1)),"",IF((AND(LEFT(G4284,2)=LEFT('112'!$M$9,2),B4284&lt;'112'!$N$8,$L4284='112'!$I$6)),"x",""))</f>
        <v/>
      </c>
      <c r="T4284" s="52" t="str">
        <f>IF(ISERROR(FIND('112'!$M$9,G4284,1)),"",IF((AND(RIGHT(G4284,2)=RIGHT('112'!$M$9,2),B4284&lt;'112'!$N$8,$M4284='112'!$I$6)),"x",""))</f>
        <v/>
      </c>
      <c r="U4284" s="52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/>
      </c>
      <c r="V4284" s="52" t="str">
        <f>IF(OR(TH!L4284=TH!$V$7,M4284=TH!$V$7),"x","")</f>
        <v/>
      </c>
      <c r="W4284" s="52" t="str">
        <f>IF(AND(B4284&gt;='IN-NX'!$P$3,B4284&lt;='IN-NX'!$Q$3,'IN-NX'!$D$7=D4284,OR(LEFT(L4284,2)="15",AND(LEFT(M4284,2)&lt;&gt;"15",LEFT(M4284,2)&lt;&gt;"33"))),"x","")</f>
        <v/>
      </c>
      <c r="X4284" s="52" t="str">
        <f>IF(AND(OR(LEFT(TH!L4284,2)="15",LEFT(TH!M4284,2)="15"),'152-CT'!$J$8=TH!F4284),"x","")</f>
        <v/>
      </c>
      <c r="Y4284" s="52" t="str">
        <f>IF(AND(OR(LEFT(TH!L4284,2)="15",LEFT(TH!M4284,2)="15"),TK!$E$7=TH!F4284),"x","")</f>
        <v/>
      </c>
      <c r="Z4284" s="52" t="str">
        <f>IF(AND(B4284&lt;=NKC!$N$8,B4284&gt;=NKC!$M$8),"x","")</f>
        <v/>
      </c>
      <c r="AA4284" s="826"/>
    </row>
    <row r="4285" spans="1:27" ht="15.75" customHeight="1">
      <c r="A4285" s="827" t="str">
        <f>IF(B4285&lt;&gt;"",IF(AND(B4285&gt;=_TM1,B4285&lt;=_TM2,OR(TH!L4285="1111",TH!M4285="1111")),TH!D4285,""),"")</f>
        <v/>
      </c>
      <c r="B4285" s="36" t="str">
        <f t="shared" si="521"/>
        <v/>
      </c>
      <c r="C4285" s="190"/>
      <c r="D4285" s="190"/>
      <c r="E4285" s="190"/>
      <c r="F4285" s="191"/>
      <c r="G4285" s="833"/>
      <c r="H4285" s="192"/>
      <c r="I4285" s="253"/>
      <c r="J4285" s="253"/>
      <c r="K4285" s="584"/>
      <c r="L4285" s="193"/>
      <c r="M4285" s="193"/>
      <c r="N4285" s="52" t="str">
        <f>IF(AND('331-CT'!$E$7=TH!H4285,OR(L4285="331",M4285="331")),"331",IF(AND(OR(L4285="131",M4285="131"),H4285='131-CT'!$E$7),"131",""))</f>
        <v/>
      </c>
      <c r="O4285" s="52" t="str">
        <f>IF(AND($B4285&gt;='111'!$N$11,$B4285&lt;='111'!$O$11,OR($L4285=$O$7,$M4285=$O$7)),"x","")</f>
        <v/>
      </c>
      <c r="P4285" s="52" t="str">
        <f>IF(AND($L4285=$O$7,$B4285&lt;'111'!$N$11),"x","")</f>
        <v/>
      </c>
      <c r="Q4285" s="52" t="str">
        <f>IF(AND($M4285=$O$7,$B4285&lt;'111'!$N$11),"x","")</f>
        <v/>
      </c>
      <c r="R4285" s="52" t="str">
        <f>IF(ISERROR(FIND('112'!$M$9,G4285,1)),"",IF((AND(FIND('112'!$M$9,G4285,1)&gt;=1,$B4285&gt;='112'!$N$8,$B4285&lt;='112'!$O$8,OR($L4285='112'!$I$6,$M4285='112'!$I$6))),"x",""))</f>
        <v/>
      </c>
      <c r="S4285" s="52" t="str">
        <f>IF(ISERROR(FIND('112'!$M$9,G4285,1)),"",IF((AND(LEFT(G4285,2)=LEFT('112'!$M$9,2),B4285&lt;'112'!$N$8,$L4285='112'!$I$6)),"x",""))</f>
        <v/>
      </c>
      <c r="T4285" s="52" t="str">
        <f>IF(ISERROR(FIND('112'!$M$9,G4285,1)),"",IF((AND(RIGHT(G4285,2)=RIGHT('112'!$M$9,2),B4285&lt;'112'!$N$8,$M4285='112'!$I$6)),"x",""))</f>
        <v/>
      </c>
      <c r="U4285" s="52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/>
      </c>
      <c r="V4285" s="52" t="str">
        <f>IF(OR(TH!L4285=TH!$V$7,M4285=TH!$V$7),"x","")</f>
        <v/>
      </c>
      <c r="W4285" s="52" t="str">
        <f>IF(AND(B4285&gt;='IN-NX'!$P$3,B4285&lt;='IN-NX'!$Q$3,'IN-NX'!$D$7=D4285,OR(LEFT(L4285,2)="15",AND(LEFT(M4285,2)&lt;&gt;"15",LEFT(M4285,2)&lt;&gt;"33"))),"x","")</f>
        <v/>
      </c>
      <c r="X4285" s="52" t="str">
        <f>IF(AND(OR(LEFT(TH!L4285,2)="15",LEFT(TH!M4285,2)="15"),'152-CT'!$J$8=TH!F4285),"x","")</f>
        <v/>
      </c>
      <c r="Y4285" s="52" t="str">
        <f>IF(AND(OR(LEFT(TH!L4285,2)="15",LEFT(TH!M4285,2)="15"),TK!$E$7=TH!F4285),"x","")</f>
        <v/>
      </c>
      <c r="Z4285" s="52" t="str">
        <f>IF(AND(B4285&lt;=NKC!$N$8,B4285&gt;=NKC!$M$8),"x","")</f>
        <v/>
      </c>
      <c r="AA4285" s="826"/>
    </row>
    <row r="4286" spans="1:27" ht="15.75" customHeight="1">
      <c r="A4286" s="827" t="str">
        <f>IF(B4286&lt;&gt;"",IF(AND(B4286&gt;=_TM1,B4286&lt;=_TM2,OR(TH!L4286="1111",TH!M4286="1111")),TH!D4286,""),"")</f>
        <v/>
      </c>
      <c r="B4286" s="36" t="str">
        <f t="shared" si="521"/>
        <v/>
      </c>
      <c r="C4286" s="190"/>
      <c r="D4286" s="190"/>
      <c r="E4286" s="190"/>
      <c r="F4286" s="191"/>
      <c r="G4286" s="833"/>
      <c r="H4286" s="192"/>
      <c r="I4286" s="253"/>
      <c r="J4286" s="253"/>
      <c r="K4286" s="584"/>
      <c r="L4286" s="193"/>
      <c r="M4286" s="193"/>
      <c r="N4286" s="52" t="str">
        <f>IF(AND('331-CT'!$E$7=TH!H4286,OR(L4286="331",M4286="331")),"331",IF(AND(OR(L4286="131",M4286="131"),H4286='131-CT'!$E$7),"131",""))</f>
        <v/>
      </c>
      <c r="O4286" s="52" t="str">
        <f>IF(AND($B4286&gt;='111'!$N$11,$B4286&lt;='111'!$O$11,OR($L4286=$O$7,$M4286=$O$7)),"x","")</f>
        <v/>
      </c>
      <c r="P4286" s="52" t="str">
        <f>IF(AND($L4286=$O$7,$B4286&lt;'111'!$N$11),"x","")</f>
        <v/>
      </c>
      <c r="Q4286" s="52" t="str">
        <f>IF(AND($M4286=$O$7,$B4286&lt;'111'!$N$11),"x","")</f>
        <v/>
      </c>
      <c r="R4286" s="52" t="str">
        <f>IF(ISERROR(FIND('112'!$M$9,G4286,1)),"",IF((AND(FIND('112'!$M$9,G4286,1)&gt;=1,$B4286&gt;='112'!$N$8,$B4286&lt;='112'!$O$8,OR($L4286='112'!$I$6,$M4286='112'!$I$6))),"x",""))</f>
        <v/>
      </c>
      <c r="S4286" s="52" t="str">
        <f>IF(ISERROR(FIND('112'!$M$9,G4286,1)),"",IF((AND(LEFT(G4286,2)=LEFT('112'!$M$9,2),B4286&lt;'112'!$N$8,$L4286='112'!$I$6)),"x",""))</f>
        <v/>
      </c>
      <c r="T4286" s="52" t="str">
        <f>IF(ISERROR(FIND('112'!$M$9,G4286,1)),"",IF((AND(RIGHT(G4286,2)=RIGHT('112'!$M$9,2),B4286&lt;'112'!$N$8,$M4286='112'!$I$6)),"x",""))</f>
        <v/>
      </c>
      <c r="U4286" s="52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/>
      </c>
      <c r="V4286" s="52" t="str">
        <f>IF(OR(TH!L4286=TH!$V$7,M4286=TH!$V$7),"x","")</f>
        <v/>
      </c>
      <c r="W4286" s="52" t="str">
        <f>IF(AND(B4286&gt;='IN-NX'!$P$3,B4286&lt;='IN-NX'!$Q$3,'IN-NX'!$D$7=D4286,OR(LEFT(L4286,2)="15",AND(LEFT(M4286,2)&lt;&gt;"15",LEFT(M4286,2)&lt;&gt;"33"))),"x","")</f>
        <v/>
      </c>
      <c r="X4286" s="52" t="str">
        <f>IF(AND(OR(LEFT(TH!L4286,2)="15",LEFT(TH!M4286,2)="15"),'152-CT'!$J$8=TH!F4286),"x","")</f>
        <v/>
      </c>
      <c r="Y4286" s="52" t="str">
        <f>IF(AND(OR(LEFT(TH!L4286,2)="15",LEFT(TH!M4286,2)="15"),TK!$E$7=TH!F4286),"x","")</f>
        <v/>
      </c>
      <c r="Z4286" s="52" t="str">
        <f>IF(AND(B4286&lt;=NKC!$N$8,B4286&gt;=NKC!$M$8),"x","")</f>
        <v/>
      </c>
      <c r="AA4286" s="826"/>
    </row>
    <row r="4287" spans="1:27" ht="15.75" customHeight="1">
      <c r="A4287" s="827" t="str">
        <f>IF(B4287&lt;&gt;"",IF(AND(B4287&gt;=_TM1,B4287&lt;=_TM2,OR(TH!L4287="1111",TH!M4287="1111")),TH!D4287,""),"")</f>
        <v/>
      </c>
      <c r="B4287" s="36" t="str">
        <f t="shared" si="521"/>
        <v/>
      </c>
      <c r="C4287" s="190"/>
      <c r="D4287" s="190"/>
      <c r="E4287" s="190"/>
      <c r="F4287" s="191"/>
      <c r="G4287" s="833"/>
      <c r="H4287" s="192"/>
      <c r="I4287" s="253"/>
      <c r="J4287" s="253"/>
      <c r="K4287" s="584"/>
      <c r="L4287" s="193"/>
      <c r="M4287" s="193"/>
      <c r="N4287" s="52" t="str">
        <f>IF(AND('331-CT'!$E$7=TH!H4287,OR(L4287="331",M4287="331")),"331",IF(AND(OR(L4287="131",M4287="131"),H4287='131-CT'!$E$7),"131",""))</f>
        <v/>
      </c>
      <c r="O4287" s="52" t="str">
        <f>IF(AND($B4287&gt;='111'!$N$11,$B4287&lt;='111'!$O$11,OR($L4287=$O$7,$M4287=$O$7)),"x","")</f>
        <v/>
      </c>
      <c r="P4287" s="52" t="str">
        <f>IF(AND($L4287=$O$7,$B4287&lt;'111'!$N$11),"x","")</f>
        <v/>
      </c>
      <c r="Q4287" s="52" t="str">
        <f>IF(AND($M4287=$O$7,$B4287&lt;'111'!$N$11),"x","")</f>
        <v/>
      </c>
      <c r="R4287" s="52" t="str">
        <f>IF(ISERROR(FIND('112'!$M$9,G4287,1)),"",IF((AND(FIND('112'!$M$9,G4287,1)&gt;=1,$B4287&gt;='112'!$N$8,$B4287&lt;='112'!$O$8,OR($L4287='112'!$I$6,$M4287='112'!$I$6))),"x",""))</f>
        <v/>
      </c>
      <c r="S4287" s="52" t="str">
        <f>IF(ISERROR(FIND('112'!$M$9,G4287,1)),"",IF((AND(LEFT(G4287,2)=LEFT('112'!$M$9,2),B4287&lt;'112'!$N$8,$L4287='112'!$I$6)),"x",""))</f>
        <v/>
      </c>
      <c r="T4287" s="52" t="str">
        <f>IF(ISERROR(FIND('112'!$M$9,G4287,1)),"",IF((AND(RIGHT(G4287,2)=RIGHT('112'!$M$9,2),B4287&lt;'112'!$N$8,$M4287='112'!$I$6)),"x",""))</f>
        <v/>
      </c>
      <c r="U4287" s="52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/>
      </c>
      <c r="V4287" s="52" t="str">
        <f>IF(OR(TH!L4287=TH!$V$7,M4287=TH!$V$7),"x","")</f>
        <v/>
      </c>
      <c r="W4287" s="52" t="str">
        <f>IF(AND(B4287&gt;='IN-NX'!$P$3,B4287&lt;='IN-NX'!$Q$3,'IN-NX'!$D$7=D4287,OR(LEFT(L4287,2)="15",AND(LEFT(M4287,2)&lt;&gt;"15",LEFT(M4287,2)&lt;&gt;"33"))),"x","")</f>
        <v/>
      </c>
      <c r="X4287" s="52" t="str">
        <f>IF(AND(OR(LEFT(TH!L4287,2)="15",LEFT(TH!M4287,2)="15"),'152-CT'!$J$8=TH!F4287),"x","")</f>
        <v/>
      </c>
      <c r="Y4287" s="52" t="str">
        <f>IF(AND(OR(LEFT(TH!L4287,2)="15",LEFT(TH!M4287,2)="15"),TK!$E$7=TH!F4287),"x","")</f>
        <v/>
      </c>
      <c r="Z4287" s="52" t="str">
        <f>IF(AND(B4287&lt;=NKC!$N$8,B4287&gt;=NKC!$M$8),"x","")</f>
        <v/>
      </c>
      <c r="AA4287" s="826"/>
    </row>
    <row r="4288" spans="1:27" ht="15.75" customHeight="1">
      <c r="A4288" s="827" t="str">
        <f>IF(B4288&lt;&gt;"",IF(AND(B4288&gt;=_TM1,B4288&lt;=_TM2,OR(TH!L4288="1111",TH!M4288="1111")),TH!D4288,""),"")</f>
        <v/>
      </c>
      <c r="B4288" s="36" t="str">
        <f t="shared" si="521"/>
        <v/>
      </c>
      <c r="C4288" s="190"/>
      <c r="D4288" s="190"/>
      <c r="E4288" s="190"/>
      <c r="F4288" s="191"/>
      <c r="G4288" s="833"/>
      <c r="H4288" s="192"/>
      <c r="I4288" s="253"/>
      <c r="J4288" s="253"/>
      <c r="K4288" s="584"/>
      <c r="L4288" s="193"/>
      <c r="M4288" s="193"/>
      <c r="N4288" s="52" t="str">
        <f>IF(AND('331-CT'!$E$7=TH!H4288,OR(L4288="331",M4288="331")),"331",IF(AND(OR(L4288="131",M4288="131"),H4288='131-CT'!$E$7),"131",""))</f>
        <v/>
      </c>
      <c r="O4288" s="52" t="str">
        <f>IF(AND($B4288&gt;='111'!$N$11,$B4288&lt;='111'!$O$11,OR($L4288=$O$7,$M4288=$O$7)),"x","")</f>
        <v/>
      </c>
      <c r="P4288" s="52" t="str">
        <f>IF(AND($L4288=$O$7,$B4288&lt;'111'!$N$11),"x","")</f>
        <v/>
      </c>
      <c r="Q4288" s="52" t="str">
        <f>IF(AND($M4288=$O$7,$B4288&lt;'111'!$N$11),"x","")</f>
        <v/>
      </c>
      <c r="R4288" s="52" t="str">
        <f>IF(ISERROR(FIND('112'!$M$9,G4288,1)),"",IF((AND(FIND('112'!$M$9,G4288,1)&gt;=1,$B4288&gt;='112'!$N$8,$B4288&lt;='112'!$O$8,OR($L4288='112'!$I$6,$M4288='112'!$I$6))),"x",""))</f>
        <v/>
      </c>
      <c r="S4288" s="52" t="str">
        <f>IF(ISERROR(FIND('112'!$M$9,G4288,1)),"",IF((AND(LEFT(G4288,2)=LEFT('112'!$M$9,2),B4288&lt;'112'!$N$8,$L4288='112'!$I$6)),"x",""))</f>
        <v/>
      </c>
      <c r="T4288" s="52" t="str">
        <f>IF(ISERROR(FIND('112'!$M$9,G4288,1)),"",IF((AND(RIGHT(G4288,2)=RIGHT('112'!$M$9,2),B4288&lt;'112'!$N$8,$M4288='112'!$I$6)),"x",""))</f>
        <v/>
      </c>
      <c r="U4288" s="52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/>
      </c>
      <c r="V4288" s="52" t="str">
        <f>IF(OR(TH!L4288=TH!$V$7,M4288=TH!$V$7),"x","")</f>
        <v/>
      </c>
      <c r="W4288" s="52" t="str">
        <f>IF(AND(B4288&gt;='IN-NX'!$P$3,B4288&lt;='IN-NX'!$Q$3,'IN-NX'!$D$7=D4288,OR(LEFT(L4288,2)="15",AND(LEFT(M4288,2)&lt;&gt;"15",LEFT(M4288,2)&lt;&gt;"33"))),"x","")</f>
        <v/>
      </c>
      <c r="X4288" s="52" t="str">
        <f>IF(AND(OR(LEFT(TH!L4288,2)="15",LEFT(TH!M4288,2)="15"),'152-CT'!$J$8=TH!F4288),"x","")</f>
        <v/>
      </c>
      <c r="Y4288" s="52" t="str">
        <f>IF(AND(OR(LEFT(TH!L4288,2)="15",LEFT(TH!M4288,2)="15"),TK!$E$7=TH!F4288),"x","")</f>
        <v/>
      </c>
      <c r="Z4288" s="52" t="str">
        <f>IF(AND(B4288&lt;=NKC!$N$8,B4288&gt;=NKC!$M$8),"x","")</f>
        <v/>
      </c>
      <c r="AA4288" s="826"/>
    </row>
    <row r="4289" spans="1:27" ht="15.75" customHeight="1">
      <c r="A4289" s="827" t="str">
        <f>IF(B4289&lt;&gt;"",IF(AND(B4289&gt;=_TM1,B4289&lt;=_TM2,OR(TH!L4289="1111",TH!M4289="1111")),TH!D4289,""),"")</f>
        <v/>
      </c>
      <c r="B4289" s="36" t="str">
        <f t="shared" si="521"/>
        <v/>
      </c>
      <c r="C4289" s="190"/>
      <c r="D4289" s="190"/>
      <c r="E4289" s="190"/>
      <c r="F4289" s="191"/>
      <c r="G4289" s="833"/>
      <c r="H4289" s="192"/>
      <c r="I4289" s="253"/>
      <c r="J4289" s="253"/>
      <c r="K4289" s="584"/>
      <c r="L4289" s="193"/>
      <c r="M4289" s="193"/>
      <c r="N4289" s="52" t="str">
        <f>IF(AND('331-CT'!$E$7=TH!H4289,OR(L4289="331",M4289="331")),"331",IF(AND(OR(L4289="131",M4289="131"),H4289='131-CT'!$E$7),"131",""))</f>
        <v/>
      </c>
      <c r="O4289" s="52" t="str">
        <f>IF(AND($B4289&gt;='111'!$N$11,$B4289&lt;='111'!$O$11,OR($L4289=$O$7,$M4289=$O$7)),"x","")</f>
        <v/>
      </c>
      <c r="P4289" s="52" t="str">
        <f>IF(AND($L4289=$O$7,$B4289&lt;'111'!$N$11),"x","")</f>
        <v/>
      </c>
      <c r="Q4289" s="52" t="str">
        <f>IF(AND($M4289=$O$7,$B4289&lt;'111'!$N$11),"x","")</f>
        <v/>
      </c>
      <c r="R4289" s="52" t="str">
        <f>IF(ISERROR(FIND('112'!$M$9,G4289,1)),"",IF((AND(FIND('112'!$M$9,G4289,1)&gt;=1,$B4289&gt;='112'!$N$8,$B4289&lt;='112'!$O$8,OR($L4289='112'!$I$6,$M4289='112'!$I$6))),"x",""))</f>
        <v/>
      </c>
      <c r="S4289" s="52" t="str">
        <f>IF(ISERROR(FIND('112'!$M$9,G4289,1)),"",IF((AND(LEFT(G4289,2)=LEFT('112'!$M$9,2),B4289&lt;'112'!$N$8,$L4289='112'!$I$6)),"x",""))</f>
        <v/>
      </c>
      <c r="T4289" s="52" t="str">
        <f>IF(ISERROR(FIND('112'!$M$9,G4289,1)),"",IF((AND(RIGHT(G4289,2)=RIGHT('112'!$M$9,2),B4289&lt;'112'!$N$8,$M4289='112'!$I$6)),"x",""))</f>
        <v/>
      </c>
      <c r="U4289" s="52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/>
      </c>
      <c r="V4289" s="52" t="str">
        <f>IF(OR(TH!L4289=TH!$V$7,M4289=TH!$V$7),"x","")</f>
        <v/>
      </c>
      <c r="W4289" s="52" t="str">
        <f>IF(AND(B4289&gt;='IN-NX'!$P$3,B4289&lt;='IN-NX'!$Q$3,'IN-NX'!$D$7=D4289,OR(LEFT(L4289,2)="15",AND(LEFT(M4289,2)&lt;&gt;"15",LEFT(M4289,2)&lt;&gt;"33"))),"x","")</f>
        <v/>
      </c>
      <c r="X4289" s="52" t="str">
        <f>IF(AND(OR(LEFT(TH!L4289,2)="15",LEFT(TH!M4289,2)="15"),'152-CT'!$J$8=TH!F4289),"x","")</f>
        <v/>
      </c>
      <c r="Y4289" s="52" t="str">
        <f>IF(AND(OR(LEFT(TH!L4289,2)="15",LEFT(TH!M4289,2)="15"),TK!$E$7=TH!F4289),"x","")</f>
        <v/>
      </c>
      <c r="Z4289" s="52" t="str">
        <f>IF(AND(B4289&lt;=NKC!$N$8,B4289&gt;=NKC!$M$8),"x","")</f>
        <v/>
      </c>
      <c r="AA4289" s="826"/>
    </row>
    <row r="4290" spans="1:27" ht="15.75" customHeight="1">
      <c r="A4290" s="827" t="str">
        <f>IF(B4290&lt;&gt;"",IF(AND(B4290&gt;=_TM1,B4290&lt;=_TM2,OR(TH!L4290="1111",TH!M4290="1111")),TH!D4290,""),"")</f>
        <v/>
      </c>
      <c r="B4290" s="36" t="str">
        <f t="shared" si="521"/>
        <v/>
      </c>
      <c r="C4290" s="190"/>
      <c r="D4290" s="190"/>
      <c r="E4290" s="190"/>
      <c r="F4290" s="191"/>
      <c r="G4290" s="833"/>
      <c r="H4290" s="192"/>
      <c r="I4290" s="253"/>
      <c r="J4290" s="253"/>
      <c r="K4290" s="584"/>
      <c r="L4290" s="193"/>
      <c r="M4290" s="193"/>
      <c r="N4290" s="52" t="str">
        <f>IF(AND('331-CT'!$E$7=TH!H4290,OR(L4290="331",M4290="331")),"331",IF(AND(OR(L4290="131",M4290="131"),H4290='131-CT'!$E$7),"131",""))</f>
        <v/>
      </c>
      <c r="O4290" s="52" t="str">
        <f>IF(AND($B4290&gt;='111'!$N$11,$B4290&lt;='111'!$O$11,OR($L4290=$O$7,$M4290=$O$7)),"x","")</f>
        <v/>
      </c>
      <c r="P4290" s="52" t="str">
        <f>IF(AND($L4290=$O$7,$B4290&lt;'111'!$N$11),"x","")</f>
        <v/>
      </c>
      <c r="Q4290" s="52" t="str">
        <f>IF(AND($M4290=$O$7,$B4290&lt;'111'!$N$11),"x","")</f>
        <v/>
      </c>
      <c r="R4290" s="52" t="str">
        <f>IF(ISERROR(FIND('112'!$M$9,G4290,1)),"",IF((AND(FIND('112'!$M$9,G4290,1)&gt;=1,$B4290&gt;='112'!$N$8,$B4290&lt;='112'!$O$8,OR($L4290='112'!$I$6,$M4290='112'!$I$6))),"x",""))</f>
        <v/>
      </c>
      <c r="S4290" s="52" t="str">
        <f>IF(ISERROR(FIND('112'!$M$9,G4290,1)),"",IF((AND(LEFT(G4290,2)=LEFT('112'!$M$9,2),B4290&lt;'112'!$N$8,$L4290='112'!$I$6)),"x",""))</f>
        <v/>
      </c>
      <c r="T4290" s="52" t="str">
        <f>IF(ISERROR(FIND('112'!$M$9,G4290,1)),"",IF((AND(RIGHT(G4290,2)=RIGHT('112'!$M$9,2),B4290&lt;'112'!$N$8,$M4290='112'!$I$6)),"x",""))</f>
        <v/>
      </c>
      <c r="U4290" s="52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/>
      </c>
      <c r="V4290" s="52" t="str">
        <f>IF(OR(TH!L4290=TH!$V$7,M4290=TH!$V$7),"x","")</f>
        <v/>
      </c>
      <c r="W4290" s="52" t="str">
        <f>IF(AND(B4290&gt;='IN-NX'!$P$3,B4290&lt;='IN-NX'!$Q$3,'IN-NX'!$D$7=D4290,OR(LEFT(L4290,2)="15",AND(LEFT(M4290,2)&lt;&gt;"15",LEFT(M4290,2)&lt;&gt;"33"))),"x","")</f>
        <v/>
      </c>
      <c r="X4290" s="52" t="str">
        <f>IF(AND(OR(LEFT(TH!L4290,2)="15",LEFT(TH!M4290,2)="15"),'152-CT'!$J$8=TH!F4290),"x","")</f>
        <v/>
      </c>
      <c r="Y4290" s="52" t="str">
        <f>IF(AND(OR(LEFT(TH!L4290,2)="15",LEFT(TH!M4290,2)="15"),TK!$E$7=TH!F4290),"x","")</f>
        <v/>
      </c>
      <c r="Z4290" s="52" t="str">
        <f>IF(AND(B4290&lt;=NKC!$N$8,B4290&gt;=NKC!$M$8),"x","")</f>
        <v/>
      </c>
      <c r="AA4290" s="826"/>
    </row>
    <row r="4291" spans="1:27" ht="15.75" customHeight="1">
      <c r="A4291" s="827" t="str">
        <f>IF(B4291&lt;&gt;"",IF(AND(B4291&gt;=_TM1,B4291&lt;=_TM2,OR(TH!L4291="1111",TH!M4291="1111")),TH!D4291,""),"")</f>
        <v/>
      </c>
      <c r="B4291" s="36" t="str">
        <f t="shared" si="521"/>
        <v/>
      </c>
      <c r="C4291" s="190"/>
      <c r="D4291" s="190"/>
      <c r="E4291" s="190"/>
      <c r="F4291" s="191"/>
      <c r="G4291" s="833"/>
      <c r="H4291" s="192"/>
      <c r="I4291" s="253"/>
      <c r="J4291" s="253"/>
      <c r="K4291" s="584"/>
      <c r="L4291" s="193"/>
      <c r="M4291" s="193"/>
      <c r="N4291" s="52" t="str">
        <f>IF(AND('331-CT'!$E$7=TH!H4291,OR(L4291="331",M4291="331")),"331",IF(AND(OR(L4291="131",M4291="131"),H4291='131-CT'!$E$7),"131",""))</f>
        <v/>
      </c>
      <c r="O4291" s="52" t="str">
        <f>IF(AND($B4291&gt;='111'!$N$11,$B4291&lt;='111'!$O$11,OR($L4291=$O$7,$M4291=$O$7)),"x","")</f>
        <v/>
      </c>
      <c r="P4291" s="52" t="str">
        <f>IF(AND($L4291=$O$7,$B4291&lt;'111'!$N$11),"x","")</f>
        <v/>
      </c>
      <c r="Q4291" s="52" t="str">
        <f>IF(AND($M4291=$O$7,$B4291&lt;'111'!$N$11),"x","")</f>
        <v/>
      </c>
      <c r="R4291" s="52" t="str">
        <f>IF(ISERROR(FIND('112'!$M$9,G4291,1)),"",IF((AND(FIND('112'!$M$9,G4291,1)&gt;=1,$B4291&gt;='112'!$N$8,$B4291&lt;='112'!$O$8,OR($L4291='112'!$I$6,$M4291='112'!$I$6))),"x",""))</f>
        <v/>
      </c>
      <c r="S4291" s="52" t="str">
        <f>IF(ISERROR(FIND('112'!$M$9,G4291,1)),"",IF((AND(LEFT(G4291,2)=LEFT('112'!$M$9,2),B4291&lt;'112'!$N$8,$L4291='112'!$I$6)),"x",""))</f>
        <v/>
      </c>
      <c r="T4291" s="52" t="str">
        <f>IF(ISERROR(FIND('112'!$M$9,G4291,1)),"",IF((AND(RIGHT(G4291,2)=RIGHT('112'!$M$9,2),B4291&lt;'112'!$N$8,$M4291='112'!$I$6)),"x",""))</f>
        <v/>
      </c>
      <c r="U4291" s="52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/>
      </c>
      <c r="V4291" s="52" t="str">
        <f>IF(OR(TH!L4291=TH!$V$7,M4291=TH!$V$7),"x","")</f>
        <v/>
      </c>
      <c r="W4291" s="52" t="str">
        <f>IF(AND(B4291&gt;='IN-NX'!$P$3,B4291&lt;='IN-NX'!$Q$3,'IN-NX'!$D$7=D4291,OR(LEFT(L4291,2)="15",AND(LEFT(M4291,2)&lt;&gt;"15",LEFT(M4291,2)&lt;&gt;"33"))),"x","")</f>
        <v/>
      </c>
      <c r="X4291" s="52" t="str">
        <f>IF(AND(OR(LEFT(TH!L4291,2)="15",LEFT(TH!M4291,2)="15"),'152-CT'!$J$8=TH!F4291),"x","")</f>
        <v/>
      </c>
      <c r="Y4291" s="52" t="str">
        <f>IF(AND(OR(LEFT(TH!L4291,2)="15",LEFT(TH!M4291,2)="15"),TK!$E$7=TH!F4291),"x","")</f>
        <v/>
      </c>
      <c r="Z4291" s="52" t="str">
        <f>IF(AND(B4291&lt;=NKC!$N$8,B4291&gt;=NKC!$M$8),"x","")</f>
        <v/>
      </c>
      <c r="AA4291" s="826"/>
    </row>
    <row r="4292" spans="1:27" ht="15.75" customHeight="1">
      <c r="A4292" s="827" t="str">
        <f>IF(B4292&lt;&gt;"",IF(AND(B4292&gt;=_TM1,B4292&lt;=_TM2,OR(TH!L4292="1111",TH!M4292="1111")),TH!D4292,""),"")</f>
        <v/>
      </c>
      <c r="B4292" s="36" t="str">
        <f t="shared" si="521"/>
        <v/>
      </c>
      <c r="C4292" s="190"/>
      <c r="D4292" s="190"/>
      <c r="E4292" s="190"/>
      <c r="F4292" s="191"/>
      <c r="G4292" s="833"/>
      <c r="H4292" s="192"/>
      <c r="I4292" s="253"/>
      <c r="J4292" s="253"/>
      <c r="K4292" s="584"/>
      <c r="L4292" s="193"/>
      <c r="M4292" s="193"/>
      <c r="N4292" s="52" t="str">
        <f>IF(AND('331-CT'!$E$7=TH!H4292,OR(L4292="331",M4292="331")),"331",IF(AND(OR(L4292="131",M4292="131"),H4292='131-CT'!$E$7),"131",""))</f>
        <v/>
      </c>
      <c r="O4292" s="52" t="str">
        <f>IF(AND($B4292&gt;='111'!$N$11,$B4292&lt;='111'!$O$11,OR($L4292=$O$7,$M4292=$O$7)),"x","")</f>
        <v/>
      </c>
      <c r="P4292" s="52" t="str">
        <f>IF(AND($L4292=$O$7,$B4292&lt;'111'!$N$11),"x","")</f>
        <v/>
      </c>
      <c r="Q4292" s="52" t="str">
        <f>IF(AND($M4292=$O$7,$B4292&lt;'111'!$N$11),"x","")</f>
        <v/>
      </c>
      <c r="R4292" s="52" t="str">
        <f>IF(ISERROR(FIND('112'!$M$9,G4292,1)),"",IF((AND(FIND('112'!$M$9,G4292,1)&gt;=1,$B4292&gt;='112'!$N$8,$B4292&lt;='112'!$O$8,OR($L4292='112'!$I$6,$M4292='112'!$I$6))),"x",""))</f>
        <v/>
      </c>
      <c r="S4292" s="52" t="str">
        <f>IF(ISERROR(FIND('112'!$M$9,G4292,1)),"",IF((AND(LEFT(G4292,2)=LEFT('112'!$M$9,2),B4292&lt;'112'!$N$8,$L4292='112'!$I$6)),"x",""))</f>
        <v/>
      </c>
      <c r="T4292" s="52" t="str">
        <f>IF(ISERROR(FIND('112'!$M$9,G4292,1)),"",IF((AND(RIGHT(G4292,2)=RIGHT('112'!$M$9,2),B4292&lt;'112'!$N$8,$M4292='112'!$I$6)),"x",""))</f>
        <v/>
      </c>
      <c r="U4292" s="52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/>
      </c>
      <c r="V4292" s="52" t="str">
        <f>IF(OR(TH!L4292=TH!$V$7,M4292=TH!$V$7),"x","")</f>
        <v/>
      </c>
      <c r="W4292" s="52" t="str">
        <f>IF(AND(B4292&gt;='IN-NX'!$P$3,B4292&lt;='IN-NX'!$Q$3,'IN-NX'!$D$7=D4292,OR(LEFT(L4292,2)="15",AND(LEFT(M4292,2)&lt;&gt;"15",LEFT(M4292,2)&lt;&gt;"33"))),"x","")</f>
        <v/>
      </c>
      <c r="X4292" s="52" t="str">
        <f>IF(AND(OR(LEFT(TH!L4292,2)="15",LEFT(TH!M4292,2)="15"),'152-CT'!$J$8=TH!F4292),"x","")</f>
        <v/>
      </c>
      <c r="Y4292" s="52" t="str">
        <f>IF(AND(OR(LEFT(TH!L4292,2)="15",LEFT(TH!M4292,2)="15"),TK!$E$7=TH!F4292),"x","")</f>
        <v/>
      </c>
      <c r="Z4292" s="52" t="str">
        <f>IF(AND(B4292&lt;=NKC!$N$8,B4292&gt;=NKC!$M$8),"x","")</f>
        <v/>
      </c>
      <c r="AA4292" s="826"/>
    </row>
    <row r="4293" spans="1:27" ht="15.75" customHeight="1">
      <c r="A4293" s="827" t="str">
        <f>IF(B4293&lt;&gt;"",IF(AND(B4293&gt;=_TM1,B4293&lt;=_TM2,OR(TH!L4293="1111",TH!M4293="1111")),TH!D4293,""),"")</f>
        <v/>
      </c>
      <c r="B4293" s="36" t="str">
        <f t="shared" si="521"/>
        <v/>
      </c>
      <c r="C4293" s="190"/>
      <c r="D4293" s="190"/>
      <c r="E4293" s="190"/>
      <c r="F4293" s="40"/>
      <c r="G4293" s="832"/>
      <c r="H4293" s="7"/>
      <c r="I4293" s="253"/>
      <c r="J4293" s="253"/>
      <c r="K4293" s="584"/>
      <c r="L4293" s="39"/>
      <c r="M4293" s="39"/>
      <c r="N4293" s="52" t="str">
        <f>IF(AND('331-CT'!$E$7=TH!H4293,OR(L4293="331",M4293="331")),"331",IF(AND(OR(L4293="131",M4293="131"),H4293='131-CT'!$E$7),"131",""))</f>
        <v/>
      </c>
      <c r="O4293" s="52" t="str">
        <f>IF(AND($B4293&gt;='111'!$N$11,$B4293&lt;='111'!$O$11,OR($L4293=$O$7,$M4293=$O$7)),"x","")</f>
        <v/>
      </c>
      <c r="P4293" s="52" t="str">
        <f>IF(AND($L4293=$O$7,$B4293&lt;'111'!$N$11),"x","")</f>
        <v/>
      </c>
      <c r="Q4293" s="52" t="str">
        <f>IF(AND($M4293=$O$7,$B4293&lt;'111'!$N$11),"x","")</f>
        <v/>
      </c>
      <c r="R4293" s="52" t="str">
        <f>IF(ISERROR(FIND('112'!$M$9,G4293,1)),"",IF((AND(FIND('112'!$M$9,G4293,1)&gt;=1,$B4293&gt;='112'!$N$8,$B4293&lt;='112'!$O$8,OR($L4293='112'!$I$6,$M4293='112'!$I$6))),"x",""))</f>
        <v/>
      </c>
      <c r="S4293" s="52" t="str">
        <f>IF(ISERROR(FIND('112'!$M$9,G4293,1)),"",IF((AND(LEFT(G4293,2)=LEFT('112'!$M$9,2),B4293&lt;'112'!$N$8,$L4293='112'!$I$6)),"x",""))</f>
        <v/>
      </c>
      <c r="T4293" s="52" t="str">
        <f>IF(ISERROR(FIND('112'!$M$9,G4293,1)),"",IF((AND(RIGHT(G4293,2)=RIGHT('112'!$M$9,2),B4293&lt;'112'!$N$8,$M4293='112'!$I$6)),"x",""))</f>
        <v/>
      </c>
      <c r="U4293" s="52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/>
      </c>
      <c r="V4293" s="52" t="str">
        <f>IF(OR(TH!L4293=TH!$V$7,M4293=TH!$V$7),"x","")</f>
        <v/>
      </c>
      <c r="W4293" s="52" t="str">
        <f>IF(AND(B4293&gt;='IN-NX'!$P$3,B4293&lt;='IN-NX'!$Q$3,'IN-NX'!$D$7=D4293,OR(LEFT(L4293,2)="15",AND(LEFT(M4293,2)&lt;&gt;"15",LEFT(M4293,2)&lt;&gt;"33"))),"x","")</f>
        <v/>
      </c>
      <c r="X4293" s="52" t="str">
        <f>IF(AND(OR(LEFT(TH!L4293,2)="15",LEFT(TH!M4293,2)="15"),'152-CT'!$J$8=TH!F4293),"x","")</f>
        <v/>
      </c>
      <c r="Y4293" s="52" t="str">
        <f>IF(AND(OR(LEFT(TH!L4293,2)="15",LEFT(TH!M4293,2)="15"),TK!$E$7=TH!F4293),"x","")</f>
        <v/>
      </c>
      <c r="Z4293" s="52" t="str">
        <f>IF(AND(B4293&lt;=NKC!$N$8,B4293&gt;=NKC!$M$8),"x","")</f>
        <v/>
      </c>
      <c r="AA4293" s="826"/>
    </row>
    <row r="4294" spans="1:27" ht="15.75" customHeight="1">
      <c r="A4294" s="827" t="str">
        <f>IF(B4294&lt;&gt;"",IF(AND(B4294&gt;=_TM1,B4294&lt;=_TM2,OR(TH!L4294="1111",TH!M4294="1111")),TH!D4294,""),"")</f>
        <v/>
      </c>
      <c r="B4294" s="36" t="str">
        <f t="shared" si="521"/>
        <v/>
      </c>
      <c r="C4294" s="190"/>
      <c r="D4294" s="190"/>
      <c r="E4294" s="190"/>
      <c r="F4294" s="40"/>
      <c r="G4294" s="832"/>
      <c r="H4294" s="7"/>
      <c r="I4294" s="253"/>
      <c r="J4294" s="253"/>
      <c r="K4294" s="584"/>
      <c r="L4294" s="39"/>
      <c r="M4294" s="39"/>
      <c r="N4294" s="52" t="str">
        <f>IF(AND('331-CT'!$E$7=TH!H4294,OR(L4294="331",M4294="331")),"331",IF(AND(OR(L4294="131",M4294="131"),H4294='131-CT'!$E$7),"131",""))</f>
        <v/>
      </c>
      <c r="O4294" s="52" t="str">
        <f>IF(AND($B4294&gt;='111'!$N$11,$B4294&lt;='111'!$O$11,OR($L4294=$O$7,$M4294=$O$7)),"x","")</f>
        <v/>
      </c>
      <c r="P4294" s="52" t="str">
        <f>IF(AND($L4294=$O$7,$B4294&lt;'111'!$N$11),"x","")</f>
        <v/>
      </c>
      <c r="Q4294" s="52" t="str">
        <f>IF(AND($M4294=$O$7,$B4294&lt;'111'!$N$11),"x","")</f>
        <v/>
      </c>
      <c r="R4294" s="52" t="str">
        <f>IF(ISERROR(FIND('112'!$M$9,G4294,1)),"",IF((AND(FIND('112'!$M$9,G4294,1)&gt;=1,$B4294&gt;='112'!$N$8,$B4294&lt;='112'!$O$8,OR($L4294='112'!$I$6,$M4294='112'!$I$6))),"x",""))</f>
        <v/>
      </c>
      <c r="S4294" s="52" t="str">
        <f>IF(ISERROR(FIND('112'!$M$9,G4294,1)),"",IF((AND(LEFT(G4294,2)=LEFT('112'!$M$9,2),B4294&lt;'112'!$N$8,$L4294='112'!$I$6)),"x",""))</f>
        <v/>
      </c>
      <c r="T4294" s="52" t="str">
        <f>IF(ISERROR(FIND('112'!$M$9,G4294,1)),"",IF((AND(RIGHT(G4294,2)=RIGHT('112'!$M$9,2),B4294&lt;'112'!$N$8,$M4294='112'!$I$6)),"x",""))</f>
        <v/>
      </c>
      <c r="U4294" s="52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/>
      </c>
      <c r="V4294" s="52" t="str">
        <f>IF(OR(TH!L4294=TH!$V$7,M4294=TH!$V$7),"x","")</f>
        <v/>
      </c>
      <c r="W4294" s="52" t="str">
        <f>IF(AND(B4294&gt;='IN-NX'!$P$3,B4294&lt;='IN-NX'!$Q$3,'IN-NX'!$D$7=D4294,OR(LEFT(L4294,2)="15",AND(LEFT(M4294,2)&lt;&gt;"15",LEFT(M4294,2)&lt;&gt;"33"))),"x","")</f>
        <v/>
      </c>
      <c r="X4294" s="52" t="str">
        <f>IF(AND(OR(LEFT(TH!L4294,2)="15",LEFT(TH!M4294,2)="15"),'152-CT'!$J$8=TH!F4294),"x","")</f>
        <v/>
      </c>
      <c r="Y4294" s="52" t="str">
        <f>IF(AND(OR(LEFT(TH!L4294,2)="15",LEFT(TH!M4294,2)="15"),TK!$E$7=TH!F4294),"x","")</f>
        <v/>
      </c>
      <c r="Z4294" s="52" t="str">
        <f>IF(AND(B4294&lt;=NKC!$N$8,B4294&gt;=NKC!$M$8),"x","")</f>
        <v/>
      </c>
      <c r="AA4294" s="826"/>
    </row>
    <row r="4295" spans="1:27" ht="15.75" customHeight="1">
      <c r="A4295" s="827" t="str">
        <f>IF(B4295&lt;&gt;"",IF(AND(B4295&gt;=_TM1,B4295&lt;=_TM2,OR(TH!L4295="1111",TH!M4295="1111")),TH!D4295,""),"")</f>
        <v/>
      </c>
      <c r="B4295" s="36" t="str">
        <f t="shared" si="521"/>
        <v/>
      </c>
      <c r="C4295" s="190"/>
      <c r="D4295" s="190"/>
      <c r="E4295" s="190"/>
      <c r="F4295" s="188"/>
      <c r="G4295" s="832"/>
      <c r="H4295" s="7"/>
      <c r="I4295" s="253"/>
      <c r="J4295" s="253"/>
      <c r="K4295" s="584"/>
      <c r="L4295" s="39"/>
      <c r="M4295" s="39"/>
      <c r="N4295" s="52" t="str">
        <f>IF(AND('331-CT'!$E$7=TH!H4295,OR(L4295="331",M4295="331")),"331",IF(AND(OR(L4295="131",M4295="131"),H4295='131-CT'!$E$7),"131",""))</f>
        <v/>
      </c>
      <c r="O4295" s="52" t="str">
        <f>IF(AND($B4295&gt;='111'!$N$11,$B4295&lt;='111'!$O$11,OR($L4295=$O$7,$M4295=$O$7)),"x","")</f>
        <v/>
      </c>
      <c r="P4295" s="52" t="str">
        <f>IF(AND($L4295=$O$7,$B4295&lt;'111'!$N$11),"x","")</f>
        <v/>
      </c>
      <c r="Q4295" s="52" t="str">
        <f>IF(AND($M4295=$O$7,$B4295&lt;'111'!$N$11),"x","")</f>
        <v/>
      </c>
      <c r="R4295" s="52" t="str">
        <f>IF(ISERROR(FIND('112'!$M$9,G4295,1)),"",IF((AND(FIND('112'!$M$9,G4295,1)&gt;=1,$B4295&gt;='112'!$N$8,$B4295&lt;='112'!$O$8,OR($L4295='112'!$I$6,$M4295='112'!$I$6))),"x",""))</f>
        <v/>
      </c>
      <c r="S4295" s="52" t="str">
        <f>IF(ISERROR(FIND('112'!$M$9,G4295,1)),"",IF((AND(LEFT(G4295,2)=LEFT('112'!$M$9,2),B4295&lt;'112'!$N$8,$L4295='112'!$I$6)),"x",""))</f>
        <v/>
      </c>
      <c r="T4295" s="52" t="str">
        <f>IF(ISERROR(FIND('112'!$M$9,G4295,1)),"",IF((AND(RIGHT(G4295,2)=RIGHT('112'!$M$9,2),B4295&lt;'112'!$N$8,$M4295='112'!$I$6)),"x",""))</f>
        <v/>
      </c>
      <c r="U4295" s="52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/>
      </c>
      <c r="V4295" s="52" t="str">
        <f>IF(OR(TH!L4295=TH!$V$7,M4295=TH!$V$7),"x","")</f>
        <v/>
      </c>
      <c r="W4295" s="52" t="str">
        <f>IF(AND(B4295&gt;='IN-NX'!$P$3,B4295&lt;='IN-NX'!$Q$3,'IN-NX'!$D$7=D4295,OR(LEFT(L4295,2)="15",AND(LEFT(M4295,2)&lt;&gt;"15",LEFT(M4295,2)&lt;&gt;"33"))),"x","")</f>
        <v/>
      </c>
      <c r="X4295" s="52" t="str">
        <f>IF(AND(OR(LEFT(TH!L4295,2)="15",LEFT(TH!M4295,2)="15"),'152-CT'!$J$8=TH!F4295),"x","")</f>
        <v/>
      </c>
      <c r="Y4295" s="52" t="str">
        <f>IF(AND(OR(LEFT(TH!L4295,2)="15",LEFT(TH!M4295,2)="15"),TK!$E$7=TH!F4295),"x","")</f>
        <v/>
      </c>
      <c r="Z4295" s="52" t="str">
        <f>IF(AND(B4295&lt;=NKC!$N$8,B4295&gt;=NKC!$M$8),"x","")</f>
        <v/>
      </c>
      <c r="AA4295" s="826"/>
    </row>
    <row r="4296" spans="1:27" ht="15.75" customHeight="1">
      <c r="A4296" s="827" t="str">
        <f>IF(B4296&lt;&gt;"",IF(AND(B4296&gt;=_TM1,B4296&lt;=_TM2,OR(TH!L4296="1111",TH!M4296="1111")),TH!D4296,""),"")</f>
        <v/>
      </c>
      <c r="B4296" s="36" t="str">
        <f t="shared" si="521"/>
        <v/>
      </c>
      <c r="C4296" s="190"/>
      <c r="D4296" s="190"/>
      <c r="E4296" s="190"/>
      <c r="F4296" s="40"/>
      <c r="G4296" s="832"/>
      <c r="H4296" s="7"/>
      <c r="I4296" s="253"/>
      <c r="J4296" s="253"/>
      <c r="K4296" s="584"/>
      <c r="L4296" s="39"/>
      <c r="M4296" s="39"/>
      <c r="N4296" s="52" t="str">
        <f>IF(AND('331-CT'!$E$7=TH!H4296,OR(L4296="331",M4296="331")),"331",IF(AND(OR(L4296="131",M4296="131"),H4296='131-CT'!$E$7),"131",""))</f>
        <v/>
      </c>
      <c r="O4296" s="52" t="str">
        <f>IF(AND($B4296&gt;='111'!$N$11,$B4296&lt;='111'!$O$11,OR($L4296=$O$7,$M4296=$O$7)),"x","")</f>
        <v/>
      </c>
      <c r="P4296" s="52" t="str">
        <f>IF(AND($L4296=$O$7,$B4296&lt;'111'!$N$11),"x","")</f>
        <v/>
      </c>
      <c r="Q4296" s="52" t="str">
        <f>IF(AND($M4296=$O$7,$B4296&lt;'111'!$N$11),"x","")</f>
        <v/>
      </c>
      <c r="R4296" s="52" t="str">
        <f>IF(ISERROR(FIND('112'!$M$9,G4296,1)),"",IF((AND(FIND('112'!$M$9,G4296,1)&gt;=1,$B4296&gt;='112'!$N$8,$B4296&lt;='112'!$O$8,OR($L4296='112'!$I$6,$M4296='112'!$I$6))),"x",""))</f>
        <v/>
      </c>
      <c r="S4296" s="52" t="str">
        <f>IF(ISERROR(FIND('112'!$M$9,G4296,1)),"",IF((AND(LEFT(G4296,2)=LEFT('112'!$M$9,2),B4296&lt;'112'!$N$8,$L4296='112'!$I$6)),"x",""))</f>
        <v/>
      </c>
      <c r="T4296" s="52" t="str">
        <f>IF(ISERROR(FIND('112'!$M$9,G4296,1)),"",IF((AND(RIGHT(G4296,2)=RIGHT('112'!$M$9,2),B4296&lt;'112'!$N$8,$M4296='112'!$I$6)),"x",""))</f>
        <v/>
      </c>
      <c r="U4296" s="52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/>
      </c>
      <c r="V4296" s="52" t="str">
        <f>IF(OR(TH!L4296=TH!$V$7,M4296=TH!$V$7),"x","")</f>
        <v/>
      </c>
      <c r="W4296" s="52" t="str">
        <f>IF(AND(B4296&gt;='IN-NX'!$P$3,B4296&lt;='IN-NX'!$Q$3,'IN-NX'!$D$7=D4296,OR(LEFT(L4296,2)="15",AND(LEFT(M4296,2)&lt;&gt;"15",LEFT(M4296,2)&lt;&gt;"33"))),"x","")</f>
        <v/>
      </c>
      <c r="X4296" s="52" t="str">
        <f>IF(AND(OR(LEFT(TH!L4296,2)="15",LEFT(TH!M4296,2)="15"),'152-CT'!$J$8=TH!F4296),"x","")</f>
        <v/>
      </c>
      <c r="Y4296" s="52" t="str">
        <f>IF(AND(OR(LEFT(TH!L4296,2)="15",LEFT(TH!M4296,2)="15"),TK!$E$7=TH!F4296),"x","")</f>
        <v/>
      </c>
      <c r="Z4296" s="52" t="str">
        <f>IF(AND(B4296&lt;=NKC!$N$8,B4296&gt;=NKC!$M$8),"x","")</f>
        <v/>
      </c>
      <c r="AA4296" s="826"/>
    </row>
    <row r="4297" spans="1:27" ht="15.75" customHeight="1">
      <c r="A4297" s="827" t="str">
        <f>IF(B4297&lt;&gt;"",IF(AND(B4297&gt;=_TM1,B4297&lt;=_TM2,OR(TH!L4297="1111",TH!M4297="1111")),TH!D4297,""),"")</f>
        <v/>
      </c>
      <c r="B4297" s="36" t="str">
        <f t="shared" si="521"/>
        <v/>
      </c>
      <c r="C4297" s="190"/>
      <c r="D4297" s="190"/>
      <c r="E4297" s="190"/>
      <c r="F4297" s="40"/>
      <c r="G4297" s="832"/>
      <c r="H4297" s="7"/>
      <c r="I4297" s="253"/>
      <c r="J4297" s="253"/>
      <c r="K4297" s="584"/>
      <c r="L4297" s="39"/>
      <c r="M4297" s="39"/>
      <c r="N4297" s="52" t="str">
        <f>IF(AND('331-CT'!$E$7=TH!H4297,OR(L4297="331",M4297="331")),"331",IF(AND(OR(L4297="131",M4297="131"),H4297='131-CT'!$E$7),"131",""))</f>
        <v/>
      </c>
      <c r="O4297" s="52" t="str">
        <f>IF(AND($B4297&gt;='111'!$N$11,$B4297&lt;='111'!$O$11,OR($L4297=$O$7,$M4297=$O$7)),"x","")</f>
        <v/>
      </c>
      <c r="P4297" s="52" t="str">
        <f>IF(AND($L4297=$O$7,$B4297&lt;'111'!$N$11),"x","")</f>
        <v/>
      </c>
      <c r="Q4297" s="52" t="str">
        <f>IF(AND($M4297=$O$7,$B4297&lt;'111'!$N$11),"x","")</f>
        <v/>
      </c>
      <c r="R4297" s="52" t="str">
        <f>IF(ISERROR(FIND('112'!$M$9,G4297,1)),"",IF((AND(FIND('112'!$M$9,G4297,1)&gt;=1,$B4297&gt;='112'!$N$8,$B4297&lt;='112'!$O$8,OR($L4297='112'!$I$6,$M4297='112'!$I$6))),"x",""))</f>
        <v/>
      </c>
      <c r="S4297" s="52" t="str">
        <f>IF(ISERROR(FIND('112'!$M$9,G4297,1)),"",IF((AND(LEFT(G4297,2)=LEFT('112'!$M$9,2),B4297&lt;'112'!$N$8,$L4297='112'!$I$6)),"x",""))</f>
        <v/>
      </c>
      <c r="T4297" s="52" t="str">
        <f>IF(ISERROR(FIND('112'!$M$9,G4297,1)),"",IF((AND(RIGHT(G4297,2)=RIGHT('112'!$M$9,2),B4297&lt;'112'!$N$8,$M4297='112'!$I$6)),"x",""))</f>
        <v/>
      </c>
      <c r="U4297" s="52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/>
      </c>
      <c r="V4297" s="52" t="str">
        <f>IF(OR(TH!L4297=TH!$V$7,M4297=TH!$V$7),"x","")</f>
        <v/>
      </c>
      <c r="W4297" s="52" t="str">
        <f>IF(AND(B4297&gt;='IN-NX'!$P$3,B4297&lt;='IN-NX'!$Q$3,'IN-NX'!$D$7=D4297,OR(LEFT(L4297,2)="15",AND(LEFT(M4297,2)&lt;&gt;"15",LEFT(M4297,2)&lt;&gt;"33"))),"x","")</f>
        <v/>
      </c>
      <c r="X4297" s="52" t="str">
        <f>IF(AND(OR(LEFT(TH!L4297,2)="15",LEFT(TH!M4297,2)="15"),'152-CT'!$J$8=TH!F4297),"x","")</f>
        <v/>
      </c>
      <c r="Y4297" s="52" t="str">
        <f>IF(AND(OR(LEFT(TH!L4297,2)="15",LEFT(TH!M4297,2)="15"),TK!$E$7=TH!F4297),"x","")</f>
        <v/>
      </c>
      <c r="Z4297" s="52" t="str">
        <f>IF(AND(B4297&lt;=NKC!$N$8,B4297&gt;=NKC!$M$8),"x","")</f>
        <v/>
      </c>
      <c r="AA4297" s="826"/>
    </row>
    <row r="4298" spans="1:27" ht="15.75" customHeight="1">
      <c r="A4298" s="827" t="str">
        <f>IF(B4298&lt;&gt;"",IF(AND(B4298&gt;=_TM1,B4298&lt;=_TM2,OR(TH!L4298="1111",TH!M4298="1111")),TH!D4298,""),"")</f>
        <v/>
      </c>
      <c r="B4298" s="36" t="str">
        <f t="shared" si="521"/>
        <v/>
      </c>
      <c r="C4298" s="190"/>
      <c r="D4298" s="190"/>
      <c r="E4298" s="190"/>
      <c r="F4298" s="40"/>
      <c r="G4298" s="832"/>
      <c r="H4298" s="7"/>
      <c r="I4298" s="253"/>
      <c r="J4298" s="253"/>
      <c r="K4298" s="584"/>
      <c r="L4298" s="39"/>
      <c r="M4298" s="39"/>
      <c r="N4298" s="52" t="str">
        <f>IF(AND('331-CT'!$E$7=TH!H4298,OR(L4298="331",M4298="331")),"331",IF(AND(OR(L4298="131",M4298="131"),H4298='131-CT'!$E$7),"131",""))</f>
        <v/>
      </c>
      <c r="O4298" s="52" t="str">
        <f>IF(AND($B4298&gt;='111'!$N$11,$B4298&lt;='111'!$O$11,OR($L4298=$O$7,$M4298=$O$7)),"x","")</f>
        <v/>
      </c>
      <c r="P4298" s="52" t="str">
        <f>IF(AND($L4298=$O$7,$B4298&lt;'111'!$N$11),"x","")</f>
        <v/>
      </c>
      <c r="Q4298" s="52" t="str">
        <f>IF(AND($M4298=$O$7,$B4298&lt;'111'!$N$11),"x","")</f>
        <v/>
      </c>
      <c r="R4298" s="52" t="str">
        <f>IF(ISERROR(FIND('112'!$M$9,G4298,1)),"",IF((AND(FIND('112'!$M$9,G4298,1)&gt;=1,$B4298&gt;='112'!$N$8,$B4298&lt;='112'!$O$8,OR($L4298='112'!$I$6,$M4298='112'!$I$6))),"x",""))</f>
        <v/>
      </c>
      <c r="S4298" s="52" t="str">
        <f>IF(ISERROR(FIND('112'!$M$9,G4298,1)),"",IF((AND(LEFT(G4298,2)=LEFT('112'!$M$9,2),B4298&lt;'112'!$N$8,$L4298='112'!$I$6)),"x",""))</f>
        <v/>
      </c>
      <c r="T4298" s="52" t="str">
        <f>IF(ISERROR(FIND('112'!$M$9,G4298,1)),"",IF((AND(RIGHT(G4298,2)=RIGHT('112'!$M$9,2),B4298&lt;'112'!$N$8,$M4298='112'!$I$6)),"x",""))</f>
        <v/>
      </c>
      <c r="U4298" s="52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/>
      </c>
      <c r="V4298" s="52" t="str">
        <f>IF(OR(TH!L4298=TH!$V$7,M4298=TH!$V$7),"x","")</f>
        <v/>
      </c>
      <c r="W4298" s="52" t="str">
        <f>IF(AND(B4298&gt;='IN-NX'!$P$3,B4298&lt;='IN-NX'!$Q$3,'IN-NX'!$D$7=D4298,OR(LEFT(L4298,2)="15",AND(LEFT(M4298,2)&lt;&gt;"15",LEFT(M4298,2)&lt;&gt;"33"))),"x","")</f>
        <v/>
      </c>
      <c r="X4298" s="52" t="str">
        <f>IF(AND(OR(LEFT(TH!L4298,2)="15",LEFT(TH!M4298,2)="15"),'152-CT'!$J$8=TH!F4298),"x","")</f>
        <v/>
      </c>
      <c r="Y4298" s="52" t="str">
        <f>IF(AND(OR(LEFT(TH!L4298,2)="15",LEFT(TH!M4298,2)="15"),TK!$E$7=TH!F4298),"x","")</f>
        <v/>
      </c>
      <c r="Z4298" s="52" t="str">
        <f>IF(AND(B4298&lt;=NKC!$N$8,B4298&gt;=NKC!$M$8),"x","")</f>
        <v/>
      </c>
      <c r="AA4298" s="826"/>
    </row>
    <row r="4299" spans="1:27" ht="15.75" customHeight="1">
      <c r="A4299" s="827" t="str">
        <f>IF(B4299&lt;&gt;"",IF(AND(B4299&gt;=_TM1,B4299&lt;=_TM2,OR(TH!L4299="1111",TH!M4299="1111")),TH!D4299,""),"")</f>
        <v/>
      </c>
      <c r="B4299" s="36" t="str">
        <f t="shared" si="521"/>
        <v/>
      </c>
      <c r="C4299" s="190"/>
      <c r="D4299" s="190"/>
      <c r="E4299" s="190"/>
      <c r="F4299" s="188"/>
      <c r="G4299" s="832"/>
      <c r="H4299" s="7"/>
      <c r="I4299" s="253"/>
      <c r="J4299" s="253"/>
      <c r="K4299" s="584"/>
      <c r="L4299" s="39"/>
      <c r="M4299" s="39"/>
      <c r="N4299" s="52" t="str">
        <f>IF(AND('331-CT'!$E$7=TH!H4299,OR(L4299="331",M4299="331")),"331",IF(AND(OR(L4299="131",M4299="131"),H4299='131-CT'!$E$7),"131",""))</f>
        <v/>
      </c>
      <c r="O4299" s="52" t="str">
        <f>IF(AND($B4299&gt;='111'!$N$11,$B4299&lt;='111'!$O$11,OR($L4299=$O$7,$M4299=$O$7)),"x","")</f>
        <v/>
      </c>
      <c r="P4299" s="52" t="str">
        <f>IF(AND($L4299=$O$7,$B4299&lt;'111'!$N$11),"x","")</f>
        <v/>
      </c>
      <c r="Q4299" s="52" t="str">
        <f>IF(AND($M4299=$O$7,$B4299&lt;'111'!$N$11),"x","")</f>
        <v/>
      </c>
      <c r="R4299" s="52" t="str">
        <f>IF(ISERROR(FIND('112'!$M$9,G4299,1)),"",IF((AND(FIND('112'!$M$9,G4299,1)&gt;=1,$B4299&gt;='112'!$N$8,$B4299&lt;='112'!$O$8,OR($L4299='112'!$I$6,$M4299='112'!$I$6))),"x",""))</f>
        <v/>
      </c>
      <c r="S4299" s="52" t="str">
        <f>IF(ISERROR(FIND('112'!$M$9,G4299,1)),"",IF((AND(LEFT(G4299,2)=LEFT('112'!$M$9,2),B4299&lt;'112'!$N$8,$L4299='112'!$I$6)),"x",""))</f>
        <v/>
      </c>
      <c r="T4299" s="52" t="str">
        <f>IF(ISERROR(FIND('112'!$M$9,G4299,1)),"",IF((AND(RIGHT(G4299,2)=RIGHT('112'!$M$9,2),B4299&lt;'112'!$N$8,$M4299='112'!$I$6)),"x",""))</f>
        <v/>
      </c>
      <c r="U4299" s="52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/>
      </c>
      <c r="V4299" s="52" t="str">
        <f>IF(OR(TH!L4299=TH!$V$7,M4299=TH!$V$7),"x","")</f>
        <v/>
      </c>
      <c r="W4299" s="52" t="str">
        <f>IF(AND(B4299&gt;='IN-NX'!$P$3,B4299&lt;='IN-NX'!$Q$3,'IN-NX'!$D$7=D4299,OR(LEFT(L4299,2)="15",AND(LEFT(M4299,2)&lt;&gt;"15",LEFT(M4299,2)&lt;&gt;"33"))),"x","")</f>
        <v/>
      </c>
      <c r="X4299" s="52" t="str">
        <f>IF(AND(OR(LEFT(TH!L4299,2)="15",LEFT(TH!M4299,2)="15"),'152-CT'!$J$8=TH!F4299),"x","")</f>
        <v/>
      </c>
      <c r="Y4299" s="52" t="str">
        <f>IF(AND(OR(LEFT(TH!L4299,2)="15",LEFT(TH!M4299,2)="15"),TK!$E$7=TH!F4299),"x","")</f>
        <v/>
      </c>
      <c r="Z4299" s="52" t="str">
        <f>IF(AND(B4299&lt;=NKC!$N$8,B4299&gt;=NKC!$M$8),"x","")</f>
        <v/>
      </c>
      <c r="AA4299" s="826"/>
    </row>
    <row r="4300" spans="1:27" ht="15.75" customHeight="1">
      <c r="A4300" s="827" t="str">
        <f>IF(B4300&lt;&gt;"",IF(AND(B4300&gt;=_TM1,B4300&lt;=_TM2,OR(TH!L4300="1111",TH!M4300="1111")),TH!D4300,""),"")</f>
        <v/>
      </c>
      <c r="B4300" s="36" t="str">
        <f t="shared" si="521"/>
        <v/>
      </c>
      <c r="C4300" s="190"/>
      <c r="D4300" s="190"/>
      <c r="E4300" s="190"/>
      <c r="F4300" s="40"/>
      <c r="G4300" s="832"/>
      <c r="H4300" s="7"/>
      <c r="I4300" s="253"/>
      <c r="J4300" s="253"/>
      <c r="K4300" s="584"/>
      <c r="L4300" s="39"/>
      <c r="M4300" s="39"/>
      <c r="N4300" s="52" t="str">
        <f>IF(AND('331-CT'!$E$7=TH!H4300,OR(L4300="331",M4300="331")),"331",IF(AND(OR(L4300="131",M4300="131"),H4300='131-CT'!$E$7),"131",""))</f>
        <v/>
      </c>
      <c r="O4300" s="52" t="str">
        <f>IF(AND($B4300&gt;='111'!$N$11,$B4300&lt;='111'!$O$11,OR($L4300=$O$7,$M4300=$O$7)),"x","")</f>
        <v/>
      </c>
      <c r="P4300" s="52" t="str">
        <f>IF(AND($L4300=$O$7,$B4300&lt;'111'!$N$11),"x","")</f>
        <v/>
      </c>
      <c r="Q4300" s="52" t="str">
        <f>IF(AND($M4300=$O$7,$B4300&lt;'111'!$N$11),"x","")</f>
        <v/>
      </c>
      <c r="R4300" s="52" t="str">
        <f>IF(ISERROR(FIND('112'!$M$9,G4300,1)),"",IF((AND(FIND('112'!$M$9,G4300,1)&gt;=1,$B4300&gt;='112'!$N$8,$B4300&lt;='112'!$O$8,OR($L4300='112'!$I$6,$M4300='112'!$I$6))),"x",""))</f>
        <v/>
      </c>
      <c r="S4300" s="52" t="str">
        <f>IF(ISERROR(FIND('112'!$M$9,G4300,1)),"",IF((AND(LEFT(G4300,2)=LEFT('112'!$M$9,2),B4300&lt;'112'!$N$8,$L4300='112'!$I$6)),"x",""))</f>
        <v/>
      </c>
      <c r="T4300" s="52" t="str">
        <f>IF(ISERROR(FIND('112'!$M$9,G4300,1)),"",IF((AND(RIGHT(G4300,2)=RIGHT('112'!$M$9,2),B4300&lt;'112'!$N$8,$M4300='112'!$I$6)),"x",""))</f>
        <v/>
      </c>
      <c r="U4300" s="52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/>
      </c>
      <c r="V4300" s="52" t="str">
        <f>IF(OR(TH!L4300=TH!$V$7,M4300=TH!$V$7),"x","")</f>
        <v/>
      </c>
      <c r="W4300" s="52" t="str">
        <f>IF(AND(B4300&gt;='IN-NX'!$P$3,B4300&lt;='IN-NX'!$Q$3,'IN-NX'!$D$7=D4300,OR(LEFT(L4300,2)="15",AND(LEFT(M4300,2)&lt;&gt;"15",LEFT(M4300,2)&lt;&gt;"33"))),"x","")</f>
        <v/>
      </c>
      <c r="X4300" s="52" t="str">
        <f>IF(AND(OR(LEFT(TH!L4300,2)="15",LEFT(TH!M4300,2)="15"),'152-CT'!$J$8=TH!F4300),"x","")</f>
        <v/>
      </c>
      <c r="Y4300" s="52" t="str">
        <f>IF(AND(OR(LEFT(TH!L4300,2)="15",LEFT(TH!M4300,2)="15"),TK!$E$7=TH!F4300),"x","")</f>
        <v/>
      </c>
      <c r="Z4300" s="52" t="str">
        <f>IF(AND(B4300&lt;=NKC!$N$8,B4300&gt;=NKC!$M$8),"x","")</f>
        <v/>
      </c>
      <c r="AA4300" s="826"/>
    </row>
    <row r="4301" spans="1:27" ht="15.75" customHeight="1">
      <c r="A4301" s="827" t="str">
        <f>IF(B4301&lt;&gt;"",IF(AND(B4301&gt;=_TM1,B4301&lt;=_TM2,OR(TH!L4301="1111",TH!M4301="1111")),TH!D4301,""),"")</f>
        <v/>
      </c>
      <c r="B4301" s="36" t="str">
        <f t="shared" si="521"/>
        <v/>
      </c>
      <c r="C4301" s="190"/>
      <c r="D4301" s="190"/>
      <c r="E4301" s="190"/>
      <c r="F4301" s="188"/>
      <c r="G4301" s="832"/>
      <c r="H4301" s="7"/>
      <c r="I4301" s="253"/>
      <c r="J4301" s="253"/>
      <c r="K4301" s="584"/>
      <c r="L4301" s="39"/>
      <c r="M4301" s="39"/>
      <c r="N4301" s="52" t="str">
        <f>IF(AND('331-CT'!$E$7=TH!H4301,OR(L4301="331",M4301="331")),"331",IF(AND(OR(L4301="131",M4301="131"),H4301='131-CT'!$E$7),"131",""))</f>
        <v/>
      </c>
      <c r="O4301" s="52" t="str">
        <f>IF(AND($B4301&gt;='111'!$N$11,$B4301&lt;='111'!$O$11,OR($L4301=$O$7,$M4301=$O$7)),"x","")</f>
        <v/>
      </c>
      <c r="P4301" s="52" t="str">
        <f>IF(AND($L4301=$O$7,$B4301&lt;'111'!$N$11),"x","")</f>
        <v/>
      </c>
      <c r="Q4301" s="52" t="str">
        <f>IF(AND($M4301=$O$7,$B4301&lt;'111'!$N$11),"x","")</f>
        <v/>
      </c>
      <c r="R4301" s="52" t="str">
        <f>IF(ISERROR(FIND('112'!$M$9,G4301,1)),"",IF((AND(FIND('112'!$M$9,G4301,1)&gt;=1,$B4301&gt;='112'!$N$8,$B4301&lt;='112'!$O$8,OR($L4301='112'!$I$6,$M4301='112'!$I$6))),"x",""))</f>
        <v/>
      </c>
      <c r="S4301" s="52" t="str">
        <f>IF(ISERROR(FIND('112'!$M$9,G4301,1)),"",IF((AND(LEFT(G4301,2)=LEFT('112'!$M$9,2),B4301&lt;'112'!$N$8,$L4301='112'!$I$6)),"x",""))</f>
        <v/>
      </c>
      <c r="T4301" s="52" t="str">
        <f>IF(ISERROR(FIND('112'!$M$9,G4301,1)),"",IF((AND(RIGHT(G4301,2)=RIGHT('112'!$M$9,2),B4301&lt;'112'!$N$8,$M4301='112'!$I$6)),"x",""))</f>
        <v/>
      </c>
      <c r="U4301" s="52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/>
      </c>
      <c r="V4301" s="52" t="str">
        <f>IF(OR(TH!L4301=TH!$V$7,M4301=TH!$V$7),"x","")</f>
        <v/>
      </c>
      <c r="W4301" s="52" t="str">
        <f>IF(AND(B4301&gt;='IN-NX'!$P$3,B4301&lt;='IN-NX'!$Q$3,'IN-NX'!$D$7=D4301,OR(LEFT(L4301,2)="15",AND(LEFT(M4301,2)&lt;&gt;"15",LEFT(M4301,2)&lt;&gt;"33"))),"x","")</f>
        <v/>
      </c>
      <c r="X4301" s="52" t="str">
        <f>IF(AND(OR(LEFT(TH!L4301,2)="15",LEFT(TH!M4301,2)="15"),'152-CT'!$J$8=TH!F4301),"x","")</f>
        <v/>
      </c>
      <c r="Y4301" s="52" t="str">
        <f>IF(AND(OR(LEFT(TH!L4301,2)="15",LEFT(TH!M4301,2)="15"),TK!$E$7=TH!F4301),"x","")</f>
        <v/>
      </c>
      <c r="Z4301" s="52" t="str">
        <f>IF(AND(B4301&lt;=NKC!$N$8,B4301&gt;=NKC!$M$8),"x","")</f>
        <v/>
      </c>
      <c r="AA4301" s="826"/>
    </row>
    <row r="4302" spans="1:27" ht="15.75" customHeight="1">
      <c r="A4302" s="827" t="str">
        <f>IF(B4302&lt;&gt;"",IF(AND(B4302&gt;=_TM1,B4302&lt;=_TM2,OR(TH!L4302="1111",TH!M4302="1111")),TH!D4302,""),"")</f>
        <v/>
      </c>
      <c r="B4302" s="36" t="str">
        <f t="shared" si="521"/>
        <v/>
      </c>
      <c r="C4302" s="190"/>
      <c r="D4302" s="37"/>
      <c r="E4302" s="190"/>
      <c r="F4302" s="40"/>
      <c r="G4302" s="832"/>
      <c r="H4302" s="7"/>
      <c r="I4302" s="253"/>
      <c r="J4302" s="253"/>
      <c r="K4302" s="584"/>
      <c r="L4302" s="39"/>
      <c r="M4302" s="39"/>
      <c r="N4302" s="52" t="str">
        <f>IF(AND('331-CT'!$E$7=TH!H4302,OR(L4302="331",M4302="331")),"331",IF(AND(OR(L4302="131",M4302="131"),H4302='131-CT'!$E$7),"131",""))</f>
        <v/>
      </c>
      <c r="O4302" s="52" t="str">
        <f>IF(AND($B4302&gt;='111'!$N$11,$B4302&lt;='111'!$O$11,OR($L4302=$O$7,$M4302=$O$7)),"x","")</f>
        <v/>
      </c>
      <c r="P4302" s="52" t="str">
        <f>IF(AND($L4302=$O$7,$B4302&lt;'111'!$N$11),"x","")</f>
        <v/>
      </c>
      <c r="Q4302" s="52" t="str">
        <f>IF(AND($M4302=$O$7,$B4302&lt;'111'!$N$11),"x","")</f>
        <v/>
      </c>
      <c r="R4302" s="52" t="str">
        <f>IF(ISERROR(FIND('112'!$M$9,G4302,1)),"",IF((AND(FIND('112'!$M$9,G4302,1)&gt;=1,$B4302&gt;='112'!$N$8,$B4302&lt;='112'!$O$8,OR($L4302='112'!$I$6,$M4302='112'!$I$6))),"x",""))</f>
        <v/>
      </c>
      <c r="S4302" s="52" t="str">
        <f>IF(ISERROR(FIND('112'!$M$9,G4302,1)),"",IF((AND(LEFT(G4302,2)=LEFT('112'!$M$9,2),B4302&lt;'112'!$N$8,$L4302='112'!$I$6)),"x",""))</f>
        <v/>
      </c>
      <c r="T4302" s="52" t="str">
        <f>IF(ISERROR(FIND('112'!$M$9,G4302,1)),"",IF((AND(RIGHT(G4302,2)=RIGHT('112'!$M$9,2),B4302&lt;'112'!$N$8,$M4302='112'!$I$6)),"x",""))</f>
        <v/>
      </c>
      <c r="U4302" s="52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/>
      </c>
      <c r="V4302" s="52" t="str">
        <f>IF(OR(TH!L4302=TH!$V$7,M4302=TH!$V$7),"x","")</f>
        <v/>
      </c>
      <c r="W4302" s="52" t="str">
        <f>IF(AND(B4302&gt;='IN-NX'!$P$3,B4302&lt;='IN-NX'!$Q$3,'IN-NX'!$D$7=D4302,OR(LEFT(L4302,2)="15",AND(LEFT(M4302,2)&lt;&gt;"15",LEFT(M4302,2)&lt;&gt;"33"))),"x","")</f>
        <v/>
      </c>
      <c r="X4302" s="52" t="str">
        <f>IF(AND(OR(LEFT(TH!L4302,2)="15",LEFT(TH!M4302,2)="15"),'152-CT'!$J$8=TH!F4302),"x","")</f>
        <v/>
      </c>
      <c r="Y4302" s="52" t="str">
        <f>IF(AND(OR(LEFT(TH!L4302,2)="15",LEFT(TH!M4302,2)="15"),TK!$E$7=TH!F4302),"x","")</f>
        <v/>
      </c>
      <c r="Z4302" s="52" t="str">
        <f>IF(AND(B4302&lt;=NKC!$N$8,B4302&gt;=NKC!$M$8),"x","")</f>
        <v/>
      </c>
      <c r="AA4302" s="826"/>
    </row>
    <row r="4303" spans="1:27" ht="15.75" customHeight="1">
      <c r="A4303" s="827" t="str">
        <f>IF(B4303&lt;&gt;"",IF(AND(B4303&gt;=_TM1,B4303&lt;=_TM2,OR(TH!L4303="1111",TH!M4303="1111")),TH!D4303,""),"")</f>
        <v/>
      </c>
      <c r="B4303" s="36" t="str">
        <f t="shared" si="521"/>
        <v/>
      </c>
      <c r="C4303" s="190"/>
      <c r="D4303" s="37"/>
      <c r="E4303" s="190"/>
      <c r="F4303" s="40"/>
      <c r="G4303" s="832"/>
      <c r="H4303" s="7"/>
      <c r="I4303" s="253"/>
      <c r="J4303" s="253"/>
      <c r="K4303" s="584"/>
      <c r="L4303" s="39"/>
      <c r="M4303" s="39"/>
      <c r="N4303" s="52" t="str">
        <f>IF(AND('331-CT'!$E$7=TH!H4303,OR(L4303="331",M4303="331")),"331",IF(AND(OR(L4303="131",M4303="131"),H4303='131-CT'!$E$7),"131",""))</f>
        <v/>
      </c>
      <c r="O4303" s="52" t="str">
        <f>IF(AND($B4303&gt;='111'!$N$11,$B4303&lt;='111'!$O$11,OR($L4303=$O$7,$M4303=$O$7)),"x","")</f>
        <v/>
      </c>
      <c r="P4303" s="52" t="str">
        <f>IF(AND($L4303=$O$7,$B4303&lt;'111'!$N$11),"x","")</f>
        <v/>
      </c>
      <c r="Q4303" s="52" t="str">
        <f>IF(AND($M4303=$O$7,$B4303&lt;'111'!$N$11),"x","")</f>
        <v/>
      </c>
      <c r="R4303" s="52" t="str">
        <f>IF(ISERROR(FIND('112'!$M$9,G4303,1)),"",IF((AND(FIND('112'!$M$9,G4303,1)&gt;=1,$B4303&gt;='112'!$N$8,$B4303&lt;='112'!$O$8,OR($L4303='112'!$I$6,$M4303='112'!$I$6))),"x",""))</f>
        <v/>
      </c>
      <c r="S4303" s="52" t="str">
        <f>IF(ISERROR(FIND('112'!$M$9,G4303,1)),"",IF((AND(LEFT(G4303,2)=LEFT('112'!$M$9,2),B4303&lt;'112'!$N$8,$L4303='112'!$I$6)),"x",""))</f>
        <v/>
      </c>
      <c r="T4303" s="52" t="str">
        <f>IF(ISERROR(FIND('112'!$M$9,G4303,1)),"",IF((AND(RIGHT(G4303,2)=RIGHT('112'!$M$9,2),B4303&lt;'112'!$N$8,$M4303='112'!$I$6)),"x",""))</f>
        <v/>
      </c>
      <c r="U4303" s="52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/>
      </c>
      <c r="V4303" s="52" t="str">
        <f>IF(OR(TH!L4303=TH!$V$7,M4303=TH!$V$7),"x","")</f>
        <v/>
      </c>
      <c r="W4303" s="52" t="str">
        <f>IF(AND(B4303&gt;='IN-NX'!$P$3,B4303&lt;='IN-NX'!$Q$3,'IN-NX'!$D$7=D4303,OR(LEFT(L4303,2)="15",AND(LEFT(M4303,2)&lt;&gt;"15",LEFT(M4303,2)&lt;&gt;"33"))),"x","")</f>
        <v/>
      </c>
      <c r="X4303" s="52" t="str">
        <f>IF(AND(OR(LEFT(TH!L4303,2)="15",LEFT(TH!M4303,2)="15"),'152-CT'!$J$8=TH!F4303),"x","")</f>
        <v/>
      </c>
      <c r="Y4303" s="52" t="str">
        <f>IF(AND(OR(LEFT(TH!L4303,2)="15",LEFT(TH!M4303,2)="15"),TK!$E$7=TH!F4303),"x","")</f>
        <v/>
      </c>
      <c r="Z4303" s="52" t="str">
        <f>IF(AND(B4303&lt;=NKC!$N$8,B4303&gt;=NKC!$M$8),"x","")</f>
        <v/>
      </c>
      <c r="AA4303" s="826"/>
    </row>
    <row r="4304" spans="1:27" ht="15.75" customHeight="1">
      <c r="A4304" s="827" t="str">
        <f>IF(B4304&lt;&gt;"",IF(AND(B4304&gt;=_TM1,B4304&lt;=_TM2,OR(TH!L4304="1111",TH!M4304="1111")),TH!D4304,""),"")</f>
        <v/>
      </c>
      <c r="B4304" s="36" t="str">
        <f t="shared" si="521"/>
        <v/>
      </c>
      <c r="C4304" s="190"/>
      <c r="D4304" s="37"/>
      <c r="E4304" s="190"/>
      <c r="F4304" s="40"/>
      <c r="G4304" s="832"/>
      <c r="H4304" s="7"/>
      <c r="I4304" s="253"/>
      <c r="J4304" s="253"/>
      <c r="K4304" s="584"/>
      <c r="L4304" s="39"/>
      <c r="M4304" s="39"/>
      <c r="N4304" s="52" t="str">
        <f>IF(AND('331-CT'!$E$7=TH!H4304,OR(L4304="331",M4304="331")),"331",IF(AND(OR(L4304="131",M4304="131"),H4304='131-CT'!$E$7),"131",""))</f>
        <v/>
      </c>
      <c r="O4304" s="52" t="str">
        <f>IF(AND($B4304&gt;='111'!$N$11,$B4304&lt;='111'!$O$11,OR($L4304=$O$7,$M4304=$O$7)),"x","")</f>
        <v/>
      </c>
      <c r="P4304" s="52" t="str">
        <f>IF(AND($L4304=$O$7,$B4304&lt;'111'!$N$11),"x","")</f>
        <v/>
      </c>
      <c r="Q4304" s="52" t="str">
        <f>IF(AND($M4304=$O$7,$B4304&lt;'111'!$N$11),"x","")</f>
        <v/>
      </c>
      <c r="R4304" s="52" t="str">
        <f>IF(ISERROR(FIND('112'!$M$9,G4304,1)),"",IF((AND(FIND('112'!$M$9,G4304,1)&gt;=1,$B4304&gt;='112'!$N$8,$B4304&lt;='112'!$O$8,OR($L4304='112'!$I$6,$M4304='112'!$I$6))),"x",""))</f>
        <v/>
      </c>
      <c r="S4304" s="52" t="str">
        <f>IF(ISERROR(FIND('112'!$M$9,G4304,1)),"",IF((AND(LEFT(G4304,2)=LEFT('112'!$M$9,2),B4304&lt;'112'!$N$8,$L4304='112'!$I$6)),"x",""))</f>
        <v/>
      </c>
      <c r="T4304" s="52" t="str">
        <f>IF(ISERROR(FIND('112'!$M$9,G4304,1)),"",IF((AND(RIGHT(G4304,2)=RIGHT('112'!$M$9,2),B4304&lt;'112'!$N$8,$M4304='112'!$I$6)),"x",""))</f>
        <v/>
      </c>
      <c r="U4304" s="52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/>
      </c>
      <c r="V4304" s="52" t="str">
        <f>IF(OR(TH!L4304=TH!$V$7,M4304=TH!$V$7),"x","")</f>
        <v/>
      </c>
      <c r="W4304" s="52" t="str">
        <f>IF(AND(B4304&gt;='IN-NX'!$P$3,B4304&lt;='IN-NX'!$Q$3,'IN-NX'!$D$7=D4304,OR(LEFT(L4304,2)="15",AND(LEFT(M4304,2)&lt;&gt;"15",LEFT(M4304,2)&lt;&gt;"33"))),"x","")</f>
        <v/>
      </c>
      <c r="X4304" s="52" t="str">
        <f>IF(AND(OR(LEFT(TH!L4304,2)="15",LEFT(TH!M4304,2)="15"),'152-CT'!$J$8=TH!F4304),"x","")</f>
        <v/>
      </c>
      <c r="Y4304" s="52" t="str">
        <f>IF(AND(OR(LEFT(TH!L4304,2)="15",LEFT(TH!M4304,2)="15"),TK!$E$7=TH!F4304),"x","")</f>
        <v/>
      </c>
      <c r="Z4304" s="52" t="str">
        <f>IF(AND(B4304&lt;=NKC!$N$8,B4304&gt;=NKC!$M$8),"x","")</f>
        <v/>
      </c>
      <c r="AA4304" s="826"/>
    </row>
    <row r="4305" spans="1:27" ht="15.75" customHeight="1">
      <c r="A4305" s="827" t="str">
        <f>IF(B4305&lt;&gt;"",IF(AND(B4305&gt;=_TM1,B4305&lt;=_TM2,OR(TH!L4305="1111",TH!M4305="1111")),TH!D4305,""),"")</f>
        <v/>
      </c>
      <c r="B4305" s="36" t="str">
        <f t="shared" si="521"/>
        <v/>
      </c>
      <c r="C4305" s="190"/>
      <c r="D4305" s="37"/>
      <c r="E4305" s="190"/>
      <c r="F4305" s="40"/>
      <c r="G4305" s="832"/>
      <c r="H4305" s="7"/>
      <c r="I4305" s="253"/>
      <c r="J4305" s="253"/>
      <c r="K4305" s="584"/>
      <c r="L4305" s="39"/>
      <c r="M4305" s="39"/>
      <c r="N4305" s="52" t="str">
        <f>IF(AND('331-CT'!$E$7=TH!H4305,OR(L4305="331",M4305="331")),"331",IF(AND(OR(L4305="131",M4305="131"),H4305='131-CT'!$E$7),"131",""))</f>
        <v/>
      </c>
      <c r="O4305" s="52" t="str">
        <f>IF(AND($B4305&gt;='111'!$N$11,$B4305&lt;='111'!$O$11,OR($L4305=$O$7,$M4305=$O$7)),"x","")</f>
        <v/>
      </c>
      <c r="P4305" s="52" t="str">
        <f>IF(AND($L4305=$O$7,$B4305&lt;'111'!$N$11),"x","")</f>
        <v/>
      </c>
      <c r="Q4305" s="52" t="str">
        <f>IF(AND($M4305=$O$7,$B4305&lt;'111'!$N$11),"x","")</f>
        <v/>
      </c>
      <c r="R4305" s="52" t="str">
        <f>IF(ISERROR(FIND('112'!$M$9,G4305,1)),"",IF((AND(FIND('112'!$M$9,G4305,1)&gt;=1,$B4305&gt;='112'!$N$8,$B4305&lt;='112'!$O$8,OR($L4305='112'!$I$6,$M4305='112'!$I$6))),"x",""))</f>
        <v/>
      </c>
      <c r="S4305" s="52" t="str">
        <f>IF(ISERROR(FIND('112'!$M$9,G4305,1)),"",IF((AND(LEFT(G4305,2)=LEFT('112'!$M$9,2),B4305&lt;'112'!$N$8,$L4305='112'!$I$6)),"x",""))</f>
        <v/>
      </c>
      <c r="T4305" s="52" t="str">
        <f>IF(ISERROR(FIND('112'!$M$9,G4305,1)),"",IF((AND(RIGHT(G4305,2)=RIGHT('112'!$M$9,2),B4305&lt;'112'!$N$8,$M4305='112'!$I$6)),"x",""))</f>
        <v/>
      </c>
      <c r="U4305" s="52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/>
      </c>
      <c r="V4305" s="52" t="str">
        <f>IF(OR(TH!L4305=TH!$V$7,M4305=TH!$V$7),"x","")</f>
        <v/>
      </c>
      <c r="W4305" s="52" t="str">
        <f>IF(AND(B4305&gt;='IN-NX'!$P$3,B4305&lt;='IN-NX'!$Q$3,'IN-NX'!$D$7=D4305,OR(LEFT(L4305,2)="15",AND(LEFT(M4305,2)&lt;&gt;"15",LEFT(M4305,2)&lt;&gt;"33"))),"x","")</f>
        <v/>
      </c>
      <c r="X4305" s="52" t="str">
        <f>IF(AND(OR(LEFT(TH!L4305,2)="15",LEFT(TH!M4305,2)="15"),'152-CT'!$J$8=TH!F4305),"x","")</f>
        <v/>
      </c>
      <c r="Y4305" s="52" t="str">
        <f>IF(AND(OR(LEFT(TH!L4305,2)="15",LEFT(TH!M4305,2)="15"),TK!$E$7=TH!F4305),"x","")</f>
        <v/>
      </c>
      <c r="Z4305" s="52" t="str">
        <f>IF(AND(B4305&lt;=NKC!$N$8,B4305&gt;=NKC!$M$8),"x","")</f>
        <v/>
      </c>
      <c r="AA4305" s="826"/>
    </row>
    <row r="4306" spans="1:27" ht="15.75" customHeight="1">
      <c r="A4306" s="827" t="str">
        <f>IF(B4306&lt;&gt;"",IF(AND(B4306&gt;=_TM1,B4306&lt;=_TM2,OR(TH!L4306="1111",TH!M4306="1111")),TH!D4306,""),"")</f>
        <v/>
      </c>
      <c r="B4306" s="36" t="str">
        <f t="shared" si="521"/>
        <v/>
      </c>
      <c r="C4306" s="190"/>
      <c r="D4306" s="37"/>
      <c r="E4306" s="190"/>
      <c r="F4306" s="40"/>
      <c r="G4306" s="832"/>
      <c r="H4306" s="7"/>
      <c r="I4306" s="253"/>
      <c r="J4306" s="253"/>
      <c r="K4306" s="584"/>
      <c r="L4306" s="39"/>
      <c r="M4306" s="39"/>
      <c r="N4306" s="52" t="str">
        <f>IF(AND('331-CT'!$E$7=TH!H4306,OR(L4306="331",M4306="331")),"331",IF(AND(OR(L4306="131",M4306="131"),H4306='131-CT'!$E$7),"131",""))</f>
        <v/>
      </c>
      <c r="O4306" s="52" t="str">
        <f>IF(AND($B4306&gt;='111'!$N$11,$B4306&lt;='111'!$O$11,OR($L4306=$O$7,$M4306=$O$7)),"x","")</f>
        <v/>
      </c>
      <c r="P4306" s="52" t="str">
        <f>IF(AND($L4306=$O$7,$B4306&lt;'111'!$N$11),"x","")</f>
        <v/>
      </c>
      <c r="Q4306" s="52" t="str">
        <f>IF(AND($M4306=$O$7,$B4306&lt;'111'!$N$11),"x","")</f>
        <v/>
      </c>
      <c r="R4306" s="52" t="str">
        <f>IF(ISERROR(FIND('112'!$M$9,G4306,1)),"",IF((AND(FIND('112'!$M$9,G4306,1)&gt;=1,$B4306&gt;='112'!$N$8,$B4306&lt;='112'!$O$8,OR($L4306='112'!$I$6,$M4306='112'!$I$6))),"x",""))</f>
        <v/>
      </c>
      <c r="S4306" s="52" t="str">
        <f>IF(ISERROR(FIND('112'!$M$9,G4306,1)),"",IF((AND(LEFT(G4306,2)=LEFT('112'!$M$9,2),B4306&lt;'112'!$N$8,$L4306='112'!$I$6)),"x",""))</f>
        <v/>
      </c>
      <c r="T4306" s="52" t="str">
        <f>IF(ISERROR(FIND('112'!$M$9,G4306,1)),"",IF((AND(RIGHT(G4306,2)=RIGHT('112'!$M$9,2),B4306&lt;'112'!$N$8,$M4306='112'!$I$6)),"x",""))</f>
        <v/>
      </c>
      <c r="U4306" s="52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/>
      </c>
      <c r="V4306" s="52" t="str">
        <f>IF(OR(TH!L4306=TH!$V$7,M4306=TH!$V$7),"x","")</f>
        <v/>
      </c>
      <c r="W4306" s="52" t="str">
        <f>IF(AND(B4306&gt;='IN-NX'!$P$3,B4306&lt;='IN-NX'!$Q$3,'IN-NX'!$D$7=D4306,OR(LEFT(L4306,2)="15",AND(LEFT(M4306,2)&lt;&gt;"15",LEFT(M4306,2)&lt;&gt;"33"))),"x","")</f>
        <v/>
      </c>
      <c r="X4306" s="52" t="str">
        <f>IF(AND(OR(LEFT(TH!L4306,2)="15",LEFT(TH!M4306,2)="15"),'152-CT'!$J$8=TH!F4306),"x","")</f>
        <v/>
      </c>
      <c r="Y4306" s="52" t="str">
        <f>IF(AND(OR(LEFT(TH!L4306,2)="15",LEFT(TH!M4306,2)="15"),TK!$E$7=TH!F4306),"x","")</f>
        <v/>
      </c>
      <c r="Z4306" s="52" t="str">
        <f>IF(AND(B4306&lt;=NKC!$N$8,B4306&gt;=NKC!$M$8),"x","")</f>
        <v/>
      </c>
      <c r="AA4306" s="826"/>
    </row>
    <row r="4307" spans="1:27" ht="15.75" customHeight="1">
      <c r="A4307" s="827" t="str">
        <f>IF(B4307&lt;&gt;"",IF(AND(B4307&gt;=_TM1,B4307&lt;=_TM2,OR(TH!L4307="1111",TH!M4307="1111")),TH!D4307,""),"")</f>
        <v/>
      </c>
      <c r="B4307" s="36" t="str">
        <f t="shared" si="521"/>
        <v/>
      </c>
      <c r="C4307" s="190"/>
      <c r="D4307" s="37"/>
      <c r="E4307" s="190"/>
      <c r="F4307" s="40"/>
      <c r="G4307" s="832"/>
      <c r="H4307" s="7"/>
      <c r="I4307" s="253"/>
      <c r="J4307" s="253"/>
      <c r="K4307" s="584"/>
      <c r="L4307" s="39"/>
      <c r="M4307" s="39"/>
      <c r="N4307" s="52" t="str">
        <f>IF(AND('331-CT'!$E$7=TH!H4307,OR(L4307="331",M4307="331")),"331",IF(AND(OR(L4307="131",M4307="131"),H4307='131-CT'!$E$7),"131",""))</f>
        <v/>
      </c>
      <c r="O4307" s="52" t="str">
        <f>IF(AND($B4307&gt;='111'!$N$11,$B4307&lt;='111'!$O$11,OR($L4307=$O$7,$M4307=$O$7)),"x","")</f>
        <v/>
      </c>
      <c r="P4307" s="52" t="str">
        <f>IF(AND($L4307=$O$7,$B4307&lt;'111'!$N$11),"x","")</f>
        <v/>
      </c>
      <c r="Q4307" s="52" t="str">
        <f>IF(AND($M4307=$O$7,$B4307&lt;'111'!$N$11),"x","")</f>
        <v/>
      </c>
      <c r="R4307" s="52" t="str">
        <f>IF(ISERROR(FIND('112'!$M$9,G4307,1)),"",IF((AND(FIND('112'!$M$9,G4307,1)&gt;=1,$B4307&gt;='112'!$N$8,$B4307&lt;='112'!$O$8,OR($L4307='112'!$I$6,$M4307='112'!$I$6))),"x",""))</f>
        <v/>
      </c>
      <c r="S4307" s="52" t="str">
        <f>IF(ISERROR(FIND('112'!$M$9,G4307,1)),"",IF((AND(LEFT(G4307,2)=LEFT('112'!$M$9,2),B4307&lt;'112'!$N$8,$L4307='112'!$I$6)),"x",""))</f>
        <v/>
      </c>
      <c r="T4307" s="52" t="str">
        <f>IF(ISERROR(FIND('112'!$M$9,G4307,1)),"",IF((AND(RIGHT(G4307,2)=RIGHT('112'!$M$9,2),B4307&lt;'112'!$N$8,$M4307='112'!$I$6)),"x",""))</f>
        <v/>
      </c>
      <c r="U4307" s="52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/>
      </c>
      <c r="V4307" s="52" t="str">
        <f>IF(OR(TH!L4307=TH!$V$7,M4307=TH!$V$7),"x","")</f>
        <v/>
      </c>
      <c r="W4307" s="52" t="str">
        <f>IF(AND(B4307&gt;='IN-NX'!$P$3,B4307&lt;='IN-NX'!$Q$3,'IN-NX'!$D$7=D4307,OR(LEFT(L4307,2)="15",AND(LEFT(M4307,2)&lt;&gt;"15",LEFT(M4307,2)&lt;&gt;"33"))),"x","")</f>
        <v/>
      </c>
      <c r="X4307" s="52" t="str">
        <f>IF(AND(OR(LEFT(TH!L4307,2)="15",LEFT(TH!M4307,2)="15"),'152-CT'!$J$8=TH!F4307),"x","")</f>
        <v/>
      </c>
      <c r="Y4307" s="52" t="str">
        <f>IF(AND(OR(LEFT(TH!L4307,2)="15",LEFT(TH!M4307,2)="15"),TK!$E$7=TH!F4307),"x","")</f>
        <v/>
      </c>
      <c r="Z4307" s="52" t="str">
        <f>IF(AND(B4307&lt;=NKC!$N$8,B4307&gt;=NKC!$M$8),"x","")</f>
        <v/>
      </c>
      <c r="AA4307" s="826"/>
    </row>
    <row r="4308" spans="1:27" ht="15.75" customHeight="1">
      <c r="A4308" s="827" t="str">
        <f>IF(B4308&lt;&gt;"",IF(AND(B4308&gt;=_TM1,B4308&lt;=_TM2,OR(TH!L4308="1111",TH!M4308="1111")),TH!D4308,""),"")</f>
        <v/>
      </c>
      <c r="B4308" s="36" t="str">
        <f t="shared" ref="B4308:B4371" si="522">IF(C4308&lt;&gt;"",MONTH(C4308),"")</f>
        <v/>
      </c>
      <c r="C4308" s="190"/>
      <c r="D4308" s="37"/>
      <c r="E4308" s="190"/>
      <c r="F4308" s="40"/>
      <c r="G4308" s="832"/>
      <c r="H4308" s="7"/>
      <c r="I4308" s="253"/>
      <c r="J4308" s="253"/>
      <c r="K4308" s="584"/>
      <c r="L4308" s="39"/>
      <c r="M4308" s="39"/>
      <c r="N4308" s="52" t="str">
        <f>IF(AND('331-CT'!$E$7=TH!H4308,OR(L4308="331",M4308="331")),"331",IF(AND(OR(L4308="131",M4308="131"),H4308='131-CT'!$E$7),"131",""))</f>
        <v/>
      </c>
      <c r="O4308" s="52" t="str">
        <f>IF(AND($B4308&gt;='111'!$N$11,$B4308&lt;='111'!$O$11,OR($L4308=$O$7,$M4308=$O$7)),"x","")</f>
        <v/>
      </c>
      <c r="P4308" s="52" t="str">
        <f>IF(AND($L4308=$O$7,$B4308&lt;'111'!$N$11),"x","")</f>
        <v/>
      </c>
      <c r="Q4308" s="52" t="str">
        <f>IF(AND($M4308=$O$7,$B4308&lt;'111'!$N$11),"x","")</f>
        <v/>
      </c>
      <c r="R4308" s="52" t="str">
        <f>IF(ISERROR(FIND('112'!$M$9,G4308,1)),"",IF((AND(FIND('112'!$M$9,G4308,1)&gt;=1,$B4308&gt;='112'!$N$8,$B4308&lt;='112'!$O$8,OR($L4308='112'!$I$6,$M4308='112'!$I$6))),"x",""))</f>
        <v/>
      </c>
      <c r="S4308" s="52" t="str">
        <f>IF(ISERROR(FIND('112'!$M$9,G4308,1)),"",IF((AND(LEFT(G4308,2)=LEFT('112'!$M$9,2),B4308&lt;'112'!$N$8,$L4308='112'!$I$6)),"x",""))</f>
        <v/>
      </c>
      <c r="T4308" s="52" t="str">
        <f>IF(ISERROR(FIND('112'!$M$9,G4308,1)),"",IF((AND(RIGHT(G4308,2)=RIGHT('112'!$M$9,2),B4308&lt;'112'!$N$8,$M4308='112'!$I$6)),"x",""))</f>
        <v/>
      </c>
      <c r="U4308" s="52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/>
      </c>
      <c r="V4308" s="52" t="str">
        <f>IF(OR(TH!L4308=TH!$V$7,M4308=TH!$V$7),"x","")</f>
        <v/>
      </c>
      <c r="W4308" s="52" t="str">
        <f>IF(AND(B4308&gt;='IN-NX'!$P$3,B4308&lt;='IN-NX'!$Q$3,'IN-NX'!$D$7=D4308,OR(LEFT(L4308,2)="15",AND(LEFT(M4308,2)&lt;&gt;"15",LEFT(M4308,2)&lt;&gt;"33"))),"x","")</f>
        <v/>
      </c>
      <c r="X4308" s="52" t="str">
        <f>IF(AND(OR(LEFT(TH!L4308,2)="15",LEFT(TH!M4308,2)="15"),'152-CT'!$J$8=TH!F4308),"x","")</f>
        <v/>
      </c>
      <c r="Y4308" s="52" t="str">
        <f>IF(AND(OR(LEFT(TH!L4308,2)="15",LEFT(TH!M4308,2)="15"),TK!$E$7=TH!F4308),"x","")</f>
        <v/>
      </c>
      <c r="Z4308" s="52" t="str">
        <f>IF(AND(B4308&lt;=NKC!$N$8,B4308&gt;=NKC!$M$8),"x","")</f>
        <v/>
      </c>
      <c r="AA4308" s="826"/>
    </row>
    <row r="4309" spans="1:27" ht="15.75" customHeight="1">
      <c r="A4309" s="827" t="str">
        <f>IF(B4309&lt;&gt;"",IF(AND(B4309&gt;=_TM1,B4309&lt;=_TM2,OR(TH!L4309="1111",TH!M4309="1111")),TH!D4309,""),"")</f>
        <v/>
      </c>
      <c r="B4309" s="36" t="str">
        <f t="shared" si="522"/>
        <v/>
      </c>
      <c r="C4309" s="190"/>
      <c r="D4309" s="37"/>
      <c r="E4309" s="190"/>
      <c r="F4309" s="40"/>
      <c r="G4309" s="832"/>
      <c r="H4309" s="7"/>
      <c r="I4309" s="253"/>
      <c r="J4309" s="253"/>
      <c r="K4309" s="584"/>
      <c r="L4309" s="39"/>
      <c r="M4309" s="39"/>
      <c r="N4309" s="52" t="str">
        <f>IF(AND('331-CT'!$E$7=TH!H4309,OR(L4309="331",M4309="331")),"331",IF(AND(OR(L4309="131",M4309="131"),H4309='131-CT'!$E$7),"131",""))</f>
        <v/>
      </c>
      <c r="O4309" s="52" t="str">
        <f>IF(AND($B4309&gt;='111'!$N$11,$B4309&lt;='111'!$O$11,OR($L4309=$O$7,$M4309=$O$7)),"x","")</f>
        <v/>
      </c>
      <c r="P4309" s="52" t="str">
        <f>IF(AND($L4309=$O$7,$B4309&lt;'111'!$N$11),"x","")</f>
        <v/>
      </c>
      <c r="Q4309" s="52" t="str">
        <f>IF(AND($M4309=$O$7,$B4309&lt;'111'!$N$11),"x","")</f>
        <v/>
      </c>
      <c r="R4309" s="52" t="str">
        <f>IF(ISERROR(FIND('112'!$M$9,G4309,1)),"",IF((AND(FIND('112'!$M$9,G4309,1)&gt;=1,$B4309&gt;='112'!$N$8,$B4309&lt;='112'!$O$8,OR($L4309='112'!$I$6,$M4309='112'!$I$6))),"x",""))</f>
        <v/>
      </c>
      <c r="S4309" s="52" t="str">
        <f>IF(ISERROR(FIND('112'!$M$9,G4309,1)),"",IF((AND(LEFT(G4309,2)=LEFT('112'!$M$9,2),B4309&lt;'112'!$N$8,$L4309='112'!$I$6)),"x",""))</f>
        <v/>
      </c>
      <c r="T4309" s="52" t="str">
        <f>IF(ISERROR(FIND('112'!$M$9,G4309,1)),"",IF((AND(RIGHT(G4309,2)=RIGHT('112'!$M$9,2),B4309&lt;'112'!$N$8,$M4309='112'!$I$6)),"x",""))</f>
        <v/>
      </c>
      <c r="U4309" s="52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/>
      </c>
      <c r="V4309" s="52" t="str">
        <f>IF(OR(TH!L4309=TH!$V$7,M4309=TH!$V$7),"x","")</f>
        <v/>
      </c>
      <c r="W4309" s="52" t="str">
        <f>IF(AND(B4309&gt;='IN-NX'!$P$3,B4309&lt;='IN-NX'!$Q$3,'IN-NX'!$D$7=D4309,OR(LEFT(L4309,2)="15",AND(LEFT(M4309,2)&lt;&gt;"15",LEFT(M4309,2)&lt;&gt;"33"))),"x","")</f>
        <v/>
      </c>
      <c r="X4309" s="52" t="str">
        <f>IF(AND(OR(LEFT(TH!L4309,2)="15",LEFT(TH!M4309,2)="15"),'152-CT'!$J$8=TH!F4309),"x","")</f>
        <v/>
      </c>
      <c r="Y4309" s="52" t="str">
        <f>IF(AND(OR(LEFT(TH!L4309,2)="15",LEFT(TH!M4309,2)="15"),TK!$E$7=TH!F4309),"x","")</f>
        <v/>
      </c>
      <c r="Z4309" s="52" t="str">
        <f>IF(AND(B4309&lt;=NKC!$N$8,B4309&gt;=NKC!$M$8),"x","")</f>
        <v/>
      </c>
      <c r="AA4309" s="826"/>
    </row>
    <row r="4310" spans="1:27" ht="15.75" customHeight="1">
      <c r="A4310" s="827" t="str">
        <f>IF(B4310&lt;&gt;"",IF(AND(B4310&gt;=_TM1,B4310&lt;=_TM2,OR(TH!L4310="1111",TH!M4310="1111")),TH!D4310,""),"")</f>
        <v/>
      </c>
      <c r="B4310" s="36" t="str">
        <f t="shared" si="522"/>
        <v/>
      </c>
      <c r="C4310" s="190"/>
      <c r="D4310" s="37"/>
      <c r="E4310" s="190"/>
      <c r="F4310" s="40"/>
      <c r="G4310" s="832"/>
      <c r="H4310" s="7"/>
      <c r="I4310" s="253"/>
      <c r="J4310" s="253"/>
      <c r="K4310" s="584"/>
      <c r="L4310" s="39"/>
      <c r="M4310" s="39"/>
      <c r="N4310" s="52" t="str">
        <f>IF(AND('331-CT'!$E$7=TH!H4310,OR(L4310="331",M4310="331")),"331",IF(AND(OR(L4310="131",M4310="131"),H4310='131-CT'!$E$7),"131",""))</f>
        <v/>
      </c>
      <c r="O4310" s="52" t="str">
        <f>IF(AND($B4310&gt;='111'!$N$11,$B4310&lt;='111'!$O$11,OR($L4310=$O$7,$M4310=$O$7)),"x","")</f>
        <v/>
      </c>
      <c r="P4310" s="52" t="str">
        <f>IF(AND($L4310=$O$7,$B4310&lt;'111'!$N$11),"x","")</f>
        <v/>
      </c>
      <c r="Q4310" s="52" t="str">
        <f>IF(AND($M4310=$O$7,$B4310&lt;'111'!$N$11),"x","")</f>
        <v/>
      </c>
      <c r="R4310" s="52" t="str">
        <f>IF(ISERROR(FIND('112'!$M$9,G4310,1)),"",IF((AND(FIND('112'!$M$9,G4310,1)&gt;=1,$B4310&gt;='112'!$N$8,$B4310&lt;='112'!$O$8,OR($L4310='112'!$I$6,$M4310='112'!$I$6))),"x",""))</f>
        <v/>
      </c>
      <c r="S4310" s="52" t="str">
        <f>IF(ISERROR(FIND('112'!$M$9,G4310,1)),"",IF((AND(LEFT(G4310,2)=LEFT('112'!$M$9,2),B4310&lt;'112'!$N$8,$L4310='112'!$I$6)),"x",""))</f>
        <v/>
      </c>
      <c r="T4310" s="52" t="str">
        <f>IF(ISERROR(FIND('112'!$M$9,G4310,1)),"",IF((AND(RIGHT(G4310,2)=RIGHT('112'!$M$9,2),B4310&lt;'112'!$N$8,$M4310='112'!$I$6)),"x",""))</f>
        <v/>
      </c>
      <c r="U4310" s="52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/>
      </c>
      <c r="V4310" s="52" t="str">
        <f>IF(OR(TH!L4310=TH!$V$7,M4310=TH!$V$7),"x","")</f>
        <v/>
      </c>
      <c r="W4310" s="52" t="str">
        <f>IF(AND(B4310&gt;='IN-NX'!$P$3,B4310&lt;='IN-NX'!$Q$3,'IN-NX'!$D$7=D4310,OR(LEFT(L4310,2)="15",AND(LEFT(M4310,2)&lt;&gt;"15",LEFT(M4310,2)&lt;&gt;"33"))),"x","")</f>
        <v/>
      </c>
      <c r="X4310" s="52" t="str">
        <f>IF(AND(OR(LEFT(TH!L4310,2)="15",LEFT(TH!M4310,2)="15"),'152-CT'!$J$8=TH!F4310),"x","")</f>
        <v/>
      </c>
      <c r="Y4310" s="52" t="str">
        <f>IF(AND(OR(LEFT(TH!L4310,2)="15",LEFT(TH!M4310,2)="15"),TK!$E$7=TH!F4310),"x","")</f>
        <v/>
      </c>
      <c r="Z4310" s="52" t="str">
        <f>IF(AND(B4310&lt;=NKC!$N$8,B4310&gt;=NKC!$M$8),"x","")</f>
        <v/>
      </c>
      <c r="AA4310" s="826"/>
    </row>
    <row r="4311" spans="1:27" ht="15.75" customHeight="1">
      <c r="A4311" s="827" t="str">
        <f>IF(B4311&lt;&gt;"",IF(AND(B4311&gt;=_TM1,B4311&lt;=_TM2,OR(TH!L4311="1111",TH!M4311="1111")),TH!D4311,""),"")</f>
        <v/>
      </c>
      <c r="B4311" s="36" t="str">
        <f t="shared" si="522"/>
        <v/>
      </c>
      <c r="C4311" s="190"/>
      <c r="D4311" s="37"/>
      <c r="E4311" s="190"/>
      <c r="F4311" s="40"/>
      <c r="G4311" s="832"/>
      <c r="H4311" s="7"/>
      <c r="I4311" s="253"/>
      <c r="J4311" s="253"/>
      <c r="K4311" s="584"/>
      <c r="L4311" s="39"/>
      <c r="M4311" s="39"/>
      <c r="N4311" s="52" t="str">
        <f>IF(AND('331-CT'!$E$7=TH!H4311,OR(L4311="331",M4311="331")),"331",IF(AND(OR(L4311="131",M4311="131"),H4311='131-CT'!$E$7),"131",""))</f>
        <v/>
      </c>
      <c r="O4311" s="52" t="str">
        <f>IF(AND($B4311&gt;='111'!$N$11,$B4311&lt;='111'!$O$11,OR($L4311=$O$7,$M4311=$O$7)),"x","")</f>
        <v/>
      </c>
      <c r="P4311" s="52" t="str">
        <f>IF(AND($L4311=$O$7,$B4311&lt;'111'!$N$11),"x","")</f>
        <v/>
      </c>
      <c r="Q4311" s="52" t="str">
        <f>IF(AND($M4311=$O$7,$B4311&lt;'111'!$N$11),"x","")</f>
        <v/>
      </c>
      <c r="R4311" s="52" t="str">
        <f>IF(ISERROR(FIND('112'!$M$9,G4311,1)),"",IF((AND(FIND('112'!$M$9,G4311,1)&gt;=1,$B4311&gt;='112'!$N$8,$B4311&lt;='112'!$O$8,OR($L4311='112'!$I$6,$M4311='112'!$I$6))),"x",""))</f>
        <v/>
      </c>
      <c r="S4311" s="52" t="str">
        <f>IF(ISERROR(FIND('112'!$M$9,G4311,1)),"",IF((AND(LEFT(G4311,2)=LEFT('112'!$M$9,2),B4311&lt;'112'!$N$8,$L4311='112'!$I$6)),"x",""))</f>
        <v/>
      </c>
      <c r="T4311" s="52" t="str">
        <f>IF(ISERROR(FIND('112'!$M$9,G4311,1)),"",IF((AND(RIGHT(G4311,2)=RIGHT('112'!$M$9,2),B4311&lt;'112'!$N$8,$M4311='112'!$I$6)),"x",""))</f>
        <v/>
      </c>
      <c r="U4311" s="52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/>
      </c>
      <c r="V4311" s="52" t="str">
        <f>IF(OR(TH!L4311=TH!$V$7,M4311=TH!$V$7),"x","")</f>
        <v/>
      </c>
      <c r="W4311" s="52" t="str">
        <f>IF(AND(B4311&gt;='IN-NX'!$P$3,B4311&lt;='IN-NX'!$Q$3,'IN-NX'!$D$7=D4311,OR(LEFT(L4311,2)="15",AND(LEFT(M4311,2)&lt;&gt;"15",LEFT(M4311,2)&lt;&gt;"33"))),"x","")</f>
        <v/>
      </c>
      <c r="X4311" s="52" t="str">
        <f>IF(AND(OR(LEFT(TH!L4311,2)="15",LEFT(TH!M4311,2)="15"),'152-CT'!$J$8=TH!F4311),"x","")</f>
        <v/>
      </c>
      <c r="Y4311" s="52" t="str">
        <f>IF(AND(OR(LEFT(TH!L4311,2)="15",LEFT(TH!M4311,2)="15"),TK!$E$7=TH!F4311),"x","")</f>
        <v/>
      </c>
      <c r="Z4311" s="52" t="str">
        <f>IF(AND(B4311&lt;=NKC!$N$8,B4311&gt;=NKC!$M$8),"x","")</f>
        <v/>
      </c>
      <c r="AA4311" s="826"/>
    </row>
    <row r="4312" spans="1:27" ht="15.75" customHeight="1">
      <c r="A4312" s="827" t="str">
        <f>IF(B4312&lt;&gt;"",IF(AND(B4312&gt;=_TM1,B4312&lt;=_TM2,OR(TH!L4312="1111",TH!M4312="1111")),TH!D4312,""),"")</f>
        <v/>
      </c>
      <c r="B4312" s="36" t="str">
        <f t="shared" si="522"/>
        <v/>
      </c>
      <c r="C4312" s="190"/>
      <c r="D4312" s="37"/>
      <c r="E4312" s="190"/>
      <c r="F4312" s="40"/>
      <c r="G4312" s="832"/>
      <c r="H4312" s="7"/>
      <c r="I4312" s="253"/>
      <c r="J4312" s="253"/>
      <c r="K4312" s="584"/>
      <c r="L4312" s="39"/>
      <c r="M4312" s="39"/>
      <c r="N4312" s="52" t="str">
        <f>IF(AND('331-CT'!$E$7=TH!H4312,OR(L4312="331",M4312="331")),"331",IF(AND(OR(L4312="131",M4312="131"),H4312='131-CT'!$E$7),"131",""))</f>
        <v/>
      </c>
      <c r="O4312" s="52" t="str">
        <f>IF(AND($B4312&gt;='111'!$N$11,$B4312&lt;='111'!$O$11,OR($L4312=$O$7,$M4312=$O$7)),"x","")</f>
        <v/>
      </c>
      <c r="P4312" s="52" t="str">
        <f>IF(AND($L4312=$O$7,$B4312&lt;'111'!$N$11),"x","")</f>
        <v/>
      </c>
      <c r="Q4312" s="52" t="str">
        <f>IF(AND($M4312=$O$7,$B4312&lt;'111'!$N$11),"x","")</f>
        <v/>
      </c>
      <c r="R4312" s="52" t="str">
        <f>IF(ISERROR(FIND('112'!$M$9,G4312,1)),"",IF((AND(FIND('112'!$M$9,G4312,1)&gt;=1,$B4312&gt;='112'!$N$8,$B4312&lt;='112'!$O$8,OR($L4312='112'!$I$6,$M4312='112'!$I$6))),"x",""))</f>
        <v/>
      </c>
      <c r="S4312" s="52" t="str">
        <f>IF(ISERROR(FIND('112'!$M$9,G4312,1)),"",IF((AND(LEFT(G4312,2)=LEFT('112'!$M$9,2),B4312&lt;'112'!$N$8,$L4312='112'!$I$6)),"x",""))</f>
        <v/>
      </c>
      <c r="T4312" s="52" t="str">
        <f>IF(ISERROR(FIND('112'!$M$9,G4312,1)),"",IF((AND(RIGHT(G4312,2)=RIGHT('112'!$M$9,2),B4312&lt;'112'!$N$8,$M4312='112'!$I$6)),"x",""))</f>
        <v/>
      </c>
      <c r="U4312" s="52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/>
      </c>
      <c r="V4312" s="52" t="str">
        <f>IF(OR(TH!L4312=TH!$V$7,M4312=TH!$V$7),"x","")</f>
        <v/>
      </c>
      <c r="W4312" s="52" t="str">
        <f>IF(AND(B4312&gt;='IN-NX'!$P$3,B4312&lt;='IN-NX'!$Q$3,'IN-NX'!$D$7=D4312,OR(LEFT(L4312,2)="15",AND(LEFT(M4312,2)&lt;&gt;"15",LEFT(M4312,2)&lt;&gt;"33"))),"x","")</f>
        <v/>
      </c>
      <c r="X4312" s="52" t="str">
        <f>IF(AND(OR(LEFT(TH!L4312,2)="15",LEFT(TH!M4312,2)="15"),'152-CT'!$J$8=TH!F4312),"x","")</f>
        <v/>
      </c>
      <c r="Y4312" s="52" t="str">
        <f>IF(AND(OR(LEFT(TH!L4312,2)="15",LEFT(TH!M4312,2)="15"),TK!$E$7=TH!F4312),"x","")</f>
        <v/>
      </c>
      <c r="Z4312" s="52" t="str">
        <f>IF(AND(B4312&lt;=NKC!$N$8,B4312&gt;=NKC!$M$8),"x","")</f>
        <v/>
      </c>
      <c r="AA4312" s="826"/>
    </row>
    <row r="4313" spans="1:27" ht="15.75" customHeight="1">
      <c r="A4313" s="827" t="str">
        <f>IF(B4313&lt;&gt;"",IF(AND(B4313&gt;=_TM1,B4313&lt;=_TM2,OR(TH!L4313="1111",TH!M4313="1111")),TH!D4313,""),"")</f>
        <v/>
      </c>
      <c r="B4313" s="36" t="str">
        <f t="shared" si="522"/>
        <v/>
      </c>
      <c r="C4313" s="190"/>
      <c r="D4313" s="37"/>
      <c r="E4313" s="190"/>
      <c r="F4313" s="40"/>
      <c r="G4313" s="832"/>
      <c r="H4313" s="7"/>
      <c r="I4313" s="253"/>
      <c r="J4313" s="253"/>
      <c r="K4313" s="584"/>
      <c r="L4313" s="39"/>
      <c r="M4313" s="39"/>
      <c r="N4313" s="52" t="str">
        <f>IF(AND('331-CT'!$E$7=TH!H4313,OR(L4313="331",M4313="331")),"331",IF(AND(OR(L4313="131",M4313="131"),H4313='131-CT'!$E$7),"131",""))</f>
        <v/>
      </c>
      <c r="O4313" s="52" t="str">
        <f>IF(AND($B4313&gt;='111'!$N$11,$B4313&lt;='111'!$O$11,OR($L4313=$O$7,$M4313=$O$7)),"x","")</f>
        <v/>
      </c>
      <c r="P4313" s="52" t="str">
        <f>IF(AND($L4313=$O$7,$B4313&lt;'111'!$N$11),"x","")</f>
        <v/>
      </c>
      <c r="Q4313" s="52" t="str">
        <f>IF(AND($M4313=$O$7,$B4313&lt;'111'!$N$11),"x","")</f>
        <v/>
      </c>
      <c r="R4313" s="52" t="str">
        <f>IF(ISERROR(FIND('112'!$M$9,G4313,1)),"",IF((AND(FIND('112'!$M$9,G4313,1)&gt;=1,$B4313&gt;='112'!$N$8,$B4313&lt;='112'!$O$8,OR($L4313='112'!$I$6,$M4313='112'!$I$6))),"x",""))</f>
        <v/>
      </c>
      <c r="S4313" s="52" t="str">
        <f>IF(ISERROR(FIND('112'!$M$9,G4313,1)),"",IF((AND(LEFT(G4313,2)=LEFT('112'!$M$9,2),B4313&lt;'112'!$N$8,$L4313='112'!$I$6)),"x",""))</f>
        <v/>
      </c>
      <c r="T4313" s="52" t="str">
        <f>IF(ISERROR(FIND('112'!$M$9,G4313,1)),"",IF((AND(RIGHT(G4313,2)=RIGHT('112'!$M$9,2),B4313&lt;'112'!$N$8,$M4313='112'!$I$6)),"x",""))</f>
        <v/>
      </c>
      <c r="U4313" s="52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/>
      </c>
      <c r="V4313" s="52" t="str">
        <f>IF(OR(TH!L4313=TH!$V$7,M4313=TH!$V$7),"x","")</f>
        <v/>
      </c>
      <c r="W4313" s="52" t="str">
        <f>IF(AND(B4313&gt;='IN-NX'!$P$3,B4313&lt;='IN-NX'!$Q$3,'IN-NX'!$D$7=D4313,OR(LEFT(L4313,2)="15",AND(LEFT(M4313,2)&lt;&gt;"15",LEFT(M4313,2)&lt;&gt;"33"))),"x","")</f>
        <v/>
      </c>
      <c r="X4313" s="52" t="str">
        <f>IF(AND(OR(LEFT(TH!L4313,2)="15",LEFT(TH!M4313,2)="15"),'152-CT'!$J$8=TH!F4313),"x","")</f>
        <v/>
      </c>
      <c r="Y4313" s="52" t="str">
        <f>IF(AND(OR(LEFT(TH!L4313,2)="15",LEFT(TH!M4313,2)="15"),TK!$E$7=TH!F4313),"x","")</f>
        <v/>
      </c>
      <c r="Z4313" s="52" t="str">
        <f>IF(AND(B4313&lt;=NKC!$N$8,B4313&gt;=NKC!$M$8),"x","")</f>
        <v/>
      </c>
      <c r="AA4313" s="826"/>
    </row>
    <row r="4314" spans="1:27" ht="15.75" customHeight="1">
      <c r="A4314" s="827" t="str">
        <f>IF(B4314&lt;&gt;"",IF(AND(B4314&gt;=_TM1,B4314&lt;=_TM2,OR(TH!L4314="1111",TH!M4314="1111")),TH!D4314,""),"")</f>
        <v/>
      </c>
      <c r="B4314" s="36" t="str">
        <f t="shared" si="522"/>
        <v/>
      </c>
      <c r="C4314" s="190"/>
      <c r="D4314" s="37"/>
      <c r="E4314" s="190"/>
      <c r="F4314" s="191"/>
      <c r="G4314" s="833"/>
      <c r="H4314" s="192"/>
      <c r="I4314" s="253"/>
      <c r="J4314" s="253"/>
      <c r="K4314" s="584"/>
      <c r="L4314" s="39"/>
      <c r="M4314" s="39"/>
      <c r="N4314" s="52" t="str">
        <f>IF(AND('331-CT'!$E$7=TH!H4314,OR(L4314="331",M4314="331")),"331",IF(AND(OR(L4314="131",M4314="131"),H4314='131-CT'!$E$7),"131",""))</f>
        <v/>
      </c>
      <c r="O4314" s="52" t="str">
        <f>IF(AND($B4314&gt;='111'!$N$11,$B4314&lt;='111'!$O$11,OR($L4314=$O$7,$M4314=$O$7)),"x","")</f>
        <v/>
      </c>
      <c r="P4314" s="52" t="str">
        <f>IF(AND($L4314=$O$7,$B4314&lt;'111'!$N$11),"x","")</f>
        <v/>
      </c>
      <c r="Q4314" s="52" t="str">
        <f>IF(AND($M4314=$O$7,$B4314&lt;'111'!$N$11),"x","")</f>
        <v/>
      </c>
      <c r="R4314" s="52" t="str">
        <f>IF(ISERROR(FIND('112'!$M$9,G4314,1)),"",IF((AND(FIND('112'!$M$9,G4314,1)&gt;=1,$B4314&gt;='112'!$N$8,$B4314&lt;='112'!$O$8,OR($L4314='112'!$I$6,$M4314='112'!$I$6))),"x",""))</f>
        <v/>
      </c>
      <c r="S4314" s="52" t="str">
        <f>IF(ISERROR(FIND('112'!$M$9,G4314,1)),"",IF((AND(LEFT(G4314,2)=LEFT('112'!$M$9,2),B4314&lt;'112'!$N$8,$L4314='112'!$I$6)),"x",""))</f>
        <v/>
      </c>
      <c r="T4314" s="52" t="str">
        <f>IF(ISERROR(FIND('112'!$M$9,G4314,1)),"",IF((AND(RIGHT(G4314,2)=RIGHT('112'!$M$9,2),B4314&lt;'112'!$N$8,$M4314='112'!$I$6)),"x",""))</f>
        <v/>
      </c>
      <c r="U4314" s="52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/>
      </c>
      <c r="V4314" s="52" t="str">
        <f>IF(OR(TH!L4314=TH!$V$7,M4314=TH!$V$7),"x","")</f>
        <v/>
      </c>
      <c r="W4314" s="52" t="str">
        <f>IF(AND(B4314&gt;='IN-NX'!$P$3,B4314&lt;='IN-NX'!$Q$3,'IN-NX'!$D$7=D4314,OR(LEFT(L4314,2)="15",AND(LEFT(M4314,2)&lt;&gt;"15",LEFT(M4314,2)&lt;&gt;"33"))),"x","")</f>
        <v/>
      </c>
      <c r="X4314" s="52" t="str">
        <f>IF(AND(OR(LEFT(TH!L4314,2)="15",LEFT(TH!M4314,2)="15"),'152-CT'!$J$8=TH!F4314),"x","")</f>
        <v/>
      </c>
      <c r="Y4314" s="52" t="str">
        <f>IF(AND(OR(LEFT(TH!L4314,2)="15",LEFT(TH!M4314,2)="15"),TK!$E$7=TH!F4314),"x","")</f>
        <v/>
      </c>
      <c r="Z4314" s="52" t="str">
        <f>IF(AND(B4314&lt;=NKC!$N$8,B4314&gt;=NKC!$M$8),"x","")</f>
        <v/>
      </c>
      <c r="AA4314" s="826"/>
    </row>
    <row r="4315" spans="1:27" ht="15.75" customHeight="1">
      <c r="A4315" s="827" t="str">
        <f>IF(B4315&lt;&gt;"",IF(AND(B4315&gt;=_TM1,B4315&lt;=_TM2,OR(TH!L4315="1111",TH!M4315="1111")),TH!D4315,""),"")</f>
        <v/>
      </c>
      <c r="B4315" s="36" t="str">
        <f t="shared" si="522"/>
        <v/>
      </c>
      <c r="C4315" s="190"/>
      <c r="D4315" s="37"/>
      <c r="E4315" s="190"/>
      <c r="F4315" s="191"/>
      <c r="G4315" s="833"/>
      <c r="H4315" s="192"/>
      <c r="I4315" s="253"/>
      <c r="J4315" s="253"/>
      <c r="K4315" s="584"/>
      <c r="L4315" s="39"/>
      <c r="M4315" s="39"/>
      <c r="N4315" s="52" t="str">
        <f>IF(AND('331-CT'!$E$7=TH!H4315,OR(L4315="331",M4315="331")),"331",IF(AND(OR(L4315="131",M4315="131"),H4315='131-CT'!$E$7),"131",""))</f>
        <v/>
      </c>
      <c r="O4315" s="52" t="str">
        <f>IF(AND($B4315&gt;='111'!$N$11,$B4315&lt;='111'!$O$11,OR($L4315=$O$7,$M4315=$O$7)),"x","")</f>
        <v/>
      </c>
      <c r="P4315" s="52" t="str">
        <f>IF(AND($L4315=$O$7,$B4315&lt;'111'!$N$11),"x","")</f>
        <v/>
      </c>
      <c r="Q4315" s="52" t="str">
        <f>IF(AND($M4315=$O$7,$B4315&lt;'111'!$N$11),"x","")</f>
        <v/>
      </c>
      <c r="R4315" s="52" t="str">
        <f>IF(ISERROR(FIND('112'!$M$9,G4315,1)),"",IF((AND(FIND('112'!$M$9,G4315,1)&gt;=1,$B4315&gt;='112'!$N$8,$B4315&lt;='112'!$O$8,OR($L4315='112'!$I$6,$M4315='112'!$I$6))),"x",""))</f>
        <v/>
      </c>
      <c r="S4315" s="52" t="str">
        <f>IF(ISERROR(FIND('112'!$M$9,G4315,1)),"",IF((AND(LEFT(G4315,2)=LEFT('112'!$M$9,2),B4315&lt;'112'!$N$8,$L4315='112'!$I$6)),"x",""))</f>
        <v/>
      </c>
      <c r="T4315" s="52" t="str">
        <f>IF(ISERROR(FIND('112'!$M$9,G4315,1)),"",IF((AND(RIGHT(G4315,2)=RIGHT('112'!$M$9,2),B4315&lt;'112'!$N$8,$M4315='112'!$I$6)),"x",""))</f>
        <v/>
      </c>
      <c r="U4315" s="52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/>
      </c>
      <c r="V4315" s="52" t="str">
        <f>IF(OR(TH!L4315=TH!$V$7,M4315=TH!$V$7),"x","")</f>
        <v/>
      </c>
      <c r="W4315" s="52" t="str">
        <f>IF(AND(B4315&gt;='IN-NX'!$P$3,B4315&lt;='IN-NX'!$Q$3,'IN-NX'!$D$7=D4315,OR(LEFT(L4315,2)="15",AND(LEFT(M4315,2)&lt;&gt;"15",LEFT(M4315,2)&lt;&gt;"33"))),"x","")</f>
        <v/>
      </c>
      <c r="X4315" s="52" t="str">
        <f>IF(AND(OR(LEFT(TH!L4315,2)="15",LEFT(TH!M4315,2)="15"),'152-CT'!$J$8=TH!F4315),"x","")</f>
        <v/>
      </c>
      <c r="Y4315" s="52" t="str">
        <f>IF(AND(OR(LEFT(TH!L4315,2)="15",LEFT(TH!M4315,2)="15"),TK!$E$7=TH!F4315),"x","")</f>
        <v/>
      </c>
      <c r="Z4315" s="52" t="str">
        <f>IF(AND(B4315&lt;=NKC!$N$8,B4315&gt;=NKC!$M$8),"x","")</f>
        <v/>
      </c>
      <c r="AA4315" s="826"/>
    </row>
    <row r="4316" spans="1:27" ht="15.75" customHeight="1">
      <c r="A4316" s="827" t="str">
        <f>IF(B4316&lt;&gt;"",IF(AND(B4316&gt;=_TM1,B4316&lt;=_TM2,OR(TH!L4316="1111",TH!M4316="1111")),TH!D4316,""),"")</f>
        <v/>
      </c>
      <c r="B4316" s="36" t="str">
        <f t="shared" si="522"/>
        <v/>
      </c>
      <c r="C4316" s="190"/>
      <c r="D4316" s="37"/>
      <c r="E4316" s="190"/>
      <c r="F4316" s="191"/>
      <c r="G4316" s="833"/>
      <c r="H4316" s="192"/>
      <c r="I4316" s="253"/>
      <c r="J4316" s="253"/>
      <c r="K4316" s="584"/>
      <c r="L4316" s="39"/>
      <c r="M4316" s="39"/>
      <c r="N4316" s="52" t="str">
        <f>IF(AND('331-CT'!$E$7=TH!H4316,OR(L4316="331",M4316="331")),"331",IF(AND(OR(L4316="131",M4316="131"),H4316='131-CT'!$E$7),"131",""))</f>
        <v/>
      </c>
      <c r="O4316" s="52" t="str">
        <f>IF(AND($B4316&gt;='111'!$N$11,$B4316&lt;='111'!$O$11,OR($L4316=$O$7,$M4316=$O$7)),"x","")</f>
        <v/>
      </c>
      <c r="P4316" s="52" t="str">
        <f>IF(AND($L4316=$O$7,$B4316&lt;'111'!$N$11),"x","")</f>
        <v/>
      </c>
      <c r="Q4316" s="52" t="str">
        <f>IF(AND($M4316=$O$7,$B4316&lt;'111'!$N$11),"x","")</f>
        <v/>
      </c>
      <c r="R4316" s="52" t="str">
        <f>IF(ISERROR(FIND('112'!$M$9,G4316,1)),"",IF((AND(FIND('112'!$M$9,G4316,1)&gt;=1,$B4316&gt;='112'!$N$8,$B4316&lt;='112'!$O$8,OR($L4316='112'!$I$6,$M4316='112'!$I$6))),"x",""))</f>
        <v/>
      </c>
      <c r="S4316" s="52" t="str">
        <f>IF(ISERROR(FIND('112'!$M$9,G4316,1)),"",IF((AND(LEFT(G4316,2)=LEFT('112'!$M$9,2),B4316&lt;'112'!$N$8,$L4316='112'!$I$6)),"x",""))</f>
        <v/>
      </c>
      <c r="T4316" s="52" t="str">
        <f>IF(ISERROR(FIND('112'!$M$9,G4316,1)),"",IF((AND(RIGHT(G4316,2)=RIGHT('112'!$M$9,2),B4316&lt;'112'!$N$8,$M4316='112'!$I$6)),"x",""))</f>
        <v/>
      </c>
      <c r="U4316" s="52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/>
      </c>
      <c r="V4316" s="52" t="str">
        <f>IF(OR(TH!L4316=TH!$V$7,M4316=TH!$V$7),"x","")</f>
        <v/>
      </c>
      <c r="W4316" s="52" t="str">
        <f>IF(AND(B4316&gt;='IN-NX'!$P$3,B4316&lt;='IN-NX'!$Q$3,'IN-NX'!$D$7=D4316,OR(LEFT(L4316,2)="15",AND(LEFT(M4316,2)&lt;&gt;"15",LEFT(M4316,2)&lt;&gt;"33"))),"x","")</f>
        <v/>
      </c>
      <c r="X4316" s="52" t="str">
        <f>IF(AND(OR(LEFT(TH!L4316,2)="15",LEFT(TH!M4316,2)="15"),'152-CT'!$J$8=TH!F4316),"x","")</f>
        <v/>
      </c>
      <c r="Y4316" s="52" t="str">
        <f>IF(AND(OR(LEFT(TH!L4316,2)="15",LEFT(TH!M4316,2)="15"),TK!$E$7=TH!F4316),"x","")</f>
        <v/>
      </c>
      <c r="Z4316" s="52" t="str">
        <f>IF(AND(B4316&lt;=NKC!$N$8,B4316&gt;=NKC!$M$8),"x","")</f>
        <v/>
      </c>
      <c r="AA4316" s="826"/>
    </row>
    <row r="4317" spans="1:27" ht="15.75" customHeight="1">
      <c r="A4317" s="827" t="str">
        <f>IF(B4317&lt;&gt;"",IF(AND(B4317&gt;=_TM1,B4317&lt;=_TM2,OR(TH!L4317="1111",TH!M4317="1111")),TH!D4317,""),"")</f>
        <v/>
      </c>
      <c r="B4317" s="36" t="str">
        <f t="shared" si="522"/>
        <v/>
      </c>
      <c r="C4317" s="190"/>
      <c r="D4317" s="37"/>
      <c r="E4317" s="190"/>
      <c r="F4317" s="191"/>
      <c r="G4317" s="833"/>
      <c r="H4317" s="192"/>
      <c r="I4317" s="253"/>
      <c r="J4317" s="253"/>
      <c r="K4317" s="584"/>
      <c r="L4317" s="39"/>
      <c r="M4317" s="39"/>
      <c r="N4317" s="52" t="str">
        <f>IF(AND('331-CT'!$E$7=TH!H4317,OR(L4317="331",M4317="331")),"331",IF(AND(OR(L4317="131",M4317="131"),H4317='131-CT'!$E$7),"131",""))</f>
        <v/>
      </c>
      <c r="O4317" s="52" t="str">
        <f>IF(AND($B4317&gt;='111'!$N$11,$B4317&lt;='111'!$O$11,OR($L4317=$O$7,$M4317=$O$7)),"x","")</f>
        <v/>
      </c>
      <c r="P4317" s="52" t="str">
        <f>IF(AND($L4317=$O$7,$B4317&lt;'111'!$N$11),"x","")</f>
        <v/>
      </c>
      <c r="Q4317" s="52" t="str">
        <f>IF(AND($M4317=$O$7,$B4317&lt;'111'!$N$11),"x","")</f>
        <v/>
      </c>
      <c r="R4317" s="52" t="str">
        <f>IF(ISERROR(FIND('112'!$M$9,G4317,1)),"",IF((AND(FIND('112'!$M$9,G4317,1)&gt;=1,$B4317&gt;='112'!$N$8,$B4317&lt;='112'!$O$8,OR($L4317='112'!$I$6,$M4317='112'!$I$6))),"x",""))</f>
        <v/>
      </c>
      <c r="S4317" s="52" t="str">
        <f>IF(ISERROR(FIND('112'!$M$9,G4317,1)),"",IF((AND(LEFT(G4317,2)=LEFT('112'!$M$9,2),B4317&lt;'112'!$N$8,$L4317='112'!$I$6)),"x",""))</f>
        <v/>
      </c>
      <c r="T4317" s="52" t="str">
        <f>IF(ISERROR(FIND('112'!$M$9,G4317,1)),"",IF((AND(RIGHT(G4317,2)=RIGHT('112'!$M$9,2),B4317&lt;'112'!$N$8,$M4317='112'!$I$6)),"x",""))</f>
        <v/>
      </c>
      <c r="U4317" s="52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/>
      </c>
      <c r="V4317" s="52" t="str">
        <f>IF(OR(TH!L4317=TH!$V$7,M4317=TH!$V$7),"x","")</f>
        <v/>
      </c>
      <c r="W4317" s="52" t="str">
        <f>IF(AND(B4317&gt;='IN-NX'!$P$3,B4317&lt;='IN-NX'!$Q$3,'IN-NX'!$D$7=D4317,OR(LEFT(L4317,2)="15",AND(LEFT(M4317,2)&lt;&gt;"15",LEFT(M4317,2)&lt;&gt;"33"))),"x","")</f>
        <v/>
      </c>
      <c r="X4317" s="52" t="str">
        <f>IF(AND(OR(LEFT(TH!L4317,2)="15",LEFT(TH!M4317,2)="15"),'152-CT'!$J$8=TH!F4317),"x","")</f>
        <v/>
      </c>
      <c r="Y4317" s="52" t="str">
        <f>IF(AND(OR(LEFT(TH!L4317,2)="15",LEFT(TH!M4317,2)="15"),TK!$E$7=TH!F4317),"x","")</f>
        <v/>
      </c>
      <c r="Z4317" s="52" t="str">
        <f>IF(AND(B4317&lt;=NKC!$N$8,B4317&gt;=NKC!$M$8),"x","")</f>
        <v/>
      </c>
      <c r="AA4317" s="826"/>
    </row>
    <row r="4318" spans="1:27" ht="15.75" customHeight="1">
      <c r="A4318" s="827" t="str">
        <f>IF(B4318&lt;&gt;"",IF(AND(B4318&gt;=_TM1,B4318&lt;=_TM2,OR(TH!L4318="1111",TH!M4318="1111")),TH!D4318,""),"")</f>
        <v/>
      </c>
      <c r="B4318" s="36" t="str">
        <f t="shared" si="522"/>
        <v/>
      </c>
      <c r="C4318" s="190"/>
      <c r="D4318" s="37"/>
      <c r="E4318" s="190"/>
      <c r="F4318" s="191"/>
      <c r="G4318" s="833"/>
      <c r="H4318" s="192"/>
      <c r="I4318" s="253"/>
      <c r="J4318" s="253"/>
      <c r="K4318" s="584"/>
      <c r="L4318" s="39"/>
      <c r="M4318" s="39"/>
      <c r="N4318" s="52" t="str">
        <f>IF(AND('331-CT'!$E$7=TH!H4318,OR(L4318="331",M4318="331")),"331",IF(AND(OR(L4318="131",M4318="131"),H4318='131-CT'!$E$7),"131",""))</f>
        <v/>
      </c>
      <c r="O4318" s="52" t="str">
        <f>IF(AND($B4318&gt;='111'!$N$11,$B4318&lt;='111'!$O$11,OR($L4318=$O$7,$M4318=$O$7)),"x","")</f>
        <v/>
      </c>
      <c r="P4318" s="52" t="str">
        <f>IF(AND($L4318=$O$7,$B4318&lt;'111'!$N$11),"x","")</f>
        <v/>
      </c>
      <c r="Q4318" s="52" t="str">
        <f>IF(AND($M4318=$O$7,$B4318&lt;'111'!$N$11),"x","")</f>
        <v/>
      </c>
      <c r="R4318" s="52" t="str">
        <f>IF(ISERROR(FIND('112'!$M$9,G4318,1)),"",IF((AND(FIND('112'!$M$9,G4318,1)&gt;=1,$B4318&gt;='112'!$N$8,$B4318&lt;='112'!$O$8,OR($L4318='112'!$I$6,$M4318='112'!$I$6))),"x",""))</f>
        <v/>
      </c>
      <c r="S4318" s="52" t="str">
        <f>IF(ISERROR(FIND('112'!$M$9,G4318,1)),"",IF((AND(LEFT(G4318,2)=LEFT('112'!$M$9,2),B4318&lt;'112'!$N$8,$L4318='112'!$I$6)),"x",""))</f>
        <v/>
      </c>
      <c r="T4318" s="52" t="str">
        <f>IF(ISERROR(FIND('112'!$M$9,G4318,1)),"",IF((AND(RIGHT(G4318,2)=RIGHT('112'!$M$9,2),B4318&lt;'112'!$N$8,$M4318='112'!$I$6)),"x",""))</f>
        <v/>
      </c>
      <c r="U4318" s="52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/>
      </c>
      <c r="V4318" s="52" t="str">
        <f>IF(OR(TH!L4318=TH!$V$7,M4318=TH!$V$7),"x","")</f>
        <v/>
      </c>
      <c r="W4318" s="52" t="str">
        <f>IF(AND(B4318&gt;='IN-NX'!$P$3,B4318&lt;='IN-NX'!$Q$3,'IN-NX'!$D$7=D4318,OR(LEFT(L4318,2)="15",AND(LEFT(M4318,2)&lt;&gt;"15",LEFT(M4318,2)&lt;&gt;"33"))),"x","")</f>
        <v/>
      </c>
      <c r="X4318" s="52" t="str">
        <f>IF(AND(OR(LEFT(TH!L4318,2)="15",LEFT(TH!M4318,2)="15"),'152-CT'!$J$8=TH!F4318),"x","")</f>
        <v/>
      </c>
      <c r="Y4318" s="52" t="str">
        <f>IF(AND(OR(LEFT(TH!L4318,2)="15",LEFT(TH!M4318,2)="15"),TK!$E$7=TH!F4318),"x","")</f>
        <v/>
      </c>
      <c r="Z4318" s="52" t="str">
        <f>IF(AND(B4318&lt;=NKC!$N$8,B4318&gt;=NKC!$M$8),"x","")</f>
        <v/>
      </c>
      <c r="AA4318" s="826"/>
    </row>
    <row r="4319" spans="1:27" ht="15.75" customHeight="1">
      <c r="A4319" s="827" t="str">
        <f>IF(B4319&lt;&gt;"",IF(AND(B4319&gt;=_TM1,B4319&lt;=_TM2,OR(TH!L4319="1111",TH!M4319="1111")),TH!D4319,""),"")</f>
        <v/>
      </c>
      <c r="B4319" s="36" t="str">
        <f t="shared" si="522"/>
        <v/>
      </c>
      <c r="C4319" s="190"/>
      <c r="D4319" s="37"/>
      <c r="E4319" s="190"/>
      <c r="F4319" s="191"/>
      <c r="G4319" s="833"/>
      <c r="H4319" s="192"/>
      <c r="I4319" s="253"/>
      <c r="J4319" s="253"/>
      <c r="K4319" s="584"/>
      <c r="L4319" s="39"/>
      <c r="M4319" s="39"/>
      <c r="N4319" s="52" t="str">
        <f>IF(AND('331-CT'!$E$7=TH!H4319,OR(L4319="331",M4319="331")),"331",IF(AND(OR(L4319="131",M4319="131"),H4319='131-CT'!$E$7),"131",""))</f>
        <v/>
      </c>
      <c r="O4319" s="52" t="str">
        <f>IF(AND($B4319&gt;='111'!$N$11,$B4319&lt;='111'!$O$11,OR($L4319=$O$7,$M4319=$O$7)),"x","")</f>
        <v/>
      </c>
      <c r="P4319" s="52" t="str">
        <f>IF(AND($L4319=$O$7,$B4319&lt;'111'!$N$11),"x","")</f>
        <v/>
      </c>
      <c r="Q4319" s="52" t="str">
        <f>IF(AND($M4319=$O$7,$B4319&lt;'111'!$N$11),"x","")</f>
        <v/>
      </c>
      <c r="R4319" s="52" t="str">
        <f>IF(ISERROR(FIND('112'!$M$9,G4319,1)),"",IF((AND(FIND('112'!$M$9,G4319,1)&gt;=1,$B4319&gt;='112'!$N$8,$B4319&lt;='112'!$O$8,OR($L4319='112'!$I$6,$M4319='112'!$I$6))),"x",""))</f>
        <v/>
      </c>
      <c r="S4319" s="52" t="str">
        <f>IF(ISERROR(FIND('112'!$M$9,G4319,1)),"",IF((AND(LEFT(G4319,2)=LEFT('112'!$M$9,2),B4319&lt;'112'!$N$8,$L4319='112'!$I$6)),"x",""))</f>
        <v/>
      </c>
      <c r="T4319" s="52" t="str">
        <f>IF(ISERROR(FIND('112'!$M$9,G4319,1)),"",IF((AND(RIGHT(G4319,2)=RIGHT('112'!$M$9,2),B4319&lt;'112'!$N$8,$M4319='112'!$I$6)),"x",""))</f>
        <v/>
      </c>
      <c r="U4319" s="52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/>
      </c>
      <c r="V4319" s="52" t="str">
        <f>IF(OR(TH!L4319=TH!$V$7,M4319=TH!$V$7),"x","")</f>
        <v/>
      </c>
      <c r="W4319" s="52" t="str">
        <f>IF(AND(B4319&gt;='IN-NX'!$P$3,B4319&lt;='IN-NX'!$Q$3,'IN-NX'!$D$7=D4319,OR(LEFT(L4319,2)="15",AND(LEFT(M4319,2)&lt;&gt;"15",LEFT(M4319,2)&lt;&gt;"33"))),"x","")</f>
        <v/>
      </c>
      <c r="X4319" s="52" t="str">
        <f>IF(AND(OR(LEFT(TH!L4319,2)="15",LEFT(TH!M4319,2)="15"),'152-CT'!$J$8=TH!F4319),"x","")</f>
        <v/>
      </c>
      <c r="Y4319" s="52" t="str">
        <f>IF(AND(OR(LEFT(TH!L4319,2)="15",LEFT(TH!M4319,2)="15"),TK!$E$7=TH!F4319),"x","")</f>
        <v/>
      </c>
      <c r="Z4319" s="52" t="str">
        <f>IF(AND(B4319&lt;=NKC!$N$8,B4319&gt;=NKC!$M$8),"x","")</f>
        <v/>
      </c>
      <c r="AA4319" s="826"/>
    </row>
    <row r="4320" spans="1:27" ht="15.75" customHeight="1">
      <c r="A4320" s="827" t="str">
        <f>IF(B4320&lt;&gt;"",IF(AND(B4320&gt;=_TM1,B4320&lt;=_TM2,OR(TH!L4320="1111",TH!M4320="1111")),TH!D4320,""),"")</f>
        <v/>
      </c>
      <c r="B4320" s="36" t="str">
        <f t="shared" si="522"/>
        <v/>
      </c>
      <c r="C4320" s="190"/>
      <c r="D4320" s="37"/>
      <c r="E4320" s="190"/>
      <c r="F4320" s="191"/>
      <c r="G4320" s="833"/>
      <c r="H4320" s="192"/>
      <c r="I4320" s="253"/>
      <c r="J4320" s="253"/>
      <c r="K4320" s="584"/>
      <c r="L4320" s="39"/>
      <c r="M4320" s="39"/>
      <c r="N4320" s="52" t="str">
        <f>IF(AND('331-CT'!$E$7=TH!H4320,OR(L4320="331",M4320="331")),"331",IF(AND(OR(L4320="131",M4320="131"),H4320='131-CT'!$E$7),"131",""))</f>
        <v/>
      </c>
      <c r="O4320" s="52" t="str">
        <f>IF(AND($B4320&gt;='111'!$N$11,$B4320&lt;='111'!$O$11,OR($L4320=$O$7,$M4320=$O$7)),"x","")</f>
        <v/>
      </c>
      <c r="P4320" s="52" t="str">
        <f>IF(AND($L4320=$O$7,$B4320&lt;'111'!$N$11),"x","")</f>
        <v/>
      </c>
      <c r="Q4320" s="52" t="str">
        <f>IF(AND($M4320=$O$7,$B4320&lt;'111'!$N$11),"x","")</f>
        <v/>
      </c>
      <c r="R4320" s="52" t="str">
        <f>IF(ISERROR(FIND('112'!$M$9,G4320,1)),"",IF((AND(FIND('112'!$M$9,G4320,1)&gt;=1,$B4320&gt;='112'!$N$8,$B4320&lt;='112'!$O$8,OR($L4320='112'!$I$6,$M4320='112'!$I$6))),"x",""))</f>
        <v/>
      </c>
      <c r="S4320" s="52" t="str">
        <f>IF(ISERROR(FIND('112'!$M$9,G4320,1)),"",IF((AND(LEFT(G4320,2)=LEFT('112'!$M$9,2),B4320&lt;'112'!$N$8,$L4320='112'!$I$6)),"x",""))</f>
        <v/>
      </c>
      <c r="T4320" s="52" t="str">
        <f>IF(ISERROR(FIND('112'!$M$9,G4320,1)),"",IF((AND(RIGHT(G4320,2)=RIGHT('112'!$M$9,2),B4320&lt;'112'!$N$8,$M4320='112'!$I$6)),"x",""))</f>
        <v/>
      </c>
      <c r="U4320" s="52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/>
      </c>
      <c r="V4320" s="52" t="str">
        <f>IF(OR(TH!L4320=TH!$V$7,M4320=TH!$V$7),"x","")</f>
        <v/>
      </c>
      <c r="W4320" s="52" t="str">
        <f>IF(AND(B4320&gt;='IN-NX'!$P$3,B4320&lt;='IN-NX'!$Q$3,'IN-NX'!$D$7=D4320,OR(LEFT(L4320,2)="15",AND(LEFT(M4320,2)&lt;&gt;"15",LEFT(M4320,2)&lt;&gt;"33"))),"x","")</f>
        <v/>
      </c>
      <c r="X4320" s="52" t="str">
        <f>IF(AND(OR(LEFT(TH!L4320,2)="15",LEFT(TH!M4320,2)="15"),'152-CT'!$J$8=TH!F4320),"x","")</f>
        <v/>
      </c>
      <c r="Y4320" s="52" t="str">
        <f>IF(AND(OR(LEFT(TH!L4320,2)="15",LEFT(TH!M4320,2)="15"),TK!$E$7=TH!F4320),"x","")</f>
        <v/>
      </c>
      <c r="Z4320" s="52" t="str">
        <f>IF(AND(B4320&lt;=NKC!$N$8,B4320&gt;=NKC!$M$8),"x","")</f>
        <v/>
      </c>
      <c r="AA4320" s="826"/>
    </row>
    <row r="4321" spans="1:29" ht="15.75" customHeight="1">
      <c r="A4321" s="827" t="str">
        <f>IF(B4321&lt;&gt;"",IF(AND(B4321&gt;=_TM1,B4321&lt;=_TM2,OR(TH!L4321="1111",TH!M4321="1111")),TH!D4321,""),"")</f>
        <v/>
      </c>
      <c r="B4321" s="36" t="str">
        <f t="shared" si="522"/>
        <v/>
      </c>
      <c r="C4321" s="190"/>
      <c r="D4321" s="37"/>
      <c r="E4321" s="190"/>
      <c r="F4321" s="191"/>
      <c r="G4321" s="833"/>
      <c r="H4321" s="192"/>
      <c r="I4321" s="253"/>
      <c r="J4321" s="253"/>
      <c r="K4321" s="584"/>
      <c r="L4321" s="39"/>
      <c r="M4321" s="39"/>
      <c r="N4321" s="52" t="str">
        <f>IF(AND('331-CT'!$E$7=TH!H4321,OR(L4321="331",M4321="331")),"331",IF(AND(OR(L4321="131",M4321="131"),H4321='131-CT'!$E$7),"131",""))</f>
        <v/>
      </c>
      <c r="O4321" s="52" t="str">
        <f>IF(AND($B4321&gt;='111'!$N$11,$B4321&lt;='111'!$O$11,OR($L4321=$O$7,$M4321=$O$7)),"x","")</f>
        <v/>
      </c>
      <c r="P4321" s="52" t="str">
        <f>IF(AND($L4321=$O$7,$B4321&lt;'111'!$N$11),"x","")</f>
        <v/>
      </c>
      <c r="Q4321" s="52" t="str">
        <f>IF(AND($M4321=$O$7,$B4321&lt;'111'!$N$11),"x","")</f>
        <v/>
      </c>
      <c r="R4321" s="52" t="str">
        <f>IF(ISERROR(FIND('112'!$M$9,G4321,1)),"",IF((AND(FIND('112'!$M$9,G4321,1)&gt;=1,$B4321&gt;='112'!$N$8,$B4321&lt;='112'!$O$8,OR($L4321='112'!$I$6,$M4321='112'!$I$6))),"x",""))</f>
        <v/>
      </c>
      <c r="S4321" s="52" t="str">
        <f>IF(ISERROR(FIND('112'!$M$9,G4321,1)),"",IF((AND(LEFT(G4321,2)=LEFT('112'!$M$9,2),B4321&lt;'112'!$N$8,$L4321='112'!$I$6)),"x",""))</f>
        <v/>
      </c>
      <c r="T4321" s="52" t="str">
        <f>IF(ISERROR(FIND('112'!$M$9,G4321,1)),"",IF((AND(RIGHT(G4321,2)=RIGHT('112'!$M$9,2),B4321&lt;'112'!$N$8,$M4321='112'!$I$6)),"x",""))</f>
        <v/>
      </c>
      <c r="U4321" s="52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/>
      </c>
      <c r="V4321" s="52" t="str">
        <f>IF(OR(TH!L4321=TH!$V$7,M4321=TH!$V$7),"x","")</f>
        <v/>
      </c>
      <c r="W4321" s="52" t="str">
        <f>IF(AND(B4321&gt;='IN-NX'!$P$3,B4321&lt;='IN-NX'!$Q$3,'IN-NX'!$D$7=D4321,OR(LEFT(L4321,2)="15",AND(LEFT(M4321,2)&lt;&gt;"15",LEFT(M4321,2)&lt;&gt;"33"))),"x","")</f>
        <v/>
      </c>
      <c r="X4321" s="52" t="str">
        <f>IF(AND(OR(LEFT(TH!L4321,2)="15",LEFT(TH!M4321,2)="15"),'152-CT'!$J$8=TH!F4321),"x","")</f>
        <v/>
      </c>
      <c r="Y4321" s="52" t="str">
        <f>IF(AND(OR(LEFT(TH!L4321,2)="15",LEFT(TH!M4321,2)="15"),TK!$E$7=TH!F4321),"x","")</f>
        <v/>
      </c>
      <c r="Z4321" s="52" t="str">
        <f>IF(AND(B4321&lt;=NKC!$N$8,B4321&gt;=NKC!$M$8),"x","")</f>
        <v/>
      </c>
      <c r="AA4321" s="826"/>
    </row>
    <row r="4322" spans="1:29" ht="15.75" customHeight="1">
      <c r="A4322" s="827" t="str">
        <f>IF(B4322&lt;&gt;"",IF(AND(B4322&gt;=_TM1,B4322&lt;=_TM2,OR(TH!L4322="1111",TH!M4322="1111")),TH!D4322,""),"")</f>
        <v/>
      </c>
      <c r="B4322" s="36" t="str">
        <f t="shared" si="522"/>
        <v/>
      </c>
      <c r="C4322" s="190"/>
      <c r="D4322" s="37"/>
      <c r="E4322" s="190"/>
      <c r="F4322" s="191"/>
      <c r="G4322" s="833"/>
      <c r="H4322" s="192"/>
      <c r="I4322" s="253"/>
      <c r="J4322" s="253"/>
      <c r="K4322" s="584"/>
      <c r="L4322" s="39"/>
      <c r="M4322" s="39"/>
      <c r="N4322" s="52" t="str">
        <f>IF(AND('331-CT'!$E$7=TH!H4322,OR(L4322="331",M4322="331")),"331",IF(AND(OR(L4322="131",M4322="131"),H4322='131-CT'!$E$7),"131",""))</f>
        <v/>
      </c>
      <c r="O4322" s="52" t="str">
        <f>IF(AND($B4322&gt;='111'!$N$11,$B4322&lt;='111'!$O$11,OR($L4322=$O$7,$M4322=$O$7)),"x","")</f>
        <v/>
      </c>
      <c r="P4322" s="52" t="str">
        <f>IF(AND($L4322=$O$7,$B4322&lt;'111'!$N$11),"x","")</f>
        <v/>
      </c>
      <c r="Q4322" s="52" t="str">
        <f>IF(AND($M4322=$O$7,$B4322&lt;'111'!$N$11),"x","")</f>
        <v/>
      </c>
      <c r="R4322" s="52" t="str">
        <f>IF(ISERROR(FIND('112'!$M$9,G4322,1)),"",IF((AND(FIND('112'!$M$9,G4322,1)&gt;=1,$B4322&gt;='112'!$N$8,$B4322&lt;='112'!$O$8,OR($L4322='112'!$I$6,$M4322='112'!$I$6))),"x",""))</f>
        <v/>
      </c>
      <c r="S4322" s="52" t="str">
        <f>IF(ISERROR(FIND('112'!$M$9,G4322,1)),"",IF((AND(LEFT(G4322,2)=LEFT('112'!$M$9,2),B4322&lt;'112'!$N$8,$L4322='112'!$I$6)),"x",""))</f>
        <v/>
      </c>
      <c r="T4322" s="52" t="str">
        <f>IF(ISERROR(FIND('112'!$M$9,G4322,1)),"",IF((AND(RIGHT(G4322,2)=RIGHT('112'!$M$9,2),B4322&lt;'112'!$N$8,$M4322='112'!$I$6)),"x",""))</f>
        <v/>
      </c>
      <c r="U4322" s="52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/>
      </c>
      <c r="V4322" s="52" t="str">
        <f>IF(OR(TH!L4322=TH!$V$7,M4322=TH!$V$7),"x","")</f>
        <v/>
      </c>
      <c r="W4322" s="52" t="str">
        <f>IF(AND(B4322&gt;='IN-NX'!$P$3,B4322&lt;='IN-NX'!$Q$3,'IN-NX'!$D$7=D4322,OR(LEFT(L4322,2)="15",AND(LEFT(M4322,2)&lt;&gt;"15",LEFT(M4322,2)&lt;&gt;"33"))),"x","")</f>
        <v/>
      </c>
      <c r="X4322" s="52" t="str">
        <f>IF(AND(OR(LEFT(TH!L4322,2)="15",LEFT(TH!M4322,2)="15"),'152-CT'!$J$8=TH!F4322),"x","")</f>
        <v/>
      </c>
      <c r="Y4322" s="52" t="str">
        <f>IF(AND(OR(LEFT(TH!L4322,2)="15",LEFT(TH!M4322,2)="15"),TK!$E$7=TH!F4322),"x","")</f>
        <v/>
      </c>
      <c r="Z4322" s="52" t="str">
        <f>IF(AND(B4322&lt;=NKC!$N$8,B4322&gt;=NKC!$M$8),"x","")</f>
        <v/>
      </c>
      <c r="AA4322" s="826"/>
    </row>
    <row r="4323" spans="1:29" ht="15.75" customHeight="1">
      <c r="A4323" s="827" t="str">
        <f>IF(B4323&lt;&gt;"",IF(AND(B4323&gt;=_TM1,B4323&lt;=_TM2,OR(TH!L4323="1111",TH!M4323="1111")),TH!D4323,""),"")</f>
        <v/>
      </c>
      <c r="B4323" s="36" t="str">
        <f t="shared" si="522"/>
        <v/>
      </c>
      <c r="C4323" s="190"/>
      <c r="D4323" s="37"/>
      <c r="E4323" s="190"/>
      <c r="F4323" s="191"/>
      <c r="G4323" s="833"/>
      <c r="H4323" s="192"/>
      <c r="I4323" s="253"/>
      <c r="J4323" s="253"/>
      <c r="K4323" s="584"/>
      <c r="L4323" s="39"/>
      <c r="M4323" s="39"/>
      <c r="N4323" s="52" t="str">
        <f>IF(AND('331-CT'!$E$7=TH!H4323,OR(L4323="331",M4323="331")),"331",IF(AND(OR(L4323="131",M4323="131"),H4323='131-CT'!$E$7),"131",""))</f>
        <v/>
      </c>
      <c r="O4323" s="52" t="str">
        <f>IF(AND($B4323&gt;='111'!$N$11,$B4323&lt;='111'!$O$11,OR($L4323=$O$7,$M4323=$O$7)),"x","")</f>
        <v/>
      </c>
      <c r="P4323" s="52" t="str">
        <f>IF(AND($L4323=$O$7,$B4323&lt;'111'!$N$11),"x","")</f>
        <v/>
      </c>
      <c r="Q4323" s="52" t="str">
        <f>IF(AND($M4323=$O$7,$B4323&lt;'111'!$N$11),"x","")</f>
        <v/>
      </c>
      <c r="R4323" s="52" t="str">
        <f>IF(ISERROR(FIND('112'!$M$9,G4323,1)),"",IF((AND(FIND('112'!$M$9,G4323,1)&gt;=1,$B4323&gt;='112'!$N$8,$B4323&lt;='112'!$O$8,OR($L4323='112'!$I$6,$M4323='112'!$I$6))),"x",""))</f>
        <v/>
      </c>
      <c r="S4323" s="52" t="str">
        <f>IF(ISERROR(FIND('112'!$M$9,G4323,1)),"",IF((AND(LEFT(G4323,2)=LEFT('112'!$M$9,2),B4323&lt;'112'!$N$8,$L4323='112'!$I$6)),"x",""))</f>
        <v/>
      </c>
      <c r="T4323" s="52" t="str">
        <f>IF(ISERROR(FIND('112'!$M$9,G4323,1)),"",IF((AND(RIGHT(G4323,2)=RIGHT('112'!$M$9,2),B4323&lt;'112'!$N$8,$M4323='112'!$I$6)),"x",""))</f>
        <v/>
      </c>
      <c r="U4323" s="52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/>
      </c>
      <c r="V4323" s="52" t="str">
        <f>IF(OR(TH!L4323=TH!$V$7,M4323=TH!$V$7),"x","")</f>
        <v/>
      </c>
      <c r="W4323" s="52" t="str">
        <f>IF(AND(B4323&gt;='IN-NX'!$P$3,B4323&lt;='IN-NX'!$Q$3,'IN-NX'!$D$7=D4323,OR(LEFT(L4323,2)="15",AND(LEFT(M4323,2)&lt;&gt;"15",LEFT(M4323,2)&lt;&gt;"33"))),"x","")</f>
        <v/>
      </c>
      <c r="X4323" s="52" t="str">
        <f>IF(AND(OR(LEFT(TH!L4323,2)="15",LEFT(TH!M4323,2)="15"),'152-CT'!$J$8=TH!F4323),"x","")</f>
        <v/>
      </c>
      <c r="Y4323" s="52" t="str">
        <f>IF(AND(OR(LEFT(TH!L4323,2)="15",LEFT(TH!M4323,2)="15"),TK!$E$7=TH!F4323),"x","")</f>
        <v/>
      </c>
      <c r="Z4323" s="52" t="str">
        <f>IF(AND(B4323&lt;=NKC!$N$8,B4323&gt;=NKC!$M$8),"x","")</f>
        <v/>
      </c>
      <c r="AA4323" s="826"/>
    </row>
    <row r="4324" spans="1:29" ht="15.75" customHeight="1">
      <c r="A4324" s="827" t="str">
        <f>IF(B4324&lt;&gt;"",IF(AND(B4324&gt;=_TM1,B4324&lt;=_TM2,OR(TH!L4324="1111",TH!M4324="1111")),TH!D4324,""),"")</f>
        <v/>
      </c>
      <c r="B4324" s="36" t="str">
        <f t="shared" si="522"/>
        <v/>
      </c>
      <c r="C4324" s="190"/>
      <c r="D4324" s="37"/>
      <c r="E4324" s="190"/>
      <c r="F4324" s="191"/>
      <c r="G4324" s="833"/>
      <c r="H4324" s="192"/>
      <c r="I4324" s="253"/>
      <c r="J4324" s="253"/>
      <c r="K4324" s="584"/>
      <c r="L4324" s="39"/>
      <c r="M4324" s="39"/>
      <c r="N4324" s="52" t="str">
        <f>IF(AND('331-CT'!$E$7=TH!H4324,OR(L4324="331",M4324="331")),"331",IF(AND(OR(L4324="131",M4324="131"),H4324='131-CT'!$E$7),"131",""))</f>
        <v/>
      </c>
      <c r="O4324" s="52" t="str">
        <f>IF(AND($B4324&gt;='111'!$N$11,$B4324&lt;='111'!$O$11,OR($L4324=$O$7,$M4324=$O$7)),"x","")</f>
        <v/>
      </c>
      <c r="P4324" s="52" t="str">
        <f>IF(AND($L4324=$O$7,$B4324&lt;'111'!$N$11),"x","")</f>
        <v/>
      </c>
      <c r="Q4324" s="52" t="str">
        <f>IF(AND($M4324=$O$7,$B4324&lt;'111'!$N$11),"x","")</f>
        <v/>
      </c>
      <c r="R4324" s="52" t="str">
        <f>IF(ISERROR(FIND('112'!$M$9,G4324,1)),"",IF((AND(FIND('112'!$M$9,G4324,1)&gt;=1,$B4324&gt;='112'!$N$8,$B4324&lt;='112'!$O$8,OR($L4324='112'!$I$6,$M4324='112'!$I$6))),"x",""))</f>
        <v/>
      </c>
      <c r="S4324" s="52" t="str">
        <f>IF(ISERROR(FIND('112'!$M$9,G4324,1)),"",IF((AND(LEFT(G4324,2)=LEFT('112'!$M$9,2),B4324&lt;'112'!$N$8,$L4324='112'!$I$6)),"x",""))</f>
        <v/>
      </c>
      <c r="T4324" s="52" t="str">
        <f>IF(ISERROR(FIND('112'!$M$9,G4324,1)),"",IF((AND(RIGHT(G4324,2)=RIGHT('112'!$M$9,2),B4324&lt;'112'!$N$8,$M4324='112'!$I$6)),"x",""))</f>
        <v/>
      </c>
      <c r="U4324" s="52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/>
      </c>
      <c r="V4324" s="52" t="str">
        <f>IF(OR(TH!L4324=TH!$V$7,M4324=TH!$V$7),"x","")</f>
        <v/>
      </c>
      <c r="W4324" s="52" t="str">
        <f>IF(AND(B4324&gt;='IN-NX'!$P$3,B4324&lt;='IN-NX'!$Q$3,'IN-NX'!$D$7=D4324,OR(LEFT(L4324,2)="15",AND(LEFT(M4324,2)&lt;&gt;"15",LEFT(M4324,2)&lt;&gt;"33"))),"x","")</f>
        <v/>
      </c>
      <c r="X4324" s="52" t="str">
        <f>IF(AND(OR(LEFT(TH!L4324,2)="15",LEFT(TH!M4324,2)="15"),'152-CT'!$J$8=TH!F4324),"x","")</f>
        <v/>
      </c>
      <c r="Y4324" s="52" t="str">
        <f>IF(AND(OR(LEFT(TH!L4324,2)="15",LEFT(TH!M4324,2)="15"),TK!$E$7=TH!F4324),"x","")</f>
        <v/>
      </c>
      <c r="Z4324" s="52" t="str">
        <f>IF(AND(B4324&lt;=NKC!$N$8,B4324&gt;=NKC!$M$8),"x","")</f>
        <v/>
      </c>
      <c r="AA4324" s="826"/>
    </row>
    <row r="4325" spans="1:29" ht="15.75" customHeight="1">
      <c r="A4325" s="827" t="str">
        <f>IF(B4325&lt;&gt;"",IF(AND(B4325&gt;=_TM1,B4325&lt;=_TM2,OR(TH!L4325="1111",TH!M4325="1111")),TH!D4325,""),"")</f>
        <v/>
      </c>
      <c r="B4325" s="36" t="str">
        <f t="shared" si="522"/>
        <v/>
      </c>
      <c r="C4325" s="190"/>
      <c r="D4325" s="37"/>
      <c r="E4325" s="190"/>
      <c r="F4325" s="191"/>
      <c r="G4325" s="833"/>
      <c r="H4325" s="192"/>
      <c r="I4325" s="253"/>
      <c r="J4325" s="253"/>
      <c r="K4325" s="584"/>
      <c r="L4325" s="39"/>
      <c r="M4325" s="39"/>
      <c r="N4325" s="52" t="str">
        <f>IF(AND('331-CT'!$E$7=TH!H4325,OR(L4325="331",M4325="331")),"331",IF(AND(OR(L4325="131",M4325="131"),H4325='131-CT'!$E$7),"131",""))</f>
        <v/>
      </c>
      <c r="O4325" s="52" t="str">
        <f>IF(AND($B4325&gt;='111'!$N$11,$B4325&lt;='111'!$O$11,OR($L4325=$O$7,$M4325=$O$7)),"x","")</f>
        <v/>
      </c>
      <c r="P4325" s="52" t="str">
        <f>IF(AND($L4325=$O$7,$B4325&lt;'111'!$N$11),"x","")</f>
        <v/>
      </c>
      <c r="Q4325" s="52" t="str">
        <f>IF(AND($M4325=$O$7,$B4325&lt;'111'!$N$11),"x","")</f>
        <v/>
      </c>
      <c r="R4325" s="52" t="str">
        <f>IF(ISERROR(FIND('112'!$M$9,G4325,1)),"",IF((AND(FIND('112'!$M$9,G4325,1)&gt;=1,$B4325&gt;='112'!$N$8,$B4325&lt;='112'!$O$8,OR($L4325='112'!$I$6,$M4325='112'!$I$6))),"x",""))</f>
        <v/>
      </c>
      <c r="S4325" s="52" t="str">
        <f>IF(ISERROR(FIND('112'!$M$9,G4325,1)),"",IF((AND(LEFT(G4325,2)=LEFT('112'!$M$9,2),B4325&lt;'112'!$N$8,$L4325='112'!$I$6)),"x",""))</f>
        <v/>
      </c>
      <c r="T4325" s="52" t="str">
        <f>IF(ISERROR(FIND('112'!$M$9,G4325,1)),"",IF((AND(RIGHT(G4325,2)=RIGHT('112'!$M$9,2),B4325&lt;'112'!$N$8,$M4325='112'!$I$6)),"x",""))</f>
        <v/>
      </c>
      <c r="U4325" s="52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/>
      </c>
      <c r="V4325" s="52" t="str">
        <f>IF(OR(TH!L4325=TH!$V$7,M4325=TH!$V$7),"x","")</f>
        <v/>
      </c>
      <c r="W4325" s="52" t="str">
        <f>IF(AND(B4325&gt;='IN-NX'!$P$3,B4325&lt;='IN-NX'!$Q$3,'IN-NX'!$D$7=D4325,OR(LEFT(L4325,2)="15",AND(LEFT(M4325,2)&lt;&gt;"15",LEFT(M4325,2)&lt;&gt;"33"))),"x","")</f>
        <v/>
      </c>
      <c r="X4325" s="52" t="str">
        <f>IF(AND(OR(LEFT(TH!L4325,2)="15",LEFT(TH!M4325,2)="15"),'152-CT'!$J$8=TH!F4325),"x","")</f>
        <v/>
      </c>
      <c r="Y4325" s="52" t="str">
        <f>IF(AND(OR(LEFT(TH!L4325,2)="15",LEFT(TH!M4325,2)="15"),TK!$E$7=TH!F4325),"x","")</f>
        <v/>
      </c>
      <c r="Z4325" s="52" t="str">
        <f>IF(AND(B4325&lt;=NKC!$N$8,B4325&gt;=NKC!$M$8),"x","")</f>
        <v/>
      </c>
      <c r="AA4325" s="826"/>
    </row>
    <row r="4326" spans="1:29" ht="15.75" customHeight="1">
      <c r="A4326" s="827" t="str">
        <f>IF(B4326&lt;&gt;"",IF(AND(B4326&gt;=_TM1,B4326&lt;=_TM2,OR(TH!L4326="1111",TH!M4326="1111")),TH!D4326,""),"")</f>
        <v/>
      </c>
      <c r="B4326" s="36" t="str">
        <f t="shared" si="522"/>
        <v/>
      </c>
      <c r="C4326" s="183"/>
      <c r="D4326" s="183"/>
      <c r="E4326" s="183"/>
      <c r="F4326" s="188"/>
      <c r="G4326" s="835"/>
      <c r="H4326" s="7"/>
      <c r="I4326" s="253"/>
      <c r="J4326" s="253"/>
      <c r="K4326" s="584"/>
      <c r="L4326" s="585"/>
      <c r="M4326" s="585"/>
      <c r="N4326" s="52" t="str">
        <f>IF(AND('331-CT'!$E$7=TH!H4326,OR(L4326="331",M4326="331")),"331",IF(AND(OR(L4326="131",M4326="131"),H4326='131-CT'!$E$7),"131",""))</f>
        <v/>
      </c>
      <c r="O4326" s="52" t="str">
        <f>IF(AND($B4326&gt;='111'!$N$11,$B4326&lt;='111'!$O$11,OR($L4326=$O$7,$M4326=$O$7)),"x","")</f>
        <v/>
      </c>
      <c r="P4326" s="52" t="str">
        <f>IF(AND($L4326=$O$7,$B4326&lt;'111'!$N$11),"x","")</f>
        <v/>
      </c>
      <c r="Q4326" s="52" t="str">
        <f>IF(AND($M4326=$O$7,$B4326&lt;'111'!$N$11),"x","")</f>
        <v/>
      </c>
      <c r="R4326" s="52" t="str">
        <f>IF(ISERROR(FIND('112'!$M$9,G4326,1)),"",IF((AND(FIND('112'!$M$9,G4326,1)&gt;=1,$B4326&gt;='112'!$N$8,$B4326&lt;='112'!$O$8,OR($L4326='112'!$I$6,$M4326='112'!$I$6))),"x",""))</f>
        <v/>
      </c>
      <c r="S4326" s="52" t="str">
        <f>IF(ISERROR(FIND('112'!$M$9,G4326,1)),"",IF((AND(LEFT(G4326,2)=LEFT('112'!$M$9,2),B4326&lt;'112'!$N$8,$L4326='112'!$I$6)),"x",""))</f>
        <v/>
      </c>
      <c r="T4326" s="52" t="str">
        <f>IF(ISERROR(FIND('112'!$M$9,G4326,1)),"",IF((AND(RIGHT(G4326,2)=RIGHT('112'!$M$9,2),B4326&lt;'112'!$N$8,$M4326='112'!$I$6)),"x",""))</f>
        <v/>
      </c>
      <c r="U4326" s="52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/>
      </c>
      <c r="V4326" s="52" t="str">
        <f>IF(OR(TH!L4326=TH!$V$7,M4326=TH!$V$7),"x","")</f>
        <v/>
      </c>
      <c r="W4326" s="52" t="str">
        <f>IF(AND(B4326&gt;='IN-NX'!$P$3,B4326&lt;='IN-NX'!$Q$3,'IN-NX'!$D$7=D4326,OR(LEFT(L4326,2)="15",AND(LEFT(M4326,2)&lt;&gt;"15",LEFT(M4326,2)&lt;&gt;"33"))),"x","")</f>
        <v/>
      </c>
      <c r="X4326" s="52" t="str">
        <f>IF(AND(OR(LEFT(TH!L4326,2)="15",LEFT(TH!M4326,2)="15"),'152-CT'!$J$8=TH!F4326),"x","")</f>
        <v/>
      </c>
      <c r="Y4326" s="52" t="str">
        <f>IF(AND(OR(LEFT(TH!L4326,2)="15",LEFT(TH!M4326,2)="15"),TK!$E$7=TH!F4326),"x","")</f>
        <v/>
      </c>
      <c r="Z4326" s="52" t="str">
        <f>IF(AND(B4326&lt;=NKC!$N$8,B4326&gt;=NKC!$M$8),"x","")</f>
        <v/>
      </c>
      <c r="AA4326" s="826"/>
    </row>
    <row r="4327" spans="1:29" ht="15.75" customHeight="1">
      <c r="A4327" s="827" t="str">
        <f>IF(B4327&lt;&gt;"",IF(AND(B4327&gt;=_TM1,B4327&lt;=_TM2,OR(TH!L4327="1111",TH!M4327="1111")),TH!D4327,""),"")</f>
        <v/>
      </c>
      <c r="B4327" s="36" t="str">
        <f t="shared" si="522"/>
        <v/>
      </c>
      <c r="C4327" s="190"/>
      <c r="D4327" s="183"/>
      <c r="E4327" s="183"/>
      <c r="F4327" s="188"/>
      <c r="G4327" s="833"/>
      <c r="H4327" s="7"/>
      <c r="I4327" s="253"/>
      <c r="J4327" s="253"/>
      <c r="K4327" s="38"/>
      <c r="L4327" s="193"/>
      <c r="M4327" s="193"/>
      <c r="N4327" s="52" t="str">
        <f>IF(AND('331-CT'!$E$7=TH!H4327,OR(L4327="331",M4327="331")),"331",IF(AND(OR(L4327="131",M4327="131"),H4327='131-CT'!$E$7),"131",""))</f>
        <v/>
      </c>
      <c r="O4327" s="52" t="str">
        <f>IF(AND($B4327&gt;='111'!$N$11,$B4327&lt;='111'!$O$11,OR($L4327=$O$7,$M4327=$O$7)),"x","")</f>
        <v/>
      </c>
      <c r="P4327" s="52" t="str">
        <f>IF(AND($L4327=$O$7,$B4327&lt;'111'!$N$11),"x","")</f>
        <v/>
      </c>
      <c r="Q4327" s="52" t="str">
        <f>IF(AND($M4327=$O$7,$B4327&lt;'111'!$N$11),"x","")</f>
        <v/>
      </c>
      <c r="R4327" s="52" t="str">
        <f>IF(ISERROR(FIND('112'!$M$9,G4327,1)),"",IF((AND(FIND('112'!$M$9,G4327,1)&gt;=1,$B4327&gt;='112'!$N$8,$B4327&lt;='112'!$O$8,OR($L4327='112'!$I$6,$M4327='112'!$I$6))),"x",""))</f>
        <v/>
      </c>
      <c r="S4327" s="52" t="str">
        <f>IF(ISERROR(FIND('112'!$M$9,G4327,1)),"",IF((AND(LEFT(G4327,2)=LEFT('112'!$M$9,2),B4327&lt;'112'!$N$8,$L4327='112'!$I$6)),"x",""))</f>
        <v/>
      </c>
      <c r="T4327" s="52" t="str">
        <f>IF(ISERROR(FIND('112'!$M$9,G4327,1)),"",IF((AND(RIGHT(G4327,2)=RIGHT('112'!$M$9,2),B4327&lt;'112'!$N$8,$M4327='112'!$I$6)),"x",""))</f>
        <v/>
      </c>
      <c r="U4327" s="52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/>
      </c>
      <c r="V4327" s="52" t="str">
        <f>IF(OR(TH!L4327=TH!$V$7,M4327=TH!$V$7),"x","")</f>
        <v/>
      </c>
      <c r="W4327" s="52" t="str">
        <f>IF(AND(B4327&gt;='IN-NX'!$P$3,B4327&lt;='IN-NX'!$Q$3,'IN-NX'!$D$7=D4327,OR(LEFT(L4327,2)="15",AND(LEFT(M4327,2)&lt;&gt;"15",LEFT(M4327,2)&lt;&gt;"33"))),"x","")</f>
        <v/>
      </c>
      <c r="X4327" s="52" t="str">
        <f>IF(AND(OR(LEFT(TH!L4327,2)="15",LEFT(TH!M4327,2)="15"),'152-CT'!$J$8=TH!F4327),"x","")</f>
        <v/>
      </c>
      <c r="Y4327" s="52" t="str">
        <f>IF(AND(OR(LEFT(TH!L4327,2)="15",LEFT(TH!M4327,2)="15"),TK!$E$7=TH!F4327),"x","")</f>
        <v/>
      </c>
      <c r="Z4327" s="52" t="str">
        <f>IF(AND(B4327&lt;=NKC!$N$8,B4327&gt;=NKC!$M$8),"x","")</f>
        <v/>
      </c>
      <c r="AA4327" s="826"/>
      <c r="AB4327" s="576"/>
      <c r="AC4327" s="576"/>
    </row>
    <row r="4328" spans="1:29" ht="15.75" customHeight="1">
      <c r="A4328" s="827" t="str">
        <f>IF(B4328&lt;&gt;"",IF(AND(B4328&gt;=_TM1,B4328&lt;=_TM2,OR(TH!L4328="1111",TH!M4328="1111")),TH!D4328,""),"")</f>
        <v/>
      </c>
      <c r="B4328" s="36" t="str">
        <f t="shared" si="522"/>
        <v/>
      </c>
      <c r="C4328" s="190"/>
      <c r="D4328" s="183"/>
      <c r="E4328" s="183"/>
      <c r="F4328" s="188"/>
      <c r="G4328" s="833"/>
      <c r="H4328" s="7"/>
      <c r="I4328" s="253"/>
      <c r="J4328" s="253"/>
      <c r="K4328" s="38"/>
      <c r="L4328" s="193"/>
      <c r="M4328" s="193"/>
      <c r="N4328" s="52" t="str">
        <f>IF(AND('331-CT'!$E$7=TH!H4328,OR(L4328="331",M4328="331")),"331",IF(AND(OR(L4328="131",M4328="131"),H4328='131-CT'!$E$7),"131",""))</f>
        <v/>
      </c>
      <c r="O4328" s="52" t="str">
        <f>IF(AND($B4328&gt;='111'!$N$11,$B4328&lt;='111'!$O$11,OR($L4328=$O$7,$M4328=$O$7)),"x","")</f>
        <v/>
      </c>
      <c r="P4328" s="52" t="str">
        <f>IF(AND($L4328=$O$7,$B4328&lt;'111'!$N$11),"x","")</f>
        <v/>
      </c>
      <c r="Q4328" s="52" t="str">
        <f>IF(AND($M4328=$O$7,$B4328&lt;'111'!$N$11),"x","")</f>
        <v/>
      </c>
      <c r="R4328" s="52" t="str">
        <f>IF(ISERROR(FIND('112'!$M$9,G4328,1)),"",IF((AND(FIND('112'!$M$9,G4328,1)&gt;=1,$B4328&gt;='112'!$N$8,$B4328&lt;='112'!$O$8,OR($L4328='112'!$I$6,$M4328='112'!$I$6))),"x",""))</f>
        <v/>
      </c>
      <c r="S4328" s="52" t="str">
        <f>IF(ISERROR(FIND('112'!$M$9,G4328,1)),"",IF((AND(LEFT(G4328,2)=LEFT('112'!$M$9,2),B4328&lt;'112'!$N$8,$L4328='112'!$I$6)),"x",""))</f>
        <v/>
      </c>
      <c r="T4328" s="52" t="str">
        <f>IF(ISERROR(FIND('112'!$M$9,G4328,1)),"",IF((AND(RIGHT(G4328,2)=RIGHT('112'!$M$9,2),B4328&lt;'112'!$N$8,$M4328='112'!$I$6)),"x",""))</f>
        <v/>
      </c>
      <c r="U4328" s="52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/>
      </c>
      <c r="V4328" s="52" t="str">
        <f>IF(OR(TH!L4328=TH!$V$7,M4328=TH!$V$7),"x","")</f>
        <v/>
      </c>
      <c r="W4328" s="52" t="str">
        <f>IF(AND(B4328&gt;='IN-NX'!$P$3,B4328&lt;='IN-NX'!$Q$3,'IN-NX'!$D$7=D4328,OR(LEFT(L4328,2)="15",AND(LEFT(M4328,2)&lt;&gt;"15",LEFT(M4328,2)&lt;&gt;"33"))),"x","")</f>
        <v/>
      </c>
      <c r="X4328" s="52" t="str">
        <f>IF(AND(OR(LEFT(TH!L4328,2)="15",LEFT(TH!M4328,2)="15"),'152-CT'!$J$8=TH!F4328),"x","")</f>
        <v/>
      </c>
      <c r="Y4328" s="52" t="str">
        <f>IF(AND(OR(LEFT(TH!L4328,2)="15",LEFT(TH!M4328,2)="15"),TK!$E$7=TH!F4328),"x","")</f>
        <v/>
      </c>
      <c r="Z4328" s="52" t="str">
        <f>IF(AND(B4328&lt;=NKC!$N$8,B4328&gt;=NKC!$M$8),"x","")</f>
        <v/>
      </c>
      <c r="AA4328" s="826"/>
      <c r="AB4328" s="576"/>
      <c r="AC4328" s="576"/>
    </row>
    <row r="4329" spans="1:29" ht="15.75" customHeight="1">
      <c r="A4329" s="827" t="str">
        <f>IF(B4329&lt;&gt;"",IF(AND(B4329&gt;=_TM1,B4329&lt;=_TM2,OR(TH!L4329="1111",TH!M4329="1111")),TH!D4329,""),"")</f>
        <v/>
      </c>
      <c r="B4329" s="36" t="str">
        <f t="shared" si="522"/>
        <v/>
      </c>
      <c r="C4329" s="190"/>
      <c r="D4329" s="190"/>
      <c r="E4329" s="183"/>
      <c r="F4329" s="191"/>
      <c r="G4329" s="833"/>
      <c r="H4329" s="763"/>
      <c r="I4329" s="253"/>
      <c r="J4329" s="253"/>
      <c r="K4329" s="584"/>
      <c r="L4329" s="193"/>
      <c r="M4329" s="193"/>
      <c r="N4329" s="52" t="str">
        <f>IF(AND('331-CT'!$E$7=TH!H4329,OR(L4329="331",M4329="331")),"331",IF(AND(OR(L4329="131",M4329="131"),H4329='131-CT'!$E$7),"131",""))</f>
        <v/>
      </c>
      <c r="O4329" s="52" t="str">
        <f>IF(AND($B4329&gt;='111'!$N$11,$B4329&lt;='111'!$O$11,OR($L4329=$O$7,$M4329=$O$7)),"x","")</f>
        <v/>
      </c>
      <c r="P4329" s="52" t="str">
        <f>IF(AND($L4329=$O$7,$B4329&lt;'111'!$N$11),"x","")</f>
        <v/>
      </c>
      <c r="Q4329" s="52" t="str">
        <f>IF(AND($M4329=$O$7,$B4329&lt;'111'!$N$11),"x","")</f>
        <v/>
      </c>
      <c r="R4329" s="52" t="str">
        <f>IF(ISERROR(FIND('112'!$M$9,G4329,1)),"",IF((AND(FIND('112'!$M$9,G4329,1)&gt;=1,$B4329&gt;='112'!$N$8,$B4329&lt;='112'!$O$8,OR($L4329='112'!$I$6,$M4329='112'!$I$6))),"x",""))</f>
        <v/>
      </c>
      <c r="S4329" s="52" t="str">
        <f>IF(ISERROR(FIND('112'!$M$9,G4329,1)),"",IF((AND(LEFT(G4329,2)=LEFT('112'!$M$9,2),B4329&lt;'112'!$N$8,$L4329='112'!$I$6)),"x",""))</f>
        <v/>
      </c>
      <c r="T4329" s="52" t="str">
        <f>IF(ISERROR(FIND('112'!$M$9,G4329,1)),"",IF((AND(RIGHT(G4329,2)=RIGHT('112'!$M$9,2),B4329&lt;'112'!$N$8,$M4329='112'!$I$6)),"x",""))</f>
        <v/>
      </c>
      <c r="U4329" s="52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/>
      </c>
      <c r="V4329" s="52" t="str">
        <f>IF(OR(TH!L4329=TH!$V$7,M4329=TH!$V$7),"x","")</f>
        <v/>
      </c>
      <c r="W4329" s="52" t="str">
        <f>IF(AND(B4329&gt;='IN-NX'!$P$3,B4329&lt;='IN-NX'!$Q$3,'IN-NX'!$D$7=D4329,OR(LEFT(L4329,2)="15",AND(LEFT(M4329,2)&lt;&gt;"15",LEFT(M4329,2)&lt;&gt;"33"))),"x","")</f>
        <v/>
      </c>
      <c r="X4329" s="52" t="str">
        <f>IF(AND(OR(LEFT(TH!L4329,2)="15",LEFT(TH!M4329,2)="15"),'152-CT'!$J$8=TH!F4329),"x","")</f>
        <v/>
      </c>
      <c r="Y4329" s="52" t="str">
        <f>IF(AND(OR(LEFT(TH!L4329,2)="15",LEFT(TH!M4329,2)="15"),TK!$E$7=TH!F4329),"x","")</f>
        <v/>
      </c>
      <c r="Z4329" s="52" t="str">
        <f>IF(AND(B4329&lt;=NKC!$N$8,B4329&gt;=NKC!$M$8),"x","")</f>
        <v/>
      </c>
      <c r="AA4329" s="826"/>
    </row>
    <row r="4330" spans="1:29" ht="15.75" customHeight="1">
      <c r="A4330" s="827" t="str">
        <f>IF(B4330&lt;&gt;"",IF(AND(B4330&gt;=_TM1,B4330&lt;=_TM2,OR(TH!L4330="1111",TH!M4330="1111")),TH!D4330,""),"")</f>
        <v/>
      </c>
      <c r="B4330" s="36" t="str">
        <f t="shared" si="522"/>
        <v/>
      </c>
      <c r="C4330" s="190"/>
      <c r="D4330" s="190"/>
      <c r="E4330" s="190"/>
      <c r="F4330" s="188"/>
      <c r="G4330" s="832"/>
      <c r="H4330" s="7"/>
      <c r="I4330" s="253"/>
      <c r="J4330" s="253"/>
      <c r="K4330" s="584"/>
      <c r="L4330" s="39"/>
      <c r="M4330" s="39"/>
      <c r="N4330" s="52" t="str">
        <f>IF(AND('331-CT'!$E$7=TH!H4330,OR(L4330="331",M4330="331")),"331",IF(AND(OR(L4330="131",M4330="131"),H4330='131-CT'!$E$7),"131",""))</f>
        <v/>
      </c>
      <c r="O4330" s="52" t="str">
        <f>IF(AND($B4330&gt;='111'!$N$11,$B4330&lt;='111'!$O$11,OR($L4330=$O$7,$M4330=$O$7)),"x","")</f>
        <v/>
      </c>
      <c r="P4330" s="52" t="str">
        <f>IF(AND($L4330=$O$7,$B4330&lt;'111'!$N$11),"x","")</f>
        <v/>
      </c>
      <c r="Q4330" s="52" t="str">
        <f>IF(AND($M4330=$O$7,$B4330&lt;'111'!$N$11),"x","")</f>
        <v/>
      </c>
      <c r="R4330" s="52" t="str">
        <f>IF(ISERROR(FIND('112'!$M$9,G4330,1)),"",IF((AND(FIND('112'!$M$9,G4330,1)&gt;=1,$B4330&gt;='112'!$N$8,$B4330&lt;='112'!$O$8,OR($L4330='112'!$I$6,$M4330='112'!$I$6))),"x",""))</f>
        <v/>
      </c>
      <c r="S4330" s="52" t="str">
        <f>IF(ISERROR(FIND('112'!$M$9,G4330,1)),"",IF((AND(LEFT(G4330,2)=LEFT('112'!$M$9,2),B4330&lt;'112'!$N$8,$L4330='112'!$I$6)),"x",""))</f>
        <v/>
      </c>
      <c r="T4330" s="52" t="str">
        <f>IF(ISERROR(FIND('112'!$M$9,G4330,1)),"",IF((AND(RIGHT(G4330,2)=RIGHT('112'!$M$9,2),B4330&lt;'112'!$N$8,$M4330='112'!$I$6)),"x",""))</f>
        <v/>
      </c>
      <c r="U4330" s="52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/>
      </c>
      <c r="V4330" s="52" t="str">
        <f>IF(OR(TH!L4330=TH!$V$7,M4330=TH!$V$7),"x","")</f>
        <v/>
      </c>
      <c r="W4330" s="52" t="str">
        <f>IF(AND(B4330&gt;='IN-NX'!$P$3,B4330&lt;='IN-NX'!$Q$3,'IN-NX'!$D$7=D4330,OR(LEFT(L4330,2)="15",AND(LEFT(M4330,2)&lt;&gt;"15",LEFT(M4330,2)&lt;&gt;"33"))),"x","")</f>
        <v/>
      </c>
      <c r="X4330" s="52" t="str">
        <f>IF(AND(OR(LEFT(TH!L4330,2)="15",LEFT(TH!M4330,2)="15"),'152-CT'!$J$8=TH!F4330),"x","")</f>
        <v/>
      </c>
      <c r="Y4330" s="52" t="str">
        <f>IF(AND(OR(LEFT(TH!L4330,2)="15",LEFT(TH!M4330,2)="15"),TK!$E$7=TH!F4330),"x","")</f>
        <v/>
      </c>
      <c r="Z4330" s="52" t="str">
        <f>IF(AND(B4330&lt;=NKC!$N$8,B4330&gt;=NKC!$M$8),"x","")</f>
        <v/>
      </c>
      <c r="AA4330" s="826"/>
    </row>
    <row r="4331" spans="1:29" ht="15.75" customHeight="1">
      <c r="A4331" s="827" t="str">
        <f>IF(B4331&lt;&gt;"",IF(AND(B4331&gt;=_TM1,B4331&lt;=_TM2,OR(TH!L4331="1111",TH!M4331="1111")),TH!D4331,""),"")</f>
        <v/>
      </c>
      <c r="B4331" s="36" t="str">
        <f t="shared" si="522"/>
        <v/>
      </c>
      <c r="C4331" s="190"/>
      <c r="D4331" s="190"/>
      <c r="E4331" s="190"/>
      <c r="F4331" s="188"/>
      <c r="G4331" s="832"/>
      <c r="H4331" s="7"/>
      <c r="I4331" s="253"/>
      <c r="J4331" s="253"/>
      <c r="K4331" s="584"/>
      <c r="L4331" s="39"/>
      <c r="M4331" s="39"/>
      <c r="N4331" s="52" t="str">
        <f>IF(AND('331-CT'!$E$7=TH!H4331,OR(L4331="331",M4331="331")),"331",IF(AND(OR(L4331="131",M4331="131"),H4331='131-CT'!$E$7),"131",""))</f>
        <v/>
      </c>
      <c r="O4331" s="52" t="str">
        <f>IF(AND($B4331&gt;='111'!$N$11,$B4331&lt;='111'!$O$11,OR($L4331=$O$7,$M4331=$O$7)),"x","")</f>
        <v/>
      </c>
      <c r="P4331" s="52" t="str">
        <f>IF(AND($L4331=$O$7,$B4331&lt;'111'!$N$11),"x","")</f>
        <v/>
      </c>
      <c r="Q4331" s="52" t="str">
        <f>IF(AND($M4331=$O$7,$B4331&lt;'111'!$N$11),"x","")</f>
        <v/>
      </c>
      <c r="R4331" s="52" t="str">
        <f>IF(ISERROR(FIND('112'!$M$9,G4331,1)),"",IF((AND(FIND('112'!$M$9,G4331,1)&gt;=1,$B4331&gt;='112'!$N$8,$B4331&lt;='112'!$O$8,OR($L4331='112'!$I$6,$M4331='112'!$I$6))),"x",""))</f>
        <v/>
      </c>
      <c r="S4331" s="52" t="str">
        <f>IF(ISERROR(FIND('112'!$M$9,G4331,1)),"",IF((AND(LEFT(G4331,2)=LEFT('112'!$M$9,2),B4331&lt;'112'!$N$8,$L4331='112'!$I$6)),"x",""))</f>
        <v/>
      </c>
      <c r="T4331" s="52" t="str">
        <f>IF(ISERROR(FIND('112'!$M$9,G4331,1)),"",IF((AND(RIGHT(G4331,2)=RIGHT('112'!$M$9,2),B4331&lt;'112'!$N$8,$M4331='112'!$I$6)),"x",""))</f>
        <v/>
      </c>
      <c r="U4331" s="52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/>
      </c>
      <c r="V4331" s="52" t="str">
        <f>IF(OR(TH!L4331=TH!$V$7,M4331=TH!$V$7),"x","")</f>
        <v/>
      </c>
      <c r="W4331" s="52" t="str">
        <f>IF(AND(B4331&gt;='IN-NX'!$P$3,B4331&lt;='IN-NX'!$Q$3,'IN-NX'!$D$7=D4331,OR(LEFT(L4331,2)="15",AND(LEFT(M4331,2)&lt;&gt;"15",LEFT(M4331,2)&lt;&gt;"33"))),"x","")</f>
        <v/>
      </c>
      <c r="X4331" s="52" t="str">
        <f>IF(AND(OR(LEFT(TH!L4331,2)="15",LEFT(TH!M4331,2)="15"),'152-CT'!$J$8=TH!F4331),"x","")</f>
        <v/>
      </c>
      <c r="Y4331" s="52" t="str">
        <f>IF(AND(OR(LEFT(TH!L4331,2)="15",LEFT(TH!M4331,2)="15"),TK!$E$7=TH!F4331),"x","")</f>
        <v/>
      </c>
      <c r="Z4331" s="52" t="str">
        <f>IF(AND(B4331&lt;=NKC!$N$8,B4331&gt;=NKC!$M$8),"x","")</f>
        <v/>
      </c>
      <c r="AA4331" s="826"/>
    </row>
    <row r="4332" spans="1:29" ht="15.75" customHeight="1">
      <c r="A4332" s="827" t="str">
        <f>IF(B4332&lt;&gt;"",IF(AND(B4332&gt;=_TM1,B4332&lt;=_TM2,OR(TH!L4332="1111",TH!M4332="1111")),TH!D4332,""),"")</f>
        <v/>
      </c>
      <c r="B4332" s="36" t="str">
        <f t="shared" si="522"/>
        <v/>
      </c>
      <c r="C4332" s="190"/>
      <c r="D4332" s="190"/>
      <c r="E4332" s="190"/>
      <c r="F4332" s="188"/>
      <c r="G4332" s="832"/>
      <c r="H4332" s="7"/>
      <c r="I4332" s="253"/>
      <c r="J4332" s="253"/>
      <c r="K4332" s="584"/>
      <c r="L4332" s="39"/>
      <c r="M4332" s="39"/>
      <c r="N4332" s="52" t="str">
        <f>IF(AND('331-CT'!$E$7=TH!H4332,OR(L4332="331",M4332="331")),"331",IF(AND(OR(L4332="131",M4332="131"),H4332='131-CT'!$E$7),"131",""))</f>
        <v/>
      </c>
      <c r="O4332" s="52" t="str">
        <f>IF(AND($B4332&gt;='111'!$N$11,$B4332&lt;='111'!$O$11,OR($L4332=$O$7,$M4332=$O$7)),"x","")</f>
        <v/>
      </c>
      <c r="P4332" s="52" t="str">
        <f>IF(AND($L4332=$O$7,$B4332&lt;'111'!$N$11),"x","")</f>
        <v/>
      </c>
      <c r="Q4332" s="52" t="str">
        <f>IF(AND($M4332=$O$7,$B4332&lt;'111'!$N$11),"x","")</f>
        <v/>
      </c>
      <c r="R4332" s="52" t="str">
        <f>IF(ISERROR(FIND('112'!$M$9,G4332,1)),"",IF((AND(FIND('112'!$M$9,G4332,1)&gt;=1,$B4332&gt;='112'!$N$8,$B4332&lt;='112'!$O$8,OR($L4332='112'!$I$6,$M4332='112'!$I$6))),"x",""))</f>
        <v/>
      </c>
      <c r="S4332" s="52" t="str">
        <f>IF(ISERROR(FIND('112'!$M$9,G4332,1)),"",IF((AND(LEFT(G4332,2)=LEFT('112'!$M$9,2),B4332&lt;'112'!$N$8,$L4332='112'!$I$6)),"x",""))</f>
        <v/>
      </c>
      <c r="T4332" s="52" t="str">
        <f>IF(ISERROR(FIND('112'!$M$9,G4332,1)),"",IF((AND(RIGHT(G4332,2)=RIGHT('112'!$M$9,2),B4332&lt;'112'!$N$8,$M4332='112'!$I$6)),"x",""))</f>
        <v/>
      </c>
      <c r="U4332" s="52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/>
      </c>
      <c r="V4332" s="52" t="str">
        <f>IF(OR(TH!L4332=TH!$V$7,M4332=TH!$V$7),"x","")</f>
        <v/>
      </c>
      <c r="W4332" s="52" t="str">
        <f>IF(AND(B4332&gt;='IN-NX'!$P$3,B4332&lt;='IN-NX'!$Q$3,'IN-NX'!$D$7=D4332,OR(LEFT(L4332,2)="15",AND(LEFT(M4332,2)&lt;&gt;"15",LEFT(M4332,2)&lt;&gt;"33"))),"x","")</f>
        <v/>
      </c>
      <c r="X4332" s="52" t="str">
        <f>IF(AND(OR(LEFT(TH!L4332,2)="15",LEFT(TH!M4332,2)="15"),'152-CT'!$J$8=TH!F4332),"x","")</f>
        <v/>
      </c>
      <c r="Y4332" s="52" t="str">
        <f>IF(AND(OR(LEFT(TH!L4332,2)="15",LEFT(TH!M4332,2)="15"),TK!$E$7=TH!F4332),"x","")</f>
        <v/>
      </c>
      <c r="Z4332" s="52" t="str">
        <f>IF(AND(B4332&lt;=NKC!$N$8,B4332&gt;=NKC!$M$8),"x","")</f>
        <v/>
      </c>
      <c r="AA4332" s="826"/>
    </row>
    <row r="4333" spans="1:29" ht="15.75" customHeight="1">
      <c r="A4333" s="827" t="str">
        <f>IF(B4333&lt;&gt;"",IF(AND(B4333&gt;=_TM1,B4333&lt;=_TM2,OR(TH!L4333="1111",TH!M4333="1111")),TH!D4333,""),"")</f>
        <v/>
      </c>
      <c r="B4333" s="36" t="str">
        <f t="shared" si="522"/>
        <v/>
      </c>
      <c r="C4333" s="190"/>
      <c r="D4333" s="190"/>
      <c r="E4333" s="190"/>
      <c r="F4333" s="40"/>
      <c r="G4333" s="832"/>
      <c r="H4333" s="7"/>
      <c r="I4333" s="253"/>
      <c r="J4333" s="253"/>
      <c r="K4333" s="584"/>
      <c r="L4333" s="39"/>
      <c r="M4333" s="39"/>
      <c r="N4333" s="52" t="str">
        <f>IF(AND('331-CT'!$E$7=TH!H4333,OR(L4333="331",M4333="331")),"331",IF(AND(OR(L4333="131",M4333="131"),H4333='131-CT'!$E$7),"131",""))</f>
        <v/>
      </c>
      <c r="O4333" s="52" t="str">
        <f>IF(AND($B4333&gt;='111'!$N$11,$B4333&lt;='111'!$O$11,OR($L4333=$O$7,$M4333=$O$7)),"x","")</f>
        <v/>
      </c>
      <c r="P4333" s="52" t="str">
        <f>IF(AND($L4333=$O$7,$B4333&lt;'111'!$N$11),"x","")</f>
        <v/>
      </c>
      <c r="Q4333" s="52" t="str">
        <f>IF(AND($M4333=$O$7,$B4333&lt;'111'!$N$11),"x","")</f>
        <v/>
      </c>
      <c r="R4333" s="52" t="str">
        <f>IF(ISERROR(FIND('112'!$M$9,G4333,1)),"",IF((AND(FIND('112'!$M$9,G4333,1)&gt;=1,$B4333&gt;='112'!$N$8,$B4333&lt;='112'!$O$8,OR($L4333='112'!$I$6,$M4333='112'!$I$6))),"x",""))</f>
        <v/>
      </c>
      <c r="S4333" s="52" t="str">
        <f>IF(ISERROR(FIND('112'!$M$9,G4333,1)),"",IF((AND(LEFT(G4333,2)=LEFT('112'!$M$9,2),B4333&lt;'112'!$N$8,$L4333='112'!$I$6)),"x",""))</f>
        <v/>
      </c>
      <c r="T4333" s="52" t="str">
        <f>IF(ISERROR(FIND('112'!$M$9,G4333,1)),"",IF((AND(RIGHT(G4333,2)=RIGHT('112'!$M$9,2),B4333&lt;'112'!$N$8,$M4333='112'!$I$6)),"x",""))</f>
        <v/>
      </c>
      <c r="U4333" s="52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/>
      </c>
      <c r="V4333" s="52" t="str">
        <f>IF(OR(TH!L4333=TH!$V$7,M4333=TH!$V$7),"x","")</f>
        <v/>
      </c>
      <c r="W4333" s="52" t="str">
        <f>IF(AND(B4333&gt;='IN-NX'!$P$3,B4333&lt;='IN-NX'!$Q$3,'IN-NX'!$D$7=D4333,OR(LEFT(L4333,2)="15",AND(LEFT(M4333,2)&lt;&gt;"15",LEFT(M4333,2)&lt;&gt;"33"))),"x","")</f>
        <v/>
      </c>
      <c r="X4333" s="52" t="str">
        <f>IF(AND(OR(LEFT(TH!L4333,2)="15",LEFT(TH!M4333,2)="15"),'152-CT'!$J$8=TH!F4333),"x","")</f>
        <v/>
      </c>
      <c r="Y4333" s="52" t="str">
        <f>IF(AND(OR(LEFT(TH!L4333,2)="15",LEFT(TH!M4333,2)="15"),TK!$E$7=TH!F4333),"x","")</f>
        <v/>
      </c>
      <c r="Z4333" s="52" t="str">
        <f>IF(AND(B4333&lt;=NKC!$N$8,B4333&gt;=NKC!$M$8),"x","")</f>
        <v/>
      </c>
      <c r="AA4333" s="826"/>
    </row>
    <row r="4334" spans="1:29" ht="15.75" customHeight="1">
      <c r="A4334" s="827" t="str">
        <f>IF(B4334&lt;&gt;"",IF(AND(B4334&gt;=_TM1,B4334&lt;=_TM2,OR(TH!L4334="1111",TH!M4334="1111")),TH!D4334,""),"")</f>
        <v/>
      </c>
      <c r="B4334" s="36" t="str">
        <f t="shared" si="522"/>
        <v/>
      </c>
      <c r="C4334" s="190"/>
      <c r="D4334" s="190"/>
      <c r="E4334" s="190"/>
      <c r="F4334" s="40"/>
      <c r="G4334" s="832"/>
      <c r="H4334" s="7"/>
      <c r="I4334" s="253"/>
      <c r="J4334" s="253"/>
      <c r="K4334" s="584"/>
      <c r="L4334" s="39"/>
      <c r="M4334" s="39"/>
      <c r="N4334" s="52" t="str">
        <f>IF(AND('331-CT'!$E$7=TH!H4334,OR(L4334="331",M4334="331")),"331",IF(AND(OR(L4334="131",M4334="131"),H4334='131-CT'!$E$7),"131",""))</f>
        <v/>
      </c>
      <c r="O4334" s="52" t="str">
        <f>IF(AND($B4334&gt;='111'!$N$11,$B4334&lt;='111'!$O$11,OR($L4334=$O$7,$M4334=$O$7)),"x","")</f>
        <v/>
      </c>
      <c r="P4334" s="52" t="str">
        <f>IF(AND($L4334=$O$7,$B4334&lt;'111'!$N$11),"x","")</f>
        <v/>
      </c>
      <c r="Q4334" s="52" t="str">
        <f>IF(AND($M4334=$O$7,$B4334&lt;'111'!$N$11),"x","")</f>
        <v/>
      </c>
      <c r="R4334" s="52" t="str">
        <f>IF(ISERROR(FIND('112'!$M$9,G4334,1)),"",IF((AND(FIND('112'!$M$9,G4334,1)&gt;=1,$B4334&gt;='112'!$N$8,$B4334&lt;='112'!$O$8,OR($L4334='112'!$I$6,$M4334='112'!$I$6))),"x",""))</f>
        <v/>
      </c>
      <c r="S4334" s="52" t="str">
        <f>IF(ISERROR(FIND('112'!$M$9,G4334,1)),"",IF((AND(LEFT(G4334,2)=LEFT('112'!$M$9,2),B4334&lt;'112'!$N$8,$L4334='112'!$I$6)),"x",""))</f>
        <v/>
      </c>
      <c r="T4334" s="52" t="str">
        <f>IF(ISERROR(FIND('112'!$M$9,G4334,1)),"",IF((AND(RIGHT(G4334,2)=RIGHT('112'!$M$9,2),B4334&lt;'112'!$N$8,$M4334='112'!$I$6)),"x",""))</f>
        <v/>
      </c>
      <c r="U4334" s="52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/>
      </c>
      <c r="V4334" s="52" t="str">
        <f>IF(OR(TH!L4334=TH!$V$7,M4334=TH!$V$7),"x","")</f>
        <v/>
      </c>
      <c r="W4334" s="52" t="str">
        <f>IF(AND(B4334&gt;='IN-NX'!$P$3,B4334&lt;='IN-NX'!$Q$3,'IN-NX'!$D$7=D4334,OR(LEFT(L4334,2)="15",AND(LEFT(M4334,2)&lt;&gt;"15",LEFT(M4334,2)&lt;&gt;"33"))),"x","")</f>
        <v/>
      </c>
      <c r="X4334" s="52" t="str">
        <f>IF(AND(OR(LEFT(TH!L4334,2)="15",LEFT(TH!M4334,2)="15"),'152-CT'!$J$8=TH!F4334),"x","")</f>
        <v/>
      </c>
      <c r="Y4334" s="52" t="str">
        <f>IF(AND(OR(LEFT(TH!L4334,2)="15",LEFT(TH!M4334,2)="15"),TK!$E$7=TH!F4334),"x","")</f>
        <v/>
      </c>
      <c r="Z4334" s="52" t="str">
        <f>IF(AND(B4334&lt;=NKC!$N$8,B4334&gt;=NKC!$M$8),"x","")</f>
        <v/>
      </c>
      <c r="AA4334" s="826"/>
    </row>
    <row r="4335" spans="1:29" ht="15.75" customHeight="1">
      <c r="A4335" s="827" t="str">
        <f>IF(B4335&lt;&gt;"",IF(AND(B4335&gt;=_TM1,B4335&lt;=_TM2,OR(TH!L4335="1111",TH!M4335="1111")),TH!D4335,""),"")</f>
        <v/>
      </c>
      <c r="B4335" s="36" t="str">
        <f t="shared" si="522"/>
        <v/>
      </c>
      <c r="C4335" s="190"/>
      <c r="D4335" s="190"/>
      <c r="E4335" s="190"/>
      <c r="F4335" s="40"/>
      <c r="G4335" s="832"/>
      <c r="H4335" s="7"/>
      <c r="I4335" s="253"/>
      <c r="J4335" s="253"/>
      <c r="K4335" s="584"/>
      <c r="L4335" s="39"/>
      <c r="M4335" s="39"/>
      <c r="N4335" s="52" t="str">
        <f>IF(AND('331-CT'!$E$7=TH!H4335,OR(L4335="331",M4335="331")),"331",IF(AND(OR(L4335="131",M4335="131"),H4335='131-CT'!$E$7),"131",""))</f>
        <v/>
      </c>
      <c r="O4335" s="52" t="str">
        <f>IF(AND($B4335&gt;='111'!$N$11,$B4335&lt;='111'!$O$11,OR($L4335=$O$7,$M4335=$O$7)),"x","")</f>
        <v/>
      </c>
      <c r="P4335" s="52" t="str">
        <f>IF(AND($L4335=$O$7,$B4335&lt;'111'!$N$11),"x","")</f>
        <v/>
      </c>
      <c r="Q4335" s="52" t="str">
        <f>IF(AND($M4335=$O$7,$B4335&lt;'111'!$N$11),"x","")</f>
        <v/>
      </c>
      <c r="R4335" s="52" t="str">
        <f>IF(ISERROR(FIND('112'!$M$9,G4335,1)),"",IF((AND(FIND('112'!$M$9,G4335,1)&gt;=1,$B4335&gt;='112'!$N$8,$B4335&lt;='112'!$O$8,OR($L4335='112'!$I$6,$M4335='112'!$I$6))),"x",""))</f>
        <v/>
      </c>
      <c r="S4335" s="52" t="str">
        <f>IF(ISERROR(FIND('112'!$M$9,G4335,1)),"",IF((AND(LEFT(G4335,2)=LEFT('112'!$M$9,2),B4335&lt;'112'!$N$8,$L4335='112'!$I$6)),"x",""))</f>
        <v/>
      </c>
      <c r="T4335" s="52" t="str">
        <f>IF(ISERROR(FIND('112'!$M$9,G4335,1)),"",IF((AND(RIGHT(G4335,2)=RIGHT('112'!$M$9,2),B4335&lt;'112'!$N$8,$M4335='112'!$I$6)),"x",""))</f>
        <v/>
      </c>
      <c r="U4335" s="52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/>
      </c>
      <c r="V4335" s="52" t="str">
        <f>IF(OR(TH!L4335=TH!$V$7,M4335=TH!$V$7),"x","")</f>
        <v/>
      </c>
      <c r="W4335" s="52" t="str">
        <f>IF(AND(B4335&gt;='IN-NX'!$P$3,B4335&lt;='IN-NX'!$Q$3,'IN-NX'!$D$7=D4335,OR(LEFT(L4335,2)="15",AND(LEFT(M4335,2)&lt;&gt;"15",LEFT(M4335,2)&lt;&gt;"33"))),"x","")</f>
        <v/>
      </c>
      <c r="X4335" s="52" t="str">
        <f>IF(AND(OR(LEFT(TH!L4335,2)="15",LEFT(TH!M4335,2)="15"),'152-CT'!$J$8=TH!F4335),"x","")</f>
        <v/>
      </c>
      <c r="Y4335" s="52" t="str">
        <f>IF(AND(OR(LEFT(TH!L4335,2)="15",LEFT(TH!M4335,2)="15"),TK!$E$7=TH!F4335),"x","")</f>
        <v/>
      </c>
      <c r="Z4335" s="52" t="str">
        <f>IF(AND(B4335&lt;=NKC!$N$8,B4335&gt;=NKC!$M$8),"x","")</f>
        <v/>
      </c>
      <c r="AA4335" s="826"/>
    </row>
    <row r="4336" spans="1:29" ht="15.75" customHeight="1">
      <c r="A4336" s="827" t="str">
        <f>IF(B4336&lt;&gt;"",IF(AND(B4336&gt;=_TM1,B4336&lt;=_TM2,OR(TH!L4336="1111",TH!M4336="1111")),TH!D4336,""),"")</f>
        <v/>
      </c>
      <c r="B4336" s="36" t="str">
        <f t="shared" si="522"/>
        <v/>
      </c>
      <c r="C4336" s="190"/>
      <c r="D4336" s="190"/>
      <c r="E4336" s="190"/>
      <c r="F4336" s="40"/>
      <c r="G4336" s="832"/>
      <c r="H4336" s="7"/>
      <c r="I4336" s="253"/>
      <c r="J4336" s="253"/>
      <c r="K4336" s="584"/>
      <c r="L4336" s="39"/>
      <c r="M4336" s="39"/>
      <c r="N4336" s="52" t="str">
        <f>IF(AND('331-CT'!$E$7=TH!H4336,OR(L4336="331",M4336="331")),"331",IF(AND(OR(L4336="131",M4336="131"),H4336='131-CT'!$E$7),"131",""))</f>
        <v/>
      </c>
      <c r="O4336" s="52" t="str">
        <f>IF(AND($B4336&gt;='111'!$N$11,$B4336&lt;='111'!$O$11,OR($L4336=$O$7,$M4336=$O$7)),"x","")</f>
        <v/>
      </c>
      <c r="P4336" s="52" t="str">
        <f>IF(AND($L4336=$O$7,$B4336&lt;'111'!$N$11),"x","")</f>
        <v/>
      </c>
      <c r="Q4336" s="52" t="str">
        <f>IF(AND($M4336=$O$7,$B4336&lt;'111'!$N$11),"x","")</f>
        <v/>
      </c>
      <c r="R4336" s="52" t="str">
        <f>IF(ISERROR(FIND('112'!$M$9,G4336,1)),"",IF((AND(FIND('112'!$M$9,G4336,1)&gt;=1,$B4336&gt;='112'!$N$8,$B4336&lt;='112'!$O$8,OR($L4336='112'!$I$6,$M4336='112'!$I$6))),"x",""))</f>
        <v/>
      </c>
      <c r="S4336" s="52" t="str">
        <f>IF(ISERROR(FIND('112'!$M$9,G4336,1)),"",IF((AND(LEFT(G4336,2)=LEFT('112'!$M$9,2),B4336&lt;'112'!$N$8,$L4336='112'!$I$6)),"x",""))</f>
        <v/>
      </c>
      <c r="T4336" s="52" t="str">
        <f>IF(ISERROR(FIND('112'!$M$9,G4336,1)),"",IF((AND(RIGHT(G4336,2)=RIGHT('112'!$M$9,2),B4336&lt;'112'!$N$8,$M4336='112'!$I$6)),"x",""))</f>
        <v/>
      </c>
      <c r="U4336" s="52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/>
      </c>
      <c r="V4336" s="52" t="str">
        <f>IF(OR(TH!L4336=TH!$V$7,M4336=TH!$V$7),"x","")</f>
        <v/>
      </c>
      <c r="W4336" s="52" t="str">
        <f>IF(AND(B4336&gt;='IN-NX'!$P$3,B4336&lt;='IN-NX'!$Q$3,'IN-NX'!$D$7=D4336,OR(LEFT(L4336,2)="15",AND(LEFT(M4336,2)&lt;&gt;"15",LEFT(M4336,2)&lt;&gt;"33"))),"x","")</f>
        <v/>
      </c>
      <c r="X4336" s="52" t="str">
        <f>IF(AND(OR(LEFT(TH!L4336,2)="15",LEFT(TH!M4336,2)="15"),'152-CT'!$J$8=TH!F4336),"x","")</f>
        <v/>
      </c>
      <c r="Y4336" s="52" t="str">
        <f>IF(AND(OR(LEFT(TH!L4336,2)="15",LEFT(TH!M4336,2)="15"),TK!$E$7=TH!F4336),"x","")</f>
        <v/>
      </c>
      <c r="Z4336" s="52" t="str">
        <f>IF(AND(B4336&lt;=NKC!$N$8,B4336&gt;=NKC!$M$8),"x","")</f>
        <v/>
      </c>
      <c r="AA4336" s="826"/>
    </row>
    <row r="4337" spans="1:27" ht="15.75" customHeight="1">
      <c r="A4337" s="827" t="str">
        <f>IF(B4337&lt;&gt;"",IF(AND(B4337&gt;=_TM1,B4337&lt;=_TM2,OR(TH!L4337="1111",TH!M4337="1111")),TH!D4337,""),"")</f>
        <v/>
      </c>
      <c r="B4337" s="36" t="str">
        <f t="shared" si="522"/>
        <v/>
      </c>
      <c r="C4337" s="190"/>
      <c r="D4337" s="190"/>
      <c r="E4337" s="190"/>
      <c r="F4337" s="40"/>
      <c r="G4337" s="832"/>
      <c r="H4337" s="7"/>
      <c r="I4337" s="253"/>
      <c r="J4337" s="253"/>
      <c r="K4337" s="584"/>
      <c r="L4337" s="39"/>
      <c r="M4337" s="39"/>
      <c r="N4337" s="52" t="str">
        <f>IF(AND('331-CT'!$E$7=TH!H4337,OR(L4337="331",M4337="331")),"331",IF(AND(OR(L4337="131",M4337="131"),H4337='131-CT'!$E$7),"131",""))</f>
        <v/>
      </c>
      <c r="O4337" s="52" t="str">
        <f>IF(AND($B4337&gt;='111'!$N$11,$B4337&lt;='111'!$O$11,OR($L4337=$O$7,$M4337=$O$7)),"x","")</f>
        <v/>
      </c>
      <c r="P4337" s="52" t="str">
        <f>IF(AND($L4337=$O$7,$B4337&lt;'111'!$N$11),"x","")</f>
        <v/>
      </c>
      <c r="Q4337" s="52" t="str">
        <f>IF(AND($M4337=$O$7,$B4337&lt;'111'!$N$11),"x","")</f>
        <v/>
      </c>
      <c r="R4337" s="52" t="str">
        <f>IF(ISERROR(FIND('112'!$M$9,G4337,1)),"",IF((AND(FIND('112'!$M$9,G4337,1)&gt;=1,$B4337&gt;='112'!$N$8,$B4337&lt;='112'!$O$8,OR($L4337='112'!$I$6,$M4337='112'!$I$6))),"x",""))</f>
        <v/>
      </c>
      <c r="S4337" s="52" t="str">
        <f>IF(ISERROR(FIND('112'!$M$9,G4337,1)),"",IF((AND(LEFT(G4337,2)=LEFT('112'!$M$9,2),B4337&lt;'112'!$N$8,$L4337='112'!$I$6)),"x",""))</f>
        <v/>
      </c>
      <c r="T4337" s="52" t="str">
        <f>IF(ISERROR(FIND('112'!$M$9,G4337,1)),"",IF((AND(RIGHT(G4337,2)=RIGHT('112'!$M$9,2),B4337&lt;'112'!$N$8,$M4337='112'!$I$6)),"x",""))</f>
        <v/>
      </c>
      <c r="U4337" s="52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/>
      </c>
      <c r="V4337" s="52" t="str">
        <f>IF(OR(TH!L4337=TH!$V$7,M4337=TH!$V$7),"x","")</f>
        <v/>
      </c>
      <c r="W4337" s="52" t="str">
        <f>IF(AND(B4337&gt;='IN-NX'!$P$3,B4337&lt;='IN-NX'!$Q$3,'IN-NX'!$D$7=D4337,OR(LEFT(L4337,2)="15",AND(LEFT(M4337,2)&lt;&gt;"15",LEFT(M4337,2)&lt;&gt;"33"))),"x","")</f>
        <v/>
      </c>
      <c r="X4337" s="52" t="str">
        <f>IF(AND(OR(LEFT(TH!L4337,2)="15",LEFT(TH!M4337,2)="15"),'152-CT'!$J$8=TH!F4337),"x","")</f>
        <v/>
      </c>
      <c r="Y4337" s="52" t="str">
        <f>IF(AND(OR(LEFT(TH!L4337,2)="15",LEFT(TH!M4337,2)="15"),TK!$E$7=TH!F4337),"x","")</f>
        <v/>
      </c>
      <c r="Z4337" s="52" t="str">
        <f>IF(AND(B4337&lt;=NKC!$N$8,B4337&gt;=NKC!$M$8),"x","")</f>
        <v/>
      </c>
      <c r="AA4337" s="826"/>
    </row>
    <row r="4338" spans="1:27" ht="15.75" customHeight="1">
      <c r="A4338" s="827" t="str">
        <f>IF(B4338&lt;&gt;"",IF(AND(B4338&gt;=_TM1,B4338&lt;=_TM2,OR(TH!L4338="1111",TH!M4338="1111")),TH!D4338,""),"")</f>
        <v/>
      </c>
      <c r="B4338" s="36" t="str">
        <f t="shared" si="522"/>
        <v/>
      </c>
      <c r="C4338" s="190"/>
      <c r="D4338" s="190"/>
      <c r="E4338" s="190"/>
      <c r="F4338" s="40"/>
      <c r="G4338" s="832"/>
      <c r="H4338" s="7"/>
      <c r="I4338" s="253"/>
      <c r="J4338" s="253"/>
      <c r="K4338" s="584"/>
      <c r="L4338" s="39"/>
      <c r="M4338" s="39"/>
      <c r="N4338" s="52" t="str">
        <f>IF(AND('331-CT'!$E$7=TH!H4338,OR(L4338="331",M4338="331")),"331",IF(AND(OR(L4338="131",M4338="131"),H4338='131-CT'!$E$7),"131",""))</f>
        <v/>
      </c>
      <c r="O4338" s="52" t="str">
        <f>IF(AND($B4338&gt;='111'!$N$11,$B4338&lt;='111'!$O$11,OR($L4338=$O$7,$M4338=$O$7)),"x","")</f>
        <v/>
      </c>
      <c r="P4338" s="52" t="str">
        <f>IF(AND($L4338=$O$7,$B4338&lt;'111'!$N$11),"x","")</f>
        <v/>
      </c>
      <c r="Q4338" s="52" t="str">
        <f>IF(AND($M4338=$O$7,$B4338&lt;'111'!$N$11),"x","")</f>
        <v/>
      </c>
      <c r="R4338" s="52" t="str">
        <f>IF(ISERROR(FIND('112'!$M$9,G4338,1)),"",IF((AND(FIND('112'!$M$9,G4338,1)&gt;=1,$B4338&gt;='112'!$N$8,$B4338&lt;='112'!$O$8,OR($L4338='112'!$I$6,$M4338='112'!$I$6))),"x",""))</f>
        <v/>
      </c>
      <c r="S4338" s="52" t="str">
        <f>IF(ISERROR(FIND('112'!$M$9,G4338,1)),"",IF((AND(LEFT(G4338,2)=LEFT('112'!$M$9,2),B4338&lt;'112'!$N$8,$L4338='112'!$I$6)),"x",""))</f>
        <v/>
      </c>
      <c r="T4338" s="52" t="str">
        <f>IF(ISERROR(FIND('112'!$M$9,G4338,1)),"",IF((AND(RIGHT(G4338,2)=RIGHT('112'!$M$9,2),B4338&lt;'112'!$N$8,$M4338='112'!$I$6)),"x",""))</f>
        <v/>
      </c>
      <c r="U4338" s="52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/>
      </c>
      <c r="V4338" s="52" t="str">
        <f>IF(OR(TH!L4338=TH!$V$7,M4338=TH!$V$7),"x","")</f>
        <v/>
      </c>
      <c r="W4338" s="52" t="str">
        <f>IF(AND(B4338&gt;='IN-NX'!$P$3,B4338&lt;='IN-NX'!$Q$3,'IN-NX'!$D$7=D4338,OR(LEFT(L4338,2)="15",AND(LEFT(M4338,2)&lt;&gt;"15",LEFT(M4338,2)&lt;&gt;"33"))),"x","")</f>
        <v/>
      </c>
      <c r="X4338" s="52" t="str">
        <f>IF(AND(OR(LEFT(TH!L4338,2)="15",LEFT(TH!M4338,2)="15"),'152-CT'!$J$8=TH!F4338),"x","")</f>
        <v/>
      </c>
      <c r="Y4338" s="52" t="str">
        <f>IF(AND(OR(LEFT(TH!L4338,2)="15",LEFT(TH!M4338,2)="15"),TK!$E$7=TH!F4338),"x","")</f>
        <v/>
      </c>
      <c r="Z4338" s="52" t="str">
        <f>IF(AND(B4338&lt;=NKC!$N$8,B4338&gt;=NKC!$M$8),"x","")</f>
        <v/>
      </c>
      <c r="AA4338" s="826"/>
    </row>
    <row r="4339" spans="1:27" ht="15.75" customHeight="1">
      <c r="A4339" s="827" t="str">
        <f>IF(B4339&lt;&gt;"",IF(AND(B4339&gt;=_TM1,B4339&lt;=_TM2,OR(TH!L4339="1111",TH!M4339="1111")),TH!D4339,""),"")</f>
        <v/>
      </c>
      <c r="B4339" s="36" t="str">
        <f t="shared" si="522"/>
        <v/>
      </c>
      <c r="C4339" s="190"/>
      <c r="D4339" s="190"/>
      <c r="E4339" s="190"/>
      <c r="F4339" s="188"/>
      <c r="G4339" s="832"/>
      <c r="H4339" s="7"/>
      <c r="I4339" s="253"/>
      <c r="J4339" s="253"/>
      <c r="K4339" s="584"/>
      <c r="L4339" s="39"/>
      <c r="M4339" s="39"/>
      <c r="N4339" s="52" t="str">
        <f>IF(AND('331-CT'!$E$7=TH!H4339,OR(L4339="331",M4339="331")),"331",IF(AND(OR(L4339="131",M4339="131"),H4339='131-CT'!$E$7),"131",""))</f>
        <v/>
      </c>
      <c r="O4339" s="52" t="str">
        <f>IF(AND($B4339&gt;='111'!$N$11,$B4339&lt;='111'!$O$11,OR($L4339=$O$7,$M4339=$O$7)),"x","")</f>
        <v/>
      </c>
      <c r="P4339" s="52" t="str">
        <f>IF(AND($L4339=$O$7,$B4339&lt;'111'!$N$11),"x","")</f>
        <v/>
      </c>
      <c r="Q4339" s="52" t="str">
        <f>IF(AND($M4339=$O$7,$B4339&lt;'111'!$N$11),"x","")</f>
        <v/>
      </c>
      <c r="R4339" s="52" t="str">
        <f>IF(ISERROR(FIND('112'!$M$9,G4339,1)),"",IF((AND(FIND('112'!$M$9,G4339,1)&gt;=1,$B4339&gt;='112'!$N$8,$B4339&lt;='112'!$O$8,OR($L4339='112'!$I$6,$M4339='112'!$I$6))),"x",""))</f>
        <v/>
      </c>
      <c r="S4339" s="52" t="str">
        <f>IF(ISERROR(FIND('112'!$M$9,G4339,1)),"",IF((AND(LEFT(G4339,2)=LEFT('112'!$M$9,2),B4339&lt;'112'!$N$8,$L4339='112'!$I$6)),"x",""))</f>
        <v/>
      </c>
      <c r="T4339" s="52" t="str">
        <f>IF(ISERROR(FIND('112'!$M$9,G4339,1)),"",IF((AND(RIGHT(G4339,2)=RIGHT('112'!$M$9,2),B4339&lt;'112'!$N$8,$M4339='112'!$I$6)),"x",""))</f>
        <v/>
      </c>
      <c r="U4339" s="52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/>
      </c>
      <c r="V4339" s="52" t="str">
        <f>IF(OR(TH!L4339=TH!$V$7,M4339=TH!$V$7),"x","")</f>
        <v/>
      </c>
      <c r="W4339" s="52" t="str">
        <f>IF(AND(B4339&gt;='IN-NX'!$P$3,B4339&lt;='IN-NX'!$Q$3,'IN-NX'!$D$7=D4339,OR(LEFT(L4339,2)="15",AND(LEFT(M4339,2)&lt;&gt;"15",LEFT(M4339,2)&lt;&gt;"33"))),"x","")</f>
        <v/>
      </c>
      <c r="X4339" s="52" t="str">
        <f>IF(AND(OR(LEFT(TH!L4339,2)="15",LEFT(TH!M4339,2)="15"),'152-CT'!$J$8=TH!F4339),"x","")</f>
        <v/>
      </c>
      <c r="Y4339" s="52" t="str">
        <f>IF(AND(OR(LEFT(TH!L4339,2)="15",LEFT(TH!M4339,2)="15"),TK!$E$7=TH!F4339),"x","")</f>
        <v/>
      </c>
      <c r="Z4339" s="52" t="str">
        <f>IF(AND(B4339&lt;=NKC!$N$8,B4339&gt;=NKC!$M$8),"x","")</f>
        <v/>
      </c>
      <c r="AA4339" s="826"/>
    </row>
    <row r="4340" spans="1:27" ht="15.75" customHeight="1">
      <c r="A4340" s="827" t="str">
        <f>IF(B4340&lt;&gt;"",IF(AND(B4340&gt;=_TM1,B4340&lt;=_TM2,OR(TH!L4340="1111",TH!M4340="1111")),TH!D4340,""),"")</f>
        <v/>
      </c>
      <c r="B4340" s="36" t="str">
        <f t="shared" si="522"/>
        <v/>
      </c>
      <c r="C4340" s="190"/>
      <c r="D4340" s="190"/>
      <c r="E4340" s="190"/>
      <c r="F4340" s="188"/>
      <c r="G4340" s="832"/>
      <c r="H4340" s="7"/>
      <c r="I4340" s="253"/>
      <c r="J4340" s="253"/>
      <c r="K4340" s="584"/>
      <c r="L4340" s="39"/>
      <c r="M4340" s="39"/>
      <c r="N4340" s="52" t="str">
        <f>IF(AND('331-CT'!$E$7=TH!H4340,OR(L4340="331",M4340="331")),"331",IF(AND(OR(L4340="131",M4340="131"),H4340='131-CT'!$E$7),"131",""))</f>
        <v/>
      </c>
      <c r="O4340" s="52" t="str">
        <f>IF(AND($B4340&gt;='111'!$N$11,$B4340&lt;='111'!$O$11,OR($L4340=$O$7,$M4340=$O$7)),"x","")</f>
        <v/>
      </c>
      <c r="P4340" s="52" t="str">
        <f>IF(AND($L4340=$O$7,$B4340&lt;'111'!$N$11),"x","")</f>
        <v/>
      </c>
      <c r="Q4340" s="52" t="str">
        <f>IF(AND($M4340=$O$7,$B4340&lt;'111'!$N$11),"x","")</f>
        <v/>
      </c>
      <c r="R4340" s="52" t="str">
        <f>IF(ISERROR(FIND('112'!$M$9,G4340,1)),"",IF((AND(FIND('112'!$M$9,G4340,1)&gt;=1,$B4340&gt;='112'!$N$8,$B4340&lt;='112'!$O$8,OR($L4340='112'!$I$6,$M4340='112'!$I$6))),"x",""))</f>
        <v/>
      </c>
      <c r="S4340" s="52" t="str">
        <f>IF(ISERROR(FIND('112'!$M$9,G4340,1)),"",IF((AND(LEFT(G4340,2)=LEFT('112'!$M$9,2),B4340&lt;'112'!$N$8,$L4340='112'!$I$6)),"x",""))</f>
        <v/>
      </c>
      <c r="T4340" s="52" t="str">
        <f>IF(ISERROR(FIND('112'!$M$9,G4340,1)),"",IF((AND(RIGHT(G4340,2)=RIGHT('112'!$M$9,2),B4340&lt;'112'!$N$8,$M4340='112'!$I$6)),"x",""))</f>
        <v/>
      </c>
      <c r="U4340" s="52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/>
      </c>
      <c r="V4340" s="52" t="str">
        <f>IF(OR(TH!L4340=TH!$V$7,M4340=TH!$V$7),"x","")</f>
        <v/>
      </c>
      <c r="W4340" s="52" t="str">
        <f>IF(AND(B4340&gt;='IN-NX'!$P$3,B4340&lt;='IN-NX'!$Q$3,'IN-NX'!$D$7=D4340,OR(LEFT(L4340,2)="15",AND(LEFT(M4340,2)&lt;&gt;"15",LEFT(M4340,2)&lt;&gt;"33"))),"x","")</f>
        <v/>
      </c>
      <c r="X4340" s="52" t="str">
        <f>IF(AND(OR(LEFT(TH!L4340,2)="15",LEFT(TH!M4340,2)="15"),'152-CT'!$J$8=TH!F4340),"x","")</f>
        <v/>
      </c>
      <c r="Y4340" s="52" t="str">
        <f>IF(AND(OR(LEFT(TH!L4340,2)="15",LEFT(TH!M4340,2)="15"),TK!$E$7=TH!F4340),"x","")</f>
        <v/>
      </c>
      <c r="Z4340" s="52" t="str">
        <f>IF(AND(B4340&lt;=NKC!$N$8,B4340&gt;=NKC!$M$8),"x","")</f>
        <v/>
      </c>
      <c r="AA4340" s="826"/>
    </row>
    <row r="4341" spans="1:27" ht="15.75" customHeight="1">
      <c r="A4341" s="827" t="str">
        <f>IF(B4341&lt;&gt;"",IF(AND(B4341&gt;=_TM1,B4341&lt;=_TM2,OR(TH!L4341="1111",TH!M4341="1111")),TH!D4341,""),"")</f>
        <v/>
      </c>
      <c r="B4341" s="36" t="str">
        <f t="shared" si="522"/>
        <v/>
      </c>
      <c r="C4341" s="190"/>
      <c r="D4341" s="190"/>
      <c r="E4341" s="190"/>
      <c r="F4341" s="188"/>
      <c r="G4341" s="832"/>
      <c r="H4341" s="7"/>
      <c r="I4341" s="253"/>
      <c r="J4341" s="253"/>
      <c r="K4341" s="584"/>
      <c r="L4341" s="39"/>
      <c r="M4341" s="39"/>
      <c r="N4341" s="52" t="str">
        <f>IF(AND('331-CT'!$E$7=TH!H4341,OR(L4341="331",M4341="331")),"331",IF(AND(OR(L4341="131",M4341="131"),H4341='131-CT'!$E$7),"131",""))</f>
        <v/>
      </c>
      <c r="O4341" s="52" t="str">
        <f>IF(AND($B4341&gt;='111'!$N$11,$B4341&lt;='111'!$O$11,OR($L4341=$O$7,$M4341=$O$7)),"x","")</f>
        <v/>
      </c>
      <c r="P4341" s="52" t="str">
        <f>IF(AND($L4341=$O$7,$B4341&lt;'111'!$N$11),"x","")</f>
        <v/>
      </c>
      <c r="Q4341" s="52" t="str">
        <f>IF(AND($M4341=$O$7,$B4341&lt;'111'!$N$11),"x","")</f>
        <v/>
      </c>
      <c r="R4341" s="52" t="str">
        <f>IF(ISERROR(FIND('112'!$M$9,G4341,1)),"",IF((AND(FIND('112'!$M$9,G4341,1)&gt;=1,$B4341&gt;='112'!$N$8,$B4341&lt;='112'!$O$8,OR($L4341='112'!$I$6,$M4341='112'!$I$6))),"x",""))</f>
        <v/>
      </c>
      <c r="S4341" s="52" t="str">
        <f>IF(ISERROR(FIND('112'!$M$9,G4341,1)),"",IF((AND(LEFT(G4341,2)=LEFT('112'!$M$9,2),B4341&lt;'112'!$N$8,$L4341='112'!$I$6)),"x",""))</f>
        <v/>
      </c>
      <c r="T4341" s="52" t="str">
        <f>IF(ISERROR(FIND('112'!$M$9,G4341,1)),"",IF((AND(RIGHT(G4341,2)=RIGHT('112'!$M$9,2),B4341&lt;'112'!$N$8,$M4341='112'!$I$6)),"x",""))</f>
        <v/>
      </c>
      <c r="U4341" s="52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/>
      </c>
      <c r="V4341" s="52" t="str">
        <f>IF(OR(TH!L4341=TH!$V$7,M4341=TH!$V$7),"x","")</f>
        <v/>
      </c>
      <c r="W4341" s="52" t="str">
        <f>IF(AND(B4341&gt;='IN-NX'!$P$3,B4341&lt;='IN-NX'!$Q$3,'IN-NX'!$D$7=D4341,OR(LEFT(L4341,2)="15",AND(LEFT(M4341,2)&lt;&gt;"15",LEFT(M4341,2)&lt;&gt;"33"))),"x","")</f>
        <v/>
      </c>
      <c r="X4341" s="52" t="str">
        <f>IF(AND(OR(LEFT(TH!L4341,2)="15",LEFT(TH!M4341,2)="15"),'152-CT'!$J$8=TH!F4341),"x","")</f>
        <v/>
      </c>
      <c r="Y4341" s="52" t="str">
        <f>IF(AND(OR(LEFT(TH!L4341,2)="15",LEFT(TH!M4341,2)="15"),TK!$E$7=TH!F4341),"x","")</f>
        <v/>
      </c>
      <c r="Z4341" s="52" t="str">
        <f>IF(AND(B4341&lt;=NKC!$N$8,B4341&gt;=NKC!$M$8),"x","")</f>
        <v/>
      </c>
      <c r="AA4341" s="826"/>
    </row>
    <row r="4342" spans="1:27" ht="15.75" customHeight="1">
      <c r="A4342" s="827" t="str">
        <f>IF(B4342&lt;&gt;"",IF(AND(B4342&gt;=_TM1,B4342&lt;=_TM2,OR(TH!L4342="1111",TH!M4342="1111")),TH!D4342,""),"")</f>
        <v/>
      </c>
      <c r="B4342" s="36" t="str">
        <f t="shared" si="522"/>
        <v/>
      </c>
      <c r="C4342" s="190"/>
      <c r="D4342" s="190"/>
      <c r="E4342" s="190"/>
      <c r="F4342" s="40"/>
      <c r="G4342" s="832"/>
      <c r="H4342" s="7"/>
      <c r="I4342" s="253"/>
      <c r="J4342" s="253"/>
      <c r="K4342" s="584"/>
      <c r="L4342" s="39"/>
      <c r="M4342" s="39"/>
      <c r="N4342" s="52" t="str">
        <f>IF(AND('331-CT'!$E$7=TH!H4342,OR(L4342="331",M4342="331")),"331",IF(AND(OR(L4342="131",M4342="131"),H4342='131-CT'!$E$7),"131",""))</f>
        <v/>
      </c>
      <c r="O4342" s="52" t="str">
        <f>IF(AND($B4342&gt;='111'!$N$11,$B4342&lt;='111'!$O$11,OR($L4342=$O$7,$M4342=$O$7)),"x","")</f>
        <v/>
      </c>
      <c r="P4342" s="52" t="str">
        <f>IF(AND($L4342=$O$7,$B4342&lt;'111'!$N$11),"x","")</f>
        <v/>
      </c>
      <c r="Q4342" s="52" t="str">
        <f>IF(AND($M4342=$O$7,$B4342&lt;'111'!$N$11),"x","")</f>
        <v/>
      </c>
      <c r="R4342" s="52" t="str">
        <f>IF(ISERROR(FIND('112'!$M$9,G4342,1)),"",IF((AND(FIND('112'!$M$9,G4342,1)&gt;=1,$B4342&gt;='112'!$N$8,$B4342&lt;='112'!$O$8,OR($L4342='112'!$I$6,$M4342='112'!$I$6))),"x",""))</f>
        <v/>
      </c>
      <c r="S4342" s="52" t="str">
        <f>IF(ISERROR(FIND('112'!$M$9,G4342,1)),"",IF((AND(LEFT(G4342,2)=LEFT('112'!$M$9,2),B4342&lt;'112'!$N$8,$L4342='112'!$I$6)),"x",""))</f>
        <v/>
      </c>
      <c r="T4342" s="52" t="str">
        <f>IF(ISERROR(FIND('112'!$M$9,G4342,1)),"",IF((AND(RIGHT(G4342,2)=RIGHT('112'!$M$9,2),B4342&lt;'112'!$N$8,$M4342='112'!$I$6)),"x",""))</f>
        <v/>
      </c>
      <c r="U4342" s="52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/>
      </c>
      <c r="V4342" s="52" t="str">
        <f>IF(OR(TH!L4342=TH!$V$7,M4342=TH!$V$7),"x","")</f>
        <v/>
      </c>
      <c r="W4342" s="52" t="str">
        <f>IF(AND(B4342&gt;='IN-NX'!$P$3,B4342&lt;='IN-NX'!$Q$3,'IN-NX'!$D$7=D4342,OR(LEFT(L4342,2)="15",AND(LEFT(M4342,2)&lt;&gt;"15",LEFT(M4342,2)&lt;&gt;"33"))),"x","")</f>
        <v/>
      </c>
      <c r="X4342" s="52" t="str">
        <f>IF(AND(OR(LEFT(TH!L4342,2)="15",LEFT(TH!M4342,2)="15"),'152-CT'!$J$8=TH!F4342),"x","")</f>
        <v/>
      </c>
      <c r="Y4342" s="52" t="str">
        <f>IF(AND(OR(LEFT(TH!L4342,2)="15",LEFT(TH!M4342,2)="15"),TK!$E$7=TH!F4342),"x","")</f>
        <v/>
      </c>
      <c r="Z4342" s="52" t="str">
        <f>IF(AND(B4342&lt;=NKC!$N$8,B4342&gt;=NKC!$M$8),"x","")</f>
        <v/>
      </c>
      <c r="AA4342" s="826"/>
    </row>
    <row r="4343" spans="1:27" ht="15.75" customHeight="1">
      <c r="A4343" s="827" t="str">
        <f>IF(B4343&lt;&gt;"",IF(AND(B4343&gt;=_TM1,B4343&lt;=_TM2,OR(TH!L4343="1111",TH!M4343="1111")),TH!D4343,""),"")</f>
        <v/>
      </c>
      <c r="B4343" s="36" t="str">
        <f t="shared" si="522"/>
        <v/>
      </c>
      <c r="C4343" s="190"/>
      <c r="D4343" s="190"/>
      <c r="E4343" s="190"/>
      <c r="F4343" s="40"/>
      <c r="G4343" s="832"/>
      <c r="H4343" s="7"/>
      <c r="I4343" s="253"/>
      <c r="J4343" s="253"/>
      <c r="K4343" s="584"/>
      <c r="L4343" s="39"/>
      <c r="M4343" s="39"/>
      <c r="N4343" s="52" t="str">
        <f>IF(AND('331-CT'!$E$7=TH!H4343,OR(L4343="331",M4343="331")),"331",IF(AND(OR(L4343="131",M4343="131"),H4343='131-CT'!$E$7),"131",""))</f>
        <v/>
      </c>
      <c r="O4343" s="52" t="str">
        <f>IF(AND($B4343&gt;='111'!$N$11,$B4343&lt;='111'!$O$11,OR($L4343=$O$7,$M4343=$O$7)),"x","")</f>
        <v/>
      </c>
      <c r="P4343" s="52" t="str">
        <f>IF(AND($L4343=$O$7,$B4343&lt;'111'!$N$11),"x","")</f>
        <v/>
      </c>
      <c r="Q4343" s="52" t="str">
        <f>IF(AND($M4343=$O$7,$B4343&lt;'111'!$N$11),"x","")</f>
        <v/>
      </c>
      <c r="R4343" s="52" t="str">
        <f>IF(ISERROR(FIND('112'!$M$9,G4343,1)),"",IF((AND(FIND('112'!$M$9,G4343,1)&gt;=1,$B4343&gt;='112'!$N$8,$B4343&lt;='112'!$O$8,OR($L4343='112'!$I$6,$M4343='112'!$I$6))),"x",""))</f>
        <v/>
      </c>
      <c r="S4343" s="52" t="str">
        <f>IF(ISERROR(FIND('112'!$M$9,G4343,1)),"",IF((AND(LEFT(G4343,2)=LEFT('112'!$M$9,2),B4343&lt;'112'!$N$8,$L4343='112'!$I$6)),"x",""))</f>
        <v/>
      </c>
      <c r="T4343" s="52" t="str">
        <f>IF(ISERROR(FIND('112'!$M$9,G4343,1)),"",IF((AND(RIGHT(G4343,2)=RIGHT('112'!$M$9,2),B4343&lt;'112'!$N$8,$M4343='112'!$I$6)),"x",""))</f>
        <v/>
      </c>
      <c r="U4343" s="52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/>
      </c>
      <c r="V4343" s="52" t="str">
        <f>IF(OR(TH!L4343=TH!$V$7,M4343=TH!$V$7),"x","")</f>
        <v/>
      </c>
      <c r="W4343" s="52" t="str">
        <f>IF(AND(B4343&gt;='IN-NX'!$P$3,B4343&lt;='IN-NX'!$Q$3,'IN-NX'!$D$7=D4343,OR(LEFT(L4343,2)="15",AND(LEFT(M4343,2)&lt;&gt;"15",LEFT(M4343,2)&lt;&gt;"33"))),"x","")</f>
        <v/>
      </c>
      <c r="X4343" s="52" t="str">
        <f>IF(AND(OR(LEFT(TH!L4343,2)="15",LEFT(TH!M4343,2)="15"),'152-CT'!$J$8=TH!F4343),"x","")</f>
        <v/>
      </c>
      <c r="Y4343" s="52" t="str">
        <f>IF(AND(OR(LEFT(TH!L4343,2)="15",LEFT(TH!M4343,2)="15"),TK!$E$7=TH!F4343),"x","")</f>
        <v/>
      </c>
      <c r="Z4343" s="52" t="str">
        <f>IF(AND(B4343&lt;=NKC!$N$8,B4343&gt;=NKC!$M$8),"x","")</f>
        <v/>
      </c>
      <c r="AA4343" s="826"/>
    </row>
    <row r="4344" spans="1:27" ht="15.75" customHeight="1">
      <c r="A4344" s="827" t="str">
        <f>IF(B4344&lt;&gt;"",IF(AND(B4344&gt;=_TM1,B4344&lt;=_TM2,OR(TH!L4344="1111",TH!M4344="1111")),TH!D4344,""),"")</f>
        <v/>
      </c>
      <c r="B4344" s="36" t="str">
        <f t="shared" si="522"/>
        <v/>
      </c>
      <c r="C4344" s="190"/>
      <c r="D4344" s="190"/>
      <c r="E4344" s="190"/>
      <c r="F4344" s="40"/>
      <c r="G4344" s="832"/>
      <c r="H4344" s="7"/>
      <c r="I4344" s="253"/>
      <c r="J4344" s="253"/>
      <c r="K4344" s="584"/>
      <c r="L4344" s="39"/>
      <c r="M4344" s="39"/>
      <c r="N4344" s="52" t="str">
        <f>IF(AND('331-CT'!$E$7=TH!H4344,OR(L4344="331",M4344="331")),"331",IF(AND(OR(L4344="131",M4344="131"),H4344='131-CT'!$E$7),"131",""))</f>
        <v/>
      </c>
      <c r="O4344" s="52" t="str">
        <f>IF(AND($B4344&gt;='111'!$N$11,$B4344&lt;='111'!$O$11,OR($L4344=$O$7,$M4344=$O$7)),"x","")</f>
        <v/>
      </c>
      <c r="P4344" s="52" t="str">
        <f>IF(AND($L4344=$O$7,$B4344&lt;'111'!$N$11),"x","")</f>
        <v/>
      </c>
      <c r="Q4344" s="52" t="str">
        <f>IF(AND($M4344=$O$7,$B4344&lt;'111'!$N$11),"x","")</f>
        <v/>
      </c>
      <c r="R4344" s="52" t="str">
        <f>IF(ISERROR(FIND('112'!$M$9,G4344,1)),"",IF((AND(FIND('112'!$M$9,G4344,1)&gt;=1,$B4344&gt;='112'!$N$8,$B4344&lt;='112'!$O$8,OR($L4344='112'!$I$6,$M4344='112'!$I$6))),"x",""))</f>
        <v/>
      </c>
      <c r="S4344" s="52" t="str">
        <f>IF(ISERROR(FIND('112'!$M$9,G4344,1)),"",IF((AND(LEFT(G4344,2)=LEFT('112'!$M$9,2),B4344&lt;'112'!$N$8,$L4344='112'!$I$6)),"x",""))</f>
        <v/>
      </c>
      <c r="T4344" s="52" t="str">
        <f>IF(ISERROR(FIND('112'!$M$9,G4344,1)),"",IF((AND(RIGHT(G4344,2)=RIGHT('112'!$M$9,2),B4344&lt;'112'!$N$8,$M4344='112'!$I$6)),"x",""))</f>
        <v/>
      </c>
      <c r="U4344" s="52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/>
      </c>
      <c r="V4344" s="52" t="str">
        <f>IF(OR(TH!L4344=TH!$V$7,M4344=TH!$V$7),"x","")</f>
        <v/>
      </c>
      <c r="W4344" s="52" t="str">
        <f>IF(AND(B4344&gt;='IN-NX'!$P$3,B4344&lt;='IN-NX'!$Q$3,'IN-NX'!$D$7=D4344,OR(LEFT(L4344,2)="15",AND(LEFT(M4344,2)&lt;&gt;"15",LEFT(M4344,2)&lt;&gt;"33"))),"x","")</f>
        <v/>
      </c>
      <c r="X4344" s="52" t="str">
        <f>IF(AND(OR(LEFT(TH!L4344,2)="15",LEFT(TH!M4344,2)="15"),'152-CT'!$J$8=TH!F4344),"x","")</f>
        <v/>
      </c>
      <c r="Y4344" s="52" t="str">
        <f>IF(AND(OR(LEFT(TH!L4344,2)="15",LEFT(TH!M4344,2)="15"),TK!$E$7=TH!F4344),"x","")</f>
        <v/>
      </c>
      <c r="Z4344" s="52" t="str">
        <f>IF(AND(B4344&lt;=NKC!$N$8,B4344&gt;=NKC!$M$8),"x","")</f>
        <v/>
      </c>
      <c r="AA4344" s="826"/>
    </row>
    <row r="4345" spans="1:27" ht="15.75" customHeight="1">
      <c r="A4345" s="827" t="str">
        <f>IF(B4345&lt;&gt;"",IF(AND(B4345&gt;=_TM1,B4345&lt;=_TM2,OR(TH!L4345="1111",TH!M4345="1111")),TH!D4345,""),"")</f>
        <v/>
      </c>
      <c r="B4345" s="36" t="str">
        <f t="shared" si="522"/>
        <v/>
      </c>
      <c r="C4345" s="190"/>
      <c r="D4345" s="190"/>
      <c r="E4345" s="190"/>
      <c r="F4345" s="40"/>
      <c r="G4345" s="832"/>
      <c r="H4345" s="7"/>
      <c r="I4345" s="253"/>
      <c r="J4345" s="253"/>
      <c r="K4345" s="584"/>
      <c r="L4345" s="39"/>
      <c r="M4345" s="39"/>
      <c r="N4345" s="52" t="str">
        <f>IF(AND('331-CT'!$E$7=TH!H4345,OR(L4345="331",M4345="331")),"331",IF(AND(OR(L4345="131",M4345="131"),H4345='131-CT'!$E$7),"131",""))</f>
        <v/>
      </c>
      <c r="O4345" s="52" t="str">
        <f>IF(AND($B4345&gt;='111'!$N$11,$B4345&lt;='111'!$O$11,OR($L4345=$O$7,$M4345=$O$7)),"x","")</f>
        <v/>
      </c>
      <c r="P4345" s="52" t="str">
        <f>IF(AND($L4345=$O$7,$B4345&lt;'111'!$N$11),"x","")</f>
        <v/>
      </c>
      <c r="Q4345" s="52" t="str">
        <f>IF(AND($M4345=$O$7,$B4345&lt;'111'!$N$11),"x","")</f>
        <v/>
      </c>
      <c r="R4345" s="52" t="str">
        <f>IF(ISERROR(FIND('112'!$M$9,G4345,1)),"",IF((AND(FIND('112'!$M$9,G4345,1)&gt;=1,$B4345&gt;='112'!$N$8,$B4345&lt;='112'!$O$8,OR($L4345='112'!$I$6,$M4345='112'!$I$6))),"x",""))</f>
        <v/>
      </c>
      <c r="S4345" s="52" t="str">
        <f>IF(ISERROR(FIND('112'!$M$9,G4345,1)),"",IF((AND(LEFT(G4345,2)=LEFT('112'!$M$9,2),B4345&lt;'112'!$N$8,$L4345='112'!$I$6)),"x",""))</f>
        <v/>
      </c>
      <c r="T4345" s="52" t="str">
        <f>IF(ISERROR(FIND('112'!$M$9,G4345,1)),"",IF((AND(RIGHT(G4345,2)=RIGHT('112'!$M$9,2),B4345&lt;'112'!$N$8,$M4345='112'!$I$6)),"x",""))</f>
        <v/>
      </c>
      <c r="U4345" s="52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/>
      </c>
      <c r="V4345" s="52" t="str">
        <f>IF(OR(TH!L4345=TH!$V$7,M4345=TH!$V$7),"x","")</f>
        <v/>
      </c>
      <c r="W4345" s="52" t="str">
        <f>IF(AND(B4345&gt;='IN-NX'!$P$3,B4345&lt;='IN-NX'!$Q$3,'IN-NX'!$D$7=D4345,OR(LEFT(L4345,2)="15",AND(LEFT(M4345,2)&lt;&gt;"15",LEFT(M4345,2)&lt;&gt;"33"))),"x","")</f>
        <v/>
      </c>
      <c r="X4345" s="52" t="str">
        <f>IF(AND(OR(LEFT(TH!L4345,2)="15",LEFT(TH!M4345,2)="15"),'152-CT'!$J$8=TH!F4345),"x","")</f>
        <v/>
      </c>
      <c r="Y4345" s="52" t="str">
        <f>IF(AND(OR(LEFT(TH!L4345,2)="15",LEFT(TH!M4345,2)="15"),TK!$E$7=TH!F4345),"x","")</f>
        <v/>
      </c>
      <c r="Z4345" s="52" t="str">
        <f>IF(AND(B4345&lt;=NKC!$N$8,B4345&gt;=NKC!$M$8),"x","")</f>
        <v/>
      </c>
      <c r="AA4345" s="826"/>
    </row>
    <row r="4346" spans="1:27" ht="15.75" customHeight="1">
      <c r="A4346" s="827" t="str">
        <f>IF(B4346&lt;&gt;"",IF(AND(B4346&gt;=_TM1,B4346&lt;=_TM2,OR(TH!L4346="1111",TH!M4346="1111")),TH!D4346,""),"")</f>
        <v/>
      </c>
      <c r="B4346" s="36" t="str">
        <f t="shared" si="522"/>
        <v/>
      </c>
      <c r="C4346" s="190"/>
      <c r="D4346" s="190"/>
      <c r="E4346" s="190"/>
      <c r="F4346" s="40"/>
      <c r="G4346" s="832"/>
      <c r="H4346" s="7"/>
      <c r="I4346" s="253"/>
      <c r="J4346" s="253"/>
      <c r="K4346" s="584"/>
      <c r="L4346" s="39"/>
      <c r="M4346" s="39"/>
      <c r="N4346" s="52" t="str">
        <f>IF(AND('331-CT'!$E$7=TH!H4346,OR(L4346="331",M4346="331")),"331",IF(AND(OR(L4346="131",M4346="131"),H4346='131-CT'!$E$7),"131",""))</f>
        <v/>
      </c>
      <c r="O4346" s="52" t="str">
        <f>IF(AND($B4346&gt;='111'!$N$11,$B4346&lt;='111'!$O$11,OR($L4346=$O$7,$M4346=$O$7)),"x","")</f>
        <v/>
      </c>
      <c r="P4346" s="52" t="str">
        <f>IF(AND($L4346=$O$7,$B4346&lt;'111'!$N$11),"x","")</f>
        <v/>
      </c>
      <c r="Q4346" s="52" t="str">
        <f>IF(AND($M4346=$O$7,$B4346&lt;'111'!$N$11),"x","")</f>
        <v/>
      </c>
      <c r="R4346" s="52" t="str">
        <f>IF(ISERROR(FIND('112'!$M$9,G4346,1)),"",IF((AND(FIND('112'!$M$9,G4346,1)&gt;=1,$B4346&gt;='112'!$N$8,$B4346&lt;='112'!$O$8,OR($L4346='112'!$I$6,$M4346='112'!$I$6))),"x",""))</f>
        <v/>
      </c>
      <c r="S4346" s="52" t="str">
        <f>IF(ISERROR(FIND('112'!$M$9,G4346,1)),"",IF((AND(LEFT(G4346,2)=LEFT('112'!$M$9,2),B4346&lt;'112'!$N$8,$L4346='112'!$I$6)),"x",""))</f>
        <v/>
      </c>
      <c r="T4346" s="52" t="str">
        <f>IF(ISERROR(FIND('112'!$M$9,G4346,1)),"",IF((AND(RIGHT(G4346,2)=RIGHT('112'!$M$9,2),B4346&lt;'112'!$N$8,$M4346='112'!$I$6)),"x",""))</f>
        <v/>
      </c>
      <c r="U4346" s="52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/>
      </c>
      <c r="V4346" s="52" t="str">
        <f>IF(OR(TH!L4346=TH!$V$7,M4346=TH!$V$7),"x","")</f>
        <v/>
      </c>
      <c r="W4346" s="52" t="str">
        <f>IF(AND(B4346&gt;='IN-NX'!$P$3,B4346&lt;='IN-NX'!$Q$3,'IN-NX'!$D$7=D4346,OR(LEFT(L4346,2)="15",AND(LEFT(M4346,2)&lt;&gt;"15",LEFT(M4346,2)&lt;&gt;"33"))),"x","")</f>
        <v/>
      </c>
      <c r="X4346" s="52" t="str">
        <f>IF(AND(OR(LEFT(TH!L4346,2)="15",LEFT(TH!M4346,2)="15"),'152-CT'!$J$8=TH!F4346),"x","")</f>
        <v/>
      </c>
      <c r="Y4346" s="52" t="str">
        <f>IF(AND(OR(LEFT(TH!L4346,2)="15",LEFT(TH!M4346,2)="15"),TK!$E$7=TH!F4346),"x","")</f>
        <v/>
      </c>
      <c r="Z4346" s="52" t="str">
        <f>IF(AND(B4346&lt;=NKC!$N$8,B4346&gt;=NKC!$M$8),"x","")</f>
        <v/>
      </c>
      <c r="AA4346" s="826"/>
    </row>
    <row r="4347" spans="1:27" ht="15.75" customHeight="1">
      <c r="A4347" s="827" t="str">
        <f>IF(B4347&lt;&gt;"",IF(AND(B4347&gt;=_TM1,B4347&lt;=_TM2,OR(TH!L4347="1111",TH!M4347="1111")),TH!D4347,""),"")</f>
        <v/>
      </c>
      <c r="B4347" s="36" t="str">
        <f t="shared" si="522"/>
        <v/>
      </c>
      <c r="C4347" s="190"/>
      <c r="D4347" s="190"/>
      <c r="E4347" s="190"/>
      <c r="F4347" s="40"/>
      <c r="G4347" s="832"/>
      <c r="H4347" s="7"/>
      <c r="I4347" s="253"/>
      <c r="J4347" s="253"/>
      <c r="K4347" s="584"/>
      <c r="L4347" s="39"/>
      <c r="M4347" s="39"/>
      <c r="N4347" s="52" t="str">
        <f>IF(AND('331-CT'!$E$7=TH!H4347,OR(L4347="331",M4347="331")),"331",IF(AND(OR(L4347="131",M4347="131"),H4347='131-CT'!$E$7),"131",""))</f>
        <v/>
      </c>
      <c r="O4347" s="52" t="str">
        <f>IF(AND($B4347&gt;='111'!$N$11,$B4347&lt;='111'!$O$11,OR($L4347=$O$7,$M4347=$O$7)),"x","")</f>
        <v/>
      </c>
      <c r="P4347" s="52" t="str">
        <f>IF(AND($L4347=$O$7,$B4347&lt;'111'!$N$11),"x","")</f>
        <v/>
      </c>
      <c r="Q4347" s="52" t="str">
        <f>IF(AND($M4347=$O$7,$B4347&lt;'111'!$N$11),"x","")</f>
        <v/>
      </c>
      <c r="R4347" s="52" t="str">
        <f>IF(ISERROR(FIND('112'!$M$9,G4347,1)),"",IF((AND(FIND('112'!$M$9,G4347,1)&gt;=1,$B4347&gt;='112'!$N$8,$B4347&lt;='112'!$O$8,OR($L4347='112'!$I$6,$M4347='112'!$I$6))),"x",""))</f>
        <v/>
      </c>
      <c r="S4347" s="52" t="str">
        <f>IF(ISERROR(FIND('112'!$M$9,G4347,1)),"",IF((AND(LEFT(G4347,2)=LEFT('112'!$M$9,2),B4347&lt;'112'!$N$8,$L4347='112'!$I$6)),"x",""))</f>
        <v/>
      </c>
      <c r="T4347" s="52" t="str">
        <f>IF(ISERROR(FIND('112'!$M$9,G4347,1)),"",IF((AND(RIGHT(G4347,2)=RIGHT('112'!$M$9,2),B4347&lt;'112'!$N$8,$M4347='112'!$I$6)),"x",""))</f>
        <v/>
      </c>
      <c r="U4347" s="52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/>
      </c>
      <c r="V4347" s="52" t="str">
        <f>IF(OR(TH!L4347=TH!$V$7,M4347=TH!$V$7),"x","")</f>
        <v/>
      </c>
      <c r="W4347" s="52" t="str">
        <f>IF(AND(B4347&gt;='IN-NX'!$P$3,B4347&lt;='IN-NX'!$Q$3,'IN-NX'!$D$7=D4347,OR(LEFT(L4347,2)="15",AND(LEFT(M4347,2)&lt;&gt;"15",LEFT(M4347,2)&lt;&gt;"33"))),"x","")</f>
        <v/>
      </c>
      <c r="X4347" s="52" t="str">
        <f>IF(AND(OR(LEFT(TH!L4347,2)="15",LEFT(TH!M4347,2)="15"),'152-CT'!$J$8=TH!F4347),"x","")</f>
        <v/>
      </c>
      <c r="Y4347" s="52" t="str">
        <f>IF(AND(OR(LEFT(TH!L4347,2)="15",LEFT(TH!M4347,2)="15"),TK!$E$7=TH!F4347),"x","")</f>
        <v/>
      </c>
      <c r="Z4347" s="52" t="str">
        <f>IF(AND(B4347&lt;=NKC!$N$8,B4347&gt;=NKC!$M$8),"x","")</f>
        <v/>
      </c>
      <c r="AA4347" s="826"/>
    </row>
    <row r="4348" spans="1:27" ht="15.75" customHeight="1">
      <c r="A4348" s="827" t="str">
        <f>IF(B4348&lt;&gt;"",IF(AND(B4348&gt;=_TM1,B4348&lt;=_TM2,OR(TH!L4348="1111",TH!M4348="1111")),TH!D4348,""),"")</f>
        <v/>
      </c>
      <c r="B4348" s="36" t="str">
        <f t="shared" si="522"/>
        <v/>
      </c>
      <c r="C4348" s="190"/>
      <c r="D4348" s="190"/>
      <c r="E4348" s="190"/>
      <c r="F4348" s="40"/>
      <c r="G4348" s="832"/>
      <c r="H4348" s="7"/>
      <c r="I4348" s="253"/>
      <c r="J4348" s="253"/>
      <c r="K4348" s="584"/>
      <c r="L4348" s="39"/>
      <c r="M4348" s="39"/>
      <c r="N4348" s="52" t="str">
        <f>IF(AND('331-CT'!$E$7=TH!H4348,OR(L4348="331",M4348="331")),"331",IF(AND(OR(L4348="131",M4348="131"),H4348='131-CT'!$E$7),"131",""))</f>
        <v/>
      </c>
      <c r="O4348" s="52" t="str">
        <f>IF(AND($B4348&gt;='111'!$N$11,$B4348&lt;='111'!$O$11,OR($L4348=$O$7,$M4348=$O$7)),"x","")</f>
        <v/>
      </c>
      <c r="P4348" s="52" t="str">
        <f>IF(AND($L4348=$O$7,$B4348&lt;'111'!$N$11),"x","")</f>
        <v/>
      </c>
      <c r="Q4348" s="52" t="str">
        <f>IF(AND($M4348=$O$7,$B4348&lt;'111'!$N$11),"x","")</f>
        <v/>
      </c>
      <c r="R4348" s="52" t="str">
        <f>IF(ISERROR(FIND('112'!$M$9,G4348,1)),"",IF((AND(FIND('112'!$M$9,G4348,1)&gt;=1,$B4348&gt;='112'!$N$8,$B4348&lt;='112'!$O$8,OR($L4348='112'!$I$6,$M4348='112'!$I$6))),"x",""))</f>
        <v/>
      </c>
      <c r="S4348" s="52" t="str">
        <f>IF(ISERROR(FIND('112'!$M$9,G4348,1)),"",IF((AND(LEFT(G4348,2)=LEFT('112'!$M$9,2),B4348&lt;'112'!$N$8,$L4348='112'!$I$6)),"x",""))</f>
        <v/>
      </c>
      <c r="T4348" s="52" t="str">
        <f>IF(ISERROR(FIND('112'!$M$9,G4348,1)),"",IF((AND(RIGHT(G4348,2)=RIGHT('112'!$M$9,2),B4348&lt;'112'!$N$8,$M4348='112'!$I$6)),"x",""))</f>
        <v/>
      </c>
      <c r="U4348" s="52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/>
      </c>
      <c r="V4348" s="52" t="str">
        <f>IF(OR(TH!L4348=TH!$V$7,M4348=TH!$V$7),"x","")</f>
        <v/>
      </c>
      <c r="W4348" s="52" t="str">
        <f>IF(AND(B4348&gt;='IN-NX'!$P$3,B4348&lt;='IN-NX'!$Q$3,'IN-NX'!$D$7=D4348,OR(LEFT(L4348,2)="15",AND(LEFT(M4348,2)&lt;&gt;"15",LEFT(M4348,2)&lt;&gt;"33"))),"x","")</f>
        <v/>
      </c>
      <c r="X4348" s="52" t="str">
        <f>IF(AND(OR(LEFT(TH!L4348,2)="15",LEFT(TH!M4348,2)="15"),'152-CT'!$J$8=TH!F4348),"x","")</f>
        <v/>
      </c>
      <c r="Y4348" s="52" t="str">
        <f>IF(AND(OR(LEFT(TH!L4348,2)="15",LEFT(TH!M4348,2)="15"),TK!$E$7=TH!F4348),"x","")</f>
        <v/>
      </c>
      <c r="Z4348" s="52" t="str">
        <f>IF(AND(B4348&lt;=NKC!$N$8,B4348&gt;=NKC!$M$8),"x","")</f>
        <v/>
      </c>
      <c r="AA4348" s="826"/>
    </row>
    <row r="4349" spans="1:27" ht="15.75" customHeight="1">
      <c r="A4349" s="827" t="str">
        <f>IF(B4349&lt;&gt;"",IF(AND(B4349&gt;=_TM1,B4349&lt;=_TM2,OR(TH!L4349="1111",TH!M4349="1111")),TH!D4349,""),"")</f>
        <v/>
      </c>
      <c r="B4349" s="36" t="str">
        <f t="shared" si="522"/>
        <v/>
      </c>
      <c r="C4349" s="190"/>
      <c r="D4349" s="190"/>
      <c r="E4349" s="190"/>
      <c r="F4349" s="40"/>
      <c r="G4349" s="832"/>
      <c r="H4349" s="7"/>
      <c r="I4349" s="253"/>
      <c r="J4349" s="253"/>
      <c r="K4349" s="584"/>
      <c r="L4349" s="39"/>
      <c r="M4349" s="39"/>
      <c r="N4349" s="52" t="str">
        <f>IF(AND('331-CT'!$E$7=TH!H4349,OR(L4349="331",M4349="331")),"331",IF(AND(OR(L4349="131",M4349="131"),H4349='131-CT'!$E$7),"131",""))</f>
        <v/>
      </c>
      <c r="O4349" s="52" t="str">
        <f>IF(AND($B4349&gt;='111'!$N$11,$B4349&lt;='111'!$O$11,OR($L4349=$O$7,$M4349=$O$7)),"x","")</f>
        <v/>
      </c>
      <c r="P4349" s="52" t="str">
        <f>IF(AND($L4349=$O$7,$B4349&lt;'111'!$N$11),"x","")</f>
        <v/>
      </c>
      <c r="Q4349" s="52" t="str">
        <f>IF(AND($M4349=$O$7,$B4349&lt;'111'!$N$11),"x","")</f>
        <v/>
      </c>
      <c r="R4349" s="52" t="str">
        <f>IF(ISERROR(FIND('112'!$M$9,G4349,1)),"",IF((AND(FIND('112'!$M$9,G4349,1)&gt;=1,$B4349&gt;='112'!$N$8,$B4349&lt;='112'!$O$8,OR($L4349='112'!$I$6,$M4349='112'!$I$6))),"x",""))</f>
        <v/>
      </c>
      <c r="S4349" s="52" t="str">
        <f>IF(ISERROR(FIND('112'!$M$9,G4349,1)),"",IF((AND(LEFT(G4349,2)=LEFT('112'!$M$9,2),B4349&lt;'112'!$N$8,$L4349='112'!$I$6)),"x",""))</f>
        <v/>
      </c>
      <c r="T4349" s="52" t="str">
        <f>IF(ISERROR(FIND('112'!$M$9,G4349,1)),"",IF((AND(RIGHT(G4349,2)=RIGHT('112'!$M$9,2),B4349&lt;'112'!$N$8,$M4349='112'!$I$6)),"x",""))</f>
        <v/>
      </c>
      <c r="U4349" s="52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/>
      </c>
      <c r="V4349" s="52" t="str">
        <f>IF(OR(TH!L4349=TH!$V$7,M4349=TH!$V$7),"x","")</f>
        <v/>
      </c>
      <c r="W4349" s="52" t="str">
        <f>IF(AND(B4349&gt;='IN-NX'!$P$3,B4349&lt;='IN-NX'!$Q$3,'IN-NX'!$D$7=D4349,OR(LEFT(L4349,2)="15",AND(LEFT(M4349,2)&lt;&gt;"15",LEFT(M4349,2)&lt;&gt;"33"))),"x","")</f>
        <v/>
      </c>
      <c r="X4349" s="52" t="str">
        <f>IF(AND(OR(LEFT(TH!L4349,2)="15",LEFT(TH!M4349,2)="15"),'152-CT'!$J$8=TH!F4349),"x","")</f>
        <v/>
      </c>
      <c r="Y4349" s="52" t="str">
        <f>IF(AND(OR(LEFT(TH!L4349,2)="15",LEFT(TH!M4349,2)="15"),TK!$E$7=TH!F4349),"x","")</f>
        <v/>
      </c>
      <c r="Z4349" s="52" t="str">
        <f>IF(AND(B4349&lt;=NKC!$N$8,B4349&gt;=NKC!$M$8),"x","")</f>
        <v/>
      </c>
      <c r="AA4349" s="826"/>
    </row>
    <row r="4350" spans="1:27" ht="15.75" customHeight="1">
      <c r="A4350" s="827" t="str">
        <f>IF(B4350&lt;&gt;"",IF(AND(B4350&gt;=_TM1,B4350&lt;=_TM2,OR(TH!L4350="1111",TH!M4350="1111")),TH!D4350,""),"")</f>
        <v/>
      </c>
      <c r="B4350" s="36" t="str">
        <f t="shared" si="522"/>
        <v/>
      </c>
      <c r="C4350" s="190"/>
      <c r="D4350" s="190"/>
      <c r="E4350" s="190"/>
      <c r="F4350" s="40"/>
      <c r="G4350" s="832"/>
      <c r="H4350" s="7"/>
      <c r="I4350" s="253"/>
      <c r="J4350" s="253"/>
      <c r="K4350" s="584"/>
      <c r="L4350" s="39"/>
      <c r="M4350" s="39"/>
      <c r="N4350" s="52" t="str">
        <f>IF(AND('331-CT'!$E$7=TH!H4350,OR(L4350="331",M4350="331")),"331",IF(AND(OR(L4350="131",M4350="131"),H4350='131-CT'!$E$7),"131",""))</f>
        <v/>
      </c>
      <c r="O4350" s="52" t="str">
        <f>IF(AND($B4350&gt;='111'!$N$11,$B4350&lt;='111'!$O$11,OR($L4350=$O$7,$M4350=$O$7)),"x","")</f>
        <v/>
      </c>
      <c r="P4350" s="52" t="str">
        <f>IF(AND($L4350=$O$7,$B4350&lt;'111'!$N$11),"x","")</f>
        <v/>
      </c>
      <c r="Q4350" s="52" t="str">
        <f>IF(AND($M4350=$O$7,$B4350&lt;'111'!$N$11),"x","")</f>
        <v/>
      </c>
      <c r="R4350" s="52" t="str">
        <f>IF(ISERROR(FIND('112'!$M$9,G4350,1)),"",IF((AND(FIND('112'!$M$9,G4350,1)&gt;=1,$B4350&gt;='112'!$N$8,$B4350&lt;='112'!$O$8,OR($L4350='112'!$I$6,$M4350='112'!$I$6))),"x",""))</f>
        <v/>
      </c>
      <c r="S4350" s="52" t="str">
        <f>IF(ISERROR(FIND('112'!$M$9,G4350,1)),"",IF((AND(LEFT(G4350,2)=LEFT('112'!$M$9,2),B4350&lt;'112'!$N$8,$L4350='112'!$I$6)),"x",""))</f>
        <v/>
      </c>
      <c r="T4350" s="52" t="str">
        <f>IF(ISERROR(FIND('112'!$M$9,G4350,1)),"",IF((AND(RIGHT(G4350,2)=RIGHT('112'!$M$9,2),B4350&lt;'112'!$N$8,$M4350='112'!$I$6)),"x",""))</f>
        <v/>
      </c>
      <c r="U4350" s="52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/>
      </c>
      <c r="V4350" s="52" t="str">
        <f>IF(OR(TH!L4350=TH!$V$7,M4350=TH!$V$7),"x","")</f>
        <v/>
      </c>
      <c r="W4350" s="52" t="str">
        <f>IF(AND(B4350&gt;='IN-NX'!$P$3,B4350&lt;='IN-NX'!$Q$3,'IN-NX'!$D$7=D4350,OR(LEFT(L4350,2)="15",AND(LEFT(M4350,2)&lt;&gt;"15",LEFT(M4350,2)&lt;&gt;"33"))),"x","")</f>
        <v/>
      </c>
      <c r="X4350" s="52" t="str">
        <f>IF(AND(OR(LEFT(TH!L4350,2)="15",LEFT(TH!M4350,2)="15"),'152-CT'!$J$8=TH!F4350),"x","")</f>
        <v/>
      </c>
      <c r="Y4350" s="52" t="str">
        <f>IF(AND(OR(LEFT(TH!L4350,2)="15",LEFT(TH!M4350,2)="15"),TK!$E$7=TH!F4350),"x","")</f>
        <v/>
      </c>
      <c r="Z4350" s="52" t="str">
        <f>IF(AND(B4350&lt;=NKC!$N$8,B4350&gt;=NKC!$M$8),"x","")</f>
        <v/>
      </c>
      <c r="AA4350" s="826"/>
    </row>
    <row r="4351" spans="1:27" ht="15.75" customHeight="1">
      <c r="A4351" s="827" t="str">
        <f>IF(B4351&lt;&gt;"",IF(AND(B4351&gt;=_TM1,B4351&lt;=_TM2,OR(TH!L4351="1111",TH!M4351="1111")),TH!D4351,""),"")</f>
        <v/>
      </c>
      <c r="B4351" s="36" t="str">
        <f t="shared" si="522"/>
        <v/>
      </c>
      <c r="C4351" s="190"/>
      <c r="D4351" s="190"/>
      <c r="E4351" s="190"/>
      <c r="F4351" s="40"/>
      <c r="G4351" s="832"/>
      <c r="H4351" s="7"/>
      <c r="I4351" s="253"/>
      <c r="J4351" s="253"/>
      <c r="K4351" s="584"/>
      <c r="L4351" s="39"/>
      <c r="M4351" s="39"/>
      <c r="N4351" s="52" t="str">
        <f>IF(AND('331-CT'!$E$7=TH!H4351,OR(L4351="331",M4351="331")),"331",IF(AND(OR(L4351="131",M4351="131"),H4351='131-CT'!$E$7),"131",""))</f>
        <v/>
      </c>
      <c r="O4351" s="52" t="str">
        <f>IF(AND($B4351&gt;='111'!$N$11,$B4351&lt;='111'!$O$11,OR($L4351=$O$7,$M4351=$O$7)),"x","")</f>
        <v/>
      </c>
      <c r="P4351" s="52" t="str">
        <f>IF(AND($L4351=$O$7,$B4351&lt;'111'!$N$11),"x","")</f>
        <v/>
      </c>
      <c r="Q4351" s="52" t="str">
        <f>IF(AND($M4351=$O$7,$B4351&lt;'111'!$N$11),"x","")</f>
        <v/>
      </c>
      <c r="R4351" s="52" t="str">
        <f>IF(ISERROR(FIND('112'!$M$9,G4351,1)),"",IF((AND(FIND('112'!$M$9,G4351,1)&gt;=1,$B4351&gt;='112'!$N$8,$B4351&lt;='112'!$O$8,OR($L4351='112'!$I$6,$M4351='112'!$I$6))),"x",""))</f>
        <v/>
      </c>
      <c r="S4351" s="52" t="str">
        <f>IF(ISERROR(FIND('112'!$M$9,G4351,1)),"",IF((AND(LEFT(G4351,2)=LEFT('112'!$M$9,2),B4351&lt;'112'!$N$8,$L4351='112'!$I$6)),"x",""))</f>
        <v/>
      </c>
      <c r="T4351" s="52" t="str">
        <f>IF(ISERROR(FIND('112'!$M$9,G4351,1)),"",IF((AND(RIGHT(G4351,2)=RIGHT('112'!$M$9,2),B4351&lt;'112'!$N$8,$M4351='112'!$I$6)),"x",""))</f>
        <v/>
      </c>
      <c r="U4351" s="52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/>
      </c>
      <c r="V4351" s="52" t="str">
        <f>IF(OR(TH!L4351=TH!$V$7,M4351=TH!$V$7),"x","")</f>
        <v/>
      </c>
      <c r="W4351" s="52" t="str">
        <f>IF(AND(B4351&gt;='IN-NX'!$P$3,B4351&lt;='IN-NX'!$Q$3,'IN-NX'!$D$7=D4351,OR(LEFT(L4351,2)="15",AND(LEFT(M4351,2)&lt;&gt;"15",LEFT(M4351,2)&lt;&gt;"33"))),"x","")</f>
        <v/>
      </c>
      <c r="X4351" s="52" t="str">
        <f>IF(AND(OR(LEFT(TH!L4351,2)="15",LEFT(TH!M4351,2)="15"),'152-CT'!$J$8=TH!F4351),"x","")</f>
        <v/>
      </c>
      <c r="Y4351" s="52" t="str">
        <f>IF(AND(OR(LEFT(TH!L4351,2)="15",LEFT(TH!M4351,2)="15"),TK!$E$7=TH!F4351),"x","")</f>
        <v/>
      </c>
      <c r="Z4351" s="52" t="str">
        <f>IF(AND(B4351&lt;=NKC!$N$8,B4351&gt;=NKC!$M$8),"x","")</f>
        <v/>
      </c>
      <c r="AA4351" s="826"/>
    </row>
    <row r="4352" spans="1:27" ht="15.75" customHeight="1">
      <c r="A4352" s="827" t="str">
        <f>IF(B4352&lt;&gt;"",IF(AND(B4352&gt;=_TM1,B4352&lt;=_TM2,OR(TH!L4352="1111",TH!M4352="1111")),TH!D4352,""),"")</f>
        <v/>
      </c>
      <c r="B4352" s="36" t="str">
        <f t="shared" si="522"/>
        <v/>
      </c>
      <c r="C4352" s="190"/>
      <c r="D4352" s="190"/>
      <c r="E4352" s="190"/>
      <c r="F4352" s="40"/>
      <c r="G4352" s="832"/>
      <c r="H4352" s="7"/>
      <c r="I4352" s="253"/>
      <c r="J4352" s="253"/>
      <c r="K4352" s="584"/>
      <c r="L4352" s="39"/>
      <c r="M4352" s="39"/>
      <c r="N4352" s="52" t="str">
        <f>IF(AND('331-CT'!$E$7=TH!H4352,OR(L4352="331",M4352="331")),"331",IF(AND(OR(L4352="131",M4352="131"),H4352='131-CT'!$E$7),"131",""))</f>
        <v/>
      </c>
      <c r="O4352" s="52" t="str">
        <f>IF(AND($B4352&gt;='111'!$N$11,$B4352&lt;='111'!$O$11,OR($L4352=$O$7,$M4352=$O$7)),"x","")</f>
        <v/>
      </c>
      <c r="P4352" s="52" t="str">
        <f>IF(AND($L4352=$O$7,$B4352&lt;'111'!$N$11),"x","")</f>
        <v/>
      </c>
      <c r="Q4352" s="52" t="str">
        <f>IF(AND($M4352=$O$7,$B4352&lt;'111'!$N$11),"x","")</f>
        <v/>
      </c>
      <c r="R4352" s="52" t="str">
        <f>IF(ISERROR(FIND('112'!$M$9,G4352,1)),"",IF((AND(FIND('112'!$M$9,G4352,1)&gt;=1,$B4352&gt;='112'!$N$8,$B4352&lt;='112'!$O$8,OR($L4352='112'!$I$6,$M4352='112'!$I$6))),"x",""))</f>
        <v/>
      </c>
      <c r="S4352" s="52" t="str">
        <f>IF(ISERROR(FIND('112'!$M$9,G4352,1)),"",IF((AND(LEFT(G4352,2)=LEFT('112'!$M$9,2),B4352&lt;'112'!$N$8,$L4352='112'!$I$6)),"x",""))</f>
        <v/>
      </c>
      <c r="T4352" s="52" t="str">
        <f>IF(ISERROR(FIND('112'!$M$9,G4352,1)),"",IF((AND(RIGHT(G4352,2)=RIGHT('112'!$M$9,2),B4352&lt;'112'!$N$8,$M4352='112'!$I$6)),"x",""))</f>
        <v/>
      </c>
      <c r="U4352" s="52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/>
      </c>
      <c r="V4352" s="52" t="str">
        <f>IF(OR(TH!L4352=TH!$V$7,M4352=TH!$V$7),"x","")</f>
        <v/>
      </c>
      <c r="W4352" s="52" t="str">
        <f>IF(AND(B4352&gt;='IN-NX'!$P$3,B4352&lt;='IN-NX'!$Q$3,'IN-NX'!$D$7=D4352,OR(LEFT(L4352,2)="15",AND(LEFT(M4352,2)&lt;&gt;"15",LEFT(M4352,2)&lt;&gt;"33"))),"x","")</f>
        <v/>
      </c>
      <c r="X4352" s="52" t="str">
        <f>IF(AND(OR(LEFT(TH!L4352,2)="15",LEFT(TH!M4352,2)="15"),'152-CT'!$J$8=TH!F4352),"x","")</f>
        <v/>
      </c>
      <c r="Y4352" s="52" t="str">
        <f>IF(AND(OR(LEFT(TH!L4352,2)="15",LEFT(TH!M4352,2)="15"),TK!$E$7=TH!F4352),"x","")</f>
        <v/>
      </c>
      <c r="Z4352" s="52" t="str">
        <f>IF(AND(B4352&lt;=NKC!$N$8,B4352&gt;=NKC!$M$8),"x","")</f>
        <v/>
      </c>
      <c r="AA4352" s="826"/>
    </row>
    <row r="4353" spans="1:27" ht="15.75" customHeight="1">
      <c r="A4353" s="827" t="str">
        <f>IF(B4353&lt;&gt;"",IF(AND(B4353&gt;=_TM1,B4353&lt;=_TM2,OR(TH!L4353="1111",TH!M4353="1111")),TH!D4353,""),"")</f>
        <v/>
      </c>
      <c r="B4353" s="36" t="str">
        <f t="shared" si="522"/>
        <v/>
      </c>
      <c r="C4353" s="190"/>
      <c r="D4353" s="190"/>
      <c r="E4353" s="190"/>
      <c r="F4353" s="40"/>
      <c r="G4353" s="832"/>
      <c r="H4353" s="7"/>
      <c r="I4353" s="253"/>
      <c r="J4353" s="253"/>
      <c r="K4353" s="584"/>
      <c r="L4353" s="39"/>
      <c r="M4353" s="39"/>
      <c r="N4353" s="52" t="str">
        <f>IF(AND('331-CT'!$E$7=TH!H4353,OR(L4353="331",M4353="331")),"331",IF(AND(OR(L4353="131",M4353="131"),H4353='131-CT'!$E$7),"131",""))</f>
        <v/>
      </c>
      <c r="O4353" s="52" t="str">
        <f>IF(AND($B4353&gt;='111'!$N$11,$B4353&lt;='111'!$O$11,OR($L4353=$O$7,$M4353=$O$7)),"x","")</f>
        <v/>
      </c>
      <c r="P4353" s="52" t="str">
        <f>IF(AND($L4353=$O$7,$B4353&lt;'111'!$N$11),"x","")</f>
        <v/>
      </c>
      <c r="Q4353" s="52" t="str">
        <f>IF(AND($M4353=$O$7,$B4353&lt;'111'!$N$11),"x","")</f>
        <v/>
      </c>
      <c r="R4353" s="52" t="str">
        <f>IF(ISERROR(FIND('112'!$M$9,G4353,1)),"",IF((AND(FIND('112'!$M$9,G4353,1)&gt;=1,$B4353&gt;='112'!$N$8,$B4353&lt;='112'!$O$8,OR($L4353='112'!$I$6,$M4353='112'!$I$6))),"x",""))</f>
        <v/>
      </c>
      <c r="S4353" s="52" t="str">
        <f>IF(ISERROR(FIND('112'!$M$9,G4353,1)),"",IF((AND(LEFT(G4353,2)=LEFT('112'!$M$9,2),B4353&lt;'112'!$N$8,$L4353='112'!$I$6)),"x",""))</f>
        <v/>
      </c>
      <c r="T4353" s="52" t="str">
        <f>IF(ISERROR(FIND('112'!$M$9,G4353,1)),"",IF((AND(RIGHT(G4353,2)=RIGHT('112'!$M$9,2),B4353&lt;'112'!$N$8,$M4353='112'!$I$6)),"x",""))</f>
        <v/>
      </c>
      <c r="U4353" s="52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/>
      </c>
      <c r="V4353" s="52" t="str">
        <f>IF(OR(TH!L4353=TH!$V$7,M4353=TH!$V$7),"x","")</f>
        <v/>
      </c>
      <c r="W4353" s="52" t="str">
        <f>IF(AND(B4353&gt;='IN-NX'!$P$3,B4353&lt;='IN-NX'!$Q$3,'IN-NX'!$D$7=D4353,OR(LEFT(L4353,2)="15",AND(LEFT(M4353,2)&lt;&gt;"15",LEFT(M4353,2)&lt;&gt;"33"))),"x","")</f>
        <v/>
      </c>
      <c r="X4353" s="52" t="str">
        <f>IF(AND(OR(LEFT(TH!L4353,2)="15",LEFT(TH!M4353,2)="15"),'152-CT'!$J$8=TH!F4353),"x","")</f>
        <v/>
      </c>
      <c r="Y4353" s="52" t="str">
        <f>IF(AND(OR(LEFT(TH!L4353,2)="15",LEFT(TH!M4353,2)="15"),TK!$E$7=TH!F4353),"x","")</f>
        <v/>
      </c>
      <c r="Z4353" s="52" t="str">
        <f>IF(AND(B4353&lt;=NKC!$N$8,B4353&gt;=NKC!$M$8),"x","")</f>
        <v/>
      </c>
      <c r="AA4353" s="826"/>
    </row>
    <row r="4354" spans="1:27" ht="15.75" customHeight="1">
      <c r="A4354" s="827" t="str">
        <f>IF(B4354&lt;&gt;"",IF(AND(B4354&gt;=_TM1,B4354&lt;=_TM2,OR(TH!L4354="1111",TH!M4354="1111")),TH!D4354,""),"")</f>
        <v/>
      </c>
      <c r="B4354" s="36" t="str">
        <f t="shared" si="522"/>
        <v/>
      </c>
      <c r="C4354" s="190"/>
      <c r="D4354" s="190"/>
      <c r="E4354" s="190"/>
      <c r="F4354" s="40"/>
      <c r="G4354" s="832"/>
      <c r="H4354" s="7"/>
      <c r="I4354" s="253"/>
      <c r="J4354" s="253"/>
      <c r="K4354" s="584"/>
      <c r="L4354" s="39"/>
      <c r="M4354" s="39"/>
      <c r="N4354" s="52" t="str">
        <f>IF(AND('331-CT'!$E$7=TH!H4354,OR(L4354="331",M4354="331")),"331",IF(AND(OR(L4354="131",M4354="131"),H4354='131-CT'!$E$7),"131",""))</f>
        <v/>
      </c>
      <c r="O4354" s="52" t="str">
        <f>IF(AND($B4354&gt;='111'!$N$11,$B4354&lt;='111'!$O$11,OR($L4354=$O$7,$M4354=$O$7)),"x","")</f>
        <v/>
      </c>
      <c r="P4354" s="52" t="str">
        <f>IF(AND($L4354=$O$7,$B4354&lt;'111'!$N$11),"x","")</f>
        <v/>
      </c>
      <c r="Q4354" s="52" t="str">
        <f>IF(AND($M4354=$O$7,$B4354&lt;'111'!$N$11),"x","")</f>
        <v/>
      </c>
      <c r="R4354" s="52" t="str">
        <f>IF(ISERROR(FIND('112'!$M$9,G4354,1)),"",IF((AND(FIND('112'!$M$9,G4354,1)&gt;=1,$B4354&gt;='112'!$N$8,$B4354&lt;='112'!$O$8,OR($L4354='112'!$I$6,$M4354='112'!$I$6))),"x",""))</f>
        <v/>
      </c>
      <c r="S4354" s="52" t="str">
        <f>IF(ISERROR(FIND('112'!$M$9,G4354,1)),"",IF((AND(LEFT(G4354,2)=LEFT('112'!$M$9,2),B4354&lt;'112'!$N$8,$L4354='112'!$I$6)),"x",""))</f>
        <v/>
      </c>
      <c r="T4354" s="52" t="str">
        <f>IF(ISERROR(FIND('112'!$M$9,G4354,1)),"",IF((AND(RIGHT(G4354,2)=RIGHT('112'!$M$9,2),B4354&lt;'112'!$N$8,$M4354='112'!$I$6)),"x",""))</f>
        <v/>
      </c>
      <c r="U4354" s="52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/>
      </c>
      <c r="V4354" s="52" t="str">
        <f>IF(OR(TH!L4354=TH!$V$7,M4354=TH!$V$7),"x","")</f>
        <v/>
      </c>
      <c r="W4354" s="52" t="str">
        <f>IF(AND(B4354&gt;='IN-NX'!$P$3,B4354&lt;='IN-NX'!$Q$3,'IN-NX'!$D$7=D4354,OR(LEFT(L4354,2)="15",AND(LEFT(M4354,2)&lt;&gt;"15",LEFT(M4354,2)&lt;&gt;"33"))),"x","")</f>
        <v/>
      </c>
      <c r="X4354" s="52" t="str">
        <f>IF(AND(OR(LEFT(TH!L4354,2)="15",LEFT(TH!M4354,2)="15"),'152-CT'!$J$8=TH!F4354),"x","")</f>
        <v/>
      </c>
      <c r="Y4354" s="52" t="str">
        <f>IF(AND(OR(LEFT(TH!L4354,2)="15",LEFT(TH!M4354,2)="15"),TK!$E$7=TH!F4354),"x","")</f>
        <v/>
      </c>
      <c r="Z4354" s="52" t="str">
        <f>IF(AND(B4354&lt;=NKC!$N$8,B4354&gt;=NKC!$M$8),"x","")</f>
        <v/>
      </c>
      <c r="AA4354" s="826"/>
    </row>
    <row r="4355" spans="1:27" ht="15.75" customHeight="1">
      <c r="A4355" s="827" t="str">
        <f>IF(B4355&lt;&gt;"",IF(AND(B4355&gt;=_TM1,B4355&lt;=_TM2,OR(TH!L4355="1111",TH!M4355="1111")),TH!D4355,""),"")</f>
        <v/>
      </c>
      <c r="B4355" s="36" t="str">
        <f t="shared" si="522"/>
        <v/>
      </c>
      <c r="C4355" s="190"/>
      <c r="D4355" s="190"/>
      <c r="E4355" s="190"/>
      <c r="F4355" s="40"/>
      <c r="G4355" s="832"/>
      <c r="H4355" s="7"/>
      <c r="I4355" s="253"/>
      <c r="J4355" s="253"/>
      <c r="K4355" s="584"/>
      <c r="L4355" s="39"/>
      <c r="M4355" s="39"/>
      <c r="N4355" s="52" t="str">
        <f>IF(AND('331-CT'!$E$7=TH!H4355,OR(L4355="331",M4355="331")),"331",IF(AND(OR(L4355="131",M4355="131"),H4355='131-CT'!$E$7),"131",""))</f>
        <v/>
      </c>
      <c r="O4355" s="52" t="str">
        <f>IF(AND($B4355&gt;='111'!$N$11,$B4355&lt;='111'!$O$11,OR($L4355=$O$7,$M4355=$O$7)),"x","")</f>
        <v/>
      </c>
      <c r="P4355" s="52" t="str">
        <f>IF(AND($L4355=$O$7,$B4355&lt;'111'!$N$11),"x","")</f>
        <v/>
      </c>
      <c r="Q4355" s="52" t="str">
        <f>IF(AND($M4355=$O$7,$B4355&lt;'111'!$N$11),"x","")</f>
        <v/>
      </c>
      <c r="R4355" s="52" t="str">
        <f>IF(ISERROR(FIND('112'!$M$9,G4355,1)),"",IF((AND(FIND('112'!$M$9,G4355,1)&gt;=1,$B4355&gt;='112'!$N$8,$B4355&lt;='112'!$O$8,OR($L4355='112'!$I$6,$M4355='112'!$I$6))),"x",""))</f>
        <v/>
      </c>
      <c r="S4355" s="52" t="str">
        <f>IF(ISERROR(FIND('112'!$M$9,G4355,1)),"",IF((AND(LEFT(G4355,2)=LEFT('112'!$M$9,2),B4355&lt;'112'!$N$8,$L4355='112'!$I$6)),"x",""))</f>
        <v/>
      </c>
      <c r="T4355" s="52" t="str">
        <f>IF(ISERROR(FIND('112'!$M$9,G4355,1)),"",IF((AND(RIGHT(G4355,2)=RIGHT('112'!$M$9,2),B4355&lt;'112'!$N$8,$M4355='112'!$I$6)),"x",""))</f>
        <v/>
      </c>
      <c r="U4355" s="52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/>
      </c>
      <c r="V4355" s="52" t="str">
        <f>IF(OR(TH!L4355=TH!$V$7,M4355=TH!$V$7),"x","")</f>
        <v/>
      </c>
      <c r="W4355" s="52" t="str">
        <f>IF(AND(B4355&gt;='IN-NX'!$P$3,B4355&lt;='IN-NX'!$Q$3,'IN-NX'!$D$7=D4355,OR(LEFT(L4355,2)="15",AND(LEFT(M4355,2)&lt;&gt;"15",LEFT(M4355,2)&lt;&gt;"33"))),"x","")</f>
        <v/>
      </c>
      <c r="X4355" s="52" t="str">
        <f>IF(AND(OR(LEFT(TH!L4355,2)="15",LEFT(TH!M4355,2)="15"),'152-CT'!$J$8=TH!F4355),"x","")</f>
        <v/>
      </c>
      <c r="Y4355" s="52" t="str">
        <f>IF(AND(OR(LEFT(TH!L4355,2)="15",LEFT(TH!M4355,2)="15"),TK!$E$7=TH!F4355),"x","")</f>
        <v/>
      </c>
      <c r="Z4355" s="52" t="str">
        <f>IF(AND(B4355&lt;=NKC!$N$8,B4355&gt;=NKC!$M$8),"x","")</f>
        <v/>
      </c>
      <c r="AA4355" s="826"/>
    </row>
    <row r="4356" spans="1:27" ht="15.75" customHeight="1">
      <c r="A4356" s="827" t="str">
        <f>IF(B4356&lt;&gt;"",IF(AND(B4356&gt;=_TM1,B4356&lt;=_TM2,OR(TH!L4356="1111",TH!M4356="1111")),TH!D4356,""),"")</f>
        <v/>
      </c>
      <c r="B4356" s="36" t="str">
        <f t="shared" si="522"/>
        <v/>
      </c>
      <c r="C4356" s="190"/>
      <c r="D4356" s="190"/>
      <c r="E4356" s="190"/>
      <c r="F4356" s="40"/>
      <c r="G4356" s="832"/>
      <c r="H4356" s="7"/>
      <c r="I4356" s="253"/>
      <c r="J4356" s="253"/>
      <c r="K4356" s="584"/>
      <c r="L4356" s="39"/>
      <c r="M4356" s="39"/>
      <c r="N4356" s="52" t="str">
        <f>IF(AND('331-CT'!$E$7=TH!H4356,OR(L4356="331",M4356="331")),"331",IF(AND(OR(L4356="131",M4356="131"),H4356='131-CT'!$E$7),"131",""))</f>
        <v/>
      </c>
      <c r="O4356" s="52" t="str">
        <f>IF(AND($B4356&gt;='111'!$N$11,$B4356&lt;='111'!$O$11,OR($L4356=$O$7,$M4356=$O$7)),"x","")</f>
        <v/>
      </c>
      <c r="P4356" s="52" t="str">
        <f>IF(AND($L4356=$O$7,$B4356&lt;'111'!$N$11),"x","")</f>
        <v/>
      </c>
      <c r="Q4356" s="52" t="str">
        <f>IF(AND($M4356=$O$7,$B4356&lt;'111'!$N$11),"x","")</f>
        <v/>
      </c>
      <c r="R4356" s="52" t="str">
        <f>IF(ISERROR(FIND('112'!$M$9,G4356,1)),"",IF((AND(FIND('112'!$M$9,G4356,1)&gt;=1,$B4356&gt;='112'!$N$8,$B4356&lt;='112'!$O$8,OR($L4356='112'!$I$6,$M4356='112'!$I$6))),"x",""))</f>
        <v/>
      </c>
      <c r="S4356" s="52" t="str">
        <f>IF(ISERROR(FIND('112'!$M$9,G4356,1)),"",IF((AND(LEFT(G4356,2)=LEFT('112'!$M$9,2),B4356&lt;'112'!$N$8,$L4356='112'!$I$6)),"x",""))</f>
        <v/>
      </c>
      <c r="T4356" s="52" t="str">
        <f>IF(ISERROR(FIND('112'!$M$9,G4356,1)),"",IF((AND(RIGHT(G4356,2)=RIGHT('112'!$M$9,2),B4356&lt;'112'!$N$8,$M4356='112'!$I$6)),"x",""))</f>
        <v/>
      </c>
      <c r="U4356" s="52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/>
      </c>
      <c r="V4356" s="52" t="str">
        <f>IF(OR(TH!L4356=TH!$V$7,M4356=TH!$V$7),"x","")</f>
        <v/>
      </c>
      <c r="W4356" s="52" t="str">
        <f>IF(AND(B4356&gt;='IN-NX'!$P$3,B4356&lt;='IN-NX'!$Q$3,'IN-NX'!$D$7=D4356,OR(LEFT(L4356,2)="15",AND(LEFT(M4356,2)&lt;&gt;"15",LEFT(M4356,2)&lt;&gt;"33"))),"x","")</f>
        <v/>
      </c>
      <c r="X4356" s="52" t="str">
        <f>IF(AND(OR(LEFT(TH!L4356,2)="15",LEFT(TH!M4356,2)="15"),'152-CT'!$J$8=TH!F4356),"x","")</f>
        <v/>
      </c>
      <c r="Y4356" s="52" t="str">
        <f>IF(AND(OR(LEFT(TH!L4356,2)="15",LEFT(TH!M4356,2)="15"),TK!$E$7=TH!F4356),"x","")</f>
        <v/>
      </c>
      <c r="Z4356" s="52" t="str">
        <f>IF(AND(B4356&lt;=NKC!$N$8,B4356&gt;=NKC!$M$8),"x","")</f>
        <v/>
      </c>
      <c r="AA4356" s="826"/>
    </row>
    <row r="4357" spans="1:27" ht="15.75" customHeight="1">
      <c r="A4357" s="827" t="str">
        <f>IF(B4357&lt;&gt;"",IF(AND(B4357&gt;=_TM1,B4357&lt;=_TM2,OR(TH!L4357="1111",TH!M4357="1111")),TH!D4357,""),"")</f>
        <v/>
      </c>
      <c r="B4357" s="36" t="str">
        <f t="shared" si="522"/>
        <v/>
      </c>
      <c r="C4357" s="190"/>
      <c r="D4357" s="190"/>
      <c r="E4357" s="190"/>
      <c r="F4357" s="40"/>
      <c r="G4357" s="832"/>
      <c r="H4357" s="7"/>
      <c r="I4357" s="253"/>
      <c r="J4357" s="253"/>
      <c r="K4357" s="584"/>
      <c r="L4357" s="39"/>
      <c r="M4357" s="39"/>
      <c r="N4357" s="52" t="str">
        <f>IF(AND('331-CT'!$E$7=TH!H4357,OR(L4357="331",M4357="331")),"331",IF(AND(OR(L4357="131",M4357="131"),H4357='131-CT'!$E$7),"131",""))</f>
        <v/>
      </c>
      <c r="O4357" s="52" t="str">
        <f>IF(AND($B4357&gt;='111'!$N$11,$B4357&lt;='111'!$O$11,OR($L4357=$O$7,$M4357=$O$7)),"x","")</f>
        <v/>
      </c>
      <c r="P4357" s="52" t="str">
        <f>IF(AND($L4357=$O$7,$B4357&lt;'111'!$N$11),"x","")</f>
        <v/>
      </c>
      <c r="Q4357" s="52" t="str">
        <f>IF(AND($M4357=$O$7,$B4357&lt;'111'!$N$11),"x","")</f>
        <v/>
      </c>
      <c r="R4357" s="52" t="str">
        <f>IF(ISERROR(FIND('112'!$M$9,G4357,1)),"",IF((AND(FIND('112'!$M$9,G4357,1)&gt;=1,$B4357&gt;='112'!$N$8,$B4357&lt;='112'!$O$8,OR($L4357='112'!$I$6,$M4357='112'!$I$6))),"x",""))</f>
        <v/>
      </c>
      <c r="S4357" s="52" t="str">
        <f>IF(ISERROR(FIND('112'!$M$9,G4357,1)),"",IF((AND(LEFT(G4357,2)=LEFT('112'!$M$9,2),B4357&lt;'112'!$N$8,$L4357='112'!$I$6)),"x",""))</f>
        <v/>
      </c>
      <c r="T4357" s="52" t="str">
        <f>IF(ISERROR(FIND('112'!$M$9,G4357,1)),"",IF((AND(RIGHT(G4357,2)=RIGHT('112'!$M$9,2),B4357&lt;'112'!$N$8,$M4357='112'!$I$6)),"x",""))</f>
        <v/>
      </c>
      <c r="U4357" s="52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/>
      </c>
      <c r="V4357" s="52" t="str">
        <f>IF(OR(TH!L4357=TH!$V$7,M4357=TH!$V$7),"x","")</f>
        <v/>
      </c>
      <c r="W4357" s="52" t="str">
        <f>IF(AND(B4357&gt;='IN-NX'!$P$3,B4357&lt;='IN-NX'!$Q$3,'IN-NX'!$D$7=D4357,OR(LEFT(L4357,2)="15",AND(LEFT(M4357,2)&lt;&gt;"15",LEFT(M4357,2)&lt;&gt;"33"))),"x","")</f>
        <v/>
      </c>
      <c r="X4357" s="52" t="str">
        <f>IF(AND(OR(LEFT(TH!L4357,2)="15",LEFT(TH!M4357,2)="15"),'152-CT'!$J$8=TH!F4357),"x","")</f>
        <v/>
      </c>
      <c r="Y4357" s="52" t="str">
        <f>IF(AND(OR(LEFT(TH!L4357,2)="15",LEFT(TH!M4357,2)="15"),TK!$E$7=TH!F4357),"x","")</f>
        <v/>
      </c>
      <c r="Z4357" s="52" t="str">
        <f>IF(AND(B4357&lt;=NKC!$N$8,B4357&gt;=NKC!$M$8),"x","")</f>
        <v/>
      </c>
      <c r="AA4357" s="826"/>
    </row>
    <row r="4358" spans="1:27" ht="15.75" customHeight="1">
      <c r="A4358" s="827" t="str">
        <f>IF(B4358&lt;&gt;"",IF(AND(B4358&gt;=_TM1,B4358&lt;=_TM2,OR(TH!L4358="1111",TH!M4358="1111")),TH!D4358,""),"")</f>
        <v/>
      </c>
      <c r="B4358" s="36" t="str">
        <f t="shared" si="522"/>
        <v/>
      </c>
      <c r="C4358" s="190"/>
      <c r="D4358" s="190"/>
      <c r="E4358" s="190"/>
      <c r="F4358" s="40"/>
      <c r="G4358" s="832"/>
      <c r="H4358" s="7"/>
      <c r="I4358" s="253"/>
      <c r="J4358" s="253"/>
      <c r="K4358" s="584"/>
      <c r="L4358" s="39"/>
      <c r="M4358" s="39"/>
      <c r="N4358" s="52" t="str">
        <f>IF(AND('331-CT'!$E$7=TH!H4358,OR(L4358="331",M4358="331")),"331",IF(AND(OR(L4358="131",M4358="131"),H4358='131-CT'!$E$7),"131",""))</f>
        <v/>
      </c>
      <c r="O4358" s="52" t="str">
        <f>IF(AND($B4358&gt;='111'!$N$11,$B4358&lt;='111'!$O$11,OR($L4358=$O$7,$M4358=$O$7)),"x","")</f>
        <v/>
      </c>
      <c r="P4358" s="52" t="str">
        <f>IF(AND($L4358=$O$7,$B4358&lt;'111'!$N$11),"x","")</f>
        <v/>
      </c>
      <c r="Q4358" s="52" t="str">
        <f>IF(AND($M4358=$O$7,$B4358&lt;'111'!$N$11),"x","")</f>
        <v/>
      </c>
      <c r="R4358" s="52" t="str">
        <f>IF(ISERROR(FIND('112'!$M$9,G4358,1)),"",IF((AND(FIND('112'!$M$9,G4358,1)&gt;=1,$B4358&gt;='112'!$N$8,$B4358&lt;='112'!$O$8,OR($L4358='112'!$I$6,$M4358='112'!$I$6))),"x",""))</f>
        <v/>
      </c>
      <c r="S4358" s="52" t="str">
        <f>IF(ISERROR(FIND('112'!$M$9,G4358,1)),"",IF((AND(LEFT(G4358,2)=LEFT('112'!$M$9,2),B4358&lt;'112'!$N$8,$L4358='112'!$I$6)),"x",""))</f>
        <v/>
      </c>
      <c r="T4358" s="52" t="str">
        <f>IF(ISERROR(FIND('112'!$M$9,G4358,1)),"",IF((AND(RIGHT(G4358,2)=RIGHT('112'!$M$9,2),B4358&lt;'112'!$N$8,$M4358='112'!$I$6)),"x",""))</f>
        <v/>
      </c>
      <c r="U4358" s="52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/>
      </c>
      <c r="V4358" s="52" t="str">
        <f>IF(OR(TH!L4358=TH!$V$7,M4358=TH!$V$7),"x","")</f>
        <v/>
      </c>
      <c r="W4358" s="52" t="str">
        <f>IF(AND(B4358&gt;='IN-NX'!$P$3,B4358&lt;='IN-NX'!$Q$3,'IN-NX'!$D$7=D4358,OR(LEFT(L4358,2)="15",AND(LEFT(M4358,2)&lt;&gt;"15",LEFT(M4358,2)&lt;&gt;"33"))),"x","")</f>
        <v/>
      </c>
      <c r="X4358" s="52" t="str">
        <f>IF(AND(OR(LEFT(TH!L4358,2)="15",LEFT(TH!M4358,2)="15"),'152-CT'!$J$8=TH!F4358),"x","")</f>
        <v/>
      </c>
      <c r="Y4358" s="52" t="str">
        <f>IF(AND(OR(LEFT(TH!L4358,2)="15",LEFT(TH!M4358,2)="15"),TK!$E$7=TH!F4358),"x","")</f>
        <v/>
      </c>
      <c r="Z4358" s="52" t="str">
        <f>IF(AND(B4358&lt;=NKC!$N$8,B4358&gt;=NKC!$M$8),"x","")</f>
        <v/>
      </c>
      <c r="AA4358" s="826"/>
    </row>
    <row r="4359" spans="1:27" ht="15.75" customHeight="1">
      <c r="A4359" s="827" t="str">
        <f>IF(B4359&lt;&gt;"",IF(AND(B4359&gt;=_TM1,B4359&lt;=_TM2,OR(TH!L4359="1111",TH!M4359="1111")),TH!D4359,""),"")</f>
        <v/>
      </c>
      <c r="B4359" s="36" t="str">
        <f t="shared" si="522"/>
        <v/>
      </c>
      <c r="C4359" s="190"/>
      <c r="D4359" s="190"/>
      <c r="E4359" s="190"/>
      <c r="F4359" s="191"/>
      <c r="G4359" s="833"/>
      <c r="H4359" s="192"/>
      <c r="I4359" s="253"/>
      <c r="J4359" s="253"/>
      <c r="K4359" s="584"/>
      <c r="L4359" s="193"/>
      <c r="M4359" s="193"/>
      <c r="N4359" s="52" t="str">
        <f>IF(AND('331-CT'!$E$7=TH!H4359,OR(L4359="331",M4359="331")),"331",IF(AND(OR(L4359="131",M4359="131"),H4359='131-CT'!$E$7),"131",""))</f>
        <v/>
      </c>
      <c r="O4359" s="52" t="str">
        <f>IF(AND($B4359&gt;='111'!$N$11,$B4359&lt;='111'!$O$11,OR($L4359=$O$7,$M4359=$O$7)),"x","")</f>
        <v/>
      </c>
      <c r="P4359" s="52" t="str">
        <f>IF(AND($L4359=$O$7,$B4359&lt;'111'!$N$11),"x","")</f>
        <v/>
      </c>
      <c r="Q4359" s="52" t="str">
        <f>IF(AND($M4359=$O$7,$B4359&lt;'111'!$N$11),"x","")</f>
        <v/>
      </c>
      <c r="R4359" s="52" t="str">
        <f>IF(ISERROR(FIND('112'!$M$9,G4359,1)),"",IF((AND(FIND('112'!$M$9,G4359,1)&gt;=1,$B4359&gt;='112'!$N$8,$B4359&lt;='112'!$O$8,OR($L4359='112'!$I$6,$M4359='112'!$I$6))),"x",""))</f>
        <v/>
      </c>
      <c r="S4359" s="52" t="str">
        <f>IF(ISERROR(FIND('112'!$M$9,G4359,1)),"",IF((AND(LEFT(G4359,2)=LEFT('112'!$M$9,2),B4359&lt;'112'!$N$8,$L4359='112'!$I$6)),"x",""))</f>
        <v/>
      </c>
      <c r="T4359" s="52" t="str">
        <f>IF(ISERROR(FIND('112'!$M$9,G4359,1)),"",IF((AND(RIGHT(G4359,2)=RIGHT('112'!$M$9,2),B4359&lt;'112'!$N$8,$M4359='112'!$I$6)),"x",""))</f>
        <v/>
      </c>
      <c r="U4359" s="52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/>
      </c>
      <c r="V4359" s="52" t="str">
        <f>IF(OR(TH!L4359=TH!$V$7,M4359=TH!$V$7),"x","")</f>
        <v/>
      </c>
      <c r="W4359" s="52" t="str">
        <f>IF(AND(B4359&gt;='IN-NX'!$P$3,B4359&lt;='IN-NX'!$Q$3,'IN-NX'!$D$7=D4359,OR(LEFT(L4359,2)="15",AND(LEFT(M4359,2)&lt;&gt;"15",LEFT(M4359,2)&lt;&gt;"33"))),"x","")</f>
        <v/>
      </c>
      <c r="X4359" s="52" t="str">
        <f>IF(AND(OR(LEFT(TH!L4359,2)="15",LEFT(TH!M4359,2)="15"),'152-CT'!$J$8=TH!F4359),"x","")</f>
        <v/>
      </c>
      <c r="Y4359" s="52" t="str">
        <f>IF(AND(OR(LEFT(TH!L4359,2)="15",LEFT(TH!M4359,2)="15"),TK!$E$7=TH!F4359),"x","")</f>
        <v/>
      </c>
      <c r="Z4359" s="52" t="str">
        <f>IF(AND(B4359&lt;=NKC!$N$8,B4359&gt;=NKC!$M$8),"x","")</f>
        <v/>
      </c>
      <c r="AA4359" s="826"/>
    </row>
    <row r="4360" spans="1:27" ht="15.75" customHeight="1">
      <c r="A4360" s="827" t="str">
        <f>IF(B4360&lt;&gt;"",IF(AND(B4360&gt;=_TM1,B4360&lt;=_TM2,OR(TH!L4360="1111",TH!M4360="1111")),TH!D4360,""),"")</f>
        <v/>
      </c>
      <c r="B4360" s="36" t="str">
        <f t="shared" si="522"/>
        <v/>
      </c>
      <c r="C4360" s="190"/>
      <c r="D4360" s="190"/>
      <c r="E4360" s="190"/>
      <c r="F4360" s="191"/>
      <c r="G4360" s="833"/>
      <c r="H4360" s="192"/>
      <c r="I4360" s="253"/>
      <c r="J4360" s="253"/>
      <c r="K4360" s="584"/>
      <c r="L4360" s="193"/>
      <c r="M4360" s="193"/>
      <c r="N4360" s="52" t="str">
        <f>IF(AND('331-CT'!$E$7=TH!H4360,OR(L4360="331",M4360="331")),"331",IF(AND(OR(L4360="131",M4360="131"),H4360='131-CT'!$E$7),"131",""))</f>
        <v/>
      </c>
      <c r="O4360" s="52" t="str">
        <f>IF(AND($B4360&gt;='111'!$N$11,$B4360&lt;='111'!$O$11,OR($L4360=$O$7,$M4360=$O$7)),"x","")</f>
        <v/>
      </c>
      <c r="P4360" s="52" t="str">
        <f>IF(AND($L4360=$O$7,$B4360&lt;'111'!$N$11),"x","")</f>
        <v/>
      </c>
      <c r="Q4360" s="52" t="str">
        <f>IF(AND($M4360=$O$7,$B4360&lt;'111'!$N$11),"x","")</f>
        <v/>
      </c>
      <c r="R4360" s="52" t="str">
        <f>IF(ISERROR(FIND('112'!$M$9,G4360,1)),"",IF((AND(FIND('112'!$M$9,G4360,1)&gt;=1,$B4360&gt;='112'!$N$8,$B4360&lt;='112'!$O$8,OR($L4360='112'!$I$6,$M4360='112'!$I$6))),"x",""))</f>
        <v/>
      </c>
      <c r="S4360" s="52" t="str">
        <f>IF(ISERROR(FIND('112'!$M$9,G4360,1)),"",IF((AND(LEFT(G4360,2)=LEFT('112'!$M$9,2),B4360&lt;'112'!$N$8,$L4360='112'!$I$6)),"x",""))</f>
        <v/>
      </c>
      <c r="T4360" s="52" t="str">
        <f>IF(ISERROR(FIND('112'!$M$9,G4360,1)),"",IF((AND(RIGHT(G4360,2)=RIGHT('112'!$M$9,2),B4360&lt;'112'!$N$8,$M4360='112'!$I$6)),"x",""))</f>
        <v/>
      </c>
      <c r="U4360" s="52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/>
      </c>
      <c r="V4360" s="52" t="str">
        <f>IF(OR(TH!L4360=TH!$V$7,M4360=TH!$V$7),"x","")</f>
        <v/>
      </c>
      <c r="W4360" s="52" t="str">
        <f>IF(AND(B4360&gt;='IN-NX'!$P$3,B4360&lt;='IN-NX'!$Q$3,'IN-NX'!$D$7=D4360,OR(LEFT(L4360,2)="15",AND(LEFT(M4360,2)&lt;&gt;"15",LEFT(M4360,2)&lt;&gt;"33"))),"x","")</f>
        <v/>
      </c>
      <c r="X4360" s="52" t="str">
        <f>IF(AND(OR(LEFT(TH!L4360,2)="15",LEFT(TH!M4360,2)="15"),'152-CT'!$J$8=TH!F4360),"x","")</f>
        <v/>
      </c>
      <c r="Y4360" s="52" t="str">
        <f>IF(AND(OR(LEFT(TH!L4360,2)="15",LEFT(TH!M4360,2)="15"),TK!$E$7=TH!F4360),"x","")</f>
        <v/>
      </c>
      <c r="Z4360" s="52" t="str">
        <f>IF(AND(B4360&lt;=NKC!$N$8,B4360&gt;=NKC!$M$8),"x","")</f>
        <v/>
      </c>
      <c r="AA4360" s="826"/>
    </row>
    <row r="4361" spans="1:27" ht="15.75" customHeight="1">
      <c r="A4361" s="827" t="str">
        <f>IF(B4361&lt;&gt;"",IF(AND(B4361&gt;=_TM1,B4361&lt;=_TM2,OR(TH!L4361="1111",TH!M4361="1111")),TH!D4361,""),"")</f>
        <v/>
      </c>
      <c r="B4361" s="36" t="str">
        <f t="shared" si="522"/>
        <v/>
      </c>
      <c r="C4361" s="190"/>
      <c r="D4361" s="190"/>
      <c r="E4361" s="190"/>
      <c r="F4361" s="191"/>
      <c r="G4361" s="833"/>
      <c r="H4361" s="192"/>
      <c r="I4361" s="253"/>
      <c r="J4361" s="253"/>
      <c r="K4361" s="584"/>
      <c r="L4361" s="193"/>
      <c r="M4361" s="193"/>
      <c r="N4361" s="52" t="str">
        <f>IF(AND('331-CT'!$E$7=TH!H4361,OR(L4361="331",M4361="331")),"331",IF(AND(OR(L4361="131",M4361="131"),H4361='131-CT'!$E$7),"131",""))</f>
        <v/>
      </c>
      <c r="O4361" s="52" t="str">
        <f>IF(AND($B4361&gt;='111'!$N$11,$B4361&lt;='111'!$O$11,OR($L4361=$O$7,$M4361=$O$7)),"x","")</f>
        <v/>
      </c>
      <c r="P4361" s="52" t="str">
        <f>IF(AND($L4361=$O$7,$B4361&lt;'111'!$N$11),"x","")</f>
        <v/>
      </c>
      <c r="Q4361" s="52" t="str">
        <f>IF(AND($M4361=$O$7,$B4361&lt;'111'!$N$11),"x","")</f>
        <v/>
      </c>
      <c r="R4361" s="52" t="str">
        <f>IF(ISERROR(FIND('112'!$M$9,G4361,1)),"",IF((AND(FIND('112'!$M$9,G4361,1)&gt;=1,$B4361&gt;='112'!$N$8,$B4361&lt;='112'!$O$8,OR($L4361='112'!$I$6,$M4361='112'!$I$6))),"x",""))</f>
        <v/>
      </c>
      <c r="S4361" s="52" t="str">
        <f>IF(ISERROR(FIND('112'!$M$9,G4361,1)),"",IF((AND(LEFT(G4361,2)=LEFT('112'!$M$9,2),B4361&lt;'112'!$N$8,$L4361='112'!$I$6)),"x",""))</f>
        <v/>
      </c>
      <c r="T4361" s="52" t="str">
        <f>IF(ISERROR(FIND('112'!$M$9,G4361,1)),"",IF((AND(RIGHT(G4361,2)=RIGHT('112'!$M$9,2),B4361&lt;'112'!$N$8,$M4361='112'!$I$6)),"x",""))</f>
        <v/>
      </c>
      <c r="U4361" s="52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/>
      </c>
      <c r="V4361" s="52" t="str">
        <f>IF(OR(TH!L4361=TH!$V$7,M4361=TH!$V$7),"x","")</f>
        <v/>
      </c>
      <c r="W4361" s="52" t="str">
        <f>IF(AND(B4361&gt;='IN-NX'!$P$3,B4361&lt;='IN-NX'!$Q$3,'IN-NX'!$D$7=D4361,OR(LEFT(L4361,2)="15",AND(LEFT(M4361,2)&lt;&gt;"15",LEFT(M4361,2)&lt;&gt;"33"))),"x","")</f>
        <v/>
      </c>
      <c r="X4361" s="52" t="str">
        <f>IF(AND(OR(LEFT(TH!L4361,2)="15",LEFT(TH!M4361,2)="15"),'152-CT'!$J$8=TH!F4361),"x","")</f>
        <v/>
      </c>
      <c r="Y4361" s="52" t="str">
        <f>IF(AND(OR(LEFT(TH!L4361,2)="15",LEFT(TH!M4361,2)="15"),TK!$E$7=TH!F4361),"x","")</f>
        <v/>
      </c>
      <c r="Z4361" s="52" t="str">
        <f>IF(AND(B4361&lt;=NKC!$N$8,B4361&gt;=NKC!$M$8),"x","")</f>
        <v/>
      </c>
      <c r="AA4361" s="826"/>
    </row>
    <row r="4362" spans="1:27" ht="15.75" customHeight="1">
      <c r="A4362" s="827" t="str">
        <f>IF(B4362&lt;&gt;"",IF(AND(B4362&gt;=_TM1,B4362&lt;=_TM2,OR(TH!L4362="1111",TH!M4362="1111")),TH!D4362,""),"")</f>
        <v/>
      </c>
      <c r="B4362" s="36" t="str">
        <f t="shared" si="522"/>
        <v/>
      </c>
      <c r="C4362" s="190"/>
      <c r="D4362" s="190"/>
      <c r="E4362" s="190"/>
      <c r="F4362" s="191"/>
      <c r="G4362" s="833"/>
      <c r="H4362" s="192"/>
      <c r="I4362" s="253"/>
      <c r="J4362" s="253"/>
      <c r="K4362" s="584"/>
      <c r="L4362" s="193"/>
      <c r="M4362" s="193"/>
      <c r="N4362" s="52" t="str">
        <f>IF(AND('331-CT'!$E$7=TH!H4362,OR(L4362="331",M4362="331")),"331",IF(AND(OR(L4362="131",M4362="131"),H4362='131-CT'!$E$7),"131",""))</f>
        <v/>
      </c>
      <c r="O4362" s="52" t="str">
        <f>IF(AND($B4362&gt;='111'!$N$11,$B4362&lt;='111'!$O$11,OR($L4362=$O$7,$M4362=$O$7)),"x","")</f>
        <v/>
      </c>
      <c r="P4362" s="52" t="str">
        <f>IF(AND($L4362=$O$7,$B4362&lt;'111'!$N$11),"x","")</f>
        <v/>
      </c>
      <c r="Q4362" s="52" t="str">
        <f>IF(AND($M4362=$O$7,$B4362&lt;'111'!$N$11),"x","")</f>
        <v/>
      </c>
      <c r="R4362" s="52" t="str">
        <f>IF(ISERROR(FIND('112'!$M$9,G4362,1)),"",IF((AND(FIND('112'!$M$9,G4362,1)&gt;=1,$B4362&gt;='112'!$N$8,$B4362&lt;='112'!$O$8,OR($L4362='112'!$I$6,$M4362='112'!$I$6))),"x",""))</f>
        <v/>
      </c>
      <c r="S4362" s="52" t="str">
        <f>IF(ISERROR(FIND('112'!$M$9,G4362,1)),"",IF((AND(LEFT(G4362,2)=LEFT('112'!$M$9,2),B4362&lt;'112'!$N$8,$L4362='112'!$I$6)),"x",""))</f>
        <v/>
      </c>
      <c r="T4362" s="52" t="str">
        <f>IF(ISERROR(FIND('112'!$M$9,G4362,1)),"",IF((AND(RIGHT(G4362,2)=RIGHT('112'!$M$9,2),B4362&lt;'112'!$N$8,$M4362='112'!$I$6)),"x",""))</f>
        <v/>
      </c>
      <c r="U4362" s="52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/>
      </c>
      <c r="V4362" s="52" t="str">
        <f>IF(OR(TH!L4362=TH!$V$7,M4362=TH!$V$7),"x","")</f>
        <v/>
      </c>
      <c r="W4362" s="52" t="str">
        <f>IF(AND(B4362&gt;='IN-NX'!$P$3,B4362&lt;='IN-NX'!$Q$3,'IN-NX'!$D$7=D4362,OR(LEFT(L4362,2)="15",AND(LEFT(M4362,2)&lt;&gt;"15",LEFT(M4362,2)&lt;&gt;"33"))),"x","")</f>
        <v/>
      </c>
      <c r="X4362" s="52" t="str">
        <f>IF(AND(OR(LEFT(TH!L4362,2)="15",LEFT(TH!M4362,2)="15"),'152-CT'!$J$8=TH!F4362),"x","")</f>
        <v/>
      </c>
      <c r="Y4362" s="52" t="str">
        <f>IF(AND(OR(LEFT(TH!L4362,2)="15",LEFT(TH!M4362,2)="15"),TK!$E$7=TH!F4362),"x","")</f>
        <v/>
      </c>
      <c r="Z4362" s="52" t="str">
        <f>IF(AND(B4362&lt;=NKC!$N$8,B4362&gt;=NKC!$M$8),"x","")</f>
        <v/>
      </c>
      <c r="AA4362" s="826"/>
    </row>
    <row r="4363" spans="1:27" ht="15.75" customHeight="1">
      <c r="A4363" s="827" t="str">
        <f>IF(B4363&lt;&gt;"",IF(AND(B4363&gt;=_TM1,B4363&lt;=_TM2,OR(TH!L4363="1111",TH!M4363="1111")),TH!D4363,""),"")</f>
        <v/>
      </c>
      <c r="B4363" s="36" t="str">
        <f t="shared" si="522"/>
        <v/>
      </c>
      <c r="C4363" s="190"/>
      <c r="D4363" s="190"/>
      <c r="E4363" s="190"/>
      <c r="F4363" s="191"/>
      <c r="G4363" s="833"/>
      <c r="H4363" s="192"/>
      <c r="I4363" s="253"/>
      <c r="J4363" s="253"/>
      <c r="K4363" s="584"/>
      <c r="L4363" s="193"/>
      <c r="M4363" s="193"/>
      <c r="N4363" s="52" t="str">
        <f>IF(AND('331-CT'!$E$7=TH!H4363,OR(L4363="331",M4363="331")),"331",IF(AND(OR(L4363="131",M4363="131"),H4363='131-CT'!$E$7),"131",""))</f>
        <v/>
      </c>
      <c r="O4363" s="52" t="str">
        <f>IF(AND($B4363&gt;='111'!$N$11,$B4363&lt;='111'!$O$11,OR($L4363=$O$7,$M4363=$O$7)),"x","")</f>
        <v/>
      </c>
      <c r="P4363" s="52" t="str">
        <f>IF(AND($L4363=$O$7,$B4363&lt;'111'!$N$11),"x","")</f>
        <v/>
      </c>
      <c r="Q4363" s="52" t="str">
        <f>IF(AND($M4363=$O$7,$B4363&lt;'111'!$N$11),"x","")</f>
        <v/>
      </c>
      <c r="R4363" s="52" t="str">
        <f>IF(ISERROR(FIND('112'!$M$9,G4363,1)),"",IF((AND(FIND('112'!$M$9,G4363,1)&gt;=1,$B4363&gt;='112'!$N$8,$B4363&lt;='112'!$O$8,OR($L4363='112'!$I$6,$M4363='112'!$I$6))),"x",""))</f>
        <v/>
      </c>
      <c r="S4363" s="52" t="str">
        <f>IF(ISERROR(FIND('112'!$M$9,G4363,1)),"",IF((AND(LEFT(G4363,2)=LEFT('112'!$M$9,2),B4363&lt;'112'!$N$8,$L4363='112'!$I$6)),"x",""))</f>
        <v/>
      </c>
      <c r="T4363" s="52" t="str">
        <f>IF(ISERROR(FIND('112'!$M$9,G4363,1)),"",IF((AND(RIGHT(G4363,2)=RIGHT('112'!$M$9,2),B4363&lt;'112'!$N$8,$M4363='112'!$I$6)),"x",""))</f>
        <v/>
      </c>
      <c r="U4363" s="52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/>
      </c>
      <c r="V4363" s="52" t="str">
        <f>IF(OR(TH!L4363=TH!$V$7,M4363=TH!$V$7),"x","")</f>
        <v/>
      </c>
      <c r="W4363" s="52" t="str">
        <f>IF(AND(B4363&gt;='IN-NX'!$P$3,B4363&lt;='IN-NX'!$Q$3,'IN-NX'!$D$7=D4363,OR(LEFT(L4363,2)="15",AND(LEFT(M4363,2)&lt;&gt;"15",LEFT(M4363,2)&lt;&gt;"33"))),"x","")</f>
        <v/>
      </c>
      <c r="X4363" s="52" t="str">
        <f>IF(AND(OR(LEFT(TH!L4363,2)="15",LEFT(TH!M4363,2)="15"),'152-CT'!$J$8=TH!F4363),"x","")</f>
        <v/>
      </c>
      <c r="Y4363" s="52" t="str">
        <f>IF(AND(OR(LEFT(TH!L4363,2)="15",LEFT(TH!M4363,2)="15"),TK!$E$7=TH!F4363),"x","")</f>
        <v/>
      </c>
      <c r="Z4363" s="52" t="str">
        <f>IF(AND(B4363&lt;=NKC!$N$8,B4363&gt;=NKC!$M$8),"x","")</f>
        <v/>
      </c>
      <c r="AA4363" s="826"/>
    </row>
    <row r="4364" spans="1:27" ht="15.75" customHeight="1">
      <c r="A4364" s="827" t="str">
        <f>IF(B4364&lt;&gt;"",IF(AND(B4364&gt;=_TM1,B4364&lt;=_TM2,OR(TH!L4364="1111",TH!M4364="1111")),TH!D4364,""),"")</f>
        <v/>
      </c>
      <c r="B4364" s="36" t="str">
        <f t="shared" si="522"/>
        <v/>
      </c>
      <c r="C4364" s="190"/>
      <c r="D4364" s="190"/>
      <c r="E4364" s="190"/>
      <c r="F4364" s="191"/>
      <c r="G4364" s="833"/>
      <c r="H4364" s="192"/>
      <c r="I4364" s="253"/>
      <c r="J4364" s="253"/>
      <c r="K4364" s="584"/>
      <c r="L4364" s="193"/>
      <c r="M4364" s="193"/>
      <c r="N4364" s="52" t="str">
        <f>IF(AND('331-CT'!$E$7=TH!H4364,OR(L4364="331",M4364="331")),"331",IF(AND(OR(L4364="131",M4364="131"),H4364='131-CT'!$E$7),"131",""))</f>
        <v/>
      </c>
      <c r="O4364" s="52" t="str">
        <f>IF(AND($B4364&gt;='111'!$N$11,$B4364&lt;='111'!$O$11,OR($L4364=$O$7,$M4364=$O$7)),"x","")</f>
        <v/>
      </c>
      <c r="P4364" s="52" t="str">
        <f>IF(AND($L4364=$O$7,$B4364&lt;'111'!$N$11),"x","")</f>
        <v/>
      </c>
      <c r="Q4364" s="52" t="str">
        <f>IF(AND($M4364=$O$7,$B4364&lt;'111'!$N$11),"x","")</f>
        <v/>
      </c>
      <c r="R4364" s="52" t="str">
        <f>IF(ISERROR(FIND('112'!$M$9,G4364,1)),"",IF((AND(FIND('112'!$M$9,G4364,1)&gt;=1,$B4364&gt;='112'!$N$8,$B4364&lt;='112'!$O$8,OR($L4364='112'!$I$6,$M4364='112'!$I$6))),"x",""))</f>
        <v/>
      </c>
      <c r="S4364" s="52" t="str">
        <f>IF(ISERROR(FIND('112'!$M$9,G4364,1)),"",IF((AND(LEFT(G4364,2)=LEFT('112'!$M$9,2),B4364&lt;'112'!$N$8,$L4364='112'!$I$6)),"x",""))</f>
        <v/>
      </c>
      <c r="T4364" s="52" t="str">
        <f>IF(ISERROR(FIND('112'!$M$9,G4364,1)),"",IF((AND(RIGHT(G4364,2)=RIGHT('112'!$M$9,2),B4364&lt;'112'!$N$8,$M4364='112'!$I$6)),"x",""))</f>
        <v/>
      </c>
      <c r="U4364" s="52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/>
      </c>
      <c r="V4364" s="52" t="str">
        <f>IF(OR(TH!L4364=TH!$V$7,M4364=TH!$V$7),"x","")</f>
        <v/>
      </c>
      <c r="W4364" s="52" t="str">
        <f>IF(AND(B4364&gt;='IN-NX'!$P$3,B4364&lt;='IN-NX'!$Q$3,'IN-NX'!$D$7=D4364,OR(LEFT(L4364,2)="15",AND(LEFT(M4364,2)&lt;&gt;"15",LEFT(M4364,2)&lt;&gt;"33"))),"x","")</f>
        <v/>
      </c>
      <c r="X4364" s="52" t="str">
        <f>IF(AND(OR(LEFT(TH!L4364,2)="15",LEFT(TH!M4364,2)="15"),'152-CT'!$J$8=TH!F4364),"x","")</f>
        <v/>
      </c>
      <c r="Y4364" s="52" t="str">
        <f>IF(AND(OR(LEFT(TH!L4364,2)="15",LEFT(TH!M4364,2)="15"),TK!$E$7=TH!F4364),"x","")</f>
        <v/>
      </c>
      <c r="Z4364" s="52" t="str">
        <f>IF(AND(B4364&lt;=NKC!$N$8,B4364&gt;=NKC!$M$8),"x","")</f>
        <v/>
      </c>
      <c r="AA4364" s="826"/>
    </row>
    <row r="4365" spans="1:27" ht="15.75" customHeight="1">
      <c r="A4365" s="827" t="str">
        <f>IF(B4365&lt;&gt;"",IF(AND(B4365&gt;=_TM1,B4365&lt;=_TM2,OR(TH!L4365="1111",TH!M4365="1111")),TH!D4365,""),"")</f>
        <v/>
      </c>
      <c r="B4365" s="36" t="str">
        <f t="shared" si="522"/>
        <v/>
      </c>
      <c r="C4365" s="190"/>
      <c r="D4365" s="190"/>
      <c r="E4365" s="190"/>
      <c r="F4365" s="191"/>
      <c r="G4365" s="833"/>
      <c r="H4365" s="192"/>
      <c r="I4365" s="253"/>
      <c r="J4365" s="253"/>
      <c r="K4365" s="584"/>
      <c r="L4365" s="193"/>
      <c r="M4365" s="193"/>
      <c r="N4365" s="52" t="str">
        <f>IF(AND('331-CT'!$E$7=TH!H4365,OR(L4365="331",M4365="331")),"331",IF(AND(OR(L4365="131",M4365="131"),H4365='131-CT'!$E$7),"131",""))</f>
        <v/>
      </c>
      <c r="O4365" s="52" t="str">
        <f>IF(AND($B4365&gt;='111'!$N$11,$B4365&lt;='111'!$O$11,OR($L4365=$O$7,$M4365=$O$7)),"x","")</f>
        <v/>
      </c>
      <c r="P4365" s="52" t="str">
        <f>IF(AND($L4365=$O$7,$B4365&lt;'111'!$N$11),"x","")</f>
        <v/>
      </c>
      <c r="Q4365" s="52" t="str">
        <f>IF(AND($M4365=$O$7,$B4365&lt;'111'!$N$11),"x","")</f>
        <v/>
      </c>
      <c r="R4365" s="52" t="str">
        <f>IF(ISERROR(FIND('112'!$M$9,G4365,1)),"",IF((AND(FIND('112'!$M$9,G4365,1)&gt;=1,$B4365&gt;='112'!$N$8,$B4365&lt;='112'!$O$8,OR($L4365='112'!$I$6,$M4365='112'!$I$6))),"x",""))</f>
        <v/>
      </c>
      <c r="S4365" s="52" t="str">
        <f>IF(ISERROR(FIND('112'!$M$9,G4365,1)),"",IF((AND(LEFT(G4365,2)=LEFT('112'!$M$9,2),B4365&lt;'112'!$N$8,$L4365='112'!$I$6)),"x",""))</f>
        <v/>
      </c>
      <c r="T4365" s="52" t="str">
        <f>IF(ISERROR(FIND('112'!$M$9,G4365,1)),"",IF((AND(RIGHT(G4365,2)=RIGHT('112'!$M$9,2),B4365&lt;'112'!$N$8,$M4365='112'!$I$6)),"x",""))</f>
        <v/>
      </c>
      <c r="U4365" s="52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/>
      </c>
      <c r="V4365" s="52" t="str">
        <f>IF(OR(TH!L4365=TH!$V$7,M4365=TH!$V$7),"x","")</f>
        <v/>
      </c>
      <c r="W4365" s="52" t="str">
        <f>IF(AND(B4365&gt;='IN-NX'!$P$3,B4365&lt;='IN-NX'!$Q$3,'IN-NX'!$D$7=D4365,OR(LEFT(L4365,2)="15",AND(LEFT(M4365,2)&lt;&gt;"15",LEFT(M4365,2)&lt;&gt;"33"))),"x","")</f>
        <v/>
      </c>
      <c r="X4365" s="52" t="str">
        <f>IF(AND(OR(LEFT(TH!L4365,2)="15",LEFT(TH!M4365,2)="15"),'152-CT'!$J$8=TH!F4365),"x","")</f>
        <v/>
      </c>
      <c r="Y4365" s="52" t="str">
        <f>IF(AND(OR(LEFT(TH!L4365,2)="15",LEFT(TH!M4365,2)="15"),TK!$E$7=TH!F4365),"x","")</f>
        <v/>
      </c>
      <c r="Z4365" s="52" t="str">
        <f>IF(AND(B4365&lt;=NKC!$N$8,B4365&gt;=NKC!$M$8),"x","")</f>
        <v/>
      </c>
      <c r="AA4365" s="826"/>
    </row>
    <row r="4366" spans="1:27" ht="15.75" customHeight="1">
      <c r="A4366" s="827" t="str">
        <f>IF(B4366&lt;&gt;"",IF(AND(B4366&gt;=_TM1,B4366&lt;=_TM2,OR(TH!L4366="1111",TH!M4366="1111")),TH!D4366,""),"")</f>
        <v/>
      </c>
      <c r="B4366" s="36" t="str">
        <f t="shared" si="522"/>
        <v/>
      </c>
      <c r="C4366" s="190"/>
      <c r="D4366" s="190"/>
      <c r="E4366" s="190"/>
      <c r="F4366" s="191"/>
      <c r="G4366" s="833"/>
      <c r="H4366" s="192"/>
      <c r="I4366" s="253"/>
      <c r="J4366" s="253"/>
      <c r="K4366" s="584"/>
      <c r="L4366" s="193"/>
      <c r="M4366" s="193"/>
      <c r="N4366" s="52" t="str">
        <f>IF(AND('331-CT'!$E$7=TH!H4366,OR(L4366="331",M4366="331")),"331",IF(AND(OR(L4366="131",M4366="131"),H4366='131-CT'!$E$7),"131",""))</f>
        <v/>
      </c>
      <c r="O4366" s="52" t="str">
        <f>IF(AND($B4366&gt;='111'!$N$11,$B4366&lt;='111'!$O$11,OR($L4366=$O$7,$M4366=$O$7)),"x","")</f>
        <v/>
      </c>
      <c r="P4366" s="52" t="str">
        <f>IF(AND($L4366=$O$7,$B4366&lt;'111'!$N$11),"x","")</f>
        <v/>
      </c>
      <c r="Q4366" s="52" t="str">
        <f>IF(AND($M4366=$O$7,$B4366&lt;'111'!$N$11),"x","")</f>
        <v/>
      </c>
      <c r="R4366" s="52" t="str">
        <f>IF(ISERROR(FIND('112'!$M$9,G4366,1)),"",IF((AND(FIND('112'!$M$9,G4366,1)&gt;=1,$B4366&gt;='112'!$N$8,$B4366&lt;='112'!$O$8,OR($L4366='112'!$I$6,$M4366='112'!$I$6))),"x",""))</f>
        <v/>
      </c>
      <c r="S4366" s="52" t="str">
        <f>IF(ISERROR(FIND('112'!$M$9,G4366,1)),"",IF((AND(LEFT(G4366,2)=LEFT('112'!$M$9,2),B4366&lt;'112'!$N$8,$L4366='112'!$I$6)),"x",""))</f>
        <v/>
      </c>
      <c r="T4366" s="52" t="str">
        <f>IF(ISERROR(FIND('112'!$M$9,G4366,1)),"",IF((AND(RIGHT(G4366,2)=RIGHT('112'!$M$9,2),B4366&lt;'112'!$N$8,$M4366='112'!$I$6)),"x",""))</f>
        <v/>
      </c>
      <c r="U4366" s="52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/>
      </c>
      <c r="V4366" s="52" t="str">
        <f>IF(OR(TH!L4366=TH!$V$7,M4366=TH!$V$7),"x","")</f>
        <v/>
      </c>
      <c r="W4366" s="52" t="str">
        <f>IF(AND(B4366&gt;='IN-NX'!$P$3,B4366&lt;='IN-NX'!$Q$3,'IN-NX'!$D$7=D4366,OR(LEFT(L4366,2)="15",AND(LEFT(M4366,2)&lt;&gt;"15",LEFT(M4366,2)&lt;&gt;"33"))),"x","")</f>
        <v/>
      </c>
      <c r="X4366" s="52" t="str">
        <f>IF(AND(OR(LEFT(TH!L4366,2)="15",LEFT(TH!M4366,2)="15"),'152-CT'!$J$8=TH!F4366),"x","")</f>
        <v/>
      </c>
      <c r="Y4366" s="52" t="str">
        <f>IF(AND(OR(LEFT(TH!L4366,2)="15",LEFT(TH!M4366,2)="15"),TK!$E$7=TH!F4366),"x","")</f>
        <v/>
      </c>
      <c r="Z4366" s="52" t="str">
        <f>IF(AND(B4366&lt;=NKC!$N$8,B4366&gt;=NKC!$M$8),"x","")</f>
        <v/>
      </c>
      <c r="AA4366" s="826"/>
    </row>
    <row r="4367" spans="1:27" ht="15.75" customHeight="1">
      <c r="A4367" s="827" t="str">
        <f>IF(B4367&lt;&gt;"",IF(AND(B4367&gt;=_TM1,B4367&lt;=_TM2,OR(TH!L4367="1111",TH!M4367="1111")),TH!D4367,""),"")</f>
        <v/>
      </c>
      <c r="B4367" s="36" t="str">
        <f t="shared" si="522"/>
        <v/>
      </c>
      <c r="C4367" s="190"/>
      <c r="D4367" s="190"/>
      <c r="E4367" s="190"/>
      <c r="F4367" s="191"/>
      <c r="G4367" s="833"/>
      <c r="H4367" s="192"/>
      <c r="I4367" s="253"/>
      <c r="J4367" s="253"/>
      <c r="K4367" s="584"/>
      <c r="L4367" s="193"/>
      <c r="M4367" s="193"/>
      <c r="N4367" s="52" t="str">
        <f>IF(AND('331-CT'!$E$7=TH!H4367,OR(L4367="331",M4367="331")),"331",IF(AND(OR(L4367="131",M4367="131"),H4367='131-CT'!$E$7),"131",""))</f>
        <v/>
      </c>
      <c r="O4367" s="52" t="str">
        <f>IF(AND($B4367&gt;='111'!$N$11,$B4367&lt;='111'!$O$11,OR($L4367=$O$7,$M4367=$O$7)),"x","")</f>
        <v/>
      </c>
      <c r="P4367" s="52" t="str">
        <f>IF(AND($L4367=$O$7,$B4367&lt;'111'!$N$11),"x","")</f>
        <v/>
      </c>
      <c r="Q4367" s="52" t="str">
        <f>IF(AND($M4367=$O$7,$B4367&lt;'111'!$N$11),"x","")</f>
        <v/>
      </c>
      <c r="R4367" s="52" t="str">
        <f>IF(ISERROR(FIND('112'!$M$9,G4367,1)),"",IF((AND(FIND('112'!$M$9,G4367,1)&gt;=1,$B4367&gt;='112'!$N$8,$B4367&lt;='112'!$O$8,OR($L4367='112'!$I$6,$M4367='112'!$I$6))),"x",""))</f>
        <v/>
      </c>
      <c r="S4367" s="52" t="str">
        <f>IF(ISERROR(FIND('112'!$M$9,G4367,1)),"",IF((AND(LEFT(G4367,2)=LEFT('112'!$M$9,2),B4367&lt;'112'!$N$8,$L4367='112'!$I$6)),"x",""))</f>
        <v/>
      </c>
      <c r="T4367" s="52" t="str">
        <f>IF(ISERROR(FIND('112'!$M$9,G4367,1)),"",IF((AND(RIGHT(G4367,2)=RIGHT('112'!$M$9,2),B4367&lt;'112'!$N$8,$M4367='112'!$I$6)),"x",""))</f>
        <v/>
      </c>
      <c r="U4367" s="52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/>
      </c>
      <c r="V4367" s="52" t="str">
        <f>IF(OR(TH!L4367=TH!$V$7,M4367=TH!$V$7),"x","")</f>
        <v/>
      </c>
      <c r="W4367" s="52" t="str">
        <f>IF(AND(B4367&gt;='IN-NX'!$P$3,B4367&lt;='IN-NX'!$Q$3,'IN-NX'!$D$7=D4367,OR(LEFT(L4367,2)="15",AND(LEFT(M4367,2)&lt;&gt;"15",LEFT(M4367,2)&lt;&gt;"33"))),"x","")</f>
        <v/>
      </c>
      <c r="X4367" s="52" t="str">
        <f>IF(AND(OR(LEFT(TH!L4367,2)="15",LEFT(TH!M4367,2)="15"),'152-CT'!$J$8=TH!F4367),"x","")</f>
        <v/>
      </c>
      <c r="Y4367" s="52" t="str">
        <f>IF(AND(OR(LEFT(TH!L4367,2)="15",LEFT(TH!M4367,2)="15"),TK!$E$7=TH!F4367),"x","")</f>
        <v/>
      </c>
      <c r="Z4367" s="52" t="str">
        <f>IF(AND(B4367&lt;=NKC!$N$8,B4367&gt;=NKC!$M$8),"x","")</f>
        <v/>
      </c>
      <c r="AA4367" s="826"/>
    </row>
    <row r="4368" spans="1:27" ht="15.75" customHeight="1">
      <c r="A4368" s="827" t="str">
        <f>IF(B4368&lt;&gt;"",IF(AND(B4368&gt;=_TM1,B4368&lt;=_TM2,OR(TH!L4368="1111",TH!M4368="1111")),TH!D4368,""),"")</f>
        <v/>
      </c>
      <c r="B4368" s="36" t="str">
        <f t="shared" si="522"/>
        <v/>
      </c>
      <c r="C4368" s="190"/>
      <c r="D4368" s="190"/>
      <c r="E4368" s="190"/>
      <c r="F4368" s="191"/>
      <c r="G4368" s="833"/>
      <c r="H4368" s="192"/>
      <c r="I4368" s="253"/>
      <c r="J4368" s="253"/>
      <c r="K4368" s="584"/>
      <c r="L4368" s="193"/>
      <c r="M4368" s="193"/>
      <c r="N4368" s="52" t="str">
        <f>IF(AND('331-CT'!$E$7=TH!H4368,OR(L4368="331",M4368="331")),"331",IF(AND(OR(L4368="131",M4368="131"),H4368='131-CT'!$E$7),"131",""))</f>
        <v/>
      </c>
      <c r="O4368" s="52" t="str">
        <f>IF(AND($B4368&gt;='111'!$N$11,$B4368&lt;='111'!$O$11,OR($L4368=$O$7,$M4368=$O$7)),"x","")</f>
        <v/>
      </c>
      <c r="P4368" s="52" t="str">
        <f>IF(AND($L4368=$O$7,$B4368&lt;'111'!$N$11),"x","")</f>
        <v/>
      </c>
      <c r="Q4368" s="52" t="str">
        <f>IF(AND($M4368=$O$7,$B4368&lt;'111'!$N$11),"x","")</f>
        <v/>
      </c>
      <c r="R4368" s="52" t="str">
        <f>IF(ISERROR(FIND('112'!$M$9,G4368,1)),"",IF((AND(FIND('112'!$M$9,G4368,1)&gt;=1,$B4368&gt;='112'!$N$8,$B4368&lt;='112'!$O$8,OR($L4368='112'!$I$6,$M4368='112'!$I$6))),"x",""))</f>
        <v/>
      </c>
      <c r="S4368" s="52" t="str">
        <f>IF(ISERROR(FIND('112'!$M$9,G4368,1)),"",IF((AND(LEFT(G4368,2)=LEFT('112'!$M$9,2),B4368&lt;'112'!$N$8,$L4368='112'!$I$6)),"x",""))</f>
        <v/>
      </c>
      <c r="T4368" s="52" t="str">
        <f>IF(ISERROR(FIND('112'!$M$9,G4368,1)),"",IF((AND(RIGHT(G4368,2)=RIGHT('112'!$M$9,2),B4368&lt;'112'!$N$8,$M4368='112'!$I$6)),"x",""))</f>
        <v/>
      </c>
      <c r="U4368" s="52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/>
      </c>
      <c r="V4368" s="52" t="str">
        <f>IF(OR(TH!L4368=TH!$V$7,M4368=TH!$V$7),"x","")</f>
        <v/>
      </c>
      <c r="W4368" s="52" t="str">
        <f>IF(AND(B4368&gt;='IN-NX'!$P$3,B4368&lt;='IN-NX'!$Q$3,'IN-NX'!$D$7=D4368,OR(LEFT(L4368,2)="15",AND(LEFT(M4368,2)&lt;&gt;"15",LEFT(M4368,2)&lt;&gt;"33"))),"x","")</f>
        <v/>
      </c>
      <c r="X4368" s="52" t="str">
        <f>IF(AND(OR(LEFT(TH!L4368,2)="15",LEFT(TH!M4368,2)="15"),'152-CT'!$J$8=TH!F4368),"x","")</f>
        <v/>
      </c>
      <c r="Y4368" s="52" t="str">
        <f>IF(AND(OR(LEFT(TH!L4368,2)="15",LEFT(TH!M4368,2)="15"),TK!$E$7=TH!F4368),"x","")</f>
        <v/>
      </c>
      <c r="Z4368" s="52" t="str">
        <f>IF(AND(B4368&lt;=NKC!$N$8,B4368&gt;=NKC!$M$8),"x","")</f>
        <v/>
      </c>
      <c r="AA4368" s="826"/>
    </row>
    <row r="4369" spans="1:27" ht="15.75" customHeight="1">
      <c r="A4369" s="827" t="str">
        <f>IF(B4369&lt;&gt;"",IF(AND(B4369&gt;=_TM1,B4369&lt;=_TM2,OR(TH!L4369="1111",TH!M4369="1111")),TH!D4369,""),"")</f>
        <v/>
      </c>
      <c r="B4369" s="36" t="str">
        <f t="shared" si="522"/>
        <v/>
      </c>
      <c r="C4369" s="190"/>
      <c r="D4369" s="190"/>
      <c r="E4369" s="190"/>
      <c r="F4369" s="191"/>
      <c r="G4369" s="833"/>
      <c r="H4369" s="192"/>
      <c r="I4369" s="253"/>
      <c r="J4369" s="253"/>
      <c r="K4369" s="584"/>
      <c r="L4369" s="193"/>
      <c r="M4369" s="193"/>
      <c r="N4369" s="52" t="str">
        <f>IF(AND('331-CT'!$E$7=TH!H4369,OR(L4369="331",M4369="331")),"331",IF(AND(OR(L4369="131",M4369="131"),H4369='131-CT'!$E$7),"131",""))</f>
        <v/>
      </c>
      <c r="O4369" s="52" t="str">
        <f>IF(AND($B4369&gt;='111'!$N$11,$B4369&lt;='111'!$O$11,OR($L4369=$O$7,$M4369=$O$7)),"x","")</f>
        <v/>
      </c>
      <c r="P4369" s="52" t="str">
        <f>IF(AND($L4369=$O$7,$B4369&lt;'111'!$N$11),"x","")</f>
        <v/>
      </c>
      <c r="Q4369" s="52" t="str">
        <f>IF(AND($M4369=$O$7,$B4369&lt;'111'!$N$11),"x","")</f>
        <v/>
      </c>
      <c r="R4369" s="52" t="str">
        <f>IF(ISERROR(FIND('112'!$M$9,G4369,1)),"",IF((AND(FIND('112'!$M$9,G4369,1)&gt;=1,$B4369&gt;='112'!$N$8,$B4369&lt;='112'!$O$8,OR($L4369='112'!$I$6,$M4369='112'!$I$6))),"x",""))</f>
        <v/>
      </c>
      <c r="S4369" s="52" t="str">
        <f>IF(ISERROR(FIND('112'!$M$9,G4369,1)),"",IF((AND(LEFT(G4369,2)=LEFT('112'!$M$9,2),B4369&lt;'112'!$N$8,$L4369='112'!$I$6)),"x",""))</f>
        <v/>
      </c>
      <c r="T4369" s="52" t="str">
        <f>IF(ISERROR(FIND('112'!$M$9,G4369,1)),"",IF((AND(RIGHT(G4369,2)=RIGHT('112'!$M$9,2),B4369&lt;'112'!$N$8,$M4369='112'!$I$6)),"x",""))</f>
        <v/>
      </c>
      <c r="U4369" s="52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/>
      </c>
      <c r="V4369" s="52" t="str">
        <f>IF(OR(TH!L4369=TH!$V$7,M4369=TH!$V$7),"x","")</f>
        <v/>
      </c>
      <c r="W4369" s="52" t="str">
        <f>IF(AND(B4369&gt;='IN-NX'!$P$3,B4369&lt;='IN-NX'!$Q$3,'IN-NX'!$D$7=D4369,OR(LEFT(L4369,2)="15",AND(LEFT(M4369,2)&lt;&gt;"15",LEFT(M4369,2)&lt;&gt;"33"))),"x","")</f>
        <v/>
      </c>
      <c r="X4369" s="52" t="str">
        <f>IF(AND(OR(LEFT(TH!L4369,2)="15",LEFT(TH!M4369,2)="15"),'152-CT'!$J$8=TH!F4369),"x","")</f>
        <v/>
      </c>
      <c r="Y4369" s="52" t="str">
        <f>IF(AND(OR(LEFT(TH!L4369,2)="15",LEFT(TH!M4369,2)="15"),TK!$E$7=TH!F4369),"x","")</f>
        <v/>
      </c>
      <c r="Z4369" s="52" t="str">
        <f>IF(AND(B4369&lt;=NKC!$N$8,B4369&gt;=NKC!$M$8),"x","")</f>
        <v/>
      </c>
      <c r="AA4369" s="826"/>
    </row>
    <row r="4370" spans="1:27" ht="15.75" customHeight="1">
      <c r="A4370" s="827" t="str">
        <f>IF(B4370&lt;&gt;"",IF(AND(B4370&gt;=_TM1,B4370&lt;=_TM2,OR(TH!L4370="1111",TH!M4370="1111")),TH!D4370,""),"")</f>
        <v/>
      </c>
      <c r="B4370" s="36" t="str">
        <f t="shared" si="522"/>
        <v/>
      </c>
      <c r="C4370" s="190"/>
      <c r="D4370" s="190"/>
      <c r="E4370" s="190"/>
      <c r="F4370" s="191"/>
      <c r="G4370" s="833"/>
      <c r="H4370" s="192"/>
      <c r="I4370" s="253"/>
      <c r="J4370" s="253"/>
      <c r="K4370" s="584"/>
      <c r="L4370" s="193"/>
      <c r="M4370" s="193"/>
      <c r="N4370" s="52" t="str">
        <f>IF(AND('331-CT'!$E$7=TH!H4370,OR(L4370="331",M4370="331")),"331",IF(AND(OR(L4370="131",M4370="131"),H4370='131-CT'!$E$7),"131",""))</f>
        <v/>
      </c>
      <c r="O4370" s="52" t="str">
        <f>IF(AND($B4370&gt;='111'!$N$11,$B4370&lt;='111'!$O$11,OR($L4370=$O$7,$M4370=$O$7)),"x","")</f>
        <v/>
      </c>
      <c r="P4370" s="52" t="str">
        <f>IF(AND($L4370=$O$7,$B4370&lt;'111'!$N$11),"x","")</f>
        <v/>
      </c>
      <c r="Q4370" s="52" t="str">
        <f>IF(AND($M4370=$O$7,$B4370&lt;'111'!$N$11),"x","")</f>
        <v/>
      </c>
      <c r="R4370" s="52" t="str">
        <f>IF(ISERROR(FIND('112'!$M$9,G4370,1)),"",IF((AND(FIND('112'!$M$9,G4370,1)&gt;=1,$B4370&gt;='112'!$N$8,$B4370&lt;='112'!$O$8,OR($L4370='112'!$I$6,$M4370='112'!$I$6))),"x",""))</f>
        <v/>
      </c>
      <c r="S4370" s="52" t="str">
        <f>IF(ISERROR(FIND('112'!$M$9,G4370,1)),"",IF((AND(LEFT(G4370,2)=LEFT('112'!$M$9,2),B4370&lt;'112'!$N$8,$L4370='112'!$I$6)),"x",""))</f>
        <v/>
      </c>
      <c r="T4370" s="52" t="str">
        <f>IF(ISERROR(FIND('112'!$M$9,G4370,1)),"",IF((AND(RIGHT(G4370,2)=RIGHT('112'!$M$9,2),B4370&lt;'112'!$N$8,$M4370='112'!$I$6)),"x",""))</f>
        <v/>
      </c>
      <c r="U4370" s="52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/>
      </c>
      <c r="V4370" s="52" t="str">
        <f>IF(OR(TH!L4370=TH!$V$7,M4370=TH!$V$7),"x","")</f>
        <v/>
      </c>
      <c r="W4370" s="52" t="str">
        <f>IF(AND(B4370&gt;='IN-NX'!$P$3,B4370&lt;='IN-NX'!$Q$3,'IN-NX'!$D$7=D4370,OR(LEFT(L4370,2)="15",AND(LEFT(M4370,2)&lt;&gt;"15",LEFT(M4370,2)&lt;&gt;"33"))),"x","")</f>
        <v/>
      </c>
      <c r="X4370" s="52" t="str">
        <f>IF(AND(OR(LEFT(TH!L4370,2)="15",LEFT(TH!M4370,2)="15"),'152-CT'!$J$8=TH!F4370),"x","")</f>
        <v/>
      </c>
      <c r="Y4370" s="52" t="str">
        <f>IF(AND(OR(LEFT(TH!L4370,2)="15",LEFT(TH!M4370,2)="15"),TK!$E$7=TH!F4370),"x","")</f>
        <v/>
      </c>
      <c r="Z4370" s="52" t="str">
        <f>IF(AND(B4370&lt;=NKC!$N$8,B4370&gt;=NKC!$M$8),"x","")</f>
        <v/>
      </c>
      <c r="AA4370" s="826"/>
    </row>
    <row r="4371" spans="1:27" ht="15.75" customHeight="1">
      <c r="A4371" s="827" t="str">
        <f>IF(B4371&lt;&gt;"",IF(AND(B4371&gt;=_TM1,B4371&lt;=_TM2,OR(TH!L4371="1111",TH!M4371="1111")),TH!D4371,""),"")</f>
        <v/>
      </c>
      <c r="B4371" s="36" t="str">
        <f t="shared" si="522"/>
        <v/>
      </c>
      <c r="C4371" s="190"/>
      <c r="D4371" s="190"/>
      <c r="E4371" s="190"/>
      <c r="F4371" s="191"/>
      <c r="G4371" s="833"/>
      <c r="H4371" s="192"/>
      <c r="I4371" s="253"/>
      <c r="J4371" s="253"/>
      <c r="K4371" s="584"/>
      <c r="L4371" s="193"/>
      <c r="M4371" s="193"/>
      <c r="N4371" s="52" t="str">
        <f>IF(AND('331-CT'!$E$7=TH!H4371,OR(L4371="331",M4371="331")),"331",IF(AND(OR(L4371="131",M4371="131"),H4371='131-CT'!$E$7),"131",""))</f>
        <v/>
      </c>
      <c r="O4371" s="52" t="str">
        <f>IF(AND($B4371&gt;='111'!$N$11,$B4371&lt;='111'!$O$11,OR($L4371=$O$7,$M4371=$O$7)),"x","")</f>
        <v/>
      </c>
      <c r="P4371" s="52" t="str">
        <f>IF(AND($L4371=$O$7,$B4371&lt;'111'!$N$11),"x","")</f>
        <v/>
      </c>
      <c r="Q4371" s="52" t="str">
        <f>IF(AND($M4371=$O$7,$B4371&lt;'111'!$N$11),"x","")</f>
        <v/>
      </c>
      <c r="R4371" s="52" t="str">
        <f>IF(ISERROR(FIND('112'!$M$9,G4371,1)),"",IF((AND(FIND('112'!$M$9,G4371,1)&gt;=1,$B4371&gt;='112'!$N$8,$B4371&lt;='112'!$O$8,OR($L4371='112'!$I$6,$M4371='112'!$I$6))),"x",""))</f>
        <v/>
      </c>
      <c r="S4371" s="52" t="str">
        <f>IF(ISERROR(FIND('112'!$M$9,G4371,1)),"",IF((AND(LEFT(G4371,2)=LEFT('112'!$M$9,2),B4371&lt;'112'!$N$8,$L4371='112'!$I$6)),"x",""))</f>
        <v/>
      </c>
      <c r="T4371" s="52" t="str">
        <f>IF(ISERROR(FIND('112'!$M$9,G4371,1)),"",IF((AND(RIGHT(G4371,2)=RIGHT('112'!$M$9,2),B4371&lt;'112'!$N$8,$M4371='112'!$I$6)),"x",""))</f>
        <v/>
      </c>
      <c r="U4371" s="52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/>
      </c>
      <c r="V4371" s="52" t="str">
        <f>IF(OR(TH!L4371=TH!$V$7,M4371=TH!$V$7),"x","")</f>
        <v/>
      </c>
      <c r="W4371" s="52" t="str">
        <f>IF(AND(B4371&gt;='IN-NX'!$P$3,B4371&lt;='IN-NX'!$Q$3,'IN-NX'!$D$7=D4371,OR(LEFT(L4371,2)="15",AND(LEFT(M4371,2)&lt;&gt;"15",LEFT(M4371,2)&lt;&gt;"33"))),"x","")</f>
        <v/>
      </c>
      <c r="X4371" s="52" t="str">
        <f>IF(AND(OR(LEFT(TH!L4371,2)="15",LEFT(TH!M4371,2)="15"),'152-CT'!$J$8=TH!F4371),"x","")</f>
        <v/>
      </c>
      <c r="Y4371" s="52" t="str">
        <f>IF(AND(OR(LEFT(TH!L4371,2)="15",LEFT(TH!M4371,2)="15"),TK!$E$7=TH!F4371),"x","")</f>
        <v/>
      </c>
      <c r="Z4371" s="52" t="str">
        <f>IF(AND(B4371&lt;=NKC!$N$8,B4371&gt;=NKC!$M$8),"x","")</f>
        <v/>
      </c>
      <c r="AA4371" s="826"/>
    </row>
    <row r="4372" spans="1:27" ht="15.75" customHeight="1">
      <c r="A4372" s="827" t="str">
        <f>IF(B4372&lt;&gt;"",IF(AND(B4372&gt;=_TM1,B4372&lt;=_TM2,OR(TH!L4372="1111",TH!M4372="1111")),TH!D4372,""),"")</f>
        <v/>
      </c>
      <c r="B4372" s="36" t="str">
        <f t="shared" ref="B4372:B4435" si="523">IF(C4372&lt;&gt;"",MONTH(C4372),"")</f>
        <v/>
      </c>
      <c r="C4372" s="190"/>
      <c r="D4372" s="190"/>
      <c r="E4372" s="190"/>
      <c r="F4372" s="191"/>
      <c r="G4372" s="833"/>
      <c r="H4372" s="192"/>
      <c r="I4372" s="253"/>
      <c r="J4372" s="253"/>
      <c r="K4372" s="584"/>
      <c r="L4372" s="193"/>
      <c r="M4372" s="193"/>
      <c r="N4372" s="52" t="str">
        <f>IF(AND('331-CT'!$E$7=TH!H4372,OR(L4372="331",M4372="331")),"331",IF(AND(OR(L4372="131",M4372="131"),H4372='131-CT'!$E$7),"131",""))</f>
        <v/>
      </c>
      <c r="O4372" s="52" t="str">
        <f>IF(AND($B4372&gt;='111'!$N$11,$B4372&lt;='111'!$O$11,OR($L4372=$O$7,$M4372=$O$7)),"x","")</f>
        <v/>
      </c>
      <c r="P4372" s="52" t="str">
        <f>IF(AND($L4372=$O$7,$B4372&lt;'111'!$N$11),"x","")</f>
        <v/>
      </c>
      <c r="Q4372" s="52" t="str">
        <f>IF(AND($M4372=$O$7,$B4372&lt;'111'!$N$11),"x","")</f>
        <v/>
      </c>
      <c r="R4372" s="52" t="str">
        <f>IF(ISERROR(FIND('112'!$M$9,G4372,1)),"",IF((AND(FIND('112'!$M$9,G4372,1)&gt;=1,$B4372&gt;='112'!$N$8,$B4372&lt;='112'!$O$8,OR($L4372='112'!$I$6,$M4372='112'!$I$6))),"x",""))</f>
        <v/>
      </c>
      <c r="S4372" s="52" t="str">
        <f>IF(ISERROR(FIND('112'!$M$9,G4372,1)),"",IF((AND(LEFT(G4372,2)=LEFT('112'!$M$9,2),B4372&lt;'112'!$N$8,$L4372='112'!$I$6)),"x",""))</f>
        <v/>
      </c>
      <c r="T4372" s="52" t="str">
        <f>IF(ISERROR(FIND('112'!$M$9,G4372,1)),"",IF((AND(RIGHT(G4372,2)=RIGHT('112'!$M$9,2),B4372&lt;'112'!$N$8,$M4372='112'!$I$6)),"x",""))</f>
        <v/>
      </c>
      <c r="U4372" s="52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/>
      </c>
      <c r="V4372" s="52" t="str">
        <f>IF(OR(TH!L4372=TH!$V$7,M4372=TH!$V$7),"x","")</f>
        <v/>
      </c>
      <c r="W4372" s="52" t="str">
        <f>IF(AND(B4372&gt;='IN-NX'!$P$3,B4372&lt;='IN-NX'!$Q$3,'IN-NX'!$D$7=D4372,OR(LEFT(L4372,2)="15",AND(LEFT(M4372,2)&lt;&gt;"15",LEFT(M4372,2)&lt;&gt;"33"))),"x","")</f>
        <v/>
      </c>
      <c r="X4372" s="52" t="str">
        <f>IF(AND(OR(LEFT(TH!L4372,2)="15",LEFT(TH!M4372,2)="15"),'152-CT'!$J$8=TH!F4372),"x","")</f>
        <v/>
      </c>
      <c r="Y4372" s="52" t="str">
        <f>IF(AND(OR(LEFT(TH!L4372,2)="15",LEFT(TH!M4372,2)="15"),TK!$E$7=TH!F4372),"x","")</f>
        <v/>
      </c>
      <c r="Z4372" s="52" t="str">
        <f>IF(AND(B4372&lt;=NKC!$N$8,B4372&gt;=NKC!$M$8),"x","")</f>
        <v/>
      </c>
      <c r="AA4372" s="826"/>
    </row>
    <row r="4373" spans="1:27" ht="15.75" customHeight="1">
      <c r="A4373" s="827" t="str">
        <f>IF(B4373&lt;&gt;"",IF(AND(B4373&gt;=_TM1,B4373&lt;=_TM2,OR(TH!L4373="1111",TH!M4373="1111")),TH!D4373,""),"")</f>
        <v/>
      </c>
      <c r="B4373" s="36" t="str">
        <f t="shared" si="523"/>
        <v/>
      </c>
      <c r="C4373" s="190"/>
      <c r="D4373" s="190"/>
      <c r="E4373" s="190"/>
      <c r="F4373" s="191"/>
      <c r="G4373" s="833"/>
      <c r="H4373" s="192"/>
      <c r="I4373" s="253"/>
      <c r="J4373" s="253"/>
      <c r="K4373" s="584"/>
      <c r="L4373" s="193"/>
      <c r="M4373" s="193"/>
      <c r="N4373" s="52" t="str">
        <f>IF(AND('331-CT'!$E$7=TH!H4373,OR(L4373="331",M4373="331")),"331",IF(AND(OR(L4373="131",M4373="131"),H4373='131-CT'!$E$7),"131",""))</f>
        <v/>
      </c>
      <c r="O4373" s="52" t="str">
        <f>IF(AND($B4373&gt;='111'!$N$11,$B4373&lt;='111'!$O$11,OR($L4373=$O$7,$M4373=$O$7)),"x","")</f>
        <v/>
      </c>
      <c r="P4373" s="52" t="str">
        <f>IF(AND($L4373=$O$7,$B4373&lt;'111'!$N$11),"x","")</f>
        <v/>
      </c>
      <c r="Q4373" s="52" t="str">
        <f>IF(AND($M4373=$O$7,$B4373&lt;'111'!$N$11),"x","")</f>
        <v/>
      </c>
      <c r="R4373" s="52" t="str">
        <f>IF(ISERROR(FIND('112'!$M$9,G4373,1)),"",IF((AND(FIND('112'!$M$9,G4373,1)&gt;=1,$B4373&gt;='112'!$N$8,$B4373&lt;='112'!$O$8,OR($L4373='112'!$I$6,$M4373='112'!$I$6))),"x",""))</f>
        <v/>
      </c>
      <c r="S4373" s="52" t="str">
        <f>IF(ISERROR(FIND('112'!$M$9,G4373,1)),"",IF((AND(LEFT(G4373,2)=LEFT('112'!$M$9,2),B4373&lt;'112'!$N$8,$L4373='112'!$I$6)),"x",""))</f>
        <v/>
      </c>
      <c r="T4373" s="52" t="str">
        <f>IF(ISERROR(FIND('112'!$M$9,G4373,1)),"",IF((AND(RIGHT(G4373,2)=RIGHT('112'!$M$9,2),B4373&lt;'112'!$N$8,$M4373='112'!$I$6)),"x",""))</f>
        <v/>
      </c>
      <c r="U4373" s="52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/>
      </c>
      <c r="V4373" s="52" t="str">
        <f>IF(OR(TH!L4373=TH!$V$7,M4373=TH!$V$7),"x","")</f>
        <v/>
      </c>
      <c r="W4373" s="52" t="str">
        <f>IF(AND(B4373&gt;='IN-NX'!$P$3,B4373&lt;='IN-NX'!$Q$3,'IN-NX'!$D$7=D4373,OR(LEFT(L4373,2)="15",AND(LEFT(M4373,2)&lt;&gt;"15",LEFT(M4373,2)&lt;&gt;"33"))),"x","")</f>
        <v/>
      </c>
      <c r="X4373" s="52" t="str">
        <f>IF(AND(OR(LEFT(TH!L4373,2)="15",LEFT(TH!M4373,2)="15"),'152-CT'!$J$8=TH!F4373),"x","")</f>
        <v/>
      </c>
      <c r="Y4373" s="52" t="str">
        <f>IF(AND(OR(LEFT(TH!L4373,2)="15",LEFT(TH!M4373,2)="15"),TK!$E$7=TH!F4373),"x","")</f>
        <v/>
      </c>
      <c r="Z4373" s="52" t="str">
        <f>IF(AND(B4373&lt;=NKC!$N$8,B4373&gt;=NKC!$M$8),"x","")</f>
        <v/>
      </c>
      <c r="AA4373" s="826"/>
    </row>
    <row r="4374" spans="1:27" ht="15.75" customHeight="1">
      <c r="A4374" s="827" t="str">
        <f>IF(B4374&lt;&gt;"",IF(AND(B4374&gt;=_TM1,B4374&lt;=_TM2,OR(TH!L4374="1111",TH!M4374="1111")),TH!D4374,""),"")</f>
        <v/>
      </c>
      <c r="B4374" s="36" t="str">
        <f t="shared" si="523"/>
        <v/>
      </c>
      <c r="C4374" s="190"/>
      <c r="D4374" s="190"/>
      <c r="E4374" s="190"/>
      <c r="F4374" s="191"/>
      <c r="G4374" s="833"/>
      <c r="H4374" s="192"/>
      <c r="I4374" s="253"/>
      <c r="J4374" s="253"/>
      <c r="K4374" s="584"/>
      <c r="L4374" s="193"/>
      <c r="M4374" s="193"/>
      <c r="N4374" s="52" t="str">
        <f>IF(AND('331-CT'!$E$7=TH!H4374,OR(L4374="331",M4374="331")),"331",IF(AND(OR(L4374="131",M4374="131"),H4374='131-CT'!$E$7),"131",""))</f>
        <v/>
      </c>
      <c r="O4374" s="52" t="str">
        <f>IF(AND($B4374&gt;='111'!$N$11,$B4374&lt;='111'!$O$11,OR($L4374=$O$7,$M4374=$O$7)),"x","")</f>
        <v/>
      </c>
      <c r="P4374" s="52" t="str">
        <f>IF(AND($L4374=$O$7,$B4374&lt;'111'!$N$11),"x","")</f>
        <v/>
      </c>
      <c r="Q4374" s="52" t="str">
        <f>IF(AND($M4374=$O$7,$B4374&lt;'111'!$N$11),"x","")</f>
        <v/>
      </c>
      <c r="R4374" s="52" t="str">
        <f>IF(ISERROR(FIND('112'!$M$9,G4374,1)),"",IF((AND(FIND('112'!$M$9,G4374,1)&gt;=1,$B4374&gt;='112'!$N$8,$B4374&lt;='112'!$O$8,OR($L4374='112'!$I$6,$M4374='112'!$I$6))),"x",""))</f>
        <v/>
      </c>
      <c r="S4374" s="52" t="str">
        <f>IF(ISERROR(FIND('112'!$M$9,G4374,1)),"",IF((AND(LEFT(G4374,2)=LEFT('112'!$M$9,2),B4374&lt;'112'!$N$8,$L4374='112'!$I$6)),"x",""))</f>
        <v/>
      </c>
      <c r="T4374" s="52" t="str">
        <f>IF(ISERROR(FIND('112'!$M$9,G4374,1)),"",IF((AND(RIGHT(G4374,2)=RIGHT('112'!$M$9,2),B4374&lt;'112'!$N$8,$M4374='112'!$I$6)),"x",""))</f>
        <v/>
      </c>
      <c r="U4374" s="52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/>
      </c>
      <c r="V4374" s="52" t="str">
        <f>IF(OR(TH!L4374=TH!$V$7,M4374=TH!$V$7),"x","")</f>
        <v/>
      </c>
      <c r="W4374" s="52" t="str">
        <f>IF(AND(B4374&gt;='IN-NX'!$P$3,B4374&lt;='IN-NX'!$Q$3,'IN-NX'!$D$7=D4374,OR(LEFT(L4374,2)="15",AND(LEFT(M4374,2)&lt;&gt;"15",LEFT(M4374,2)&lt;&gt;"33"))),"x","")</f>
        <v/>
      </c>
      <c r="X4374" s="52" t="str">
        <f>IF(AND(OR(LEFT(TH!L4374,2)="15",LEFT(TH!M4374,2)="15"),'152-CT'!$J$8=TH!F4374),"x","")</f>
        <v/>
      </c>
      <c r="Y4374" s="52" t="str">
        <f>IF(AND(OR(LEFT(TH!L4374,2)="15",LEFT(TH!M4374,2)="15"),TK!$E$7=TH!F4374),"x","")</f>
        <v/>
      </c>
      <c r="Z4374" s="52" t="str">
        <f>IF(AND(B4374&lt;=NKC!$N$8,B4374&gt;=NKC!$M$8),"x","")</f>
        <v/>
      </c>
      <c r="AA4374" s="826"/>
    </row>
    <row r="4375" spans="1:27" ht="15.75" customHeight="1">
      <c r="A4375" s="827" t="str">
        <f>IF(B4375&lt;&gt;"",IF(AND(B4375&gt;=_TM1,B4375&lt;=_TM2,OR(TH!L4375="1111",TH!M4375="1111")),TH!D4375,""),"")</f>
        <v/>
      </c>
      <c r="B4375" s="36" t="str">
        <f t="shared" si="523"/>
        <v/>
      </c>
      <c r="C4375" s="190"/>
      <c r="D4375" s="190"/>
      <c r="E4375" s="190"/>
      <c r="F4375" s="191"/>
      <c r="G4375" s="833"/>
      <c r="H4375" s="192"/>
      <c r="I4375" s="253"/>
      <c r="J4375" s="253"/>
      <c r="K4375" s="584"/>
      <c r="L4375" s="193"/>
      <c r="M4375" s="193"/>
      <c r="N4375" s="52" t="str">
        <f>IF(AND('331-CT'!$E$7=TH!H4375,OR(L4375="331",M4375="331")),"331",IF(AND(OR(L4375="131",M4375="131"),H4375='131-CT'!$E$7),"131",""))</f>
        <v/>
      </c>
      <c r="O4375" s="52" t="str">
        <f>IF(AND($B4375&gt;='111'!$N$11,$B4375&lt;='111'!$O$11,OR($L4375=$O$7,$M4375=$O$7)),"x","")</f>
        <v/>
      </c>
      <c r="P4375" s="52" t="str">
        <f>IF(AND($L4375=$O$7,$B4375&lt;'111'!$N$11),"x","")</f>
        <v/>
      </c>
      <c r="Q4375" s="52" t="str">
        <f>IF(AND($M4375=$O$7,$B4375&lt;'111'!$N$11),"x","")</f>
        <v/>
      </c>
      <c r="R4375" s="52" t="str">
        <f>IF(ISERROR(FIND('112'!$M$9,G4375,1)),"",IF((AND(FIND('112'!$M$9,G4375,1)&gt;=1,$B4375&gt;='112'!$N$8,$B4375&lt;='112'!$O$8,OR($L4375='112'!$I$6,$M4375='112'!$I$6))),"x",""))</f>
        <v/>
      </c>
      <c r="S4375" s="52" t="str">
        <f>IF(ISERROR(FIND('112'!$M$9,G4375,1)),"",IF((AND(LEFT(G4375,2)=LEFT('112'!$M$9,2),B4375&lt;'112'!$N$8,$L4375='112'!$I$6)),"x",""))</f>
        <v/>
      </c>
      <c r="T4375" s="52" t="str">
        <f>IF(ISERROR(FIND('112'!$M$9,G4375,1)),"",IF((AND(RIGHT(G4375,2)=RIGHT('112'!$M$9,2),B4375&lt;'112'!$N$8,$M4375='112'!$I$6)),"x",""))</f>
        <v/>
      </c>
      <c r="U4375" s="52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/>
      </c>
      <c r="V4375" s="52" t="str">
        <f>IF(OR(TH!L4375=TH!$V$7,M4375=TH!$V$7),"x","")</f>
        <v/>
      </c>
      <c r="W4375" s="52" t="str">
        <f>IF(AND(B4375&gt;='IN-NX'!$P$3,B4375&lt;='IN-NX'!$Q$3,'IN-NX'!$D$7=D4375,OR(LEFT(L4375,2)="15",AND(LEFT(M4375,2)&lt;&gt;"15",LEFT(M4375,2)&lt;&gt;"33"))),"x","")</f>
        <v/>
      </c>
      <c r="X4375" s="52" t="str">
        <f>IF(AND(OR(LEFT(TH!L4375,2)="15",LEFT(TH!M4375,2)="15"),'152-CT'!$J$8=TH!F4375),"x","")</f>
        <v/>
      </c>
      <c r="Y4375" s="52" t="str">
        <f>IF(AND(OR(LEFT(TH!L4375,2)="15",LEFT(TH!M4375,2)="15"),TK!$E$7=TH!F4375),"x","")</f>
        <v/>
      </c>
      <c r="Z4375" s="52" t="str">
        <f>IF(AND(B4375&lt;=NKC!$N$8,B4375&gt;=NKC!$M$8),"x","")</f>
        <v/>
      </c>
      <c r="AA4375" s="826"/>
    </row>
    <row r="4376" spans="1:27" ht="15.75" customHeight="1">
      <c r="A4376" s="827" t="str">
        <f>IF(B4376&lt;&gt;"",IF(AND(B4376&gt;=_TM1,B4376&lt;=_TM2,OR(TH!L4376="1111",TH!M4376="1111")),TH!D4376,""),"")</f>
        <v/>
      </c>
      <c r="B4376" s="36" t="str">
        <f t="shared" si="523"/>
        <v/>
      </c>
      <c r="C4376" s="190"/>
      <c r="D4376" s="190"/>
      <c r="E4376" s="190"/>
      <c r="F4376" s="191"/>
      <c r="G4376" s="833"/>
      <c r="H4376" s="192"/>
      <c r="I4376" s="253"/>
      <c r="J4376" s="253"/>
      <c r="K4376" s="584"/>
      <c r="L4376" s="193"/>
      <c r="M4376" s="193"/>
      <c r="N4376" s="52" t="str">
        <f>IF(AND('331-CT'!$E$7=TH!H4376,OR(L4376="331",M4376="331")),"331",IF(AND(OR(L4376="131",M4376="131"),H4376='131-CT'!$E$7),"131",""))</f>
        <v/>
      </c>
      <c r="O4376" s="52" t="str">
        <f>IF(AND($B4376&gt;='111'!$N$11,$B4376&lt;='111'!$O$11,OR($L4376=$O$7,$M4376=$O$7)),"x","")</f>
        <v/>
      </c>
      <c r="P4376" s="52" t="str">
        <f>IF(AND($L4376=$O$7,$B4376&lt;'111'!$N$11),"x","")</f>
        <v/>
      </c>
      <c r="Q4376" s="52" t="str">
        <f>IF(AND($M4376=$O$7,$B4376&lt;'111'!$N$11),"x","")</f>
        <v/>
      </c>
      <c r="R4376" s="52" t="str">
        <f>IF(ISERROR(FIND('112'!$M$9,G4376,1)),"",IF((AND(FIND('112'!$M$9,G4376,1)&gt;=1,$B4376&gt;='112'!$N$8,$B4376&lt;='112'!$O$8,OR($L4376='112'!$I$6,$M4376='112'!$I$6))),"x",""))</f>
        <v/>
      </c>
      <c r="S4376" s="52" t="str">
        <f>IF(ISERROR(FIND('112'!$M$9,G4376,1)),"",IF((AND(LEFT(G4376,2)=LEFT('112'!$M$9,2),B4376&lt;'112'!$N$8,$L4376='112'!$I$6)),"x",""))</f>
        <v/>
      </c>
      <c r="T4376" s="52" t="str">
        <f>IF(ISERROR(FIND('112'!$M$9,G4376,1)),"",IF((AND(RIGHT(G4376,2)=RIGHT('112'!$M$9,2),B4376&lt;'112'!$N$8,$M4376='112'!$I$6)),"x",""))</f>
        <v/>
      </c>
      <c r="U4376" s="52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/>
      </c>
      <c r="V4376" s="52" t="str">
        <f>IF(OR(TH!L4376=TH!$V$7,M4376=TH!$V$7),"x","")</f>
        <v/>
      </c>
      <c r="W4376" s="52" t="str">
        <f>IF(AND(B4376&gt;='IN-NX'!$P$3,B4376&lt;='IN-NX'!$Q$3,'IN-NX'!$D$7=D4376,OR(LEFT(L4376,2)="15",AND(LEFT(M4376,2)&lt;&gt;"15",LEFT(M4376,2)&lt;&gt;"33"))),"x","")</f>
        <v/>
      </c>
      <c r="X4376" s="52" t="str">
        <f>IF(AND(OR(LEFT(TH!L4376,2)="15",LEFT(TH!M4376,2)="15"),'152-CT'!$J$8=TH!F4376),"x","")</f>
        <v/>
      </c>
      <c r="Y4376" s="52" t="str">
        <f>IF(AND(OR(LEFT(TH!L4376,2)="15",LEFT(TH!M4376,2)="15"),TK!$E$7=TH!F4376),"x","")</f>
        <v/>
      </c>
      <c r="Z4376" s="52" t="str">
        <f>IF(AND(B4376&lt;=NKC!$N$8,B4376&gt;=NKC!$M$8),"x","")</f>
        <v/>
      </c>
      <c r="AA4376" s="826"/>
    </row>
    <row r="4377" spans="1:27" ht="15.75" customHeight="1">
      <c r="A4377" s="827" t="str">
        <f>IF(B4377&lt;&gt;"",IF(AND(B4377&gt;=_TM1,B4377&lt;=_TM2,OR(TH!L4377="1111",TH!M4377="1111")),TH!D4377,""),"")</f>
        <v/>
      </c>
      <c r="B4377" s="36" t="str">
        <f t="shared" si="523"/>
        <v/>
      </c>
      <c r="C4377" s="190"/>
      <c r="D4377" s="190"/>
      <c r="E4377" s="190"/>
      <c r="F4377" s="191"/>
      <c r="G4377" s="833"/>
      <c r="H4377" s="192"/>
      <c r="I4377" s="253"/>
      <c r="J4377" s="253"/>
      <c r="K4377" s="584"/>
      <c r="L4377" s="193"/>
      <c r="M4377" s="193"/>
      <c r="N4377" s="52" t="str">
        <f>IF(AND('331-CT'!$E$7=TH!H4377,OR(L4377="331",M4377="331")),"331",IF(AND(OR(L4377="131",M4377="131"),H4377='131-CT'!$E$7),"131",""))</f>
        <v/>
      </c>
      <c r="O4377" s="52" t="str">
        <f>IF(AND($B4377&gt;='111'!$N$11,$B4377&lt;='111'!$O$11,OR($L4377=$O$7,$M4377=$O$7)),"x","")</f>
        <v/>
      </c>
      <c r="P4377" s="52" t="str">
        <f>IF(AND($L4377=$O$7,$B4377&lt;'111'!$N$11),"x","")</f>
        <v/>
      </c>
      <c r="Q4377" s="52" t="str">
        <f>IF(AND($M4377=$O$7,$B4377&lt;'111'!$N$11),"x","")</f>
        <v/>
      </c>
      <c r="R4377" s="52" t="str">
        <f>IF(ISERROR(FIND('112'!$M$9,G4377,1)),"",IF((AND(FIND('112'!$M$9,G4377,1)&gt;=1,$B4377&gt;='112'!$N$8,$B4377&lt;='112'!$O$8,OR($L4377='112'!$I$6,$M4377='112'!$I$6))),"x",""))</f>
        <v/>
      </c>
      <c r="S4377" s="52" t="str">
        <f>IF(ISERROR(FIND('112'!$M$9,G4377,1)),"",IF((AND(LEFT(G4377,2)=LEFT('112'!$M$9,2),B4377&lt;'112'!$N$8,$L4377='112'!$I$6)),"x",""))</f>
        <v/>
      </c>
      <c r="T4377" s="52" t="str">
        <f>IF(ISERROR(FIND('112'!$M$9,G4377,1)),"",IF((AND(RIGHT(G4377,2)=RIGHT('112'!$M$9,2),B4377&lt;'112'!$N$8,$M4377='112'!$I$6)),"x",""))</f>
        <v/>
      </c>
      <c r="U4377" s="52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/>
      </c>
      <c r="V4377" s="52" t="str">
        <f>IF(OR(TH!L4377=TH!$V$7,M4377=TH!$V$7),"x","")</f>
        <v/>
      </c>
      <c r="W4377" s="52" t="str">
        <f>IF(AND(B4377&gt;='IN-NX'!$P$3,B4377&lt;='IN-NX'!$Q$3,'IN-NX'!$D$7=D4377,OR(LEFT(L4377,2)="15",AND(LEFT(M4377,2)&lt;&gt;"15",LEFT(M4377,2)&lt;&gt;"33"))),"x","")</f>
        <v/>
      </c>
      <c r="X4377" s="52" t="str">
        <f>IF(AND(OR(LEFT(TH!L4377,2)="15",LEFT(TH!M4377,2)="15"),'152-CT'!$J$8=TH!F4377),"x","")</f>
        <v/>
      </c>
      <c r="Y4377" s="52" t="str">
        <f>IF(AND(OR(LEFT(TH!L4377,2)="15",LEFT(TH!M4377,2)="15"),TK!$E$7=TH!F4377),"x","")</f>
        <v/>
      </c>
      <c r="Z4377" s="52" t="str">
        <f>IF(AND(B4377&lt;=NKC!$N$8,B4377&gt;=NKC!$M$8),"x","")</f>
        <v/>
      </c>
      <c r="AA4377" s="826"/>
    </row>
    <row r="4378" spans="1:27" ht="15.75" customHeight="1">
      <c r="A4378" s="827" t="str">
        <f>IF(B4378&lt;&gt;"",IF(AND(B4378&gt;=_TM1,B4378&lt;=_TM2,OR(TH!L4378="1111",TH!M4378="1111")),TH!D4378,""),"")</f>
        <v/>
      </c>
      <c r="B4378" s="36" t="str">
        <f t="shared" si="523"/>
        <v/>
      </c>
      <c r="C4378" s="190"/>
      <c r="D4378" s="190"/>
      <c r="E4378" s="190"/>
      <c r="F4378" s="191"/>
      <c r="G4378" s="833"/>
      <c r="H4378" s="192"/>
      <c r="I4378" s="253"/>
      <c r="J4378" s="253"/>
      <c r="K4378" s="584"/>
      <c r="L4378" s="193"/>
      <c r="M4378" s="193"/>
      <c r="N4378" s="52" t="str">
        <f>IF(AND('331-CT'!$E$7=TH!H4378,OR(L4378="331",M4378="331")),"331",IF(AND(OR(L4378="131",M4378="131"),H4378='131-CT'!$E$7),"131",""))</f>
        <v/>
      </c>
      <c r="O4378" s="52" t="str">
        <f>IF(AND($B4378&gt;='111'!$N$11,$B4378&lt;='111'!$O$11,OR($L4378=$O$7,$M4378=$O$7)),"x","")</f>
        <v/>
      </c>
      <c r="P4378" s="52" t="str">
        <f>IF(AND($L4378=$O$7,$B4378&lt;'111'!$N$11),"x","")</f>
        <v/>
      </c>
      <c r="Q4378" s="52" t="str">
        <f>IF(AND($M4378=$O$7,$B4378&lt;'111'!$N$11),"x","")</f>
        <v/>
      </c>
      <c r="R4378" s="52" t="str">
        <f>IF(ISERROR(FIND('112'!$M$9,G4378,1)),"",IF((AND(FIND('112'!$M$9,G4378,1)&gt;=1,$B4378&gt;='112'!$N$8,$B4378&lt;='112'!$O$8,OR($L4378='112'!$I$6,$M4378='112'!$I$6))),"x",""))</f>
        <v/>
      </c>
      <c r="S4378" s="52" t="str">
        <f>IF(ISERROR(FIND('112'!$M$9,G4378,1)),"",IF((AND(LEFT(G4378,2)=LEFT('112'!$M$9,2),B4378&lt;'112'!$N$8,$L4378='112'!$I$6)),"x",""))</f>
        <v/>
      </c>
      <c r="T4378" s="52" t="str">
        <f>IF(ISERROR(FIND('112'!$M$9,G4378,1)),"",IF((AND(RIGHT(G4378,2)=RIGHT('112'!$M$9,2),B4378&lt;'112'!$N$8,$M4378='112'!$I$6)),"x",""))</f>
        <v/>
      </c>
      <c r="U4378" s="52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/>
      </c>
      <c r="V4378" s="52" t="str">
        <f>IF(OR(TH!L4378=TH!$V$7,M4378=TH!$V$7),"x","")</f>
        <v/>
      </c>
      <c r="W4378" s="52" t="str">
        <f>IF(AND(B4378&gt;='IN-NX'!$P$3,B4378&lt;='IN-NX'!$Q$3,'IN-NX'!$D$7=D4378,OR(LEFT(L4378,2)="15",AND(LEFT(M4378,2)&lt;&gt;"15",LEFT(M4378,2)&lt;&gt;"33"))),"x","")</f>
        <v/>
      </c>
      <c r="X4378" s="52" t="str">
        <f>IF(AND(OR(LEFT(TH!L4378,2)="15",LEFT(TH!M4378,2)="15"),'152-CT'!$J$8=TH!F4378),"x","")</f>
        <v/>
      </c>
      <c r="Y4378" s="52" t="str">
        <f>IF(AND(OR(LEFT(TH!L4378,2)="15",LEFT(TH!M4378,2)="15"),TK!$E$7=TH!F4378),"x","")</f>
        <v/>
      </c>
      <c r="Z4378" s="52" t="str">
        <f>IF(AND(B4378&lt;=NKC!$N$8,B4378&gt;=NKC!$M$8),"x","")</f>
        <v/>
      </c>
      <c r="AA4378" s="826"/>
    </row>
    <row r="4379" spans="1:27" ht="15.75" customHeight="1">
      <c r="A4379" s="827" t="str">
        <f>IF(B4379&lt;&gt;"",IF(AND(B4379&gt;=_TM1,B4379&lt;=_TM2,OR(TH!L4379="1111",TH!M4379="1111")),TH!D4379,""),"")</f>
        <v/>
      </c>
      <c r="B4379" s="36" t="str">
        <f t="shared" si="523"/>
        <v/>
      </c>
      <c r="C4379" s="190"/>
      <c r="D4379" s="190"/>
      <c r="E4379" s="190"/>
      <c r="F4379" s="191"/>
      <c r="G4379" s="833"/>
      <c r="H4379" s="192"/>
      <c r="I4379" s="253"/>
      <c r="J4379" s="253"/>
      <c r="K4379" s="584"/>
      <c r="L4379" s="193"/>
      <c r="M4379" s="193"/>
      <c r="N4379" s="52" t="str">
        <f>IF(AND('331-CT'!$E$7=TH!H4379,OR(L4379="331",M4379="331")),"331",IF(AND(OR(L4379="131",M4379="131"),H4379='131-CT'!$E$7),"131",""))</f>
        <v/>
      </c>
      <c r="O4379" s="52" t="str">
        <f>IF(AND($B4379&gt;='111'!$N$11,$B4379&lt;='111'!$O$11,OR($L4379=$O$7,$M4379=$O$7)),"x","")</f>
        <v/>
      </c>
      <c r="P4379" s="52" t="str">
        <f>IF(AND($L4379=$O$7,$B4379&lt;'111'!$N$11),"x","")</f>
        <v/>
      </c>
      <c r="Q4379" s="52" t="str">
        <f>IF(AND($M4379=$O$7,$B4379&lt;'111'!$N$11),"x","")</f>
        <v/>
      </c>
      <c r="R4379" s="52" t="str">
        <f>IF(ISERROR(FIND('112'!$M$9,G4379,1)),"",IF((AND(FIND('112'!$M$9,G4379,1)&gt;=1,$B4379&gt;='112'!$N$8,$B4379&lt;='112'!$O$8,OR($L4379='112'!$I$6,$M4379='112'!$I$6))),"x",""))</f>
        <v/>
      </c>
      <c r="S4379" s="52" t="str">
        <f>IF(ISERROR(FIND('112'!$M$9,G4379,1)),"",IF((AND(LEFT(G4379,2)=LEFT('112'!$M$9,2),B4379&lt;'112'!$N$8,$L4379='112'!$I$6)),"x",""))</f>
        <v/>
      </c>
      <c r="T4379" s="52" t="str">
        <f>IF(ISERROR(FIND('112'!$M$9,G4379,1)),"",IF((AND(RIGHT(G4379,2)=RIGHT('112'!$M$9,2),B4379&lt;'112'!$N$8,$M4379='112'!$I$6)),"x",""))</f>
        <v/>
      </c>
      <c r="U4379" s="52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/>
      </c>
      <c r="V4379" s="52" t="str">
        <f>IF(OR(TH!L4379=TH!$V$7,M4379=TH!$V$7),"x","")</f>
        <v/>
      </c>
      <c r="W4379" s="52" t="str">
        <f>IF(AND(B4379&gt;='IN-NX'!$P$3,B4379&lt;='IN-NX'!$Q$3,'IN-NX'!$D$7=D4379,OR(LEFT(L4379,2)="15",AND(LEFT(M4379,2)&lt;&gt;"15",LEFT(M4379,2)&lt;&gt;"33"))),"x","")</f>
        <v/>
      </c>
      <c r="X4379" s="52" t="str">
        <f>IF(AND(OR(LEFT(TH!L4379,2)="15",LEFT(TH!M4379,2)="15"),'152-CT'!$J$8=TH!F4379),"x","")</f>
        <v/>
      </c>
      <c r="Y4379" s="52" t="str">
        <f>IF(AND(OR(LEFT(TH!L4379,2)="15",LEFT(TH!M4379,2)="15"),TK!$E$7=TH!F4379),"x","")</f>
        <v/>
      </c>
      <c r="Z4379" s="52" t="str">
        <f>IF(AND(B4379&lt;=NKC!$N$8,B4379&gt;=NKC!$M$8),"x","")</f>
        <v/>
      </c>
      <c r="AA4379" s="826"/>
    </row>
    <row r="4380" spans="1:27" ht="15.75" customHeight="1">
      <c r="A4380" s="827" t="str">
        <f>IF(B4380&lt;&gt;"",IF(AND(B4380&gt;=_TM1,B4380&lt;=_TM2,OR(TH!L4380="1111",TH!M4380="1111")),TH!D4380,""),"")</f>
        <v/>
      </c>
      <c r="B4380" s="36" t="str">
        <f t="shared" si="523"/>
        <v/>
      </c>
      <c r="C4380" s="190"/>
      <c r="D4380" s="190"/>
      <c r="E4380" s="190"/>
      <c r="F4380" s="191"/>
      <c r="G4380" s="833"/>
      <c r="H4380" s="192"/>
      <c r="I4380" s="253"/>
      <c r="J4380" s="253"/>
      <c r="K4380" s="584"/>
      <c r="L4380" s="193"/>
      <c r="M4380" s="193"/>
      <c r="N4380" s="52" t="str">
        <f>IF(AND('331-CT'!$E$7=TH!H4380,OR(L4380="331",M4380="331")),"331",IF(AND(OR(L4380="131",M4380="131"),H4380='131-CT'!$E$7),"131",""))</f>
        <v/>
      </c>
      <c r="O4380" s="52" t="str">
        <f>IF(AND($B4380&gt;='111'!$N$11,$B4380&lt;='111'!$O$11,OR($L4380=$O$7,$M4380=$O$7)),"x","")</f>
        <v/>
      </c>
      <c r="P4380" s="52" t="str">
        <f>IF(AND($L4380=$O$7,$B4380&lt;'111'!$N$11),"x","")</f>
        <v/>
      </c>
      <c r="Q4380" s="52" t="str">
        <f>IF(AND($M4380=$O$7,$B4380&lt;'111'!$N$11),"x","")</f>
        <v/>
      </c>
      <c r="R4380" s="52" t="str">
        <f>IF(ISERROR(FIND('112'!$M$9,G4380,1)),"",IF((AND(FIND('112'!$M$9,G4380,1)&gt;=1,$B4380&gt;='112'!$N$8,$B4380&lt;='112'!$O$8,OR($L4380='112'!$I$6,$M4380='112'!$I$6))),"x",""))</f>
        <v/>
      </c>
      <c r="S4380" s="52" t="str">
        <f>IF(ISERROR(FIND('112'!$M$9,G4380,1)),"",IF((AND(LEFT(G4380,2)=LEFT('112'!$M$9,2),B4380&lt;'112'!$N$8,$L4380='112'!$I$6)),"x",""))</f>
        <v/>
      </c>
      <c r="T4380" s="52" t="str">
        <f>IF(ISERROR(FIND('112'!$M$9,G4380,1)),"",IF((AND(RIGHT(G4380,2)=RIGHT('112'!$M$9,2),B4380&lt;'112'!$N$8,$M4380='112'!$I$6)),"x",""))</f>
        <v/>
      </c>
      <c r="U4380" s="52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/>
      </c>
      <c r="V4380" s="52" t="str">
        <f>IF(OR(TH!L4380=TH!$V$7,M4380=TH!$V$7),"x","")</f>
        <v/>
      </c>
      <c r="W4380" s="52" t="str">
        <f>IF(AND(B4380&gt;='IN-NX'!$P$3,B4380&lt;='IN-NX'!$Q$3,'IN-NX'!$D$7=D4380,OR(LEFT(L4380,2)="15",AND(LEFT(M4380,2)&lt;&gt;"15",LEFT(M4380,2)&lt;&gt;"33"))),"x","")</f>
        <v/>
      </c>
      <c r="X4380" s="52" t="str">
        <f>IF(AND(OR(LEFT(TH!L4380,2)="15",LEFT(TH!M4380,2)="15"),'152-CT'!$J$8=TH!F4380),"x","")</f>
        <v/>
      </c>
      <c r="Y4380" s="52" t="str">
        <f>IF(AND(OR(LEFT(TH!L4380,2)="15",LEFT(TH!M4380,2)="15"),TK!$E$7=TH!F4380),"x","")</f>
        <v/>
      </c>
      <c r="Z4380" s="52" t="str">
        <f>IF(AND(B4380&lt;=NKC!$N$8,B4380&gt;=NKC!$M$8),"x","")</f>
        <v/>
      </c>
      <c r="AA4380" s="826"/>
    </row>
    <row r="4381" spans="1:27" ht="15.75" customHeight="1">
      <c r="A4381" s="827" t="str">
        <f>IF(B4381&lt;&gt;"",IF(AND(B4381&gt;=_TM1,B4381&lt;=_TM2,OR(TH!L4381="1111",TH!M4381="1111")),TH!D4381,""),"")</f>
        <v/>
      </c>
      <c r="B4381" s="36" t="str">
        <f t="shared" si="523"/>
        <v/>
      </c>
      <c r="C4381" s="190"/>
      <c r="D4381" s="190"/>
      <c r="E4381" s="190"/>
      <c r="F4381" s="191"/>
      <c r="G4381" s="833"/>
      <c r="H4381" s="192"/>
      <c r="I4381" s="253"/>
      <c r="J4381" s="253"/>
      <c r="K4381" s="584"/>
      <c r="L4381" s="193"/>
      <c r="M4381" s="193"/>
      <c r="N4381" s="52" t="str">
        <f>IF(AND('331-CT'!$E$7=TH!H4381,OR(L4381="331",M4381="331")),"331",IF(AND(OR(L4381="131",M4381="131"),H4381='131-CT'!$E$7),"131",""))</f>
        <v/>
      </c>
      <c r="O4381" s="52" t="str">
        <f>IF(AND($B4381&gt;='111'!$N$11,$B4381&lt;='111'!$O$11,OR($L4381=$O$7,$M4381=$O$7)),"x","")</f>
        <v/>
      </c>
      <c r="P4381" s="52" t="str">
        <f>IF(AND($L4381=$O$7,$B4381&lt;'111'!$N$11),"x","")</f>
        <v/>
      </c>
      <c r="Q4381" s="52" t="str">
        <f>IF(AND($M4381=$O$7,$B4381&lt;'111'!$N$11),"x","")</f>
        <v/>
      </c>
      <c r="R4381" s="52" t="str">
        <f>IF(ISERROR(FIND('112'!$M$9,G4381,1)),"",IF((AND(FIND('112'!$M$9,G4381,1)&gt;=1,$B4381&gt;='112'!$N$8,$B4381&lt;='112'!$O$8,OR($L4381='112'!$I$6,$M4381='112'!$I$6))),"x",""))</f>
        <v/>
      </c>
      <c r="S4381" s="52" t="str">
        <f>IF(ISERROR(FIND('112'!$M$9,G4381,1)),"",IF((AND(LEFT(G4381,2)=LEFT('112'!$M$9,2),B4381&lt;'112'!$N$8,$L4381='112'!$I$6)),"x",""))</f>
        <v/>
      </c>
      <c r="T4381" s="52" t="str">
        <f>IF(ISERROR(FIND('112'!$M$9,G4381,1)),"",IF((AND(RIGHT(G4381,2)=RIGHT('112'!$M$9,2),B4381&lt;'112'!$N$8,$M4381='112'!$I$6)),"x",""))</f>
        <v/>
      </c>
      <c r="U4381" s="52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/>
      </c>
      <c r="V4381" s="52" t="str">
        <f>IF(OR(TH!L4381=TH!$V$7,M4381=TH!$V$7),"x","")</f>
        <v/>
      </c>
      <c r="W4381" s="52" t="str">
        <f>IF(AND(B4381&gt;='IN-NX'!$P$3,B4381&lt;='IN-NX'!$Q$3,'IN-NX'!$D$7=D4381,OR(LEFT(L4381,2)="15",AND(LEFT(M4381,2)&lt;&gt;"15",LEFT(M4381,2)&lt;&gt;"33"))),"x","")</f>
        <v/>
      </c>
      <c r="X4381" s="52" t="str">
        <f>IF(AND(OR(LEFT(TH!L4381,2)="15",LEFT(TH!M4381,2)="15"),'152-CT'!$J$8=TH!F4381),"x","")</f>
        <v/>
      </c>
      <c r="Y4381" s="52" t="str">
        <f>IF(AND(OR(LEFT(TH!L4381,2)="15",LEFT(TH!M4381,2)="15"),TK!$E$7=TH!F4381),"x","")</f>
        <v/>
      </c>
      <c r="Z4381" s="52" t="str">
        <f>IF(AND(B4381&lt;=NKC!$N$8,B4381&gt;=NKC!$M$8),"x","")</f>
        <v/>
      </c>
      <c r="AA4381" s="826"/>
    </row>
    <row r="4382" spans="1:27" ht="15.75" customHeight="1">
      <c r="A4382" s="827" t="str">
        <f>IF(B4382&lt;&gt;"",IF(AND(B4382&gt;=_TM1,B4382&lt;=_TM2,OR(TH!L4382="1111",TH!M4382="1111")),TH!D4382,""),"")</f>
        <v/>
      </c>
      <c r="B4382" s="36" t="str">
        <f t="shared" si="523"/>
        <v/>
      </c>
      <c r="C4382" s="190"/>
      <c r="D4382" s="190"/>
      <c r="E4382" s="190"/>
      <c r="F4382" s="191"/>
      <c r="G4382" s="833"/>
      <c r="H4382" s="192"/>
      <c r="I4382" s="253"/>
      <c r="J4382" s="253"/>
      <c r="K4382" s="584"/>
      <c r="L4382" s="193"/>
      <c r="M4382" s="193"/>
      <c r="N4382" s="52" t="str">
        <f>IF(AND('331-CT'!$E$7=TH!H4382,OR(L4382="331",M4382="331")),"331",IF(AND(OR(L4382="131",M4382="131"),H4382='131-CT'!$E$7),"131",""))</f>
        <v/>
      </c>
      <c r="O4382" s="52" t="str">
        <f>IF(AND($B4382&gt;='111'!$N$11,$B4382&lt;='111'!$O$11,OR($L4382=$O$7,$M4382=$O$7)),"x","")</f>
        <v/>
      </c>
      <c r="P4382" s="52" t="str">
        <f>IF(AND($L4382=$O$7,$B4382&lt;'111'!$N$11),"x","")</f>
        <v/>
      </c>
      <c r="Q4382" s="52" t="str">
        <f>IF(AND($M4382=$O$7,$B4382&lt;'111'!$N$11),"x","")</f>
        <v/>
      </c>
      <c r="R4382" s="52" t="str">
        <f>IF(ISERROR(FIND('112'!$M$9,G4382,1)),"",IF((AND(FIND('112'!$M$9,G4382,1)&gt;=1,$B4382&gt;='112'!$N$8,$B4382&lt;='112'!$O$8,OR($L4382='112'!$I$6,$M4382='112'!$I$6))),"x",""))</f>
        <v/>
      </c>
      <c r="S4382" s="52" t="str">
        <f>IF(ISERROR(FIND('112'!$M$9,G4382,1)),"",IF((AND(LEFT(G4382,2)=LEFT('112'!$M$9,2),B4382&lt;'112'!$N$8,$L4382='112'!$I$6)),"x",""))</f>
        <v/>
      </c>
      <c r="T4382" s="52" t="str">
        <f>IF(ISERROR(FIND('112'!$M$9,G4382,1)),"",IF((AND(RIGHT(G4382,2)=RIGHT('112'!$M$9,2),B4382&lt;'112'!$N$8,$M4382='112'!$I$6)),"x",""))</f>
        <v/>
      </c>
      <c r="U4382" s="52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/>
      </c>
      <c r="V4382" s="52" t="str">
        <f>IF(OR(TH!L4382=TH!$V$7,M4382=TH!$V$7),"x","")</f>
        <v/>
      </c>
      <c r="W4382" s="52" t="str">
        <f>IF(AND(B4382&gt;='IN-NX'!$P$3,B4382&lt;='IN-NX'!$Q$3,'IN-NX'!$D$7=D4382,OR(LEFT(L4382,2)="15",AND(LEFT(M4382,2)&lt;&gt;"15",LEFT(M4382,2)&lt;&gt;"33"))),"x","")</f>
        <v/>
      </c>
      <c r="X4382" s="52" t="str">
        <f>IF(AND(OR(LEFT(TH!L4382,2)="15",LEFT(TH!M4382,2)="15"),'152-CT'!$J$8=TH!F4382),"x","")</f>
        <v/>
      </c>
      <c r="Y4382" s="52" t="str">
        <f>IF(AND(OR(LEFT(TH!L4382,2)="15",LEFT(TH!M4382,2)="15"),TK!$E$7=TH!F4382),"x","")</f>
        <v/>
      </c>
      <c r="Z4382" s="52" t="str">
        <f>IF(AND(B4382&lt;=NKC!$N$8,B4382&gt;=NKC!$M$8),"x","")</f>
        <v/>
      </c>
      <c r="AA4382" s="826"/>
    </row>
    <row r="4383" spans="1:27" ht="15.75" customHeight="1">
      <c r="A4383" s="827" t="str">
        <f>IF(B4383&lt;&gt;"",IF(AND(B4383&gt;=_TM1,B4383&lt;=_TM2,OR(TH!L4383="1111",TH!M4383="1111")),TH!D4383,""),"")</f>
        <v/>
      </c>
      <c r="B4383" s="36" t="str">
        <f t="shared" si="523"/>
        <v/>
      </c>
      <c r="C4383" s="190"/>
      <c r="D4383" s="190"/>
      <c r="E4383" s="190"/>
      <c r="F4383" s="191"/>
      <c r="G4383" s="833"/>
      <c r="H4383" s="192"/>
      <c r="I4383" s="253"/>
      <c r="J4383" s="253"/>
      <c r="K4383" s="584"/>
      <c r="L4383" s="193"/>
      <c r="M4383" s="193"/>
      <c r="N4383" s="52" t="str">
        <f>IF(AND('331-CT'!$E$7=TH!H4383,OR(L4383="331",M4383="331")),"331",IF(AND(OR(L4383="131",M4383="131"),H4383='131-CT'!$E$7),"131",""))</f>
        <v/>
      </c>
      <c r="O4383" s="52" t="str">
        <f>IF(AND($B4383&gt;='111'!$N$11,$B4383&lt;='111'!$O$11,OR($L4383=$O$7,$M4383=$O$7)),"x","")</f>
        <v/>
      </c>
      <c r="P4383" s="52" t="str">
        <f>IF(AND($L4383=$O$7,$B4383&lt;'111'!$N$11),"x","")</f>
        <v/>
      </c>
      <c r="Q4383" s="52" t="str">
        <f>IF(AND($M4383=$O$7,$B4383&lt;'111'!$N$11),"x","")</f>
        <v/>
      </c>
      <c r="R4383" s="52" t="str">
        <f>IF(ISERROR(FIND('112'!$M$9,G4383,1)),"",IF((AND(FIND('112'!$M$9,G4383,1)&gt;=1,$B4383&gt;='112'!$N$8,$B4383&lt;='112'!$O$8,OR($L4383='112'!$I$6,$M4383='112'!$I$6))),"x",""))</f>
        <v/>
      </c>
      <c r="S4383" s="52" t="str">
        <f>IF(ISERROR(FIND('112'!$M$9,G4383,1)),"",IF((AND(LEFT(G4383,2)=LEFT('112'!$M$9,2),B4383&lt;'112'!$N$8,$L4383='112'!$I$6)),"x",""))</f>
        <v/>
      </c>
      <c r="T4383" s="52" t="str">
        <f>IF(ISERROR(FIND('112'!$M$9,G4383,1)),"",IF((AND(RIGHT(G4383,2)=RIGHT('112'!$M$9,2),B4383&lt;'112'!$N$8,$M4383='112'!$I$6)),"x",""))</f>
        <v/>
      </c>
      <c r="U4383" s="52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/>
      </c>
      <c r="V4383" s="52" t="str">
        <f>IF(OR(TH!L4383=TH!$V$7,M4383=TH!$V$7),"x","")</f>
        <v/>
      </c>
      <c r="W4383" s="52" t="str">
        <f>IF(AND(B4383&gt;='IN-NX'!$P$3,B4383&lt;='IN-NX'!$Q$3,'IN-NX'!$D$7=D4383,OR(LEFT(L4383,2)="15",AND(LEFT(M4383,2)&lt;&gt;"15",LEFT(M4383,2)&lt;&gt;"33"))),"x","")</f>
        <v/>
      </c>
      <c r="X4383" s="52" t="str">
        <f>IF(AND(OR(LEFT(TH!L4383,2)="15",LEFT(TH!M4383,2)="15"),'152-CT'!$J$8=TH!F4383),"x","")</f>
        <v/>
      </c>
      <c r="Y4383" s="52" t="str">
        <f>IF(AND(OR(LEFT(TH!L4383,2)="15",LEFT(TH!M4383,2)="15"),TK!$E$7=TH!F4383),"x","")</f>
        <v/>
      </c>
      <c r="Z4383" s="52" t="str">
        <f>IF(AND(B4383&lt;=NKC!$N$8,B4383&gt;=NKC!$M$8),"x","")</f>
        <v/>
      </c>
      <c r="AA4383" s="826"/>
    </row>
    <row r="4384" spans="1:27" ht="15.75" customHeight="1">
      <c r="A4384" s="827" t="str">
        <f>IF(B4384&lt;&gt;"",IF(AND(B4384&gt;=_TM1,B4384&lt;=_TM2,OR(TH!L4384="1111",TH!M4384="1111")),TH!D4384,""),"")</f>
        <v/>
      </c>
      <c r="B4384" s="36" t="str">
        <f t="shared" si="523"/>
        <v/>
      </c>
      <c r="C4384" s="190"/>
      <c r="D4384" s="190"/>
      <c r="E4384" s="190"/>
      <c r="F4384" s="191"/>
      <c r="G4384" s="833"/>
      <c r="H4384" s="192"/>
      <c r="I4384" s="253"/>
      <c r="J4384" s="253"/>
      <c r="K4384" s="584"/>
      <c r="L4384" s="193"/>
      <c r="M4384" s="193"/>
      <c r="N4384" s="52" t="str">
        <f>IF(AND('331-CT'!$E$7=TH!H4384,OR(L4384="331",M4384="331")),"331",IF(AND(OR(L4384="131",M4384="131"),H4384='131-CT'!$E$7),"131",""))</f>
        <v/>
      </c>
      <c r="O4384" s="52" t="str">
        <f>IF(AND($B4384&gt;='111'!$N$11,$B4384&lt;='111'!$O$11,OR($L4384=$O$7,$M4384=$O$7)),"x","")</f>
        <v/>
      </c>
      <c r="P4384" s="52" t="str">
        <f>IF(AND($L4384=$O$7,$B4384&lt;'111'!$N$11),"x","")</f>
        <v/>
      </c>
      <c r="Q4384" s="52" t="str">
        <f>IF(AND($M4384=$O$7,$B4384&lt;'111'!$N$11),"x","")</f>
        <v/>
      </c>
      <c r="R4384" s="52" t="str">
        <f>IF(ISERROR(FIND('112'!$M$9,G4384,1)),"",IF((AND(FIND('112'!$M$9,G4384,1)&gt;=1,$B4384&gt;='112'!$N$8,$B4384&lt;='112'!$O$8,OR($L4384='112'!$I$6,$M4384='112'!$I$6))),"x",""))</f>
        <v/>
      </c>
      <c r="S4384" s="52" t="str">
        <f>IF(ISERROR(FIND('112'!$M$9,G4384,1)),"",IF((AND(LEFT(G4384,2)=LEFT('112'!$M$9,2),B4384&lt;'112'!$N$8,$L4384='112'!$I$6)),"x",""))</f>
        <v/>
      </c>
      <c r="T4384" s="52" t="str">
        <f>IF(ISERROR(FIND('112'!$M$9,G4384,1)),"",IF((AND(RIGHT(G4384,2)=RIGHT('112'!$M$9,2),B4384&lt;'112'!$N$8,$M4384='112'!$I$6)),"x",""))</f>
        <v/>
      </c>
      <c r="U4384" s="52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/>
      </c>
      <c r="V4384" s="52" t="str">
        <f>IF(OR(TH!L4384=TH!$V$7,M4384=TH!$V$7),"x","")</f>
        <v/>
      </c>
      <c r="W4384" s="52" t="str">
        <f>IF(AND(B4384&gt;='IN-NX'!$P$3,B4384&lt;='IN-NX'!$Q$3,'IN-NX'!$D$7=D4384,OR(LEFT(L4384,2)="15",AND(LEFT(M4384,2)&lt;&gt;"15",LEFT(M4384,2)&lt;&gt;"33"))),"x","")</f>
        <v/>
      </c>
      <c r="X4384" s="52" t="str">
        <f>IF(AND(OR(LEFT(TH!L4384,2)="15",LEFT(TH!M4384,2)="15"),'152-CT'!$J$8=TH!F4384),"x","")</f>
        <v/>
      </c>
      <c r="Y4384" s="52" t="str">
        <f>IF(AND(OR(LEFT(TH!L4384,2)="15",LEFT(TH!M4384,2)="15"),TK!$E$7=TH!F4384),"x","")</f>
        <v/>
      </c>
      <c r="Z4384" s="52" t="str">
        <f>IF(AND(B4384&lt;=NKC!$N$8,B4384&gt;=NKC!$M$8),"x","")</f>
        <v/>
      </c>
      <c r="AA4384" s="826"/>
    </row>
    <row r="4385" spans="1:27" ht="15.75" customHeight="1">
      <c r="A4385" s="827" t="str">
        <f>IF(B4385&lt;&gt;"",IF(AND(B4385&gt;=_TM1,B4385&lt;=_TM2,OR(TH!L4385="1111",TH!M4385="1111")),TH!D4385,""),"")</f>
        <v/>
      </c>
      <c r="B4385" s="36" t="str">
        <f t="shared" si="523"/>
        <v/>
      </c>
      <c r="C4385" s="190"/>
      <c r="D4385" s="190"/>
      <c r="E4385" s="190"/>
      <c r="F4385" s="191"/>
      <c r="G4385" s="833"/>
      <c r="H4385" s="192"/>
      <c r="I4385" s="253"/>
      <c r="J4385" s="253"/>
      <c r="K4385" s="584"/>
      <c r="L4385" s="193"/>
      <c r="M4385" s="193"/>
      <c r="N4385" s="52" t="str">
        <f>IF(AND('331-CT'!$E$7=TH!H4385,OR(L4385="331",M4385="331")),"331",IF(AND(OR(L4385="131",M4385="131"),H4385='131-CT'!$E$7),"131",""))</f>
        <v/>
      </c>
      <c r="O4385" s="52" t="str">
        <f>IF(AND($B4385&gt;='111'!$N$11,$B4385&lt;='111'!$O$11,OR($L4385=$O$7,$M4385=$O$7)),"x","")</f>
        <v/>
      </c>
      <c r="P4385" s="52" t="str">
        <f>IF(AND($L4385=$O$7,$B4385&lt;'111'!$N$11),"x","")</f>
        <v/>
      </c>
      <c r="Q4385" s="52" t="str">
        <f>IF(AND($M4385=$O$7,$B4385&lt;'111'!$N$11),"x","")</f>
        <v/>
      </c>
      <c r="R4385" s="52" t="str">
        <f>IF(ISERROR(FIND('112'!$M$9,G4385,1)),"",IF((AND(FIND('112'!$M$9,G4385,1)&gt;=1,$B4385&gt;='112'!$N$8,$B4385&lt;='112'!$O$8,OR($L4385='112'!$I$6,$M4385='112'!$I$6))),"x",""))</f>
        <v/>
      </c>
      <c r="S4385" s="52" t="str">
        <f>IF(ISERROR(FIND('112'!$M$9,G4385,1)),"",IF((AND(LEFT(G4385,2)=LEFT('112'!$M$9,2),B4385&lt;'112'!$N$8,$L4385='112'!$I$6)),"x",""))</f>
        <v/>
      </c>
      <c r="T4385" s="52" t="str">
        <f>IF(ISERROR(FIND('112'!$M$9,G4385,1)),"",IF((AND(RIGHT(G4385,2)=RIGHT('112'!$M$9,2),B4385&lt;'112'!$N$8,$M4385='112'!$I$6)),"x",""))</f>
        <v/>
      </c>
      <c r="U4385" s="52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/>
      </c>
      <c r="V4385" s="52" t="str">
        <f>IF(OR(TH!L4385=TH!$V$7,M4385=TH!$V$7),"x","")</f>
        <v/>
      </c>
      <c r="W4385" s="52" t="str">
        <f>IF(AND(B4385&gt;='IN-NX'!$P$3,B4385&lt;='IN-NX'!$Q$3,'IN-NX'!$D$7=D4385,OR(LEFT(L4385,2)="15",AND(LEFT(M4385,2)&lt;&gt;"15",LEFT(M4385,2)&lt;&gt;"33"))),"x","")</f>
        <v/>
      </c>
      <c r="X4385" s="52" t="str">
        <f>IF(AND(OR(LEFT(TH!L4385,2)="15",LEFT(TH!M4385,2)="15"),'152-CT'!$J$8=TH!F4385),"x","")</f>
        <v/>
      </c>
      <c r="Y4385" s="52" t="str">
        <f>IF(AND(OR(LEFT(TH!L4385,2)="15",LEFT(TH!M4385,2)="15"),TK!$E$7=TH!F4385),"x","")</f>
        <v/>
      </c>
      <c r="Z4385" s="52" t="str">
        <f>IF(AND(B4385&lt;=NKC!$N$8,B4385&gt;=NKC!$M$8),"x","")</f>
        <v/>
      </c>
      <c r="AA4385" s="826"/>
    </row>
    <row r="4386" spans="1:27" ht="15.75" customHeight="1">
      <c r="A4386" s="827" t="str">
        <f>IF(B4386&lt;&gt;"",IF(AND(B4386&gt;=_TM1,B4386&lt;=_TM2,OR(TH!L4386="1111",TH!M4386="1111")),TH!D4386,""),"")</f>
        <v/>
      </c>
      <c r="B4386" s="36" t="str">
        <f t="shared" si="523"/>
        <v/>
      </c>
      <c r="C4386" s="190"/>
      <c r="D4386" s="190"/>
      <c r="E4386" s="190"/>
      <c r="F4386" s="191"/>
      <c r="G4386" s="833"/>
      <c r="H4386" s="192"/>
      <c r="I4386" s="253"/>
      <c r="J4386" s="253"/>
      <c r="K4386" s="584"/>
      <c r="L4386" s="193"/>
      <c r="M4386" s="193"/>
      <c r="N4386" s="52" t="str">
        <f>IF(AND('331-CT'!$E$7=TH!H4386,OR(L4386="331",M4386="331")),"331",IF(AND(OR(L4386="131",M4386="131"),H4386='131-CT'!$E$7),"131",""))</f>
        <v/>
      </c>
      <c r="O4386" s="52" t="str">
        <f>IF(AND($B4386&gt;='111'!$N$11,$B4386&lt;='111'!$O$11,OR($L4386=$O$7,$M4386=$O$7)),"x","")</f>
        <v/>
      </c>
      <c r="P4386" s="52" t="str">
        <f>IF(AND($L4386=$O$7,$B4386&lt;'111'!$N$11),"x","")</f>
        <v/>
      </c>
      <c r="Q4386" s="52" t="str">
        <f>IF(AND($M4386=$O$7,$B4386&lt;'111'!$N$11),"x","")</f>
        <v/>
      </c>
      <c r="R4386" s="52" t="str">
        <f>IF(ISERROR(FIND('112'!$M$9,G4386,1)),"",IF((AND(FIND('112'!$M$9,G4386,1)&gt;=1,$B4386&gt;='112'!$N$8,$B4386&lt;='112'!$O$8,OR($L4386='112'!$I$6,$M4386='112'!$I$6))),"x",""))</f>
        <v/>
      </c>
      <c r="S4386" s="52" t="str">
        <f>IF(ISERROR(FIND('112'!$M$9,G4386,1)),"",IF((AND(LEFT(G4386,2)=LEFT('112'!$M$9,2),B4386&lt;'112'!$N$8,$L4386='112'!$I$6)),"x",""))</f>
        <v/>
      </c>
      <c r="T4386" s="52" t="str">
        <f>IF(ISERROR(FIND('112'!$M$9,G4386,1)),"",IF((AND(RIGHT(G4386,2)=RIGHT('112'!$M$9,2),B4386&lt;'112'!$N$8,$M4386='112'!$I$6)),"x",""))</f>
        <v/>
      </c>
      <c r="U4386" s="52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/>
      </c>
      <c r="V4386" s="52" t="str">
        <f>IF(OR(TH!L4386=TH!$V$7,M4386=TH!$V$7),"x","")</f>
        <v/>
      </c>
      <c r="W4386" s="52" t="str">
        <f>IF(AND(B4386&gt;='IN-NX'!$P$3,B4386&lt;='IN-NX'!$Q$3,'IN-NX'!$D$7=D4386,OR(LEFT(L4386,2)="15",AND(LEFT(M4386,2)&lt;&gt;"15",LEFT(M4386,2)&lt;&gt;"33"))),"x","")</f>
        <v/>
      </c>
      <c r="X4386" s="52" t="str">
        <f>IF(AND(OR(LEFT(TH!L4386,2)="15",LEFT(TH!M4386,2)="15"),'152-CT'!$J$8=TH!F4386),"x","")</f>
        <v/>
      </c>
      <c r="Y4386" s="52" t="str">
        <f>IF(AND(OR(LEFT(TH!L4386,2)="15",LEFT(TH!M4386,2)="15"),TK!$E$7=TH!F4386),"x","")</f>
        <v/>
      </c>
      <c r="Z4386" s="52" t="str">
        <f>IF(AND(B4386&lt;=NKC!$N$8,B4386&gt;=NKC!$M$8),"x","")</f>
        <v/>
      </c>
      <c r="AA4386" s="826"/>
    </row>
    <row r="4387" spans="1:27" ht="15.75" customHeight="1">
      <c r="A4387" s="827" t="str">
        <f>IF(B4387&lt;&gt;"",IF(AND(B4387&gt;=_TM1,B4387&lt;=_TM2,OR(TH!L4387="1111",TH!M4387="1111")),TH!D4387,""),"")</f>
        <v/>
      </c>
      <c r="B4387" s="36" t="str">
        <f t="shared" si="523"/>
        <v/>
      </c>
      <c r="C4387" s="190"/>
      <c r="D4387" s="190"/>
      <c r="E4387" s="190"/>
      <c r="F4387" s="191"/>
      <c r="G4387" s="833"/>
      <c r="H4387" s="192"/>
      <c r="I4387" s="253"/>
      <c r="J4387" s="253"/>
      <c r="K4387" s="584"/>
      <c r="L4387" s="193"/>
      <c r="M4387" s="193"/>
      <c r="N4387" s="52" t="str">
        <f>IF(AND('331-CT'!$E$7=TH!H4387,OR(L4387="331",M4387="331")),"331",IF(AND(OR(L4387="131",M4387="131"),H4387='131-CT'!$E$7),"131",""))</f>
        <v/>
      </c>
      <c r="O4387" s="52" t="str">
        <f>IF(AND($B4387&gt;='111'!$N$11,$B4387&lt;='111'!$O$11,OR($L4387=$O$7,$M4387=$O$7)),"x","")</f>
        <v/>
      </c>
      <c r="P4387" s="52" t="str">
        <f>IF(AND($L4387=$O$7,$B4387&lt;'111'!$N$11),"x","")</f>
        <v/>
      </c>
      <c r="Q4387" s="52" t="str">
        <f>IF(AND($M4387=$O$7,$B4387&lt;'111'!$N$11),"x","")</f>
        <v/>
      </c>
      <c r="R4387" s="52" t="str">
        <f>IF(ISERROR(FIND('112'!$M$9,G4387,1)),"",IF((AND(FIND('112'!$M$9,G4387,1)&gt;=1,$B4387&gt;='112'!$N$8,$B4387&lt;='112'!$O$8,OR($L4387='112'!$I$6,$M4387='112'!$I$6))),"x",""))</f>
        <v/>
      </c>
      <c r="S4387" s="52" t="str">
        <f>IF(ISERROR(FIND('112'!$M$9,G4387,1)),"",IF((AND(LEFT(G4387,2)=LEFT('112'!$M$9,2),B4387&lt;'112'!$N$8,$L4387='112'!$I$6)),"x",""))</f>
        <v/>
      </c>
      <c r="T4387" s="52" t="str">
        <f>IF(ISERROR(FIND('112'!$M$9,G4387,1)),"",IF((AND(RIGHT(G4387,2)=RIGHT('112'!$M$9,2),B4387&lt;'112'!$N$8,$M4387='112'!$I$6)),"x",""))</f>
        <v/>
      </c>
      <c r="U4387" s="52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/>
      </c>
      <c r="V4387" s="52" t="str">
        <f>IF(OR(TH!L4387=TH!$V$7,M4387=TH!$V$7),"x","")</f>
        <v/>
      </c>
      <c r="W4387" s="52" t="str">
        <f>IF(AND(B4387&gt;='IN-NX'!$P$3,B4387&lt;='IN-NX'!$Q$3,'IN-NX'!$D$7=D4387,OR(LEFT(L4387,2)="15",AND(LEFT(M4387,2)&lt;&gt;"15",LEFT(M4387,2)&lt;&gt;"33"))),"x","")</f>
        <v/>
      </c>
      <c r="X4387" s="52" t="str">
        <f>IF(AND(OR(LEFT(TH!L4387,2)="15",LEFT(TH!M4387,2)="15"),'152-CT'!$J$8=TH!F4387),"x","")</f>
        <v/>
      </c>
      <c r="Y4387" s="52" t="str">
        <f>IF(AND(OR(LEFT(TH!L4387,2)="15",LEFT(TH!M4387,2)="15"),TK!$E$7=TH!F4387),"x","")</f>
        <v/>
      </c>
      <c r="Z4387" s="52" t="str">
        <f>IF(AND(B4387&lt;=NKC!$N$8,B4387&gt;=NKC!$M$8),"x","")</f>
        <v/>
      </c>
      <c r="AA4387" s="826"/>
    </row>
    <row r="4388" spans="1:27" ht="15.75" customHeight="1">
      <c r="A4388" s="827" t="str">
        <f>IF(B4388&lt;&gt;"",IF(AND(B4388&gt;=_TM1,B4388&lt;=_TM2,OR(TH!L4388="1111",TH!M4388="1111")),TH!D4388,""),"")</f>
        <v/>
      </c>
      <c r="B4388" s="36" t="str">
        <f t="shared" si="523"/>
        <v/>
      </c>
      <c r="C4388" s="190"/>
      <c r="D4388" s="190"/>
      <c r="E4388" s="190"/>
      <c r="F4388" s="191"/>
      <c r="G4388" s="833"/>
      <c r="H4388" s="192"/>
      <c r="I4388" s="253"/>
      <c r="J4388" s="253"/>
      <c r="K4388" s="584"/>
      <c r="L4388" s="193"/>
      <c r="M4388" s="193"/>
      <c r="N4388" s="52" t="str">
        <f>IF(AND('331-CT'!$E$7=TH!H4388,OR(L4388="331",M4388="331")),"331",IF(AND(OR(L4388="131",M4388="131"),H4388='131-CT'!$E$7),"131",""))</f>
        <v/>
      </c>
      <c r="O4388" s="52" t="str">
        <f>IF(AND($B4388&gt;='111'!$N$11,$B4388&lt;='111'!$O$11,OR($L4388=$O$7,$M4388=$O$7)),"x","")</f>
        <v/>
      </c>
      <c r="P4388" s="52" t="str">
        <f>IF(AND($L4388=$O$7,$B4388&lt;'111'!$N$11),"x","")</f>
        <v/>
      </c>
      <c r="Q4388" s="52" t="str">
        <f>IF(AND($M4388=$O$7,$B4388&lt;'111'!$N$11),"x","")</f>
        <v/>
      </c>
      <c r="R4388" s="52" t="str">
        <f>IF(ISERROR(FIND('112'!$M$9,G4388,1)),"",IF((AND(FIND('112'!$M$9,G4388,1)&gt;=1,$B4388&gt;='112'!$N$8,$B4388&lt;='112'!$O$8,OR($L4388='112'!$I$6,$M4388='112'!$I$6))),"x",""))</f>
        <v/>
      </c>
      <c r="S4388" s="52" t="str">
        <f>IF(ISERROR(FIND('112'!$M$9,G4388,1)),"",IF((AND(LEFT(G4388,2)=LEFT('112'!$M$9,2),B4388&lt;'112'!$N$8,$L4388='112'!$I$6)),"x",""))</f>
        <v/>
      </c>
      <c r="T4388" s="52" t="str">
        <f>IF(ISERROR(FIND('112'!$M$9,G4388,1)),"",IF((AND(RIGHT(G4388,2)=RIGHT('112'!$M$9,2),B4388&lt;'112'!$N$8,$M4388='112'!$I$6)),"x",""))</f>
        <v/>
      </c>
      <c r="U4388" s="52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/>
      </c>
      <c r="V4388" s="52" t="str">
        <f>IF(OR(TH!L4388=TH!$V$7,M4388=TH!$V$7),"x","")</f>
        <v/>
      </c>
      <c r="W4388" s="52" t="str">
        <f>IF(AND(B4388&gt;='IN-NX'!$P$3,B4388&lt;='IN-NX'!$Q$3,'IN-NX'!$D$7=D4388,OR(LEFT(L4388,2)="15",AND(LEFT(M4388,2)&lt;&gt;"15",LEFT(M4388,2)&lt;&gt;"33"))),"x","")</f>
        <v/>
      </c>
      <c r="X4388" s="52" t="str">
        <f>IF(AND(OR(LEFT(TH!L4388,2)="15",LEFT(TH!M4388,2)="15"),'152-CT'!$J$8=TH!F4388),"x","")</f>
        <v/>
      </c>
      <c r="Y4388" s="52" t="str">
        <f>IF(AND(OR(LEFT(TH!L4388,2)="15",LEFT(TH!M4388,2)="15"),TK!$E$7=TH!F4388),"x","")</f>
        <v/>
      </c>
      <c r="Z4388" s="52" t="str">
        <f>IF(AND(B4388&lt;=NKC!$N$8,B4388&gt;=NKC!$M$8),"x","")</f>
        <v/>
      </c>
      <c r="AA4388" s="826"/>
    </row>
    <row r="4389" spans="1:27" ht="15.75" customHeight="1">
      <c r="A4389" s="827" t="str">
        <f>IF(B4389&lt;&gt;"",IF(AND(B4389&gt;=_TM1,B4389&lt;=_TM2,OR(TH!L4389="1111",TH!M4389="1111")),TH!D4389,""),"")</f>
        <v/>
      </c>
      <c r="B4389" s="36" t="str">
        <f t="shared" si="523"/>
        <v/>
      </c>
      <c r="C4389" s="190"/>
      <c r="D4389" s="190"/>
      <c r="E4389" s="190"/>
      <c r="F4389" s="191"/>
      <c r="G4389" s="833"/>
      <c r="H4389" s="192"/>
      <c r="I4389" s="253"/>
      <c r="J4389" s="253"/>
      <c r="K4389" s="584"/>
      <c r="L4389" s="193"/>
      <c r="M4389" s="193"/>
      <c r="N4389" s="52" t="str">
        <f>IF(AND('331-CT'!$E$7=TH!H4389,OR(L4389="331",M4389="331")),"331",IF(AND(OR(L4389="131",M4389="131"),H4389='131-CT'!$E$7),"131",""))</f>
        <v/>
      </c>
      <c r="O4389" s="52" t="str">
        <f>IF(AND($B4389&gt;='111'!$N$11,$B4389&lt;='111'!$O$11,OR($L4389=$O$7,$M4389=$O$7)),"x","")</f>
        <v/>
      </c>
      <c r="P4389" s="52" t="str">
        <f>IF(AND($L4389=$O$7,$B4389&lt;'111'!$N$11),"x","")</f>
        <v/>
      </c>
      <c r="Q4389" s="52" t="str">
        <f>IF(AND($M4389=$O$7,$B4389&lt;'111'!$N$11),"x","")</f>
        <v/>
      </c>
      <c r="R4389" s="52" t="str">
        <f>IF(ISERROR(FIND('112'!$M$9,G4389,1)),"",IF((AND(FIND('112'!$M$9,G4389,1)&gt;=1,$B4389&gt;='112'!$N$8,$B4389&lt;='112'!$O$8,OR($L4389='112'!$I$6,$M4389='112'!$I$6))),"x",""))</f>
        <v/>
      </c>
      <c r="S4389" s="52" t="str">
        <f>IF(ISERROR(FIND('112'!$M$9,G4389,1)),"",IF((AND(LEFT(G4389,2)=LEFT('112'!$M$9,2),B4389&lt;'112'!$N$8,$L4389='112'!$I$6)),"x",""))</f>
        <v/>
      </c>
      <c r="T4389" s="52" t="str">
        <f>IF(ISERROR(FIND('112'!$M$9,G4389,1)),"",IF((AND(RIGHT(G4389,2)=RIGHT('112'!$M$9,2),B4389&lt;'112'!$N$8,$M4389='112'!$I$6)),"x",""))</f>
        <v/>
      </c>
      <c r="U4389" s="52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/>
      </c>
      <c r="V4389" s="52" t="str">
        <f>IF(OR(TH!L4389=TH!$V$7,M4389=TH!$V$7),"x","")</f>
        <v/>
      </c>
      <c r="W4389" s="52" t="str">
        <f>IF(AND(B4389&gt;='IN-NX'!$P$3,B4389&lt;='IN-NX'!$Q$3,'IN-NX'!$D$7=D4389,OR(LEFT(L4389,2)="15",AND(LEFT(M4389,2)&lt;&gt;"15",LEFT(M4389,2)&lt;&gt;"33"))),"x","")</f>
        <v/>
      </c>
      <c r="X4389" s="52" t="str">
        <f>IF(AND(OR(LEFT(TH!L4389,2)="15",LEFT(TH!M4389,2)="15"),'152-CT'!$J$8=TH!F4389),"x","")</f>
        <v/>
      </c>
      <c r="Y4389" s="52" t="str">
        <f>IF(AND(OR(LEFT(TH!L4389,2)="15",LEFT(TH!M4389,2)="15"),TK!$E$7=TH!F4389),"x","")</f>
        <v/>
      </c>
      <c r="Z4389" s="52" t="str">
        <f>IF(AND(B4389&lt;=NKC!$N$8,B4389&gt;=NKC!$M$8),"x","")</f>
        <v/>
      </c>
      <c r="AA4389" s="826"/>
    </row>
    <row r="4390" spans="1:27" ht="15.75" customHeight="1">
      <c r="A4390" s="827" t="str">
        <f>IF(B4390&lt;&gt;"",IF(AND(B4390&gt;=_TM1,B4390&lt;=_TM2,OR(TH!L4390="1111",TH!M4390="1111")),TH!D4390,""),"")</f>
        <v/>
      </c>
      <c r="B4390" s="36" t="str">
        <f t="shared" si="523"/>
        <v/>
      </c>
      <c r="C4390" s="190"/>
      <c r="D4390" s="190"/>
      <c r="E4390" s="190"/>
      <c r="F4390" s="191"/>
      <c r="G4390" s="833"/>
      <c r="H4390" s="192"/>
      <c r="I4390" s="253"/>
      <c r="J4390" s="253"/>
      <c r="K4390" s="584"/>
      <c r="L4390" s="193"/>
      <c r="M4390" s="193"/>
      <c r="N4390" s="52" t="str">
        <f>IF(AND('331-CT'!$E$7=TH!H4390,OR(L4390="331",M4390="331")),"331",IF(AND(OR(L4390="131",M4390="131"),H4390='131-CT'!$E$7),"131",""))</f>
        <v/>
      </c>
      <c r="O4390" s="52" t="str">
        <f>IF(AND($B4390&gt;='111'!$N$11,$B4390&lt;='111'!$O$11,OR($L4390=$O$7,$M4390=$O$7)),"x","")</f>
        <v/>
      </c>
      <c r="P4390" s="52" t="str">
        <f>IF(AND($L4390=$O$7,$B4390&lt;'111'!$N$11),"x","")</f>
        <v/>
      </c>
      <c r="Q4390" s="52" t="str">
        <f>IF(AND($M4390=$O$7,$B4390&lt;'111'!$N$11),"x","")</f>
        <v/>
      </c>
      <c r="R4390" s="52" t="str">
        <f>IF(ISERROR(FIND('112'!$M$9,G4390,1)),"",IF((AND(FIND('112'!$M$9,G4390,1)&gt;=1,$B4390&gt;='112'!$N$8,$B4390&lt;='112'!$O$8,OR($L4390='112'!$I$6,$M4390='112'!$I$6))),"x",""))</f>
        <v/>
      </c>
      <c r="S4390" s="52" t="str">
        <f>IF(ISERROR(FIND('112'!$M$9,G4390,1)),"",IF((AND(LEFT(G4390,2)=LEFT('112'!$M$9,2),B4390&lt;'112'!$N$8,$L4390='112'!$I$6)),"x",""))</f>
        <v/>
      </c>
      <c r="T4390" s="52" t="str">
        <f>IF(ISERROR(FIND('112'!$M$9,G4390,1)),"",IF((AND(RIGHT(G4390,2)=RIGHT('112'!$M$9,2),B4390&lt;'112'!$N$8,$M4390='112'!$I$6)),"x",""))</f>
        <v/>
      </c>
      <c r="U4390" s="52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/>
      </c>
      <c r="V4390" s="52" t="str">
        <f>IF(OR(TH!L4390=TH!$V$7,M4390=TH!$V$7),"x","")</f>
        <v/>
      </c>
      <c r="W4390" s="52" t="str">
        <f>IF(AND(B4390&gt;='IN-NX'!$P$3,B4390&lt;='IN-NX'!$Q$3,'IN-NX'!$D$7=D4390,OR(LEFT(L4390,2)="15",AND(LEFT(M4390,2)&lt;&gt;"15",LEFT(M4390,2)&lt;&gt;"33"))),"x","")</f>
        <v/>
      </c>
      <c r="X4390" s="52" t="str">
        <f>IF(AND(OR(LEFT(TH!L4390,2)="15",LEFT(TH!M4390,2)="15"),'152-CT'!$J$8=TH!F4390),"x","")</f>
        <v/>
      </c>
      <c r="Y4390" s="52" t="str">
        <f>IF(AND(OR(LEFT(TH!L4390,2)="15",LEFT(TH!M4390,2)="15"),TK!$E$7=TH!F4390),"x","")</f>
        <v/>
      </c>
      <c r="Z4390" s="52" t="str">
        <f>IF(AND(B4390&lt;=NKC!$N$8,B4390&gt;=NKC!$M$8),"x","")</f>
        <v/>
      </c>
      <c r="AA4390" s="826"/>
    </row>
    <row r="4391" spans="1:27" ht="15.75" customHeight="1">
      <c r="A4391" s="827" t="str">
        <f>IF(B4391&lt;&gt;"",IF(AND(B4391&gt;=_TM1,B4391&lt;=_TM2,OR(TH!L4391="1111",TH!M4391="1111")),TH!D4391,""),"")</f>
        <v/>
      </c>
      <c r="B4391" s="36" t="str">
        <f t="shared" si="523"/>
        <v/>
      </c>
      <c r="C4391" s="190"/>
      <c r="D4391" s="190"/>
      <c r="E4391" s="190"/>
      <c r="F4391" s="191"/>
      <c r="G4391" s="833"/>
      <c r="H4391" s="192"/>
      <c r="I4391" s="253"/>
      <c r="J4391" s="253"/>
      <c r="K4391" s="584"/>
      <c r="L4391" s="193"/>
      <c r="M4391" s="193"/>
      <c r="N4391" s="52" t="str">
        <f>IF(AND('331-CT'!$E$7=TH!H4391,OR(L4391="331",M4391="331")),"331",IF(AND(OR(L4391="131",M4391="131"),H4391='131-CT'!$E$7),"131",""))</f>
        <v/>
      </c>
      <c r="O4391" s="52" t="str">
        <f>IF(AND($B4391&gt;='111'!$N$11,$B4391&lt;='111'!$O$11,OR($L4391=$O$7,$M4391=$O$7)),"x","")</f>
        <v/>
      </c>
      <c r="P4391" s="52" t="str">
        <f>IF(AND($L4391=$O$7,$B4391&lt;'111'!$N$11),"x","")</f>
        <v/>
      </c>
      <c r="Q4391" s="52" t="str">
        <f>IF(AND($M4391=$O$7,$B4391&lt;'111'!$N$11),"x","")</f>
        <v/>
      </c>
      <c r="R4391" s="52" t="str">
        <f>IF(ISERROR(FIND('112'!$M$9,G4391,1)),"",IF((AND(FIND('112'!$M$9,G4391,1)&gt;=1,$B4391&gt;='112'!$N$8,$B4391&lt;='112'!$O$8,OR($L4391='112'!$I$6,$M4391='112'!$I$6))),"x",""))</f>
        <v/>
      </c>
      <c r="S4391" s="52" t="str">
        <f>IF(ISERROR(FIND('112'!$M$9,G4391,1)),"",IF((AND(LEFT(G4391,2)=LEFT('112'!$M$9,2),B4391&lt;'112'!$N$8,$L4391='112'!$I$6)),"x",""))</f>
        <v/>
      </c>
      <c r="T4391" s="52" t="str">
        <f>IF(ISERROR(FIND('112'!$M$9,G4391,1)),"",IF((AND(RIGHT(G4391,2)=RIGHT('112'!$M$9,2),B4391&lt;'112'!$N$8,$M4391='112'!$I$6)),"x",""))</f>
        <v/>
      </c>
      <c r="U4391" s="52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/>
      </c>
      <c r="V4391" s="52" t="str">
        <f>IF(OR(TH!L4391=TH!$V$7,M4391=TH!$V$7),"x","")</f>
        <v/>
      </c>
      <c r="W4391" s="52" t="str">
        <f>IF(AND(B4391&gt;='IN-NX'!$P$3,B4391&lt;='IN-NX'!$Q$3,'IN-NX'!$D$7=D4391,OR(LEFT(L4391,2)="15",AND(LEFT(M4391,2)&lt;&gt;"15",LEFT(M4391,2)&lt;&gt;"33"))),"x","")</f>
        <v/>
      </c>
      <c r="X4391" s="52" t="str">
        <f>IF(AND(OR(LEFT(TH!L4391,2)="15",LEFT(TH!M4391,2)="15"),'152-CT'!$J$8=TH!F4391),"x","")</f>
        <v/>
      </c>
      <c r="Y4391" s="52" t="str">
        <f>IF(AND(OR(LEFT(TH!L4391,2)="15",LEFT(TH!M4391,2)="15"),TK!$E$7=TH!F4391),"x","")</f>
        <v/>
      </c>
      <c r="Z4391" s="52" t="str">
        <f>IF(AND(B4391&lt;=NKC!$N$8,B4391&gt;=NKC!$M$8),"x","")</f>
        <v/>
      </c>
      <c r="AA4391" s="826"/>
    </row>
    <row r="4392" spans="1:27" ht="15.75" customHeight="1">
      <c r="A4392" s="827" t="str">
        <f>IF(B4392&lt;&gt;"",IF(AND(B4392&gt;=_TM1,B4392&lt;=_TM2,OR(TH!L4392="1111",TH!M4392="1111")),TH!D4392,""),"")</f>
        <v/>
      </c>
      <c r="B4392" s="36" t="str">
        <f t="shared" si="523"/>
        <v/>
      </c>
      <c r="C4392" s="190"/>
      <c r="D4392" s="190"/>
      <c r="E4392" s="190"/>
      <c r="F4392" s="191"/>
      <c r="G4392" s="833"/>
      <c r="H4392" s="192"/>
      <c r="I4392" s="253"/>
      <c r="J4392" s="253"/>
      <c r="K4392" s="584"/>
      <c r="L4392" s="193"/>
      <c r="M4392" s="193"/>
      <c r="N4392" s="52" t="str">
        <f>IF(AND('331-CT'!$E$7=TH!H4392,OR(L4392="331",M4392="331")),"331",IF(AND(OR(L4392="131",M4392="131"),H4392='131-CT'!$E$7),"131",""))</f>
        <v/>
      </c>
      <c r="O4392" s="52" t="str">
        <f>IF(AND($B4392&gt;='111'!$N$11,$B4392&lt;='111'!$O$11,OR($L4392=$O$7,$M4392=$O$7)),"x","")</f>
        <v/>
      </c>
      <c r="P4392" s="52" t="str">
        <f>IF(AND($L4392=$O$7,$B4392&lt;'111'!$N$11),"x","")</f>
        <v/>
      </c>
      <c r="Q4392" s="52" t="str">
        <f>IF(AND($M4392=$O$7,$B4392&lt;'111'!$N$11),"x","")</f>
        <v/>
      </c>
      <c r="R4392" s="52" t="str">
        <f>IF(ISERROR(FIND('112'!$M$9,G4392,1)),"",IF((AND(FIND('112'!$M$9,G4392,1)&gt;=1,$B4392&gt;='112'!$N$8,$B4392&lt;='112'!$O$8,OR($L4392='112'!$I$6,$M4392='112'!$I$6))),"x",""))</f>
        <v/>
      </c>
      <c r="S4392" s="52" t="str">
        <f>IF(ISERROR(FIND('112'!$M$9,G4392,1)),"",IF((AND(LEFT(G4392,2)=LEFT('112'!$M$9,2),B4392&lt;'112'!$N$8,$L4392='112'!$I$6)),"x",""))</f>
        <v/>
      </c>
      <c r="T4392" s="52" t="str">
        <f>IF(ISERROR(FIND('112'!$M$9,G4392,1)),"",IF((AND(RIGHT(G4392,2)=RIGHT('112'!$M$9,2),B4392&lt;'112'!$N$8,$M4392='112'!$I$6)),"x",""))</f>
        <v/>
      </c>
      <c r="U4392" s="52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/>
      </c>
      <c r="V4392" s="52" t="str">
        <f>IF(OR(TH!L4392=TH!$V$7,M4392=TH!$V$7),"x","")</f>
        <v/>
      </c>
      <c r="W4392" s="52" t="str">
        <f>IF(AND(B4392&gt;='IN-NX'!$P$3,B4392&lt;='IN-NX'!$Q$3,'IN-NX'!$D$7=D4392,OR(LEFT(L4392,2)="15",AND(LEFT(M4392,2)&lt;&gt;"15",LEFT(M4392,2)&lt;&gt;"33"))),"x","")</f>
        <v/>
      </c>
      <c r="X4392" s="52" t="str">
        <f>IF(AND(OR(LEFT(TH!L4392,2)="15",LEFT(TH!M4392,2)="15"),'152-CT'!$J$8=TH!F4392),"x","")</f>
        <v/>
      </c>
      <c r="Y4392" s="52" t="str">
        <f>IF(AND(OR(LEFT(TH!L4392,2)="15",LEFT(TH!M4392,2)="15"),TK!$E$7=TH!F4392),"x","")</f>
        <v/>
      </c>
      <c r="Z4392" s="52" t="str">
        <f>IF(AND(B4392&lt;=NKC!$N$8,B4392&gt;=NKC!$M$8),"x","")</f>
        <v/>
      </c>
      <c r="AA4392" s="826"/>
    </row>
    <row r="4393" spans="1:27" ht="15.75" customHeight="1">
      <c r="A4393" s="827" t="str">
        <f>IF(B4393&lt;&gt;"",IF(AND(B4393&gt;=_TM1,B4393&lt;=_TM2,OR(TH!L4393="1111",TH!M4393="1111")),TH!D4393,""),"")</f>
        <v/>
      </c>
      <c r="B4393" s="36" t="str">
        <f t="shared" si="523"/>
        <v/>
      </c>
      <c r="C4393" s="190"/>
      <c r="D4393" s="190"/>
      <c r="E4393" s="190"/>
      <c r="F4393" s="191"/>
      <c r="G4393" s="833"/>
      <c r="H4393" s="192"/>
      <c r="I4393" s="253"/>
      <c r="J4393" s="253"/>
      <c r="K4393" s="584"/>
      <c r="L4393" s="193"/>
      <c r="M4393" s="193"/>
      <c r="N4393" s="52" t="str">
        <f>IF(AND('331-CT'!$E$7=TH!H4393,OR(L4393="331",M4393="331")),"331",IF(AND(OR(L4393="131",M4393="131"),H4393='131-CT'!$E$7),"131",""))</f>
        <v/>
      </c>
      <c r="O4393" s="52" t="str">
        <f>IF(AND($B4393&gt;='111'!$N$11,$B4393&lt;='111'!$O$11,OR($L4393=$O$7,$M4393=$O$7)),"x","")</f>
        <v/>
      </c>
      <c r="P4393" s="52" t="str">
        <f>IF(AND($L4393=$O$7,$B4393&lt;'111'!$N$11),"x","")</f>
        <v/>
      </c>
      <c r="Q4393" s="52" t="str">
        <f>IF(AND($M4393=$O$7,$B4393&lt;'111'!$N$11),"x","")</f>
        <v/>
      </c>
      <c r="R4393" s="52" t="str">
        <f>IF(ISERROR(FIND('112'!$M$9,G4393,1)),"",IF((AND(FIND('112'!$M$9,G4393,1)&gt;=1,$B4393&gt;='112'!$N$8,$B4393&lt;='112'!$O$8,OR($L4393='112'!$I$6,$M4393='112'!$I$6))),"x",""))</f>
        <v/>
      </c>
      <c r="S4393" s="52" t="str">
        <f>IF(ISERROR(FIND('112'!$M$9,G4393,1)),"",IF((AND(LEFT(G4393,2)=LEFT('112'!$M$9,2),B4393&lt;'112'!$N$8,$L4393='112'!$I$6)),"x",""))</f>
        <v/>
      </c>
      <c r="T4393" s="52" t="str">
        <f>IF(ISERROR(FIND('112'!$M$9,G4393,1)),"",IF((AND(RIGHT(G4393,2)=RIGHT('112'!$M$9,2),B4393&lt;'112'!$N$8,$M4393='112'!$I$6)),"x",""))</f>
        <v/>
      </c>
      <c r="U4393" s="52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/>
      </c>
      <c r="V4393" s="52" t="str">
        <f>IF(OR(TH!L4393=TH!$V$7,M4393=TH!$V$7),"x","")</f>
        <v/>
      </c>
      <c r="W4393" s="52" t="str">
        <f>IF(AND(B4393&gt;='IN-NX'!$P$3,B4393&lt;='IN-NX'!$Q$3,'IN-NX'!$D$7=D4393,OR(LEFT(L4393,2)="15",AND(LEFT(M4393,2)&lt;&gt;"15",LEFT(M4393,2)&lt;&gt;"33"))),"x","")</f>
        <v/>
      </c>
      <c r="X4393" s="52" t="str">
        <f>IF(AND(OR(LEFT(TH!L4393,2)="15",LEFT(TH!M4393,2)="15"),'152-CT'!$J$8=TH!F4393),"x","")</f>
        <v/>
      </c>
      <c r="Y4393" s="52" t="str">
        <f>IF(AND(OR(LEFT(TH!L4393,2)="15",LEFT(TH!M4393,2)="15"),TK!$E$7=TH!F4393),"x","")</f>
        <v/>
      </c>
      <c r="Z4393" s="52" t="str">
        <f>IF(AND(B4393&lt;=NKC!$N$8,B4393&gt;=NKC!$M$8),"x","")</f>
        <v/>
      </c>
      <c r="AA4393" s="826"/>
    </row>
    <row r="4394" spans="1:27" ht="15.75" customHeight="1">
      <c r="A4394" s="827" t="str">
        <f>IF(B4394&lt;&gt;"",IF(AND(B4394&gt;=_TM1,B4394&lt;=_TM2,OR(TH!L4394="1111",TH!M4394="1111")),TH!D4394,""),"")</f>
        <v/>
      </c>
      <c r="B4394" s="36" t="str">
        <f t="shared" si="523"/>
        <v/>
      </c>
      <c r="C4394" s="190"/>
      <c r="D4394" s="190"/>
      <c r="E4394" s="190"/>
      <c r="F4394" s="191"/>
      <c r="G4394" s="833"/>
      <c r="H4394" s="192"/>
      <c r="I4394" s="253"/>
      <c r="J4394" s="253"/>
      <c r="K4394" s="584"/>
      <c r="L4394" s="193"/>
      <c r="M4394" s="193"/>
      <c r="N4394" s="52" t="str">
        <f>IF(AND('331-CT'!$E$7=TH!H4394,OR(L4394="331",M4394="331")),"331",IF(AND(OR(L4394="131",M4394="131"),H4394='131-CT'!$E$7),"131",""))</f>
        <v/>
      </c>
      <c r="O4394" s="52" t="str">
        <f>IF(AND($B4394&gt;='111'!$N$11,$B4394&lt;='111'!$O$11,OR($L4394=$O$7,$M4394=$O$7)),"x","")</f>
        <v/>
      </c>
      <c r="P4394" s="52" t="str">
        <f>IF(AND($L4394=$O$7,$B4394&lt;'111'!$N$11),"x","")</f>
        <v/>
      </c>
      <c r="Q4394" s="52" t="str">
        <f>IF(AND($M4394=$O$7,$B4394&lt;'111'!$N$11),"x","")</f>
        <v/>
      </c>
      <c r="R4394" s="52" t="str">
        <f>IF(ISERROR(FIND('112'!$M$9,G4394,1)),"",IF((AND(FIND('112'!$M$9,G4394,1)&gt;=1,$B4394&gt;='112'!$N$8,$B4394&lt;='112'!$O$8,OR($L4394='112'!$I$6,$M4394='112'!$I$6))),"x",""))</f>
        <v/>
      </c>
      <c r="S4394" s="52" t="str">
        <f>IF(ISERROR(FIND('112'!$M$9,G4394,1)),"",IF((AND(LEFT(G4394,2)=LEFT('112'!$M$9,2),B4394&lt;'112'!$N$8,$L4394='112'!$I$6)),"x",""))</f>
        <v/>
      </c>
      <c r="T4394" s="52" t="str">
        <f>IF(ISERROR(FIND('112'!$M$9,G4394,1)),"",IF((AND(RIGHT(G4394,2)=RIGHT('112'!$M$9,2),B4394&lt;'112'!$N$8,$M4394='112'!$I$6)),"x",""))</f>
        <v/>
      </c>
      <c r="U4394" s="52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/>
      </c>
      <c r="V4394" s="52" t="str">
        <f>IF(OR(TH!L4394=TH!$V$7,M4394=TH!$V$7),"x","")</f>
        <v/>
      </c>
      <c r="W4394" s="52" t="str">
        <f>IF(AND(B4394&gt;='IN-NX'!$P$3,B4394&lt;='IN-NX'!$Q$3,'IN-NX'!$D$7=D4394,OR(LEFT(L4394,2)="15",AND(LEFT(M4394,2)&lt;&gt;"15",LEFT(M4394,2)&lt;&gt;"33"))),"x","")</f>
        <v/>
      </c>
      <c r="X4394" s="52" t="str">
        <f>IF(AND(OR(LEFT(TH!L4394,2)="15",LEFT(TH!M4394,2)="15"),'152-CT'!$J$8=TH!F4394),"x","")</f>
        <v/>
      </c>
      <c r="Y4394" s="52" t="str">
        <f>IF(AND(OR(LEFT(TH!L4394,2)="15",LEFT(TH!M4394,2)="15"),TK!$E$7=TH!F4394),"x","")</f>
        <v/>
      </c>
      <c r="Z4394" s="52" t="str">
        <f>IF(AND(B4394&lt;=NKC!$N$8,B4394&gt;=NKC!$M$8),"x","")</f>
        <v/>
      </c>
      <c r="AA4394" s="826"/>
    </row>
    <row r="4395" spans="1:27" ht="15.75" customHeight="1">
      <c r="A4395" s="827" t="str">
        <f>IF(B4395&lt;&gt;"",IF(AND(B4395&gt;=_TM1,B4395&lt;=_TM2,OR(TH!L4395="1111",TH!M4395="1111")),TH!D4395,""),"")</f>
        <v/>
      </c>
      <c r="B4395" s="36" t="str">
        <f t="shared" si="523"/>
        <v/>
      </c>
      <c r="C4395" s="190"/>
      <c r="D4395" s="190"/>
      <c r="E4395" s="190"/>
      <c r="F4395" s="191"/>
      <c r="G4395" s="833"/>
      <c r="H4395" s="192"/>
      <c r="I4395" s="253"/>
      <c r="J4395" s="253"/>
      <c r="K4395" s="584"/>
      <c r="L4395" s="193"/>
      <c r="M4395" s="193"/>
      <c r="N4395" s="52" t="str">
        <f>IF(AND('331-CT'!$E$7=TH!H4395,OR(L4395="331",M4395="331")),"331",IF(AND(OR(L4395="131",M4395="131"),H4395='131-CT'!$E$7),"131",""))</f>
        <v/>
      </c>
      <c r="O4395" s="52" t="str">
        <f>IF(AND($B4395&gt;='111'!$N$11,$B4395&lt;='111'!$O$11,OR($L4395=$O$7,$M4395=$O$7)),"x","")</f>
        <v/>
      </c>
      <c r="P4395" s="52" t="str">
        <f>IF(AND($L4395=$O$7,$B4395&lt;'111'!$N$11),"x","")</f>
        <v/>
      </c>
      <c r="Q4395" s="52" t="str">
        <f>IF(AND($M4395=$O$7,$B4395&lt;'111'!$N$11),"x","")</f>
        <v/>
      </c>
      <c r="R4395" s="52" t="str">
        <f>IF(ISERROR(FIND('112'!$M$9,G4395,1)),"",IF((AND(FIND('112'!$M$9,G4395,1)&gt;=1,$B4395&gt;='112'!$N$8,$B4395&lt;='112'!$O$8,OR($L4395='112'!$I$6,$M4395='112'!$I$6))),"x",""))</f>
        <v/>
      </c>
      <c r="S4395" s="52" t="str">
        <f>IF(ISERROR(FIND('112'!$M$9,G4395,1)),"",IF((AND(LEFT(G4395,2)=LEFT('112'!$M$9,2),B4395&lt;'112'!$N$8,$L4395='112'!$I$6)),"x",""))</f>
        <v/>
      </c>
      <c r="T4395" s="52" t="str">
        <f>IF(ISERROR(FIND('112'!$M$9,G4395,1)),"",IF((AND(RIGHT(G4395,2)=RIGHT('112'!$M$9,2),B4395&lt;'112'!$N$8,$M4395='112'!$I$6)),"x",""))</f>
        <v/>
      </c>
      <c r="U4395" s="52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/>
      </c>
      <c r="V4395" s="52" t="str">
        <f>IF(OR(TH!L4395=TH!$V$7,M4395=TH!$V$7),"x","")</f>
        <v/>
      </c>
      <c r="W4395" s="52" t="str">
        <f>IF(AND(B4395&gt;='IN-NX'!$P$3,B4395&lt;='IN-NX'!$Q$3,'IN-NX'!$D$7=D4395,OR(LEFT(L4395,2)="15",AND(LEFT(M4395,2)&lt;&gt;"15",LEFT(M4395,2)&lt;&gt;"33"))),"x","")</f>
        <v/>
      </c>
      <c r="X4395" s="52" t="str">
        <f>IF(AND(OR(LEFT(TH!L4395,2)="15",LEFT(TH!M4395,2)="15"),'152-CT'!$J$8=TH!F4395),"x","")</f>
        <v/>
      </c>
      <c r="Y4395" s="52" t="str">
        <f>IF(AND(OR(LEFT(TH!L4395,2)="15",LEFT(TH!M4395,2)="15"),TK!$E$7=TH!F4395),"x","")</f>
        <v/>
      </c>
      <c r="Z4395" s="52" t="str">
        <f>IF(AND(B4395&lt;=NKC!$N$8,B4395&gt;=NKC!$M$8),"x","")</f>
        <v/>
      </c>
      <c r="AA4395" s="826"/>
    </row>
    <row r="4396" spans="1:27" ht="15.75" customHeight="1">
      <c r="A4396" s="827" t="str">
        <f>IF(B4396&lt;&gt;"",IF(AND(B4396&gt;=_TM1,B4396&lt;=_TM2,OR(TH!L4396="1111",TH!M4396="1111")),TH!D4396,""),"")</f>
        <v/>
      </c>
      <c r="B4396" s="36" t="str">
        <f t="shared" si="523"/>
        <v/>
      </c>
      <c r="C4396" s="190"/>
      <c r="D4396" s="190"/>
      <c r="E4396" s="190"/>
      <c r="F4396" s="191"/>
      <c r="G4396" s="833"/>
      <c r="H4396" s="192"/>
      <c r="I4396" s="253"/>
      <c r="J4396" s="253"/>
      <c r="K4396" s="584"/>
      <c r="L4396" s="193"/>
      <c r="M4396" s="193"/>
      <c r="N4396" s="52" t="str">
        <f>IF(AND('331-CT'!$E$7=TH!H4396,OR(L4396="331",M4396="331")),"331",IF(AND(OR(L4396="131",M4396="131"),H4396='131-CT'!$E$7),"131",""))</f>
        <v/>
      </c>
      <c r="O4396" s="52" t="str">
        <f>IF(AND($B4396&gt;='111'!$N$11,$B4396&lt;='111'!$O$11,OR($L4396=$O$7,$M4396=$O$7)),"x","")</f>
        <v/>
      </c>
      <c r="P4396" s="52" t="str">
        <f>IF(AND($L4396=$O$7,$B4396&lt;'111'!$N$11),"x","")</f>
        <v/>
      </c>
      <c r="Q4396" s="52" t="str">
        <f>IF(AND($M4396=$O$7,$B4396&lt;'111'!$N$11),"x","")</f>
        <v/>
      </c>
      <c r="R4396" s="52" t="str">
        <f>IF(ISERROR(FIND('112'!$M$9,G4396,1)),"",IF((AND(FIND('112'!$M$9,G4396,1)&gt;=1,$B4396&gt;='112'!$N$8,$B4396&lt;='112'!$O$8,OR($L4396='112'!$I$6,$M4396='112'!$I$6))),"x",""))</f>
        <v/>
      </c>
      <c r="S4396" s="52" t="str">
        <f>IF(ISERROR(FIND('112'!$M$9,G4396,1)),"",IF((AND(LEFT(G4396,2)=LEFT('112'!$M$9,2),B4396&lt;'112'!$N$8,$L4396='112'!$I$6)),"x",""))</f>
        <v/>
      </c>
      <c r="T4396" s="52" t="str">
        <f>IF(ISERROR(FIND('112'!$M$9,G4396,1)),"",IF((AND(RIGHT(G4396,2)=RIGHT('112'!$M$9,2),B4396&lt;'112'!$N$8,$M4396='112'!$I$6)),"x",""))</f>
        <v/>
      </c>
      <c r="U4396" s="52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/>
      </c>
      <c r="V4396" s="52" t="str">
        <f>IF(OR(TH!L4396=TH!$V$7,M4396=TH!$V$7),"x","")</f>
        <v/>
      </c>
      <c r="W4396" s="52" t="str">
        <f>IF(AND(B4396&gt;='IN-NX'!$P$3,B4396&lt;='IN-NX'!$Q$3,'IN-NX'!$D$7=D4396,OR(LEFT(L4396,2)="15",AND(LEFT(M4396,2)&lt;&gt;"15",LEFT(M4396,2)&lt;&gt;"33"))),"x","")</f>
        <v/>
      </c>
      <c r="X4396" s="52" t="str">
        <f>IF(AND(OR(LEFT(TH!L4396,2)="15",LEFT(TH!M4396,2)="15"),'152-CT'!$J$8=TH!F4396),"x","")</f>
        <v/>
      </c>
      <c r="Y4396" s="52" t="str">
        <f>IF(AND(OR(LEFT(TH!L4396,2)="15",LEFT(TH!M4396,2)="15"),TK!$E$7=TH!F4396),"x","")</f>
        <v/>
      </c>
      <c r="Z4396" s="52" t="str">
        <f>IF(AND(B4396&lt;=NKC!$N$8,B4396&gt;=NKC!$M$8),"x","")</f>
        <v/>
      </c>
      <c r="AA4396" s="826"/>
    </row>
    <row r="4397" spans="1:27" ht="15.75" customHeight="1">
      <c r="A4397" s="827" t="str">
        <f>IF(B4397&lt;&gt;"",IF(AND(B4397&gt;=_TM1,B4397&lt;=_TM2,OR(TH!L4397="1111",TH!M4397="1111")),TH!D4397,""),"")</f>
        <v/>
      </c>
      <c r="B4397" s="36" t="str">
        <f t="shared" si="523"/>
        <v/>
      </c>
      <c r="C4397" s="190"/>
      <c r="D4397" s="190"/>
      <c r="E4397" s="190"/>
      <c r="F4397" s="191"/>
      <c r="G4397" s="833"/>
      <c r="H4397" s="192"/>
      <c r="I4397" s="253"/>
      <c r="J4397" s="253"/>
      <c r="K4397" s="584"/>
      <c r="L4397" s="193"/>
      <c r="M4397" s="193"/>
      <c r="N4397" s="52" t="str">
        <f>IF(AND('331-CT'!$E$7=TH!H4397,OR(L4397="331",M4397="331")),"331",IF(AND(OR(L4397="131",M4397="131"),H4397='131-CT'!$E$7),"131",""))</f>
        <v/>
      </c>
      <c r="O4397" s="52" t="str">
        <f>IF(AND($B4397&gt;='111'!$N$11,$B4397&lt;='111'!$O$11,OR($L4397=$O$7,$M4397=$O$7)),"x","")</f>
        <v/>
      </c>
      <c r="P4397" s="52" t="str">
        <f>IF(AND($L4397=$O$7,$B4397&lt;'111'!$N$11),"x","")</f>
        <v/>
      </c>
      <c r="Q4397" s="52" t="str">
        <f>IF(AND($M4397=$O$7,$B4397&lt;'111'!$N$11),"x","")</f>
        <v/>
      </c>
      <c r="R4397" s="52" t="str">
        <f>IF(ISERROR(FIND('112'!$M$9,G4397,1)),"",IF((AND(FIND('112'!$M$9,G4397,1)&gt;=1,$B4397&gt;='112'!$N$8,$B4397&lt;='112'!$O$8,OR($L4397='112'!$I$6,$M4397='112'!$I$6))),"x",""))</f>
        <v/>
      </c>
      <c r="S4397" s="52" t="str">
        <f>IF(ISERROR(FIND('112'!$M$9,G4397,1)),"",IF((AND(LEFT(G4397,2)=LEFT('112'!$M$9,2),B4397&lt;'112'!$N$8,$L4397='112'!$I$6)),"x",""))</f>
        <v/>
      </c>
      <c r="T4397" s="52" t="str">
        <f>IF(ISERROR(FIND('112'!$M$9,G4397,1)),"",IF((AND(RIGHT(G4397,2)=RIGHT('112'!$M$9,2),B4397&lt;'112'!$N$8,$M4397='112'!$I$6)),"x",""))</f>
        <v/>
      </c>
      <c r="U4397" s="52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/>
      </c>
      <c r="V4397" s="52" t="str">
        <f>IF(OR(TH!L4397=TH!$V$7,M4397=TH!$V$7),"x","")</f>
        <v/>
      </c>
      <c r="W4397" s="52" t="str">
        <f>IF(AND(B4397&gt;='IN-NX'!$P$3,B4397&lt;='IN-NX'!$Q$3,'IN-NX'!$D$7=D4397,OR(LEFT(L4397,2)="15",AND(LEFT(M4397,2)&lt;&gt;"15",LEFT(M4397,2)&lt;&gt;"33"))),"x","")</f>
        <v/>
      </c>
      <c r="X4397" s="52" t="str">
        <f>IF(AND(OR(LEFT(TH!L4397,2)="15",LEFT(TH!M4397,2)="15"),'152-CT'!$J$8=TH!F4397),"x","")</f>
        <v/>
      </c>
      <c r="Y4397" s="52" t="str">
        <f>IF(AND(OR(LEFT(TH!L4397,2)="15",LEFT(TH!M4397,2)="15"),TK!$E$7=TH!F4397),"x","")</f>
        <v/>
      </c>
      <c r="Z4397" s="52" t="str">
        <f>IF(AND(B4397&lt;=NKC!$N$8,B4397&gt;=NKC!$M$8),"x","")</f>
        <v/>
      </c>
      <c r="AA4397" s="826"/>
    </row>
    <row r="4398" spans="1:27" ht="15.75" customHeight="1">
      <c r="A4398" s="827" t="str">
        <f>IF(B4398&lt;&gt;"",IF(AND(B4398&gt;=_TM1,B4398&lt;=_TM2,OR(TH!L4398="1111",TH!M4398="1111")),TH!D4398,""),"")</f>
        <v/>
      </c>
      <c r="B4398" s="36" t="str">
        <f t="shared" si="523"/>
        <v/>
      </c>
      <c r="C4398" s="190"/>
      <c r="D4398" s="190"/>
      <c r="E4398" s="190"/>
      <c r="F4398" s="191"/>
      <c r="G4398" s="833"/>
      <c r="H4398" s="192"/>
      <c r="I4398" s="253"/>
      <c r="J4398" s="253"/>
      <c r="K4398" s="584"/>
      <c r="L4398" s="193"/>
      <c r="M4398" s="193"/>
      <c r="N4398" s="52" t="str">
        <f>IF(AND('331-CT'!$E$7=TH!H4398,OR(L4398="331",M4398="331")),"331",IF(AND(OR(L4398="131",M4398="131"),H4398='131-CT'!$E$7),"131",""))</f>
        <v/>
      </c>
      <c r="O4398" s="52" t="str">
        <f>IF(AND($B4398&gt;='111'!$N$11,$B4398&lt;='111'!$O$11,OR($L4398=$O$7,$M4398=$O$7)),"x","")</f>
        <v/>
      </c>
      <c r="P4398" s="52" t="str">
        <f>IF(AND($L4398=$O$7,$B4398&lt;'111'!$N$11),"x","")</f>
        <v/>
      </c>
      <c r="Q4398" s="52" t="str">
        <f>IF(AND($M4398=$O$7,$B4398&lt;'111'!$N$11),"x","")</f>
        <v/>
      </c>
      <c r="R4398" s="52" t="str">
        <f>IF(ISERROR(FIND('112'!$M$9,G4398,1)),"",IF((AND(FIND('112'!$M$9,G4398,1)&gt;=1,$B4398&gt;='112'!$N$8,$B4398&lt;='112'!$O$8,OR($L4398='112'!$I$6,$M4398='112'!$I$6))),"x",""))</f>
        <v/>
      </c>
      <c r="S4398" s="52" t="str">
        <f>IF(ISERROR(FIND('112'!$M$9,G4398,1)),"",IF((AND(LEFT(G4398,2)=LEFT('112'!$M$9,2),B4398&lt;'112'!$N$8,$L4398='112'!$I$6)),"x",""))</f>
        <v/>
      </c>
      <c r="T4398" s="52" t="str">
        <f>IF(ISERROR(FIND('112'!$M$9,G4398,1)),"",IF((AND(RIGHT(G4398,2)=RIGHT('112'!$M$9,2),B4398&lt;'112'!$N$8,$M4398='112'!$I$6)),"x",""))</f>
        <v/>
      </c>
      <c r="U4398" s="52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/>
      </c>
      <c r="V4398" s="52" t="str">
        <f>IF(OR(TH!L4398=TH!$V$7,M4398=TH!$V$7),"x","")</f>
        <v/>
      </c>
      <c r="W4398" s="52" t="str">
        <f>IF(AND(B4398&gt;='IN-NX'!$P$3,B4398&lt;='IN-NX'!$Q$3,'IN-NX'!$D$7=D4398,OR(LEFT(L4398,2)="15",AND(LEFT(M4398,2)&lt;&gt;"15",LEFT(M4398,2)&lt;&gt;"33"))),"x","")</f>
        <v/>
      </c>
      <c r="X4398" s="52" t="str">
        <f>IF(AND(OR(LEFT(TH!L4398,2)="15",LEFT(TH!M4398,2)="15"),'152-CT'!$J$8=TH!F4398),"x","")</f>
        <v/>
      </c>
      <c r="Y4398" s="52" t="str">
        <f>IF(AND(OR(LEFT(TH!L4398,2)="15",LEFT(TH!M4398,2)="15"),TK!$E$7=TH!F4398),"x","")</f>
        <v/>
      </c>
      <c r="Z4398" s="52" t="str">
        <f>IF(AND(B4398&lt;=NKC!$N$8,B4398&gt;=NKC!$M$8),"x","")</f>
        <v/>
      </c>
      <c r="AA4398" s="826"/>
    </row>
    <row r="4399" spans="1:27" ht="15.75" customHeight="1">
      <c r="A4399" s="827" t="str">
        <f>IF(B4399&lt;&gt;"",IF(AND(B4399&gt;=_TM1,B4399&lt;=_TM2,OR(TH!L4399="1111",TH!M4399="1111")),TH!D4399,""),"")</f>
        <v/>
      </c>
      <c r="B4399" s="36" t="str">
        <f t="shared" si="523"/>
        <v/>
      </c>
      <c r="C4399" s="190"/>
      <c r="D4399" s="190"/>
      <c r="E4399" s="190"/>
      <c r="F4399" s="191"/>
      <c r="G4399" s="833"/>
      <c r="H4399" s="192"/>
      <c r="I4399" s="253"/>
      <c r="J4399" s="253"/>
      <c r="K4399" s="584"/>
      <c r="L4399" s="193"/>
      <c r="M4399" s="193"/>
      <c r="N4399" s="52" t="str">
        <f>IF(AND('331-CT'!$E$7=TH!H4399,OR(L4399="331",M4399="331")),"331",IF(AND(OR(L4399="131",M4399="131"),H4399='131-CT'!$E$7),"131",""))</f>
        <v/>
      </c>
      <c r="O4399" s="52" t="str">
        <f>IF(AND($B4399&gt;='111'!$N$11,$B4399&lt;='111'!$O$11,OR($L4399=$O$7,$M4399=$O$7)),"x","")</f>
        <v/>
      </c>
      <c r="P4399" s="52" t="str">
        <f>IF(AND($L4399=$O$7,$B4399&lt;'111'!$N$11),"x","")</f>
        <v/>
      </c>
      <c r="Q4399" s="52" t="str">
        <f>IF(AND($M4399=$O$7,$B4399&lt;'111'!$N$11),"x","")</f>
        <v/>
      </c>
      <c r="R4399" s="52" t="str">
        <f>IF(ISERROR(FIND('112'!$M$9,G4399,1)),"",IF((AND(FIND('112'!$M$9,G4399,1)&gt;=1,$B4399&gt;='112'!$N$8,$B4399&lt;='112'!$O$8,OR($L4399='112'!$I$6,$M4399='112'!$I$6))),"x",""))</f>
        <v/>
      </c>
      <c r="S4399" s="52" t="str">
        <f>IF(ISERROR(FIND('112'!$M$9,G4399,1)),"",IF((AND(LEFT(G4399,2)=LEFT('112'!$M$9,2),B4399&lt;'112'!$N$8,$L4399='112'!$I$6)),"x",""))</f>
        <v/>
      </c>
      <c r="T4399" s="52" t="str">
        <f>IF(ISERROR(FIND('112'!$M$9,G4399,1)),"",IF((AND(RIGHT(G4399,2)=RIGHT('112'!$M$9,2),B4399&lt;'112'!$N$8,$M4399='112'!$I$6)),"x",""))</f>
        <v/>
      </c>
      <c r="U4399" s="52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/>
      </c>
      <c r="V4399" s="52" t="str">
        <f>IF(OR(TH!L4399=TH!$V$7,M4399=TH!$V$7),"x","")</f>
        <v/>
      </c>
      <c r="W4399" s="52" t="str">
        <f>IF(AND(B4399&gt;='IN-NX'!$P$3,B4399&lt;='IN-NX'!$Q$3,'IN-NX'!$D$7=D4399,OR(LEFT(L4399,2)="15",AND(LEFT(M4399,2)&lt;&gt;"15",LEFT(M4399,2)&lt;&gt;"33"))),"x","")</f>
        <v/>
      </c>
      <c r="X4399" s="52" t="str">
        <f>IF(AND(OR(LEFT(TH!L4399,2)="15",LEFT(TH!M4399,2)="15"),'152-CT'!$J$8=TH!F4399),"x","")</f>
        <v/>
      </c>
      <c r="Y4399" s="52" t="str">
        <f>IF(AND(OR(LEFT(TH!L4399,2)="15",LEFT(TH!M4399,2)="15"),TK!$E$7=TH!F4399),"x","")</f>
        <v/>
      </c>
      <c r="Z4399" s="52" t="str">
        <f>IF(AND(B4399&lt;=NKC!$N$8,B4399&gt;=NKC!$M$8),"x","")</f>
        <v/>
      </c>
      <c r="AA4399" s="826"/>
    </row>
    <row r="4400" spans="1:27" ht="15.75" customHeight="1">
      <c r="A4400" s="827" t="str">
        <f>IF(B4400&lt;&gt;"",IF(AND(B4400&gt;=_TM1,B4400&lt;=_TM2,OR(TH!L4400="1111",TH!M4400="1111")),TH!D4400,""),"")</f>
        <v/>
      </c>
      <c r="B4400" s="36" t="str">
        <f t="shared" si="523"/>
        <v/>
      </c>
      <c r="C4400" s="190"/>
      <c r="D4400" s="190"/>
      <c r="E4400" s="190"/>
      <c r="F4400" s="191"/>
      <c r="G4400" s="833"/>
      <c r="H4400" s="192"/>
      <c r="I4400" s="253"/>
      <c r="J4400" s="253"/>
      <c r="K4400" s="584"/>
      <c r="L4400" s="193"/>
      <c r="M4400" s="193"/>
      <c r="N4400" s="52" t="str">
        <f>IF(AND('331-CT'!$E$7=TH!H4400,OR(L4400="331",M4400="331")),"331",IF(AND(OR(L4400="131",M4400="131"),H4400='131-CT'!$E$7),"131",""))</f>
        <v/>
      </c>
      <c r="O4400" s="52" t="str">
        <f>IF(AND($B4400&gt;='111'!$N$11,$B4400&lt;='111'!$O$11,OR($L4400=$O$7,$M4400=$O$7)),"x","")</f>
        <v/>
      </c>
      <c r="P4400" s="52" t="str">
        <f>IF(AND($L4400=$O$7,$B4400&lt;'111'!$N$11),"x","")</f>
        <v/>
      </c>
      <c r="Q4400" s="52" t="str">
        <f>IF(AND($M4400=$O$7,$B4400&lt;'111'!$N$11),"x","")</f>
        <v/>
      </c>
      <c r="R4400" s="52" t="str">
        <f>IF(ISERROR(FIND('112'!$M$9,G4400,1)),"",IF((AND(FIND('112'!$M$9,G4400,1)&gt;=1,$B4400&gt;='112'!$N$8,$B4400&lt;='112'!$O$8,OR($L4400='112'!$I$6,$M4400='112'!$I$6))),"x",""))</f>
        <v/>
      </c>
      <c r="S4400" s="52" t="str">
        <f>IF(ISERROR(FIND('112'!$M$9,G4400,1)),"",IF((AND(LEFT(G4400,2)=LEFT('112'!$M$9,2),B4400&lt;'112'!$N$8,$L4400='112'!$I$6)),"x",""))</f>
        <v/>
      </c>
      <c r="T4400" s="52" t="str">
        <f>IF(ISERROR(FIND('112'!$M$9,G4400,1)),"",IF((AND(RIGHT(G4400,2)=RIGHT('112'!$M$9,2),B4400&lt;'112'!$N$8,$M4400='112'!$I$6)),"x",""))</f>
        <v/>
      </c>
      <c r="U4400" s="52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V4400" s="52" t="str">
        <f>IF(OR(TH!L4400=TH!$V$7,M4400=TH!$V$7),"x","")</f>
        <v/>
      </c>
      <c r="W4400" s="52" t="str">
        <f>IF(AND(B4400&gt;='IN-NX'!$P$3,B4400&lt;='IN-NX'!$Q$3,'IN-NX'!$D$7=D4400,OR(LEFT(L4400,2)="15",AND(LEFT(M4400,2)&lt;&gt;"15",LEFT(M4400,2)&lt;&gt;"33"))),"x","")</f>
        <v/>
      </c>
      <c r="X4400" s="52" t="str">
        <f>IF(AND(OR(LEFT(TH!L4400,2)="15",LEFT(TH!M4400,2)="15"),'152-CT'!$J$8=TH!F4400),"x","")</f>
        <v/>
      </c>
      <c r="Y4400" s="52" t="str">
        <f>IF(AND(OR(LEFT(TH!L4400,2)="15",LEFT(TH!M4400,2)="15"),TK!$E$7=TH!F4400),"x","")</f>
        <v/>
      </c>
      <c r="Z4400" s="52" t="str">
        <f>IF(AND(B4400&lt;=NKC!$N$8,B4400&gt;=NKC!$M$8),"x","")</f>
        <v/>
      </c>
      <c r="AA4400" s="826"/>
    </row>
    <row r="4401" spans="1:27" ht="15.75" customHeight="1">
      <c r="A4401" s="827" t="str">
        <f>IF(B4401&lt;&gt;"",IF(AND(B4401&gt;=_TM1,B4401&lt;=_TM2,OR(TH!L4401="1111",TH!M4401="1111")),TH!D4401,""),"")</f>
        <v/>
      </c>
      <c r="B4401" s="36" t="str">
        <f t="shared" si="523"/>
        <v/>
      </c>
      <c r="C4401" s="190"/>
      <c r="D4401" s="190"/>
      <c r="E4401" s="190"/>
      <c r="F4401" s="191"/>
      <c r="G4401" s="833"/>
      <c r="H4401" s="192"/>
      <c r="I4401" s="253"/>
      <c r="J4401" s="253"/>
      <c r="K4401" s="584"/>
      <c r="L4401" s="193"/>
      <c r="M4401" s="193"/>
      <c r="N4401" s="52" t="str">
        <f>IF(AND('331-CT'!$E$7=TH!H4401,OR(L4401="331",M4401="331")),"331",IF(AND(OR(L4401="131",M4401="131"),H4401='131-CT'!$E$7),"131",""))</f>
        <v/>
      </c>
      <c r="O4401" s="52" t="str">
        <f>IF(AND($B4401&gt;='111'!$N$11,$B4401&lt;='111'!$O$11,OR($L4401=$O$7,$M4401=$O$7)),"x","")</f>
        <v/>
      </c>
      <c r="P4401" s="52" t="str">
        <f>IF(AND($L4401=$O$7,$B4401&lt;'111'!$N$11),"x","")</f>
        <v/>
      </c>
      <c r="Q4401" s="52" t="str">
        <f>IF(AND($M4401=$O$7,$B4401&lt;'111'!$N$11),"x","")</f>
        <v/>
      </c>
      <c r="R4401" s="52" t="str">
        <f>IF(ISERROR(FIND('112'!$M$9,G4401,1)),"",IF((AND(FIND('112'!$M$9,G4401,1)&gt;=1,$B4401&gt;='112'!$N$8,$B4401&lt;='112'!$O$8,OR($L4401='112'!$I$6,$M4401='112'!$I$6))),"x",""))</f>
        <v/>
      </c>
      <c r="S4401" s="52" t="str">
        <f>IF(ISERROR(FIND('112'!$M$9,G4401,1)),"",IF((AND(LEFT(G4401,2)=LEFT('112'!$M$9,2),B4401&lt;'112'!$N$8,$L4401='112'!$I$6)),"x",""))</f>
        <v/>
      </c>
      <c r="T4401" s="52" t="str">
        <f>IF(ISERROR(FIND('112'!$M$9,G4401,1)),"",IF((AND(RIGHT(G4401,2)=RIGHT('112'!$M$9,2),B4401&lt;'112'!$N$8,$M4401='112'!$I$6)),"x",""))</f>
        <v/>
      </c>
      <c r="U4401" s="52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V4401" s="52" t="str">
        <f>IF(OR(TH!L4401=TH!$V$7,M4401=TH!$V$7),"x","")</f>
        <v/>
      </c>
      <c r="W4401" s="52" t="str">
        <f>IF(AND(B4401&gt;='IN-NX'!$P$3,B4401&lt;='IN-NX'!$Q$3,'IN-NX'!$D$7=D4401,OR(LEFT(L4401,2)="15",AND(LEFT(M4401,2)&lt;&gt;"15",LEFT(M4401,2)&lt;&gt;"33"))),"x","")</f>
        <v/>
      </c>
      <c r="X4401" s="52" t="str">
        <f>IF(AND(OR(LEFT(TH!L4401,2)="15",LEFT(TH!M4401,2)="15"),'152-CT'!$J$8=TH!F4401),"x","")</f>
        <v/>
      </c>
      <c r="Y4401" s="52" t="str">
        <f>IF(AND(OR(LEFT(TH!L4401,2)="15",LEFT(TH!M4401,2)="15"),TK!$E$7=TH!F4401),"x","")</f>
        <v/>
      </c>
      <c r="Z4401" s="52" t="str">
        <f>IF(AND(B4401&lt;=NKC!$N$8,B4401&gt;=NKC!$M$8),"x","")</f>
        <v/>
      </c>
      <c r="AA4401" s="826"/>
    </row>
    <row r="4402" spans="1:27" ht="15.75" customHeight="1">
      <c r="A4402" s="827" t="str">
        <f>IF(B4402&lt;&gt;"",IF(AND(B4402&gt;=_TM1,B4402&lt;=_TM2,OR(TH!L4402="1111",TH!M4402="1111")),TH!D4402,""),"")</f>
        <v/>
      </c>
      <c r="B4402" s="36" t="str">
        <f t="shared" si="523"/>
        <v/>
      </c>
      <c r="C4402" s="190"/>
      <c r="D4402" s="37"/>
      <c r="E4402" s="190"/>
      <c r="F4402" s="40"/>
      <c r="G4402" s="832"/>
      <c r="H4402" s="7"/>
      <c r="I4402" s="253"/>
      <c r="J4402" s="253"/>
      <c r="K4402" s="584"/>
      <c r="L4402" s="39"/>
      <c r="M4402" s="39"/>
      <c r="N4402" s="52" t="str">
        <f>IF(AND('331-CT'!$E$7=TH!H4402,OR(L4402="331",M4402="331")),"331",IF(AND(OR(L4402="131",M4402="131"),H4402='131-CT'!$E$7),"131",""))</f>
        <v/>
      </c>
      <c r="O4402" s="52" t="str">
        <f>IF(AND($B4402&gt;='111'!$N$11,$B4402&lt;='111'!$O$11,OR($L4402=$O$7,$M4402=$O$7)),"x","")</f>
        <v/>
      </c>
      <c r="P4402" s="52" t="str">
        <f>IF(AND($L4402=$O$7,$B4402&lt;'111'!$N$11),"x","")</f>
        <v/>
      </c>
      <c r="Q4402" s="52" t="str">
        <f>IF(AND($M4402=$O$7,$B4402&lt;'111'!$N$11),"x","")</f>
        <v/>
      </c>
      <c r="R4402" s="52" t="str">
        <f>IF(ISERROR(FIND('112'!$M$9,G4402,1)),"",IF((AND(FIND('112'!$M$9,G4402,1)&gt;=1,$B4402&gt;='112'!$N$8,$B4402&lt;='112'!$O$8,OR($L4402='112'!$I$6,$M4402='112'!$I$6))),"x",""))</f>
        <v/>
      </c>
      <c r="S4402" s="52" t="str">
        <f>IF(ISERROR(FIND('112'!$M$9,G4402,1)),"",IF((AND(LEFT(G4402,2)=LEFT('112'!$M$9,2),B4402&lt;'112'!$N$8,$L4402='112'!$I$6)),"x",""))</f>
        <v/>
      </c>
      <c r="T4402" s="52" t="str">
        <f>IF(ISERROR(FIND('112'!$M$9,G4402,1)),"",IF((AND(RIGHT(G4402,2)=RIGHT('112'!$M$9,2),B4402&lt;'112'!$N$8,$M4402='112'!$I$6)),"x",""))</f>
        <v/>
      </c>
      <c r="U4402" s="52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V4402" s="52" t="str">
        <f>IF(OR(TH!L4402=TH!$V$7,M4402=TH!$V$7),"x","")</f>
        <v/>
      </c>
      <c r="W4402" s="52" t="str">
        <f>IF(AND(B4402&gt;='IN-NX'!$P$3,B4402&lt;='IN-NX'!$Q$3,'IN-NX'!$D$7=D4402,OR(LEFT(L4402,2)="15",AND(LEFT(M4402,2)&lt;&gt;"15",LEFT(M4402,2)&lt;&gt;"33"))),"x","")</f>
        <v/>
      </c>
      <c r="X4402" s="52" t="str">
        <f>IF(AND(OR(LEFT(TH!L4402,2)="15",LEFT(TH!M4402,2)="15"),'152-CT'!$J$8=TH!F4402),"x","")</f>
        <v/>
      </c>
      <c r="Y4402" s="52" t="str">
        <f>IF(AND(OR(LEFT(TH!L4402,2)="15",LEFT(TH!M4402,2)="15"),TK!$E$7=TH!F4402),"x","")</f>
        <v/>
      </c>
      <c r="Z4402" s="52" t="str">
        <f>IF(AND(B4402&lt;=NKC!$N$8,B4402&gt;=NKC!$M$8),"x","")</f>
        <v/>
      </c>
      <c r="AA4402" s="826"/>
    </row>
    <row r="4403" spans="1:27" ht="15.75" customHeight="1">
      <c r="A4403" s="827" t="str">
        <f>IF(B4403&lt;&gt;"",IF(AND(B4403&gt;=_TM1,B4403&lt;=_TM2,OR(TH!L4403="1111",TH!M4403="1111")),TH!D4403,""),"")</f>
        <v/>
      </c>
      <c r="B4403" s="36" t="str">
        <f t="shared" si="523"/>
        <v/>
      </c>
      <c r="C4403" s="190"/>
      <c r="D4403" s="37"/>
      <c r="E4403" s="190"/>
      <c r="F4403" s="40"/>
      <c r="G4403" s="832"/>
      <c r="H4403" s="7"/>
      <c r="I4403" s="253"/>
      <c r="J4403" s="253"/>
      <c r="K4403" s="584"/>
      <c r="L4403" s="39"/>
      <c r="M4403" s="39"/>
      <c r="N4403" s="52" t="str">
        <f>IF(AND('331-CT'!$E$7=TH!H4403,OR(L4403="331",M4403="331")),"331",IF(AND(OR(L4403="131",M4403="131"),H4403='131-CT'!$E$7),"131",""))</f>
        <v/>
      </c>
      <c r="O4403" s="52" t="str">
        <f>IF(AND($B4403&gt;='111'!$N$11,$B4403&lt;='111'!$O$11,OR($L4403=$O$7,$M4403=$O$7)),"x","")</f>
        <v/>
      </c>
      <c r="P4403" s="52" t="str">
        <f>IF(AND($L4403=$O$7,$B4403&lt;'111'!$N$11),"x","")</f>
        <v/>
      </c>
      <c r="Q4403" s="52" t="str">
        <f>IF(AND($M4403=$O$7,$B4403&lt;'111'!$N$11),"x","")</f>
        <v/>
      </c>
      <c r="R4403" s="52" t="str">
        <f>IF(ISERROR(FIND('112'!$M$9,G4403,1)),"",IF((AND(FIND('112'!$M$9,G4403,1)&gt;=1,$B4403&gt;='112'!$N$8,$B4403&lt;='112'!$O$8,OR($L4403='112'!$I$6,$M4403='112'!$I$6))),"x",""))</f>
        <v/>
      </c>
      <c r="S4403" s="52" t="str">
        <f>IF(ISERROR(FIND('112'!$M$9,G4403,1)),"",IF((AND(LEFT(G4403,2)=LEFT('112'!$M$9,2),B4403&lt;'112'!$N$8,$L4403='112'!$I$6)),"x",""))</f>
        <v/>
      </c>
      <c r="T4403" s="52" t="str">
        <f>IF(ISERROR(FIND('112'!$M$9,G4403,1)),"",IF((AND(RIGHT(G4403,2)=RIGHT('112'!$M$9,2),B4403&lt;'112'!$N$8,$M4403='112'!$I$6)),"x",""))</f>
        <v/>
      </c>
      <c r="U4403" s="52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V4403" s="52" t="str">
        <f>IF(OR(TH!L4403=TH!$V$7,M4403=TH!$V$7),"x","")</f>
        <v/>
      </c>
      <c r="W4403" s="52" t="str">
        <f>IF(AND(B4403&gt;='IN-NX'!$P$3,B4403&lt;='IN-NX'!$Q$3,'IN-NX'!$D$7=D4403,OR(LEFT(L4403,2)="15",AND(LEFT(M4403,2)&lt;&gt;"15",LEFT(M4403,2)&lt;&gt;"33"))),"x","")</f>
        <v/>
      </c>
      <c r="X4403" s="52" t="str">
        <f>IF(AND(OR(LEFT(TH!L4403,2)="15",LEFT(TH!M4403,2)="15"),'152-CT'!$J$8=TH!F4403),"x","")</f>
        <v/>
      </c>
      <c r="Y4403" s="52" t="str">
        <f>IF(AND(OR(LEFT(TH!L4403,2)="15",LEFT(TH!M4403,2)="15"),TK!$E$7=TH!F4403),"x","")</f>
        <v/>
      </c>
      <c r="Z4403" s="52" t="str">
        <f>IF(AND(B4403&lt;=NKC!$N$8,B4403&gt;=NKC!$M$8),"x","")</f>
        <v/>
      </c>
      <c r="AA4403" s="826"/>
    </row>
    <row r="4404" spans="1:27" ht="15.75" customHeight="1">
      <c r="A4404" s="827" t="str">
        <f>IF(B4404&lt;&gt;"",IF(AND(B4404&gt;=_TM1,B4404&lt;=_TM2,OR(TH!L4404="1111",TH!M4404="1111")),TH!D4404,""),"")</f>
        <v/>
      </c>
      <c r="B4404" s="36" t="str">
        <f t="shared" si="523"/>
        <v/>
      </c>
      <c r="C4404" s="190"/>
      <c r="D4404" s="37"/>
      <c r="E4404" s="190"/>
      <c r="F4404" s="40"/>
      <c r="G4404" s="832"/>
      <c r="H4404" s="7"/>
      <c r="I4404" s="253"/>
      <c r="J4404" s="253"/>
      <c r="K4404" s="584"/>
      <c r="L4404" s="39"/>
      <c r="M4404" s="39"/>
      <c r="N4404" s="52" t="str">
        <f>IF(AND('331-CT'!$E$7=TH!H4404,OR(L4404="331",M4404="331")),"331",IF(AND(OR(L4404="131",M4404="131"),H4404='131-CT'!$E$7),"131",""))</f>
        <v/>
      </c>
      <c r="O4404" s="52" t="str">
        <f>IF(AND($B4404&gt;='111'!$N$11,$B4404&lt;='111'!$O$11,OR($L4404=$O$7,$M4404=$O$7)),"x","")</f>
        <v/>
      </c>
      <c r="P4404" s="52" t="str">
        <f>IF(AND($L4404=$O$7,$B4404&lt;'111'!$N$11),"x","")</f>
        <v/>
      </c>
      <c r="Q4404" s="52" t="str">
        <f>IF(AND($M4404=$O$7,$B4404&lt;'111'!$N$11),"x","")</f>
        <v/>
      </c>
      <c r="R4404" s="52" t="str">
        <f>IF(ISERROR(FIND('112'!$M$9,G4404,1)),"",IF((AND(FIND('112'!$M$9,G4404,1)&gt;=1,$B4404&gt;='112'!$N$8,$B4404&lt;='112'!$O$8,OR($L4404='112'!$I$6,$M4404='112'!$I$6))),"x",""))</f>
        <v/>
      </c>
      <c r="S4404" s="52" t="str">
        <f>IF(ISERROR(FIND('112'!$M$9,G4404,1)),"",IF((AND(LEFT(G4404,2)=LEFT('112'!$M$9,2),B4404&lt;'112'!$N$8,$L4404='112'!$I$6)),"x",""))</f>
        <v/>
      </c>
      <c r="T4404" s="52" t="str">
        <f>IF(ISERROR(FIND('112'!$M$9,G4404,1)),"",IF((AND(RIGHT(G4404,2)=RIGHT('112'!$M$9,2),B4404&lt;'112'!$N$8,$M4404='112'!$I$6)),"x",""))</f>
        <v/>
      </c>
      <c r="U4404" s="52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V4404" s="52" t="str">
        <f>IF(OR(TH!L4404=TH!$V$7,M4404=TH!$V$7),"x","")</f>
        <v/>
      </c>
      <c r="W4404" s="52" t="str">
        <f>IF(AND(B4404&gt;='IN-NX'!$P$3,B4404&lt;='IN-NX'!$Q$3,'IN-NX'!$D$7=D4404,OR(LEFT(L4404,2)="15",AND(LEFT(M4404,2)&lt;&gt;"15",LEFT(M4404,2)&lt;&gt;"33"))),"x","")</f>
        <v/>
      </c>
      <c r="X4404" s="52" t="str">
        <f>IF(AND(OR(LEFT(TH!L4404,2)="15",LEFT(TH!M4404,2)="15"),'152-CT'!$J$8=TH!F4404),"x","")</f>
        <v/>
      </c>
      <c r="Y4404" s="52" t="str">
        <f>IF(AND(OR(LEFT(TH!L4404,2)="15",LEFT(TH!M4404,2)="15"),TK!$E$7=TH!F4404),"x","")</f>
        <v/>
      </c>
      <c r="Z4404" s="52" t="str">
        <f>IF(AND(B4404&lt;=NKC!$N$8,B4404&gt;=NKC!$M$8),"x","")</f>
        <v/>
      </c>
      <c r="AA4404" s="826"/>
    </row>
    <row r="4405" spans="1:27" ht="15.75" customHeight="1">
      <c r="A4405" s="827" t="str">
        <f>IF(B4405&lt;&gt;"",IF(AND(B4405&gt;=_TM1,B4405&lt;=_TM2,OR(TH!L4405="1111",TH!M4405="1111")),TH!D4405,""),"")</f>
        <v/>
      </c>
      <c r="B4405" s="36" t="str">
        <f t="shared" si="523"/>
        <v/>
      </c>
      <c r="C4405" s="190"/>
      <c r="D4405" s="37"/>
      <c r="E4405" s="190"/>
      <c r="F4405" s="40"/>
      <c r="G4405" s="832"/>
      <c r="H4405" s="7"/>
      <c r="I4405" s="253"/>
      <c r="J4405" s="253"/>
      <c r="K4405" s="584"/>
      <c r="L4405" s="39"/>
      <c r="M4405" s="39"/>
      <c r="N4405" s="52" t="str">
        <f>IF(AND('331-CT'!$E$7=TH!H4405,OR(L4405="331",M4405="331")),"331",IF(AND(OR(L4405="131",M4405="131"),H4405='131-CT'!$E$7),"131",""))</f>
        <v/>
      </c>
      <c r="O4405" s="52" t="str">
        <f>IF(AND($B4405&gt;='111'!$N$11,$B4405&lt;='111'!$O$11,OR($L4405=$O$7,$M4405=$O$7)),"x","")</f>
        <v/>
      </c>
      <c r="P4405" s="52" t="str">
        <f>IF(AND($L4405=$O$7,$B4405&lt;'111'!$N$11),"x","")</f>
        <v/>
      </c>
      <c r="Q4405" s="52" t="str">
        <f>IF(AND($M4405=$O$7,$B4405&lt;'111'!$N$11),"x","")</f>
        <v/>
      </c>
      <c r="R4405" s="52" t="str">
        <f>IF(ISERROR(FIND('112'!$M$9,G4405,1)),"",IF((AND(FIND('112'!$M$9,G4405,1)&gt;=1,$B4405&gt;='112'!$N$8,$B4405&lt;='112'!$O$8,OR($L4405='112'!$I$6,$M4405='112'!$I$6))),"x",""))</f>
        <v/>
      </c>
      <c r="S4405" s="52" t="str">
        <f>IF(ISERROR(FIND('112'!$M$9,G4405,1)),"",IF((AND(LEFT(G4405,2)=LEFT('112'!$M$9,2),B4405&lt;'112'!$N$8,$L4405='112'!$I$6)),"x",""))</f>
        <v/>
      </c>
      <c r="T4405" s="52" t="str">
        <f>IF(ISERROR(FIND('112'!$M$9,G4405,1)),"",IF((AND(RIGHT(G4405,2)=RIGHT('112'!$M$9,2),B4405&lt;'112'!$N$8,$M4405='112'!$I$6)),"x",""))</f>
        <v/>
      </c>
      <c r="U4405" s="52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V4405" s="52" t="str">
        <f>IF(OR(TH!L4405=TH!$V$7,M4405=TH!$V$7),"x","")</f>
        <v/>
      </c>
      <c r="W4405" s="52" t="str">
        <f>IF(AND(B4405&gt;='IN-NX'!$P$3,B4405&lt;='IN-NX'!$Q$3,'IN-NX'!$D$7=D4405,OR(LEFT(L4405,2)="15",AND(LEFT(M4405,2)&lt;&gt;"15",LEFT(M4405,2)&lt;&gt;"33"))),"x","")</f>
        <v/>
      </c>
      <c r="X4405" s="52" t="str">
        <f>IF(AND(OR(LEFT(TH!L4405,2)="15",LEFT(TH!M4405,2)="15"),'152-CT'!$J$8=TH!F4405),"x","")</f>
        <v/>
      </c>
      <c r="Y4405" s="52" t="str">
        <f>IF(AND(OR(LEFT(TH!L4405,2)="15",LEFT(TH!M4405,2)="15"),TK!$E$7=TH!F4405),"x","")</f>
        <v/>
      </c>
      <c r="Z4405" s="52" t="str">
        <f>IF(AND(B4405&lt;=NKC!$N$8,B4405&gt;=NKC!$M$8),"x","")</f>
        <v/>
      </c>
      <c r="AA4405" s="826"/>
    </row>
    <row r="4406" spans="1:27" ht="15.75" customHeight="1">
      <c r="A4406" s="827" t="str">
        <f>IF(B4406&lt;&gt;"",IF(AND(B4406&gt;=_TM1,B4406&lt;=_TM2,OR(TH!L4406="1111",TH!M4406="1111")),TH!D4406,""),"")</f>
        <v/>
      </c>
      <c r="B4406" s="36" t="str">
        <f t="shared" si="523"/>
        <v/>
      </c>
      <c r="C4406" s="190"/>
      <c r="D4406" s="37"/>
      <c r="E4406" s="190"/>
      <c r="F4406" s="40"/>
      <c r="G4406" s="832"/>
      <c r="H4406" s="7"/>
      <c r="I4406" s="253"/>
      <c r="J4406" s="253"/>
      <c r="K4406" s="584"/>
      <c r="L4406" s="39"/>
      <c r="M4406" s="39"/>
      <c r="N4406" s="52" t="str">
        <f>IF(AND('331-CT'!$E$7=TH!H4406,OR(L4406="331",M4406="331")),"331",IF(AND(OR(L4406="131",M4406="131"),H4406='131-CT'!$E$7),"131",""))</f>
        <v/>
      </c>
      <c r="O4406" s="52" t="str">
        <f>IF(AND($B4406&gt;='111'!$N$11,$B4406&lt;='111'!$O$11,OR($L4406=$O$7,$M4406=$O$7)),"x","")</f>
        <v/>
      </c>
      <c r="P4406" s="52" t="str">
        <f>IF(AND($L4406=$O$7,$B4406&lt;'111'!$N$11),"x","")</f>
        <v/>
      </c>
      <c r="Q4406" s="52" t="str">
        <f>IF(AND($M4406=$O$7,$B4406&lt;'111'!$N$11),"x","")</f>
        <v/>
      </c>
      <c r="R4406" s="52" t="str">
        <f>IF(ISERROR(FIND('112'!$M$9,G4406,1)),"",IF((AND(FIND('112'!$M$9,G4406,1)&gt;=1,$B4406&gt;='112'!$N$8,$B4406&lt;='112'!$O$8,OR($L4406='112'!$I$6,$M4406='112'!$I$6))),"x",""))</f>
        <v/>
      </c>
      <c r="S4406" s="52" t="str">
        <f>IF(ISERROR(FIND('112'!$M$9,G4406,1)),"",IF((AND(LEFT(G4406,2)=LEFT('112'!$M$9,2),B4406&lt;'112'!$N$8,$L4406='112'!$I$6)),"x",""))</f>
        <v/>
      </c>
      <c r="T4406" s="52" t="str">
        <f>IF(ISERROR(FIND('112'!$M$9,G4406,1)),"",IF((AND(RIGHT(G4406,2)=RIGHT('112'!$M$9,2),B4406&lt;'112'!$N$8,$M4406='112'!$I$6)),"x",""))</f>
        <v/>
      </c>
      <c r="U4406" s="52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V4406" s="52" t="str">
        <f>IF(OR(TH!L4406=TH!$V$7,M4406=TH!$V$7),"x","")</f>
        <v/>
      </c>
      <c r="W4406" s="52" t="str">
        <f>IF(AND(B4406&gt;='IN-NX'!$P$3,B4406&lt;='IN-NX'!$Q$3,'IN-NX'!$D$7=D4406,OR(LEFT(L4406,2)="15",AND(LEFT(M4406,2)&lt;&gt;"15",LEFT(M4406,2)&lt;&gt;"33"))),"x","")</f>
        <v/>
      </c>
      <c r="X4406" s="52" t="str">
        <f>IF(AND(OR(LEFT(TH!L4406,2)="15",LEFT(TH!M4406,2)="15"),'152-CT'!$J$8=TH!F4406),"x","")</f>
        <v/>
      </c>
      <c r="Y4406" s="52" t="str">
        <f>IF(AND(OR(LEFT(TH!L4406,2)="15",LEFT(TH!M4406,2)="15"),TK!$E$7=TH!F4406),"x","")</f>
        <v/>
      </c>
      <c r="Z4406" s="52" t="str">
        <f>IF(AND(B4406&lt;=NKC!$N$8,B4406&gt;=NKC!$M$8),"x","")</f>
        <v/>
      </c>
      <c r="AA4406" s="826"/>
    </row>
    <row r="4407" spans="1:27" ht="15.75" customHeight="1">
      <c r="A4407" s="827" t="str">
        <f>IF(B4407&lt;&gt;"",IF(AND(B4407&gt;=_TM1,B4407&lt;=_TM2,OR(TH!L4407="1111",TH!M4407="1111")),TH!D4407,""),"")</f>
        <v/>
      </c>
      <c r="B4407" s="36" t="str">
        <f t="shared" si="523"/>
        <v/>
      </c>
      <c r="C4407" s="190"/>
      <c r="D4407" s="37"/>
      <c r="E4407" s="190"/>
      <c r="F4407" s="40"/>
      <c r="G4407" s="832"/>
      <c r="H4407" s="7"/>
      <c r="I4407" s="253"/>
      <c r="J4407" s="253"/>
      <c r="K4407" s="584"/>
      <c r="L4407" s="39"/>
      <c r="M4407" s="39"/>
      <c r="N4407" s="52" t="str">
        <f>IF(AND('331-CT'!$E$7=TH!H4407,OR(L4407="331",M4407="331")),"331",IF(AND(OR(L4407="131",M4407="131"),H4407='131-CT'!$E$7),"131",""))</f>
        <v/>
      </c>
      <c r="O4407" s="52" t="str">
        <f>IF(AND($B4407&gt;='111'!$N$11,$B4407&lt;='111'!$O$11,OR($L4407=$O$7,$M4407=$O$7)),"x","")</f>
        <v/>
      </c>
      <c r="P4407" s="52" t="str">
        <f>IF(AND($L4407=$O$7,$B4407&lt;'111'!$N$11),"x","")</f>
        <v/>
      </c>
      <c r="Q4407" s="52" t="str">
        <f>IF(AND($M4407=$O$7,$B4407&lt;'111'!$N$11),"x","")</f>
        <v/>
      </c>
      <c r="R4407" s="52" t="str">
        <f>IF(ISERROR(FIND('112'!$M$9,G4407,1)),"",IF((AND(FIND('112'!$M$9,G4407,1)&gt;=1,$B4407&gt;='112'!$N$8,$B4407&lt;='112'!$O$8,OR($L4407='112'!$I$6,$M4407='112'!$I$6))),"x",""))</f>
        <v/>
      </c>
      <c r="S4407" s="52" t="str">
        <f>IF(ISERROR(FIND('112'!$M$9,G4407,1)),"",IF((AND(LEFT(G4407,2)=LEFT('112'!$M$9,2),B4407&lt;'112'!$N$8,$L4407='112'!$I$6)),"x",""))</f>
        <v/>
      </c>
      <c r="T4407" s="52" t="str">
        <f>IF(ISERROR(FIND('112'!$M$9,G4407,1)),"",IF((AND(RIGHT(G4407,2)=RIGHT('112'!$M$9,2),B4407&lt;'112'!$N$8,$M4407='112'!$I$6)),"x",""))</f>
        <v/>
      </c>
      <c r="U4407" s="52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V4407" s="52" t="str">
        <f>IF(OR(TH!L4407=TH!$V$7,M4407=TH!$V$7),"x","")</f>
        <v/>
      </c>
      <c r="W4407" s="52" t="str">
        <f>IF(AND(B4407&gt;='IN-NX'!$P$3,B4407&lt;='IN-NX'!$Q$3,'IN-NX'!$D$7=D4407,OR(LEFT(L4407,2)="15",AND(LEFT(M4407,2)&lt;&gt;"15",LEFT(M4407,2)&lt;&gt;"33"))),"x","")</f>
        <v/>
      </c>
      <c r="X4407" s="52" t="str">
        <f>IF(AND(OR(LEFT(TH!L4407,2)="15",LEFT(TH!M4407,2)="15"),'152-CT'!$J$8=TH!F4407),"x","")</f>
        <v/>
      </c>
      <c r="Y4407" s="52" t="str">
        <f>IF(AND(OR(LEFT(TH!L4407,2)="15",LEFT(TH!M4407,2)="15"),TK!$E$7=TH!F4407),"x","")</f>
        <v/>
      </c>
      <c r="Z4407" s="52" t="str">
        <f>IF(AND(B4407&lt;=NKC!$N$8,B4407&gt;=NKC!$M$8),"x","")</f>
        <v/>
      </c>
      <c r="AA4407" s="826"/>
    </row>
    <row r="4408" spans="1:27" ht="15.75" customHeight="1">
      <c r="A4408" s="827" t="str">
        <f>IF(B4408&lt;&gt;"",IF(AND(B4408&gt;=_TM1,B4408&lt;=_TM2,OR(TH!L4408="1111",TH!M4408="1111")),TH!D4408,""),"")</f>
        <v/>
      </c>
      <c r="B4408" s="36" t="str">
        <f t="shared" si="523"/>
        <v/>
      </c>
      <c r="C4408" s="190"/>
      <c r="D4408" s="37"/>
      <c r="E4408" s="190"/>
      <c r="F4408" s="40"/>
      <c r="G4408" s="832"/>
      <c r="H4408" s="7"/>
      <c r="I4408" s="253"/>
      <c r="J4408" s="253"/>
      <c r="K4408" s="584"/>
      <c r="L4408" s="39"/>
      <c r="M4408" s="39"/>
      <c r="N4408" s="52" t="str">
        <f>IF(AND('331-CT'!$E$7=TH!H4408,OR(L4408="331",M4408="331")),"331",IF(AND(OR(L4408="131",M4408="131"),H4408='131-CT'!$E$7),"131",""))</f>
        <v/>
      </c>
      <c r="O4408" s="52" t="str">
        <f>IF(AND($B4408&gt;='111'!$N$11,$B4408&lt;='111'!$O$11,OR($L4408=$O$7,$M4408=$O$7)),"x","")</f>
        <v/>
      </c>
      <c r="P4408" s="52" t="str">
        <f>IF(AND($L4408=$O$7,$B4408&lt;'111'!$N$11),"x","")</f>
        <v/>
      </c>
      <c r="Q4408" s="52" t="str">
        <f>IF(AND($M4408=$O$7,$B4408&lt;'111'!$N$11),"x","")</f>
        <v/>
      </c>
      <c r="R4408" s="52" t="str">
        <f>IF(ISERROR(FIND('112'!$M$9,G4408,1)),"",IF((AND(FIND('112'!$M$9,G4408,1)&gt;=1,$B4408&gt;='112'!$N$8,$B4408&lt;='112'!$O$8,OR($L4408='112'!$I$6,$M4408='112'!$I$6))),"x",""))</f>
        <v/>
      </c>
      <c r="S4408" s="52" t="str">
        <f>IF(ISERROR(FIND('112'!$M$9,G4408,1)),"",IF((AND(LEFT(G4408,2)=LEFT('112'!$M$9,2),B4408&lt;'112'!$N$8,$L4408='112'!$I$6)),"x",""))</f>
        <v/>
      </c>
      <c r="T4408" s="52" t="str">
        <f>IF(ISERROR(FIND('112'!$M$9,G4408,1)),"",IF((AND(RIGHT(G4408,2)=RIGHT('112'!$M$9,2),B4408&lt;'112'!$N$8,$M4408='112'!$I$6)),"x",""))</f>
        <v/>
      </c>
      <c r="U4408" s="52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V4408" s="52" t="str">
        <f>IF(OR(TH!L4408=TH!$V$7,M4408=TH!$V$7),"x","")</f>
        <v/>
      </c>
      <c r="W4408" s="52" t="str">
        <f>IF(AND(B4408&gt;='IN-NX'!$P$3,B4408&lt;='IN-NX'!$Q$3,'IN-NX'!$D$7=D4408,OR(LEFT(L4408,2)="15",AND(LEFT(M4408,2)&lt;&gt;"15",LEFT(M4408,2)&lt;&gt;"33"))),"x","")</f>
        <v/>
      </c>
      <c r="X4408" s="52" t="str">
        <f>IF(AND(OR(LEFT(TH!L4408,2)="15",LEFT(TH!M4408,2)="15"),'152-CT'!$J$8=TH!F4408),"x","")</f>
        <v/>
      </c>
      <c r="Y4408" s="52" t="str">
        <f>IF(AND(OR(LEFT(TH!L4408,2)="15",LEFT(TH!M4408,2)="15"),TK!$E$7=TH!F4408),"x","")</f>
        <v/>
      </c>
      <c r="Z4408" s="52" t="str">
        <f>IF(AND(B4408&lt;=NKC!$N$8,B4408&gt;=NKC!$M$8),"x","")</f>
        <v/>
      </c>
      <c r="AA4408" s="826"/>
    </row>
    <row r="4409" spans="1:27" ht="15.75" customHeight="1">
      <c r="A4409" s="827" t="str">
        <f>IF(B4409&lt;&gt;"",IF(AND(B4409&gt;=_TM1,B4409&lt;=_TM2,OR(TH!L4409="1111",TH!M4409="1111")),TH!D4409,""),"")</f>
        <v/>
      </c>
      <c r="B4409" s="36" t="str">
        <f t="shared" si="523"/>
        <v/>
      </c>
      <c r="C4409" s="190"/>
      <c r="D4409" s="37"/>
      <c r="E4409" s="190"/>
      <c r="F4409" s="40"/>
      <c r="G4409" s="832"/>
      <c r="H4409" s="7"/>
      <c r="I4409" s="253"/>
      <c r="J4409" s="253"/>
      <c r="K4409" s="584"/>
      <c r="L4409" s="39"/>
      <c r="M4409" s="39"/>
      <c r="N4409" s="52" t="str">
        <f>IF(AND('331-CT'!$E$7=TH!H4409,OR(L4409="331",M4409="331")),"331",IF(AND(OR(L4409="131",M4409="131"),H4409='131-CT'!$E$7),"131",""))</f>
        <v/>
      </c>
      <c r="O4409" s="52" t="str">
        <f>IF(AND($B4409&gt;='111'!$N$11,$B4409&lt;='111'!$O$11,OR($L4409=$O$7,$M4409=$O$7)),"x","")</f>
        <v/>
      </c>
      <c r="P4409" s="52" t="str">
        <f>IF(AND($L4409=$O$7,$B4409&lt;'111'!$N$11),"x","")</f>
        <v/>
      </c>
      <c r="Q4409" s="52" t="str">
        <f>IF(AND($M4409=$O$7,$B4409&lt;'111'!$N$11),"x","")</f>
        <v/>
      </c>
      <c r="R4409" s="52" t="str">
        <f>IF(ISERROR(FIND('112'!$M$9,G4409,1)),"",IF((AND(FIND('112'!$M$9,G4409,1)&gt;=1,$B4409&gt;='112'!$N$8,$B4409&lt;='112'!$O$8,OR($L4409='112'!$I$6,$M4409='112'!$I$6))),"x",""))</f>
        <v/>
      </c>
      <c r="S4409" s="52" t="str">
        <f>IF(ISERROR(FIND('112'!$M$9,G4409,1)),"",IF((AND(LEFT(G4409,2)=LEFT('112'!$M$9,2),B4409&lt;'112'!$N$8,$L4409='112'!$I$6)),"x",""))</f>
        <v/>
      </c>
      <c r="T4409" s="52" t="str">
        <f>IF(ISERROR(FIND('112'!$M$9,G4409,1)),"",IF((AND(RIGHT(G4409,2)=RIGHT('112'!$M$9,2),B4409&lt;'112'!$N$8,$M4409='112'!$I$6)),"x",""))</f>
        <v/>
      </c>
      <c r="U4409" s="52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V4409" s="52" t="str">
        <f>IF(OR(TH!L4409=TH!$V$7,M4409=TH!$V$7),"x","")</f>
        <v/>
      </c>
      <c r="W4409" s="52" t="str">
        <f>IF(AND(B4409&gt;='IN-NX'!$P$3,B4409&lt;='IN-NX'!$Q$3,'IN-NX'!$D$7=D4409,OR(LEFT(L4409,2)="15",AND(LEFT(M4409,2)&lt;&gt;"15",LEFT(M4409,2)&lt;&gt;"33"))),"x","")</f>
        <v/>
      </c>
      <c r="X4409" s="52" t="str">
        <f>IF(AND(OR(LEFT(TH!L4409,2)="15",LEFT(TH!M4409,2)="15"),'152-CT'!$J$8=TH!F4409),"x","")</f>
        <v/>
      </c>
      <c r="Y4409" s="52" t="str">
        <f>IF(AND(OR(LEFT(TH!L4409,2)="15",LEFT(TH!M4409,2)="15"),TK!$E$7=TH!F4409),"x","")</f>
        <v/>
      </c>
      <c r="Z4409" s="52" t="str">
        <f>IF(AND(B4409&lt;=NKC!$N$8,B4409&gt;=NKC!$M$8),"x","")</f>
        <v/>
      </c>
      <c r="AA4409" s="826"/>
    </row>
    <row r="4410" spans="1:27" ht="15.75" customHeight="1">
      <c r="A4410" s="827" t="str">
        <f>IF(B4410&lt;&gt;"",IF(AND(B4410&gt;=_TM1,B4410&lt;=_TM2,OR(TH!L4410="1111",TH!M4410="1111")),TH!D4410,""),"")</f>
        <v/>
      </c>
      <c r="B4410" s="36" t="str">
        <f t="shared" si="523"/>
        <v/>
      </c>
      <c r="C4410" s="190"/>
      <c r="D4410" s="37"/>
      <c r="E4410" s="190"/>
      <c r="F4410" s="40"/>
      <c r="G4410" s="832"/>
      <c r="H4410" s="7"/>
      <c r="I4410" s="253"/>
      <c r="J4410" s="253"/>
      <c r="K4410" s="584"/>
      <c r="L4410" s="39"/>
      <c r="M4410" s="39"/>
      <c r="N4410" s="52" t="str">
        <f>IF(AND('331-CT'!$E$7=TH!H4410,OR(L4410="331",M4410="331")),"331",IF(AND(OR(L4410="131",M4410="131"),H4410='131-CT'!$E$7),"131",""))</f>
        <v/>
      </c>
      <c r="O4410" s="52" t="str">
        <f>IF(AND($B4410&gt;='111'!$N$11,$B4410&lt;='111'!$O$11,OR($L4410=$O$7,$M4410=$O$7)),"x","")</f>
        <v/>
      </c>
      <c r="P4410" s="52" t="str">
        <f>IF(AND($L4410=$O$7,$B4410&lt;'111'!$N$11),"x","")</f>
        <v/>
      </c>
      <c r="Q4410" s="52" t="str">
        <f>IF(AND($M4410=$O$7,$B4410&lt;'111'!$N$11),"x","")</f>
        <v/>
      </c>
      <c r="R4410" s="52" t="str">
        <f>IF(ISERROR(FIND('112'!$M$9,G4410,1)),"",IF((AND(FIND('112'!$M$9,G4410,1)&gt;=1,$B4410&gt;='112'!$N$8,$B4410&lt;='112'!$O$8,OR($L4410='112'!$I$6,$M4410='112'!$I$6))),"x",""))</f>
        <v/>
      </c>
      <c r="S4410" s="52" t="str">
        <f>IF(ISERROR(FIND('112'!$M$9,G4410,1)),"",IF((AND(LEFT(G4410,2)=LEFT('112'!$M$9,2),B4410&lt;'112'!$N$8,$L4410='112'!$I$6)),"x",""))</f>
        <v/>
      </c>
      <c r="T4410" s="52" t="str">
        <f>IF(ISERROR(FIND('112'!$M$9,G4410,1)),"",IF((AND(RIGHT(G4410,2)=RIGHT('112'!$M$9,2),B4410&lt;'112'!$N$8,$M4410='112'!$I$6)),"x",""))</f>
        <v/>
      </c>
      <c r="U4410" s="52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V4410" s="52" t="str">
        <f>IF(OR(TH!L4410=TH!$V$7,M4410=TH!$V$7),"x","")</f>
        <v/>
      </c>
      <c r="W4410" s="52" t="str">
        <f>IF(AND(B4410&gt;='IN-NX'!$P$3,B4410&lt;='IN-NX'!$Q$3,'IN-NX'!$D$7=D4410,OR(LEFT(L4410,2)="15",AND(LEFT(M4410,2)&lt;&gt;"15",LEFT(M4410,2)&lt;&gt;"33"))),"x","")</f>
        <v/>
      </c>
      <c r="X4410" s="52" t="str">
        <f>IF(AND(OR(LEFT(TH!L4410,2)="15",LEFT(TH!M4410,2)="15"),'152-CT'!$J$8=TH!F4410),"x","")</f>
        <v/>
      </c>
      <c r="Y4410" s="52" t="str">
        <f>IF(AND(OR(LEFT(TH!L4410,2)="15",LEFT(TH!M4410,2)="15"),TK!$E$7=TH!F4410),"x","")</f>
        <v/>
      </c>
      <c r="Z4410" s="52" t="str">
        <f>IF(AND(B4410&lt;=NKC!$N$8,B4410&gt;=NKC!$M$8),"x","")</f>
        <v/>
      </c>
      <c r="AA4410" s="826"/>
    </row>
    <row r="4411" spans="1:27" ht="15.75" customHeight="1">
      <c r="A4411" s="827" t="str">
        <f>IF(B4411&lt;&gt;"",IF(AND(B4411&gt;=_TM1,B4411&lt;=_TM2,OR(TH!L4411="1111",TH!M4411="1111")),TH!D4411,""),"")</f>
        <v/>
      </c>
      <c r="B4411" s="36" t="str">
        <f t="shared" si="523"/>
        <v/>
      </c>
      <c r="C4411" s="190"/>
      <c r="D4411" s="37"/>
      <c r="E4411" s="190"/>
      <c r="F4411" s="40"/>
      <c r="G4411" s="832"/>
      <c r="H4411" s="7"/>
      <c r="I4411" s="253"/>
      <c r="J4411" s="253"/>
      <c r="K4411" s="584"/>
      <c r="L4411" s="39"/>
      <c r="M4411" s="39"/>
      <c r="N4411" s="52" t="str">
        <f>IF(AND('331-CT'!$E$7=TH!H4411,OR(L4411="331",M4411="331")),"331",IF(AND(OR(L4411="131",M4411="131"),H4411='131-CT'!$E$7),"131",""))</f>
        <v/>
      </c>
      <c r="O4411" s="52" t="str">
        <f>IF(AND($B4411&gt;='111'!$N$11,$B4411&lt;='111'!$O$11,OR($L4411=$O$7,$M4411=$O$7)),"x","")</f>
        <v/>
      </c>
      <c r="P4411" s="52" t="str">
        <f>IF(AND($L4411=$O$7,$B4411&lt;'111'!$N$11),"x","")</f>
        <v/>
      </c>
      <c r="Q4411" s="52" t="str">
        <f>IF(AND($M4411=$O$7,$B4411&lt;'111'!$N$11),"x","")</f>
        <v/>
      </c>
      <c r="R4411" s="52" t="str">
        <f>IF(ISERROR(FIND('112'!$M$9,G4411,1)),"",IF((AND(FIND('112'!$M$9,G4411,1)&gt;=1,$B4411&gt;='112'!$N$8,$B4411&lt;='112'!$O$8,OR($L4411='112'!$I$6,$M4411='112'!$I$6))),"x",""))</f>
        <v/>
      </c>
      <c r="S4411" s="52" t="str">
        <f>IF(ISERROR(FIND('112'!$M$9,G4411,1)),"",IF((AND(LEFT(G4411,2)=LEFT('112'!$M$9,2),B4411&lt;'112'!$N$8,$L4411='112'!$I$6)),"x",""))</f>
        <v/>
      </c>
      <c r="T4411" s="52" t="str">
        <f>IF(ISERROR(FIND('112'!$M$9,G4411,1)),"",IF((AND(RIGHT(G4411,2)=RIGHT('112'!$M$9,2),B4411&lt;'112'!$N$8,$M4411='112'!$I$6)),"x",""))</f>
        <v/>
      </c>
      <c r="U4411" s="52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V4411" s="52" t="str">
        <f>IF(OR(TH!L4411=TH!$V$7,M4411=TH!$V$7),"x","")</f>
        <v/>
      </c>
      <c r="W4411" s="52" t="str">
        <f>IF(AND(B4411&gt;='IN-NX'!$P$3,B4411&lt;='IN-NX'!$Q$3,'IN-NX'!$D$7=D4411,OR(LEFT(L4411,2)="15",AND(LEFT(M4411,2)&lt;&gt;"15",LEFT(M4411,2)&lt;&gt;"33"))),"x","")</f>
        <v/>
      </c>
      <c r="X4411" s="52" t="str">
        <f>IF(AND(OR(LEFT(TH!L4411,2)="15",LEFT(TH!M4411,2)="15"),'152-CT'!$J$8=TH!F4411),"x","")</f>
        <v/>
      </c>
      <c r="Y4411" s="52" t="str">
        <f>IF(AND(OR(LEFT(TH!L4411,2)="15",LEFT(TH!M4411,2)="15"),TK!$E$7=TH!F4411),"x","")</f>
        <v/>
      </c>
      <c r="Z4411" s="52" t="str">
        <f>IF(AND(B4411&lt;=NKC!$N$8,B4411&gt;=NKC!$M$8),"x","")</f>
        <v/>
      </c>
      <c r="AA4411" s="826"/>
    </row>
    <row r="4412" spans="1:27" ht="15.75" customHeight="1">
      <c r="A4412" s="827" t="str">
        <f>IF(B4412&lt;&gt;"",IF(AND(B4412&gt;=_TM1,B4412&lt;=_TM2,OR(TH!L4412="1111",TH!M4412="1111")),TH!D4412,""),"")</f>
        <v/>
      </c>
      <c r="B4412" s="36" t="str">
        <f t="shared" si="523"/>
        <v/>
      </c>
      <c r="C4412" s="190"/>
      <c r="D4412" s="37"/>
      <c r="E4412" s="190"/>
      <c r="F4412" s="40"/>
      <c r="G4412" s="832"/>
      <c r="H4412" s="7"/>
      <c r="I4412" s="253"/>
      <c r="J4412" s="253"/>
      <c r="K4412" s="584"/>
      <c r="L4412" s="39"/>
      <c r="M4412" s="39"/>
      <c r="N4412" s="52" t="str">
        <f>IF(AND('331-CT'!$E$7=TH!H4412,OR(L4412="331",M4412="331")),"331",IF(AND(OR(L4412="131",M4412="131"),H4412='131-CT'!$E$7),"131",""))</f>
        <v/>
      </c>
      <c r="O4412" s="52" t="str">
        <f>IF(AND($B4412&gt;='111'!$N$11,$B4412&lt;='111'!$O$11,OR($L4412=$O$7,$M4412=$O$7)),"x","")</f>
        <v/>
      </c>
      <c r="P4412" s="52" t="str">
        <f>IF(AND($L4412=$O$7,$B4412&lt;'111'!$N$11),"x","")</f>
        <v/>
      </c>
      <c r="Q4412" s="52" t="str">
        <f>IF(AND($M4412=$O$7,$B4412&lt;'111'!$N$11),"x","")</f>
        <v/>
      </c>
      <c r="R4412" s="52" t="str">
        <f>IF(ISERROR(FIND('112'!$M$9,G4412,1)),"",IF((AND(FIND('112'!$M$9,G4412,1)&gt;=1,$B4412&gt;='112'!$N$8,$B4412&lt;='112'!$O$8,OR($L4412='112'!$I$6,$M4412='112'!$I$6))),"x",""))</f>
        <v/>
      </c>
      <c r="S4412" s="52" t="str">
        <f>IF(ISERROR(FIND('112'!$M$9,G4412,1)),"",IF((AND(LEFT(G4412,2)=LEFT('112'!$M$9,2),B4412&lt;'112'!$N$8,$L4412='112'!$I$6)),"x",""))</f>
        <v/>
      </c>
      <c r="T4412" s="52" t="str">
        <f>IF(ISERROR(FIND('112'!$M$9,G4412,1)),"",IF((AND(RIGHT(G4412,2)=RIGHT('112'!$M$9,2),B4412&lt;'112'!$N$8,$M4412='112'!$I$6)),"x",""))</f>
        <v/>
      </c>
      <c r="U4412" s="52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V4412" s="52" t="str">
        <f>IF(OR(TH!L4412=TH!$V$7,M4412=TH!$V$7),"x","")</f>
        <v/>
      </c>
      <c r="W4412" s="52" t="str">
        <f>IF(AND(B4412&gt;='IN-NX'!$P$3,B4412&lt;='IN-NX'!$Q$3,'IN-NX'!$D$7=D4412,OR(LEFT(L4412,2)="15",AND(LEFT(M4412,2)&lt;&gt;"15",LEFT(M4412,2)&lt;&gt;"33"))),"x","")</f>
        <v/>
      </c>
      <c r="X4412" s="52" t="str">
        <f>IF(AND(OR(LEFT(TH!L4412,2)="15",LEFT(TH!M4412,2)="15"),'152-CT'!$J$8=TH!F4412),"x","")</f>
        <v/>
      </c>
      <c r="Y4412" s="52" t="str">
        <f>IF(AND(OR(LEFT(TH!L4412,2)="15",LEFT(TH!M4412,2)="15"),TK!$E$7=TH!F4412),"x","")</f>
        <v/>
      </c>
      <c r="Z4412" s="52" t="str">
        <f>IF(AND(B4412&lt;=NKC!$N$8,B4412&gt;=NKC!$M$8),"x","")</f>
        <v/>
      </c>
      <c r="AA4412" s="826"/>
    </row>
    <row r="4413" spans="1:27" ht="15.75" customHeight="1">
      <c r="A4413" s="827" t="str">
        <f>IF(B4413&lt;&gt;"",IF(AND(B4413&gt;=_TM1,B4413&lt;=_TM2,OR(TH!L4413="1111",TH!M4413="1111")),TH!D4413,""),"")</f>
        <v/>
      </c>
      <c r="B4413" s="36" t="str">
        <f t="shared" si="523"/>
        <v/>
      </c>
      <c r="C4413" s="190"/>
      <c r="D4413" s="37"/>
      <c r="E4413" s="190"/>
      <c r="F4413" s="40"/>
      <c r="G4413" s="832"/>
      <c r="H4413" s="7"/>
      <c r="I4413" s="253"/>
      <c r="J4413" s="253"/>
      <c r="K4413" s="584"/>
      <c r="L4413" s="39"/>
      <c r="M4413" s="39"/>
      <c r="N4413" s="52" t="str">
        <f>IF(AND('331-CT'!$E$7=TH!H4413,OR(L4413="331",M4413="331")),"331",IF(AND(OR(L4413="131",M4413="131"),H4413='131-CT'!$E$7),"131",""))</f>
        <v/>
      </c>
      <c r="O4413" s="52" t="str">
        <f>IF(AND($B4413&gt;='111'!$N$11,$B4413&lt;='111'!$O$11,OR($L4413=$O$7,$M4413=$O$7)),"x","")</f>
        <v/>
      </c>
      <c r="P4413" s="52" t="str">
        <f>IF(AND($L4413=$O$7,$B4413&lt;'111'!$N$11),"x","")</f>
        <v/>
      </c>
      <c r="Q4413" s="52" t="str">
        <f>IF(AND($M4413=$O$7,$B4413&lt;'111'!$N$11),"x","")</f>
        <v/>
      </c>
      <c r="R4413" s="52" t="str">
        <f>IF(ISERROR(FIND('112'!$M$9,G4413,1)),"",IF((AND(FIND('112'!$M$9,G4413,1)&gt;=1,$B4413&gt;='112'!$N$8,$B4413&lt;='112'!$O$8,OR($L4413='112'!$I$6,$M4413='112'!$I$6))),"x",""))</f>
        <v/>
      </c>
      <c r="S4413" s="52" t="str">
        <f>IF(ISERROR(FIND('112'!$M$9,G4413,1)),"",IF((AND(LEFT(G4413,2)=LEFT('112'!$M$9,2),B4413&lt;'112'!$N$8,$L4413='112'!$I$6)),"x",""))</f>
        <v/>
      </c>
      <c r="T4413" s="52" t="str">
        <f>IF(ISERROR(FIND('112'!$M$9,G4413,1)),"",IF((AND(RIGHT(G4413,2)=RIGHT('112'!$M$9,2),B4413&lt;'112'!$N$8,$M4413='112'!$I$6)),"x",""))</f>
        <v/>
      </c>
      <c r="U4413" s="52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V4413" s="52" t="str">
        <f>IF(OR(TH!L4413=TH!$V$7,M4413=TH!$V$7),"x","")</f>
        <v/>
      </c>
      <c r="W4413" s="52" t="str">
        <f>IF(AND(B4413&gt;='IN-NX'!$P$3,B4413&lt;='IN-NX'!$Q$3,'IN-NX'!$D$7=D4413,OR(LEFT(L4413,2)="15",AND(LEFT(M4413,2)&lt;&gt;"15",LEFT(M4413,2)&lt;&gt;"33"))),"x","")</f>
        <v/>
      </c>
      <c r="X4413" s="52" t="str">
        <f>IF(AND(OR(LEFT(TH!L4413,2)="15",LEFT(TH!M4413,2)="15"),'152-CT'!$J$8=TH!F4413),"x","")</f>
        <v/>
      </c>
      <c r="Y4413" s="52" t="str">
        <f>IF(AND(OR(LEFT(TH!L4413,2)="15",LEFT(TH!M4413,2)="15"),TK!$E$7=TH!F4413),"x","")</f>
        <v/>
      </c>
      <c r="Z4413" s="52" t="str">
        <f>IF(AND(B4413&lt;=NKC!$N$8,B4413&gt;=NKC!$M$8),"x","")</f>
        <v/>
      </c>
      <c r="AA4413" s="826"/>
    </row>
    <row r="4414" spans="1:27" ht="15.75" customHeight="1">
      <c r="A4414" s="827" t="str">
        <f>IF(B4414&lt;&gt;"",IF(AND(B4414&gt;=_TM1,B4414&lt;=_TM2,OR(TH!L4414="1111",TH!M4414="1111")),TH!D4414,""),"")</f>
        <v/>
      </c>
      <c r="B4414" s="36" t="str">
        <f t="shared" si="523"/>
        <v/>
      </c>
      <c r="C4414" s="190"/>
      <c r="D4414" s="37"/>
      <c r="E4414" s="190"/>
      <c r="F4414" s="40"/>
      <c r="G4414" s="832"/>
      <c r="H4414" s="7"/>
      <c r="I4414" s="253"/>
      <c r="J4414" s="253"/>
      <c r="K4414" s="584"/>
      <c r="L4414" s="39"/>
      <c r="M4414" s="39"/>
      <c r="N4414" s="52" t="str">
        <f>IF(AND('331-CT'!$E$7=TH!H4414,OR(L4414="331",M4414="331")),"331",IF(AND(OR(L4414="131",M4414="131"),H4414='131-CT'!$E$7),"131",""))</f>
        <v/>
      </c>
      <c r="O4414" s="52" t="str">
        <f>IF(AND($B4414&gt;='111'!$N$11,$B4414&lt;='111'!$O$11,OR($L4414=$O$7,$M4414=$O$7)),"x","")</f>
        <v/>
      </c>
      <c r="P4414" s="52" t="str">
        <f>IF(AND($L4414=$O$7,$B4414&lt;'111'!$N$11),"x","")</f>
        <v/>
      </c>
      <c r="Q4414" s="52" t="str">
        <f>IF(AND($M4414=$O$7,$B4414&lt;'111'!$N$11),"x","")</f>
        <v/>
      </c>
      <c r="R4414" s="52" t="str">
        <f>IF(ISERROR(FIND('112'!$M$9,G4414,1)),"",IF((AND(FIND('112'!$M$9,G4414,1)&gt;=1,$B4414&gt;='112'!$N$8,$B4414&lt;='112'!$O$8,OR($L4414='112'!$I$6,$M4414='112'!$I$6))),"x",""))</f>
        <v/>
      </c>
      <c r="S4414" s="52" t="str">
        <f>IF(ISERROR(FIND('112'!$M$9,G4414,1)),"",IF((AND(LEFT(G4414,2)=LEFT('112'!$M$9,2),B4414&lt;'112'!$N$8,$L4414='112'!$I$6)),"x",""))</f>
        <v/>
      </c>
      <c r="T4414" s="52" t="str">
        <f>IF(ISERROR(FIND('112'!$M$9,G4414,1)),"",IF((AND(RIGHT(G4414,2)=RIGHT('112'!$M$9,2),B4414&lt;'112'!$N$8,$M4414='112'!$I$6)),"x",""))</f>
        <v/>
      </c>
      <c r="U4414" s="52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V4414" s="52" t="str">
        <f>IF(OR(TH!L4414=TH!$V$7,M4414=TH!$V$7),"x","")</f>
        <v/>
      </c>
      <c r="W4414" s="52" t="str">
        <f>IF(AND(B4414&gt;='IN-NX'!$P$3,B4414&lt;='IN-NX'!$Q$3,'IN-NX'!$D$7=D4414,OR(LEFT(L4414,2)="15",AND(LEFT(M4414,2)&lt;&gt;"15",LEFT(M4414,2)&lt;&gt;"33"))),"x","")</f>
        <v/>
      </c>
      <c r="X4414" s="52" t="str">
        <f>IF(AND(OR(LEFT(TH!L4414,2)="15",LEFT(TH!M4414,2)="15"),'152-CT'!$J$8=TH!F4414),"x","")</f>
        <v/>
      </c>
      <c r="Y4414" s="52" t="str">
        <f>IF(AND(OR(LEFT(TH!L4414,2)="15",LEFT(TH!M4414,2)="15"),TK!$E$7=TH!F4414),"x","")</f>
        <v/>
      </c>
      <c r="Z4414" s="52" t="str">
        <f>IF(AND(B4414&lt;=NKC!$N$8,B4414&gt;=NKC!$M$8),"x","")</f>
        <v/>
      </c>
      <c r="AA4414" s="826"/>
    </row>
    <row r="4415" spans="1:27" ht="15.75" customHeight="1">
      <c r="A4415" s="827" t="str">
        <f>IF(B4415&lt;&gt;"",IF(AND(B4415&gt;=_TM1,B4415&lt;=_TM2,OR(TH!L4415="1111",TH!M4415="1111")),TH!D4415,""),"")</f>
        <v/>
      </c>
      <c r="B4415" s="36" t="str">
        <f t="shared" si="523"/>
        <v/>
      </c>
      <c r="C4415" s="190"/>
      <c r="D4415" s="37"/>
      <c r="E4415" s="190"/>
      <c r="F4415" s="40"/>
      <c r="G4415" s="832"/>
      <c r="H4415" s="7"/>
      <c r="I4415" s="253"/>
      <c r="J4415" s="253"/>
      <c r="K4415" s="584"/>
      <c r="L4415" s="39"/>
      <c r="M4415" s="39"/>
      <c r="N4415" s="52" t="str">
        <f>IF(AND('331-CT'!$E$7=TH!H4415,OR(L4415="331",M4415="331")),"331",IF(AND(OR(L4415="131",M4415="131"),H4415='131-CT'!$E$7),"131",""))</f>
        <v/>
      </c>
      <c r="O4415" s="52" t="str">
        <f>IF(AND($B4415&gt;='111'!$N$11,$B4415&lt;='111'!$O$11,OR($L4415=$O$7,$M4415=$O$7)),"x","")</f>
        <v/>
      </c>
      <c r="P4415" s="52" t="str">
        <f>IF(AND($L4415=$O$7,$B4415&lt;'111'!$N$11),"x","")</f>
        <v/>
      </c>
      <c r="Q4415" s="52" t="str">
        <f>IF(AND($M4415=$O$7,$B4415&lt;'111'!$N$11),"x","")</f>
        <v/>
      </c>
      <c r="R4415" s="52" t="str">
        <f>IF(ISERROR(FIND('112'!$M$9,G4415,1)),"",IF((AND(FIND('112'!$M$9,G4415,1)&gt;=1,$B4415&gt;='112'!$N$8,$B4415&lt;='112'!$O$8,OR($L4415='112'!$I$6,$M4415='112'!$I$6))),"x",""))</f>
        <v/>
      </c>
      <c r="S4415" s="52" t="str">
        <f>IF(ISERROR(FIND('112'!$M$9,G4415,1)),"",IF((AND(LEFT(G4415,2)=LEFT('112'!$M$9,2),B4415&lt;'112'!$N$8,$L4415='112'!$I$6)),"x",""))</f>
        <v/>
      </c>
      <c r="T4415" s="52" t="str">
        <f>IF(ISERROR(FIND('112'!$M$9,G4415,1)),"",IF((AND(RIGHT(G4415,2)=RIGHT('112'!$M$9,2),B4415&lt;'112'!$N$8,$M4415='112'!$I$6)),"x",""))</f>
        <v/>
      </c>
      <c r="U4415" s="52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V4415" s="52" t="str">
        <f>IF(OR(TH!L4415=TH!$V$7,M4415=TH!$V$7),"x","")</f>
        <v/>
      </c>
      <c r="W4415" s="52" t="str">
        <f>IF(AND(B4415&gt;='IN-NX'!$P$3,B4415&lt;='IN-NX'!$Q$3,'IN-NX'!$D$7=D4415,OR(LEFT(L4415,2)="15",AND(LEFT(M4415,2)&lt;&gt;"15",LEFT(M4415,2)&lt;&gt;"33"))),"x","")</f>
        <v/>
      </c>
      <c r="X4415" s="52" t="str">
        <f>IF(AND(OR(LEFT(TH!L4415,2)="15",LEFT(TH!M4415,2)="15"),'152-CT'!$J$8=TH!F4415),"x","")</f>
        <v/>
      </c>
      <c r="Y4415" s="52" t="str">
        <f>IF(AND(OR(LEFT(TH!L4415,2)="15",LEFT(TH!M4415,2)="15"),TK!$E$7=TH!F4415),"x","")</f>
        <v/>
      </c>
      <c r="Z4415" s="52" t="str">
        <f>IF(AND(B4415&lt;=NKC!$N$8,B4415&gt;=NKC!$M$8),"x","")</f>
        <v/>
      </c>
      <c r="AA4415" s="826"/>
    </row>
    <row r="4416" spans="1:27" ht="15.75" customHeight="1">
      <c r="A4416" s="827" t="str">
        <f>IF(B4416&lt;&gt;"",IF(AND(B4416&gt;=_TM1,B4416&lt;=_TM2,OR(TH!L4416="1111",TH!M4416="1111")),TH!D4416,""),"")</f>
        <v/>
      </c>
      <c r="B4416" s="36" t="str">
        <f t="shared" si="523"/>
        <v/>
      </c>
      <c r="C4416" s="190"/>
      <c r="D4416" s="37"/>
      <c r="E4416" s="190"/>
      <c r="F4416" s="40"/>
      <c r="G4416" s="832"/>
      <c r="H4416" s="7"/>
      <c r="I4416" s="253"/>
      <c r="J4416" s="253"/>
      <c r="K4416" s="584"/>
      <c r="L4416" s="39"/>
      <c r="M4416" s="39"/>
      <c r="N4416" s="52" t="str">
        <f>IF(AND('331-CT'!$E$7=TH!H4416,OR(L4416="331",M4416="331")),"331",IF(AND(OR(L4416="131",M4416="131"),H4416='131-CT'!$E$7),"131",""))</f>
        <v/>
      </c>
      <c r="O4416" s="52" t="str">
        <f>IF(AND($B4416&gt;='111'!$N$11,$B4416&lt;='111'!$O$11,OR($L4416=$O$7,$M4416=$O$7)),"x","")</f>
        <v/>
      </c>
      <c r="P4416" s="52" t="str">
        <f>IF(AND($L4416=$O$7,$B4416&lt;'111'!$N$11),"x","")</f>
        <v/>
      </c>
      <c r="Q4416" s="52" t="str">
        <f>IF(AND($M4416=$O$7,$B4416&lt;'111'!$N$11),"x","")</f>
        <v/>
      </c>
      <c r="R4416" s="52" t="str">
        <f>IF(ISERROR(FIND('112'!$M$9,G4416,1)),"",IF((AND(FIND('112'!$M$9,G4416,1)&gt;=1,$B4416&gt;='112'!$N$8,$B4416&lt;='112'!$O$8,OR($L4416='112'!$I$6,$M4416='112'!$I$6))),"x",""))</f>
        <v/>
      </c>
      <c r="S4416" s="52" t="str">
        <f>IF(ISERROR(FIND('112'!$M$9,G4416,1)),"",IF((AND(LEFT(G4416,2)=LEFT('112'!$M$9,2),B4416&lt;'112'!$N$8,$L4416='112'!$I$6)),"x",""))</f>
        <v/>
      </c>
      <c r="T4416" s="52" t="str">
        <f>IF(ISERROR(FIND('112'!$M$9,G4416,1)),"",IF((AND(RIGHT(G4416,2)=RIGHT('112'!$M$9,2),B4416&lt;'112'!$N$8,$M4416='112'!$I$6)),"x",""))</f>
        <v/>
      </c>
      <c r="U4416" s="52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V4416" s="52" t="str">
        <f>IF(OR(TH!L4416=TH!$V$7,M4416=TH!$V$7),"x","")</f>
        <v/>
      </c>
      <c r="W4416" s="52" t="str">
        <f>IF(AND(B4416&gt;='IN-NX'!$P$3,B4416&lt;='IN-NX'!$Q$3,'IN-NX'!$D$7=D4416,OR(LEFT(L4416,2)="15",AND(LEFT(M4416,2)&lt;&gt;"15",LEFT(M4416,2)&lt;&gt;"33"))),"x","")</f>
        <v/>
      </c>
      <c r="X4416" s="52" t="str">
        <f>IF(AND(OR(LEFT(TH!L4416,2)="15",LEFT(TH!M4416,2)="15"),'152-CT'!$J$8=TH!F4416),"x","")</f>
        <v/>
      </c>
      <c r="Y4416" s="52" t="str">
        <f>IF(AND(OR(LEFT(TH!L4416,2)="15",LEFT(TH!M4416,2)="15"),TK!$E$7=TH!F4416),"x","")</f>
        <v/>
      </c>
      <c r="Z4416" s="52" t="str">
        <f>IF(AND(B4416&lt;=NKC!$N$8,B4416&gt;=NKC!$M$8),"x","")</f>
        <v/>
      </c>
      <c r="AA4416" s="826"/>
    </row>
    <row r="4417" spans="1:27" ht="15.75" customHeight="1">
      <c r="A4417" s="827" t="str">
        <f>IF(B4417&lt;&gt;"",IF(AND(B4417&gt;=_TM1,B4417&lt;=_TM2,OR(TH!L4417="1111",TH!M4417="1111")),TH!D4417,""),"")</f>
        <v/>
      </c>
      <c r="B4417" s="36" t="str">
        <f t="shared" si="523"/>
        <v/>
      </c>
      <c r="C4417" s="190"/>
      <c r="D4417" s="37"/>
      <c r="E4417" s="190"/>
      <c r="F4417" s="40"/>
      <c r="G4417" s="832"/>
      <c r="H4417" s="7"/>
      <c r="I4417" s="253"/>
      <c r="J4417" s="253"/>
      <c r="K4417" s="584"/>
      <c r="L4417" s="39"/>
      <c r="M4417" s="39"/>
      <c r="N4417" s="52" t="str">
        <f>IF(AND('331-CT'!$E$7=TH!H4417,OR(L4417="331",M4417="331")),"331",IF(AND(OR(L4417="131",M4417="131"),H4417='131-CT'!$E$7),"131",""))</f>
        <v/>
      </c>
      <c r="O4417" s="52" t="str">
        <f>IF(AND($B4417&gt;='111'!$N$11,$B4417&lt;='111'!$O$11,OR($L4417=$O$7,$M4417=$O$7)),"x","")</f>
        <v/>
      </c>
      <c r="P4417" s="52" t="str">
        <f>IF(AND($L4417=$O$7,$B4417&lt;'111'!$N$11),"x","")</f>
        <v/>
      </c>
      <c r="Q4417" s="52" t="str">
        <f>IF(AND($M4417=$O$7,$B4417&lt;'111'!$N$11),"x","")</f>
        <v/>
      </c>
      <c r="R4417" s="52" t="str">
        <f>IF(ISERROR(FIND('112'!$M$9,G4417,1)),"",IF((AND(FIND('112'!$M$9,G4417,1)&gt;=1,$B4417&gt;='112'!$N$8,$B4417&lt;='112'!$O$8,OR($L4417='112'!$I$6,$M4417='112'!$I$6))),"x",""))</f>
        <v/>
      </c>
      <c r="S4417" s="52" t="str">
        <f>IF(ISERROR(FIND('112'!$M$9,G4417,1)),"",IF((AND(LEFT(G4417,2)=LEFT('112'!$M$9,2),B4417&lt;'112'!$N$8,$L4417='112'!$I$6)),"x",""))</f>
        <v/>
      </c>
      <c r="T4417" s="52" t="str">
        <f>IF(ISERROR(FIND('112'!$M$9,G4417,1)),"",IF((AND(RIGHT(G4417,2)=RIGHT('112'!$M$9,2),B4417&lt;'112'!$N$8,$M4417='112'!$I$6)),"x",""))</f>
        <v/>
      </c>
      <c r="U4417" s="52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V4417" s="52" t="str">
        <f>IF(OR(TH!L4417=TH!$V$7,M4417=TH!$V$7),"x","")</f>
        <v/>
      </c>
      <c r="W4417" s="52" t="str">
        <f>IF(AND(B4417&gt;='IN-NX'!$P$3,B4417&lt;='IN-NX'!$Q$3,'IN-NX'!$D$7=D4417,OR(LEFT(L4417,2)="15",AND(LEFT(M4417,2)&lt;&gt;"15",LEFT(M4417,2)&lt;&gt;"33"))),"x","")</f>
        <v/>
      </c>
      <c r="X4417" s="52" t="str">
        <f>IF(AND(OR(LEFT(TH!L4417,2)="15",LEFT(TH!M4417,2)="15"),'152-CT'!$J$8=TH!F4417),"x","")</f>
        <v/>
      </c>
      <c r="Y4417" s="52" t="str">
        <f>IF(AND(OR(LEFT(TH!L4417,2)="15",LEFT(TH!M4417,2)="15"),TK!$E$7=TH!F4417),"x","")</f>
        <v/>
      </c>
      <c r="Z4417" s="52" t="str">
        <f>IF(AND(B4417&lt;=NKC!$N$8,B4417&gt;=NKC!$M$8),"x","")</f>
        <v/>
      </c>
      <c r="AA4417" s="826"/>
    </row>
    <row r="4418" spans="1:27" ht="15.75" customHeight="1">
      <c r="A4418" s="827" t="str">
        <f>IF(B4418&lt;&gt;"",IF(AND(B4418&gt;=_TM1,B4418&lt;=_TM2,OR(TH!L4418="1111",TH!M4418="1111")),TH!D4418,""),"")</f>
        <v/>
      </c>
      <c r="B4418" s="36" t="str">
        <f t="shared" si="523"/>
        <v/>
      </c>
      <c r="C4418" s="190"/>
      <c r="D4418" s="37"/>
      <c r="E4418" s="190"/>
      <c r="F4418" s="40"/>
      <c r="G4418" s="832"/>
      <c r="H4418" s="7"/>
      <c r="I4418" s="253"/>
      <c r="J4418" s="253"/>
      <c r="K4418" s="584"/>
      <c r="L4418" s="39"/>
      <c r="M4418" s="39"/>
      <c r="N4418" s="52" t="str">
        <f>IF(AND('331-CT'!$E$7=TH!H4418,OR(L4418="331",M4418="331")),"331",IF(AND(OR(L4418="131",M4418="131"),H4418='131-CT'!$E$7),"131",""))</f>
        <v/>
      </c>
      <c r="O4418" s="52" t="str">
        <f>IF(AND($B4418&gt;='111'!$N$11,$B4418&lt;='111'!$O$11,OR($L4418=$O$7,$M4418=$O$7)),"x","")</f>
        <v/>
      </c>
      <c r="P4418" s="52" t="str">
        <f>IF(AND($L4418=$O$7,$B4418&lt;'111'!$N$11),"x","")</f>
        <v/>
      </c>
      <c r="Q4418" s="52" t="str">
        <f>IF(AND($M4418=$O$7,$B4418&lt;'111'!$N$11),"x","")</f>
        <v/>
      </c>
      <c r="R4418" s="52" t="str">
        <f>IF(ISERROR(FIND('112'!$M$9,G4418,1)),"",IF((AND(FIND('112'!$M$9,G4418,1)&gt;=1,$B4418&gt;='112'!$N$8,$B4418&lt;='112'!$O$8,OR($L4418='112'!$I$6,$M4418='112'!$I$6))),"x",""))</f>
        <v/>
      </c>
      <c r="S4418" s="52" t="str">
        <f>IF(ISERROR(FIND('112'!$M$9,G4418,1)),"",IF((AND(LEFT(G4418,2)=LEFT('112'!$M$9,2),B4418&lt;'112'!$N$8,$L4418='112'!$I$6)),"x",""))</f>
        <v/>
      </c>
      <c r="T4418" s="52" t="str">
        <f>IF(ISERROR(FIND('112'!$M$9,G4418,1)),"",IF((AND(RIGHT(G4418,2)=RIGHT('112'!$M$9,2),B4418&lt;'112'!$N$8,$M4418='112'!$I$6)),"x",""))</f>
        <v/>
      </c>
      <c r="U4418" s="52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V4418" s="52" t="str">
        <f>IF(OR(TH!L4418=TH!$V$7,M4418=TH!$V$7),"x","")</f>
        <v/>
      </c>
      <c r="W4418" s="52" t="str">
        <f>IF(AND(B4418&gt;='IN-NX'!$P$3,B4418&lt;='IN-NX'!$Q$3,'IN-NX'!$D$7=D4418,OR(LEFT(L4418,2)="15",AND(LEFT(M4418,2)&lt;&gt;"15",LEFT(M4418,2)&lt;&gt;"33"))),"x","")</f>
        <v/>
      </c>
      <c r="X4418" s="52" t="str">
        <f>IF(AND(OR(LEFT(TH!L4418,2)="15",LEFT(TH!M4418,2)="15"),'152-CT'!$J$8=TH!F4418),"x","")</f>
        <v/>
      </c>
      <c r="Y4418" s="52" t="str">
        <f>IF(AND(OR(LEFT(TH!L4418,2)="15",LEFT(TH!M4418,2)="15"),TK!$E$7=TH!F4418),"x","")</f>
        <v/>
      </c>
      <c r="Z4418" s="52" t="str">
        <f>IF(AND(B4418&lt;=NKC!$N$8,B4418&gt;=NKC!$M$8),"x","")</f>
        <v/>
      </c>
      <c r="AA4418" s="826"/>
    </row>
    <row r="4419" spans="1:27" ht="15.75" customHeight="1">
      <c r="A4419" s="827" t="str">
        <f>IF(B4419&lt;&gt;"",IF(AND(B4419&gt;=_TM1,B4419&lt;=_TM2,OR(TH!L4419="1111",TH!M4419="1111")),TH!D4419,""),"")</f>
        <v/>
      </c>
      <c r="B4419" s="36" t="str">
        <f t="shared" si="523"/>
        <v/>
      </c>
      <c r="C4419" s="190"/>
      <c r="D4419" s="37"/>
      <c r="E4419" s="190"/>
      <c r="F4419" s="40"/>
      <c r="G4419" s="832"/>
      <c r="H4419" s="7"/>
      <c r="I4419" s="253"/>
      <c r="J4419" s="253"/>
      <c r="K4419" s="584"/>
      <c r="L4419" s="39"/>
      <c r="M4419" s="39"/>
      <c r="N4419" s="52" t="str">
        <f>IF(AND('331-CT'!$E$7=TH!H4419,OR(L4419="331",M4419="331")),"331",IF(AND(OR(L4419="131",M4419="131"),H4419='131-CT'!$E$7),"131",""))</f>
        <v/>
      </c>
      <c r="O4419" s="52" t="str">
        <f>IF(AND($B4419&gt;='111'!$N$11,$B4419&lt;='111'!$O$11,OR($L4419=$O$7,$M4419=$O$7)),"x","")</f>
        <v/>
      </c>
      <c r="P4419" s="52" t="str">
        <f>IF(AND($L4419=$O$7,$B4419&lt;'111'!$N$11),"x","")</f>
        <v/>
      </c>
      <c r="Q4419" s="52" t="str">
        <f>IF(AND($M4419=$O$7,$B4419&lt;'111'!$N$11),"x","")</f>
        <v/>
      </c>
      <c r="R4419" s="52" t="str">
        <f>IF(ISERROR(FIND('112'!$M$9,G4419,1)),"",IF((AND(FIND('112'!$M$9,G4419,1)&gt;=1,$B4419&gt;='112'!$N$8,$B4419&lt;='112'!$O$8,OR($L4419='112'!$I$6,$M4419='112'!$I$6))),"x",""))</f>
        <v/>
      </c>
      <c r="S4419" s="52" t="str">
        <f>IF(ISERROR(FIND('112'!$M$9,G4419,1)),"",IF((AND(LEFT(G4419,2)=LEFT('112'!$M$9,2),B4419&lt;'112'!$N$8,$L4419='112'!$I$6)),"x",""))</f>
        <v/>
      </c>
      <c r="T4419" s="52" t="str">
        <f>IF(ISERROR(FIND('112'!$M$9,G4419,1)),"",IF((AND(RIGHT(G4419,2)=RIGHT('112'!$M$9,2),B4419&lt;'112'!$N$8,$M4419='112'!$I$6)),"x",""))</f>
        <v/>
      </c>
      <c r="U4419" s="52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V4419" s="52" t="str">
        <f>IF(OR(TH!L4419=TH!$V$7,M4419=TH!$V$7),"x","")</f>
        <v/>
      </c>
      <c r="W4419" s="52" t="str">
        <f>IF(AND(B4419&gt;='IN-NX'!$P$3,B4419&lt;='IN-NX'!$Q$3,'IN-NX'!$D$7=D4419,OR(LEFT(L4419,2)="15",AND(LEFT(M4419,2)&lt;&gt;"15",LEFT(M4419,2)&lt;&gt;"33"))),"x","")</f>
        <v/>
      </c>
      <c r="X4419" s="52" t="str">
        <f>IF(AND(OR(LEFT(TH!L4419,2)="15",LEFT(TH!M4419,2)="15"),'152-CT'!$J$8=TH!F4419),"x","")</f>
        <v/>
      </c>
      <c r="Y4419" s="52" t="str">
        <f>IF(AND(OR(LEFT(TH!L4419,2)="15",LEFT(TH!M4419,2)="15"),TK!$E$7=TH!F4419),"x","")</f>
        <v/>
      </c>
      <c r="Z4419" s="52" t="str">
        <f>IF(AND(B4419&lt;=NKC!$N$8,B4419&gt;=NKC!$M$8),"x","")</f>
        <v/>
      </c>
      <c r="AA4419" s="826"/>
    </row>
    <row r="4420" spans="1:27" ht="15.75" customHeight="1">
      <c r="A4420" s="827" t="str">
        <f>IF(B4420&lt;&gt;"",IF(AND(B4420&gt;=_TM1,B4420&lt;=_TM2,OR(TH!L4420="1111",TH!M4420="1111")),TH!D4420,""),"")</f>
        <v/>
      </c>
      <c r="B4420" s="36" t="str">
        <f t="shared" si="523"/>
        <v/>
      </c>
      <c r="C4420" s="190"/>
      <c r="D4420" s="37"/>
      <c r="E4420" s="190"/>
      <c r="F4420" s="40"/>
      <c r="G4420" s="832"/>
      <c r="H4420" s="7"/>
      <c r="I4420" s="253"/>
      <c r="J4420" s="253"/>
      <c r="K4420" s="584"/>
      <c r="L4420" s="39"/>
      <c r="M4420" s="39"/>
      <c r="N4420" s="52" t="str">
        <f>IF(AND('331-CT'!$E$7=TH!H4420,OR(L4420="331",M4420="331")),"331",IF(AND(OR(L4420="131",M4420="131"),H4420='131-CT'!$E$7),"131",""))</f>
        <v/>
      </c>
      <c r="O4420" s="52" t="str">
        <f>IF(AND($B4420&gt;='111'!$N$11,$B4420&lt;='111'!$O$11,OR($L4420=$O$7,$M4420=$O$7)),"x","")</f>
        <v/>
      </c>
      <c r="P4420" s="52" t="str">
        <f>IF(AND($L4420=$O$7,$B4420&lt;'111'!$N$11),"x","")</f>
        <v/>
      </c>
      <c r="Q4420" s="52" t="str">
        <f>IF(AND($M4420=$O$7,$B4420&lt;'111'!$N$11),"x","")</f>
        <v/>
      </c>
      <c r="R4420" s="52" t="str">
        <f>IF(ISERROR(FIND('112'!$M$9,G4420,1)),"",IF((AND(FIND('112'!$M$9,G4420,1)&gt;=1,$B4420&gt;='112'!$N$8,$B4420&lt;='112'!$O$8,OR($L4420='112'!$I$6,$M4420='112'!$I$6))),"x",""))</f>
        <v/>
      </c>
      <c r="S4420" s="52" t="str">
        <f>IF(ISERROR(FIND('112'!$M$9,G4420,1)),"",IF((AND(LEFT(G4420,2)=LEFT('112'!$M$9,2),B4420&lt;'112'!$N$8,$L4420='112'!$I$6)),"x",""))</f>
        <v/>
      </c>
      <c r="T4420" s="52" t="str">
        <f>IF(ISERROR(FIND('112'!$M$9,G4420,1)),"",IF((AND(RIGHT(G4420,2)=RIGHT('112'!$M$9,2),B4420&lt;'112'!$N$8,$M4420='112'!$I$6)),"x",""))</f>
        <v/>
      </c>
      <c r="U4420" s="52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V4420" s="52" t="str">
        <f>IF(OR(TH!L4420=TH!$V$7,M4420=TH!$V$7),"x","")</f>
        <v/>
      </c>
      <c r="W4420" s="52" t="str">
        <f>IF(AND(B4420&gt;='IN-NX'!$P$3,B4420&lt;='IN-NX'!$Q$3,'IN-NX'!$D$7=D4420,OR(LEFT(L4420,2)="15",AND(LEFT(M4420,2)&lt;&gt;"15",LEFT(M4420,2)&lt;&gt;"33"))),"x","")</f>
        <v/>
      </c>
      <c r="X4420" s="52" t="str">
        <f>IF(AND(OR(LEFT(TH!L4420,2)="15",LEFT(TH!M4420,2)="15"),'152-CT'!$J$8=TH!F4420),"x","")</f>
        <v/>
      </c>
      <c r="Y4420" s="52" t="str">
        <f>IF(AND(OR(LEFT(TH!L4420,2)="15",LEFT(TH!M4420,2)="15"),TK!$E$7=TH!F4420),"x","")</f>
        <v/>
      </c>
      <c r="Z4420" s="52" t="str">
        <f>IF(AND(B4420&lt;=NKC!$N$8,B4420&gt;=NKC!$M$8),"x","")</f>
        <v/>
      </c>
      <c r="AA4420" s="826"/>
    </row>
    <row r="4421" spans="1:27" ht="15.75" customHeight="1">
      <c r="A4421" s="827" t="str">
        <f>IF(B4421&lt;&gt;"",IF(AND(B4421&gt;=_TM1,B4421&lt;=_TM2,OR(TH!L4421="1111",TH!M4421="1111")),TH!D4421,""),"")</f>
        <v/>
      </c>
      <c r="B4421" s="36" t="str">
        <f t="shared" si="523"/>
        <v/>
      </c>
      <c r="C4421" s="190"/>
      <c r="D4421" s="37"/>
      <c r="E4421" s="190"/>
      <c r="F4421" s="40"/>
      <c r="G4421" s="832"/>
      <c r="H4421" s="7"/>
      <c r="I4421" s="253"/>
      <c r="J4421" s="253"/>
      <c r="K4421" s="584"/>
      <c r="L4421" s="39"/>
      <c r="M4421" s="39"/>
      <c r="N4421" s="52" t="str">
        <f>IF(AND('331-CT'!$E$7=TH!H4421,OR(L4421="331",M4421="331")),"331",IF(AND(OR(L4421="131",M4421="131"),H4421='131-CT'!$E$7),"131",""))</f>
        <v/>
      </c>
      <c r="O4421" s="52" t="str">
        <f>IF(AND($B4421&gt;='111'!$N$11,$B4421&lt;='111'!$O$11,OR($L4421=$O$7,$M4421=$O$7)),"x","")</f>
        <v/>
      </c>
      <c r="P4421" s="52" t="str">
        <f>IF(AND($L4421=$O$7,$B4421&lt;'111'!$N$11),"x","")</f>
        <v/>
      </c>
      <c r="Q4421" s="52" t="str">
        <f>IF(AND($M4421=$O$7,$B4421&lt;'111'!$N$11),"x","")</f>
        <v/>
      </c>
      <c r="R4421" s="52" t="str">
        <f>IF(ISERROR(FIND('112'!$M$9,G4421,1)),"",IF((AND(FIND('112'!$M$9,G4421,1)&gt;=1,$B4421&gt;='112'!$N$8,$B4421&lt;='112'!$O$8,OR($L4421='112'!$I$6,$M4421='112'!$I$6))),"x",""))</f>
        <v/>
      </c>
      <c r="S4421" s="52" t="str">
        <f>IF(ISERROR(FIND('112'!$M$9,G4421,1)),"",IF((AND(LEFT(G4421,2)=LEFT('112'!$M$9,2),B4421&lt;'112'!$N$8,$L4421='112'!$I$6)),"x",""))</f>
        <v/>
      </c>
      <c r="T4421" s="52" t="str">
        <f>IF(ISERROR(FIND('112'!$M$9,G4421,1)),"",IF((AND(RIGHT(G4421,2)=RIGHT('112'!$M$9,2),B4421&lt;'112'!$N$8,$M4421='112'!$I$6)),"x",""))</f>
        <v/>
      </c>
      <c r="U4421" s="52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V4421" s="52" t="str">
        <f>IF(OR(TH!L4421=TH!$V$7,M4421=TH!$V$7),"x","")</f>
        <v/>
      </c>
      <c r="W4421" s="52" t="str">
        <f>IF(AND(B4421&gt;='IN-NX'!$P$3,B4421&lt;='IN-NX'!$Q$3,'IN-NX'!$D$7=D4421,OR(LEFT(L4421,2)="15",AND(LEFT(M4421,2)&lt;&gt;"15",LEFT(M4421,2)&lt;&gt;"33"))),"x","")</f>
        <v/>
      </c>
      <c r="X4421" s="52" t="str">
        <f>IF(AND(OR(LEFT(TH!L4421,2)="15",LEFT(TH!M4421,2)="15"),'152-CT'!$J$8=TH!F4421),"x","")</f>
        <v/>
      </c>
      <c r="Y4421" s="52" t="str">
        <f>IF(AND(OR(LEFT(TH!L4421,2)="15",LEFT(TH!M4421,2)="15"),TK!$E$7=TH!F4421),"x","")</f>
        <v/>
      </c>
      <c r="Z4421" s="52" t="str">
        <f>IF(AND(B4421&lt;=NKC!$N$8,B4421&gt;=NKC!$M$8),"x","")</f>
        <v/>
      </c>
      <c r="AA4421" s="826"/>
    </row>
    <row r="4422" spans="1:27" ht="15.75" customHeight="1">
      <c r="A4422" s="827" t="str">
        <f>IF(B4422&lt;&gt;"",IF(AND(B4422&gt;=_TM1,B4422&lt;=_TM2,OR(TH!L4422="1111",TH!M4422="1111")),TH!D4422,""),"")</f>
        <v/>
      </c>
      <c r="B4422" s="36" t="str">
        <f t="shared" si="523"/>
        <v/>
      </c>
      <c r="C4422" s="190"/>
      <c r="D4422" s="37"/>
      <c r="E4422" s="190"/>
      <c r="F4422" s="40"/>
      <c r="G4422" s="832"/>
      <c r="H4422" s="7"/>
      <c r="I4422" s="253"/>
      <c r="J4422" s="253"/>
      <c r="K4422" s="584"/>
      <c r="L4422" s="39"/>
      <c r="M4422" s="39"/>
      <c r="N4422" s="52" t="str">
        <f>IF(AND('331-CT'!$E$7=TH!H4422,OR(L4422="331",M4422="331")),"331",IF(AND(OR(L4422="131",M4422="131"),H4422='131-CT'!$E$7),"131",""))</f>
        <v/>
      </c>
      <c r="O4422" s="52" t="str">
        <f>IF(AND($B4422&gt;='111'!$N$11,$B4422&lt;='111'!$O$11,OR($L4422=$O$7,$M4422=$O$7)),"x","")</f>
        <v/>
      </c>
      <c r="P4422" s="52" t="str">
        <f>IF(AND($L4422=$O$7,$B4422&lt;'111'!$N$11),"x","")</f>
        <v/>
      </c>
      <c r="Q4422" s="52" t="str">
        <f>IF(AND($M4422=$O$7,$B4422&lt;'111'!$N$11),"x","")</f>
        <v/>
      </c>
      <c r="R4422" s="52" t="str">
        <f>IF(ISERROR(FIND('112'!$M$9,G4422,1)),"",IF((AND(FIND('112'!$M$9,G4422,1)&gt;=1,$B4422&gt;='112'!$N$8,$B4422&lt;='112'!$O$8,OR($L4422='112'!$I$6,$M4422='112'!$I$6))),"x",""))</f>
        <v/>
      </c>
      <c r="S4422" s="52" t="str">
        <f>IF(ISERROR(FIND('112'!$M$9,G4422,1)),"",IF((AND(LEFT(G4422,2)=LEFT('112'!$M$9,2),B4422&lt;'112'!$N$8,$L4422='112'!$I$6)),"x",""))</f>
        <v/>
      </c>
      <c r="T4422" s="52" t="str">
        <f>IF(ISERROR(FIND('112'!$M$9,G4422,1)),"",IF((AND(RIGHT(G4422,2)=RIGHT('112'!$M$9,2),B4422&lt;'112'!$N$8,$M4422='112'!$I$6)),"x",""))</f>
        <v/>
      </c>
      <c r="U4422" s="52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V4422" s="52" t="str">
        <f>IF(OR(TH!L4422=TH!$V$7,M4422=TH!$V$7),"x","")</f>
        <v/>
      </c>
      <c r="W4422" s="52" t="str">
        <f>IF(AND(B4422&gt;='IN-NX'!$P$3,B4422&lt;='IN-NX'!$Q$3,'IN-NX'!$D$7=D4422,OR(LEFT(L4422,2)="15",AND(LEFT(M4422,2)&lt;&gt;"15",LEFT(M4422,2)&lt;&gt;"33"))),"x","")</f>
        <v/>
      </c>
      <c r="X4422" s="52" t="str">
        <f>IF(AND(OR(LEFT(TH!L4422,2)="15",LEFT(TH!M4422,2)="15"),'152-CT'!$J$8=TH!F4422),"x","")</f>
        <v/>
      </c>
      <c r="Y4422" s="52" t="str">
        <f>IF(AND(OR(LEFT(TH!L4422,2)="15",LEFT(TH!M4422,2)="15"),TK!$E$7=TH!F4422),"x","")</f>
        <v/>
      </c>
      <c r="Z4422" s="52" t="str">
        <f>IF(AND(B4422&lt;=NKC!$N$8,B4422&gt;=NKC!$M$8),"x","")</f>
        <v/>
      </c>
      <c r="AA4422" s="826"/>
    </row>
    <row r="4423" spans="1:27" ht="15.75" customHeight="1">
      <c r="A4423" s="827" t="str">
        <f>IF(B4423&lt;&gt;"",IF(AND(B4423&gt;=_TM1,B4423&lt;=_TM2,OR(TH!L4423="1111",TH!M4423="1111")),TH!D4423,""),"")</f>
        <v/>
      </c>
      <c r="B4423" s="36" t="str">
        <f t="shared" si="523"/>
        <v/>
      </c>
      <c r="C4423" s="190"/>
      <c r="D4423" s="37"/>
      <c r="E4423" s="190"/>
      <c r="F4423" s="40"/>
      <c r="G4423" s="832"/>
      <c r="H4423" s="7"/>
      <c r="I4423" s="253"/>
      <c r="J4423" s="253"/>
      <c r="K4423" s="584"/>
      <c r="L4423" s="39"/>
      <c r="M4423" s="39"/>
      <c r="N4423" s="52" t="str">
        <f>IF(AND('331-CT'!$E$7=TH!H4423,OR(L4423="331",M4423="331")),"331",IF(AND(OR(L4423="131",M4423="131"),H4423='131-CT'!$E$7),"131",""))</f>
        <v/>
      </c>
      <c r="O4423" s="52" t="str">
        <f>IF(AND($B4423&gt;='111'!$N$11,$B4423&lt;='111'!$O$11,OR($L4423=$O$7,$M4423=$O$7)),"x","")</f>
        <v/>
      </c>
      <c r="P4423" s="52" t="str">
        <f>IF(AND($L4423=$O$7,$B4423&lt;'111'!$N$11),"x","")</f>
        <v/>
      </c>
      <c r="Q4423" s="52" t="str">
        <f>IF(AND($M4423=$O$7,$B4423&lt;'111'!$N$11),"x","")</f>
        <v/>
      </c>
      <c r="R4423" s="52" t="str">
        <f>IF(ISERROR(FIND('112'!$M$9,G4423,1)),"",IF((AND(FIND('112'!$M$9,G4423,1)&gt;=1,$B4423&gt;='112'!$N$8,$B4423&lt;='112'!$O$8,OR($L4423='112'!$I$6,$M4423='112'!$I$6))),"x",""))</f>
        <v/>
      </c>
      <c r="S4423" s="52" t="str">
        <f>IF(ISERROR(FIND('112'!$M$9,G4423,1)),"",IF((AND(LEFT(G4423,2)=LEFT('112'!$M$9,2),B4423&lt;'112'!$N$8,$L4423='112'!$I$6)),"x",""))</f>
        <v/>
      </c>
      <c r="T4423" s="52" t="str">
        <f>IF(ISERROR(FIND('112'!$M$9,G4423,1)),"",IF((AND(RIGHT(G4423,2)=RIGHT('112'!$M$9,2),B4423&lt;'112'!$N$8,$M4423='112'!$I$6)),"x",""))</f>
        <v/>
      </c>
      <c r="U4423" s="52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V4423" s="52" t="str">
        <f>IF(OR(TH!L4423=TH!$V$7,M4423=TH!$V$7),"x","")</f>
        <v/>
      </c>
      <c r="W4423" s="52" t="str">
        <f>IF(AND(B4423&gt;='IN-NX'!$P$3,B4423&lt;='IN-NX'!$Q$3,'IN-NX'!$D$7=D4423,OR(LEFT(L4423,2)="15",AND(LEFT(M4423,2)&lt;&gt;"15",LEFT(M4423,2)&lt;&gt;"33"))),"x","")</f>
        <v/>
      </c>
      <c r="X4423" s="52" t="str">
        <f>IF(AND(OR(LEFT(TH!L4423,2)="15",LEFT(TH!M4423,2)="15"),'152-CT'!$J$8=TH!F4423),"x","")</f>
        <v/>
      </c>
      <c r="Y4423" s="52" t="str">
        <f>IF(AND(OR(LEFT(TH!L4423,2)="15",LEFT(TH!M4423,2)="15"),TK!$E$7=TH!F4423),"x","")</f>
        <v/>
      </c>
      <c r="Z4423" s="52" t="str">
        <f>IF(AND(B4423&lt;=NKC!$N$8,B4423&gt;=NKC!$M$8),"x","")</f>
        <v/>
      </c>
      <c r="AA4423" s="826"/>
    </row>
    <row r="4424" spans="1:27" ht="15.75" customHeight="1">
      <c r="A4424" s="827" t="str">
        <f>IF(B4424&lt;&gt;"",IF(AND(B4424&gt;=_TM1,B4424&lt;=_TM2,OR(TH!L4424="1111",TH!M4424="1111")),TH!D4424,""),"")</f>
        <v/>
      </c>
      <c r="B4424" s="36" t="str">
        <f t="shared" si="523"/>
        <v/>
      </c>
      <c r="C4424" s="190"/>
      <c r="D4424" s="37"/>
      <c r="E4424" s="190"/>
      <c r="F4424" s="40"/>
      <c r="G4424" s="832"/>
      <c r="H4424" s="7"/>
      <c r="I4424" s="253"/>
      <c r="J4424" s="253"/>
      <c r="K4424" s="584"/>
      <c r="L4424" s="39"/>
      <c r="M4424" s="39"/>
      <c r="N4424" s="52" t="str">
        <f>IF(AND('331-CT'!$E$7=TH!H4424,OR(L4424="331",M4424="331")),"331",IF(AND(OR(L4424="131",M4424="131"),H4424='131-CT'!$E$7),"131",""))</f>
        <v/>
      </c>
      <c r="O4424" s="52" t="str">
        <f>IF(AND($B4424&gt;='111'!$N$11,$B4424&lt;='111'!$O$11,OR($L4424=$O$7,$M4424=$O$7)),"x","")</f>
        <v/>
      </c>
      <c r="P4424" s="52" t="str">
        <f>IF(AND($L4424=$O$7,$B4424&lt;'111'!$N$11),"x","")</f>
        <v/>
      </c>
      <c r="Q4424" s="52" t="str">
        <f>IF(AND($M4424=$O$7,$B4424&lt;'111'!$N$11),"x","")</f>
        <v/>
      </c>
      <c r="R4424" s="52" t="str">
        <f>IF(ISERROR(FIND('112'!$M$9,G4424,1)),"",IF((AND(FIND('112'!$M$9,G4424,1)&gt;=1,$B4424&gt;='112'!$N$8,$B4424&lt;='112'!$O$8,OR($L4424='112'!$I$6,$M4424='112'!$I$6))),"x",""))</f>
        <v/>
      </c>
      <c r="S4424" s="52" t="str">
        <f>IF(ISERROR(FIND('112'!$M$9,G4424,1)),"",IF((AND(LEFT(G4424,2)=LEFT('112'!$M$9,2),B4424&lt;'112'!$N$8,$L4424='112'!$I$6)),"x",""))</f>
        <v/>
      </c>
      <c r="T4424" s="52" t="str">
        <f>IF(ISERROR(FIND('112'!$M$9,G4424,1)),"",IF((AND(RIGHT(G4424,2)=RIGHT('112'!$M$9,2),B4424&lt;'112'!$N$8,$M4424='112'!$I$6)),"x",""))</f>
        <v/>
      </c>
      <c r="U4424" s="52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V4424" s="52" t="str">
        <f>IF(OR(TH!L4424=TH!$V$7,M4424=TH!$V$7),"x","")</f>
        <v/>
      </c>
      <c r="W4424" s="52" t="str">
        <f>IF(AND(B4424&gt;='IN-NX'!$P$3,B4424&lt;='IN-NX'!$Q$3,'IN-NX'!$D$7=D4424,OR(LEFT(L4424,2)="15",AND(LEFT(M4424,2)&lt;&gt;"15",LEFT(M4424,2)&lt;&gt;"33"))),"x","")</f>
        <v/>
      </c>
      <c r="X4424" s="52" t="str">
        <f>IF(AND(OR(LEFT(TH!L4424,2)="15",LEFT(TH!M4424,2)="15"),'152-CT'!$J$8=TH!F4424),"x","")</f>
        <v/>
      </c>
      <c r="Y4424" s="52" t="str">
        <f>IF(AND(OR(LEFT(TH!L4424,2)="15",LEFT(TH!M4424,2)="15"),TK!$E$7=TH!F4424),"x","")</f>
        <v/>
      </c>
      <c r="Z4424" s="52" t="str">
        <f>IF(AND(B4424&lt;=NKC!$N$8,B4424&gt;=NKC!$M$8),"x","")</f>
        <v/>
      </c>
      <c r="AA4424" s="826"/>
    </row>
    <row r="4425" spans="1:27" ht="15.75" customHeight="1">
      <c r="A4425" s="827" t="str">
        <f>IF(B4425&lt;&gt;"",IF(AND(B4425&gt;=_TM1,B4425&lt;=_TM2,OR(TH!L4425="1111",TH!M4425="1111")),TH!D4425,""),"")</f>
        <v/>
      </c>
      <c r="B4425" s="36" t="str">
        <f t="shared" si="523"/>
        <v/>
      </c>
      <c r="C4425" s="190"/>
      <c r="D4425" s="37"/>
      <c r="E4425" s="190"/>
      <c r="F4425" s="40"/>
      <c r="G4425" s="832"/>
      <c r="H4425" s="7"/>
      <c r="I4425" s="253"/>
      <c r="J4425" s="253"/>
      <c r="K4425" s="584"/>
      <c r="L4425" s="39"/>
      <c r="M4425" s="39"/>
      <c r="N4425" s="52" t="str">
        <f>IF(AND('331-CT'!$E$7=TH!H4425,OR(L4425="331",M4425="331")),"331",IF(AND(OR(L4425="131",M4425="131"),H4425='131-CT'!$E$7),"131",""))</f>
        <v/>
      </c>
      <c r="O4425" s="52" t="str">
        <f>IF(AND($B4425&gt;='111'!$N$11,$B4425&lt;='111'!$O$11,OR($L4425=$O$7,$M4425=$O$7)),"x","")</f>
        <v/>
      </c>
      <c r="P4425" s="52" t="str">
        <f>IF(AND($L4425=$O$7,$B4425&lt;'111'!$N$11),"x","")</f>
        <v/>
      </c>
      <c r="Q4425" s="52" t="str">
        <f>IF(AND($M4425=$O$7,$B4425&lt;'111'!$N$11),"x","")</f>
        <v/>
      </c>
      <c r="R4425" s="52" t="str">
        <f>IF(ISERROR(FIND('112'!$M$9,G4425,1)),"",IF((AND(FIND('112'!$M$9,G4425,1)&gt;=1,$B4425&gt;='112'!$N$8,$B4425&lt;='112'!$O$8,OR($L4425='112'!$I$6,$M4425='112'!$I$6))),"x",""))</f>
        <v/>
      </c>
      <c r="S4425" s="52" t="str">
        <f>IF(ISERROR(FIND('112'!$M$9,G4425,1)),"",IF((AND(LEFT(G4425,2)=LEFT('112'!$M$9,2),B4425&lt;'112'!$N$8,$L4425='112'!$I$6)),"x",""))</f>
        <v/>
      </c>
      <c r="T4425" s="52" t="str">
        <f>IF(ISERROR(FIND('112'!$M$9,G4425,1)),"",IF((AND(RIGHT(G4425,2)=RIGHT('112'!$M$9,2),B4425&lt;'112'!$N$8,$M4425='112'!$I$6)),"x",""))</f>
        <v/>
      </c>
      <c r="U4425" s="52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V4425" s="52" t="str">
        <f>IF(OR(TH!L4425=TH!$V$7,M4425=TH!$V$7),"x","")</f>
        <v/>
      </c>
      <c r="W4425" s="52" t="str">
        <f>IF(AND(B4425&gt;='IN-NX'!$P$3,B4425&lt;='IN-NX'!$Q$3,'IN-NX'!$D$7=D4425,OR(LEFT(L4425,2)="15",AND(LEFT(M4425,2)&lt;&gt;"15",LEFT(M4425,2)&lt;&gt;"33"))),"x","")</f>
        <v/>
      </c>
      <c r="X4425" s="52" t="str">
        <f>IF(AND(OR(LEFT(TH!L4425,2)="15",LEFT(TH!M4425,2)="15"),'152-CT'!$J$8=TH!F4425),"x","")</f>
        <v/>
      </c>
      <c r="Y4425" s="52" t="str">
        <f>IF(AND(OR(LEFT(TH!L4425,2)="15",LEFT(TH!M4425,2)="15"),TK!$E$7=TH!F4425),"x","")</f>
        <v/>
      </c>
      <c r="Z4425" s="52" t="str">
        <f>IF(AND(B4425&lt;=NKC!$N$8,B4425&gt;=NKC!$M$8),"x","")</f>
        <v/>
      </c>
      <c r="AA4425" s="826"/>
    </row>
    <row r="4426" spans="1:27" ht="15.75" customHeight="1">
      <c r="A4426" s="827" t="str">
        <f>IF(B4426&lt;&gt;"",IF(AND(B4426&gt;=_TM1,B4426&lt;=_TM2,OR(TH!L4426="1111",TH!M4426="1111")),TH!D4426,""),"")</f>
        <v/>
      </c>
      <c r="B4426" s="36" t="str">
        <f t="shared" si="523"/>
        <v/>
      </c>
      <c r="C4426" s="190"/>
      <c r="D4426" s="37"/>
      <c r="E4426" s="190"/>
      <c r="F4426" s="40"/>
      <c r="G4426" s="832"/>
      <c r="H4426" s="7"/>
      <c r="I4426" s="253"/>
      <c r="J4426" s="253"/>
      <c r="K4426" s="584"/>
      <c r="L4426" s="39"/>
      <c r="M4426" s="39"/>
      <c r="N4426" s="52" t="str">
        <f>IF(AND('331-CT'!$E$7=TH!H4426,OR(L4426="331",M4426="331")),"331",IF(AND(OR(L4426="131",M4426="131"),H4426='131-CT'!$E$7),"131",""))</f>
        <v/>
      </c>
      <c r="O4426" s="52" t="str">
        <f>IF(AND($B4426&gt;='111'!$N$11,$B4426&lt;='111'!$O$11,OR($L4426=$O$7,$M4426=$O$7)),"x","")</f>
        <v/>
      </c>
      <c r="P4426" s="52" t="str">
        <f>IF(AND($L4426=$O$7,$B4426&lt;'111'!$N$11),"x","")</f>
        <v/>
      </c>
      <c r="Q4426" s="52" t="str">
        <f>IF(AND($M4426=$O$7,$B4426&lt;'111'!$N$11),"x","")</f>
        <v/>
      </c>
      <c r="R4426" s="52" t="str">
        <f>IF(ISERROR(FIND('112'!$M$9,G4426,1)),"",IF((AND(FIND('112'!$M$9,G4426,1)&gt;=1,$B4426&gt;='112'!$N$8,$B4426&lt;='112'!$O$8,OR($L4426='112'!$I$6,$M4426='112'!$I$6))),"x",""))</f>
        <v/>
      </c>
      <c r="S4426" s="52" t="str">
        <f>IF(ISERROR(FIND('112'!$M$9,G4426,1)),"",IF((AND(LEFT(G4426,2)=LEFT('112'!$M$9,2),B4426&lt;'112'!$N$8,$L4426='112'!$I$6)),"x",""))</f>
        <v/>
      </c>
      <c r="T4426" s="52" t="str">
        <f>IF(ISERROR(FIND('112'!$M$9,G4426,1)),"",IF((AND(RIGHT(G4426,2)=RIGHT('112'!$M$9,2),B4426&lt;'112'!$N$8,$M4426='112'!$I$6)),"x",""))</f>
        <v/>
      </c>
      <c r="U4426" s="52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V4426" s="52" t="str">
        <f>IF(OR(TH!L4426=TH!$V$7,M4426=TH!$V$7),"x","")</f>
        <v/>
      </c>
      <c r="W4426" s="52" t="str">
        <f>IF(AND(B4426&gt;='IN-NX'!$P$3,B4426&lt;='IN-NX'!$Q$3,'IN-NX'!$D$7=D4426,OR(LEFT(L4426,2)="15",AND(LEFT(M4426,2)&lt;&gt;"15",LEFT(M4426,2)&lt;&gt;"33"))),"x","")</f>
        <v/>
      </c>
      <c r="X4426" s="52" t="str">
        <f>IF(AND(OR(LEFT(TH!L4426,2)="15",LEFT(TH!M4426,2)="15"),'152-CT'!$J$8=TH!F4426),"x","")</f>
        <v/>
      </c>
      <c r="Y4426" s="52" t="str">
        <f>IF(AND(OR(LEFT(TH!L4426,2)="15",LEFT(TH!M4426,2)="15"),TK!$E$7=TH!F4426),"x","")</f>
        <v/>
      </c>
      <c r="Z4426" s="52" t="str">
        <f>IF(AND(B4426&lt;=NKC!$N$8,B4426&gt;=NKC!$M$8),"x","")</f>
        <v/>
      </c>
      <c r="AA4426" s="826"/>
    </row>
    <row r="4427" spans="1:27" ht="15.75" customHeight="1">
      <c r="A4427" s="827" t="str">
        <f>IF(B4427&lt;&gt;"",IF(AND(B4427&gt;=_TM1,B4427&lt;=_TM2,OR(TH!L4427="1111",TH!M4427="1111")),TH!D4427,""),"")</f>
        <v/>
      </c>
      <c r="B4427" s="36" t="str">
        <f t="shared" si="523"/>
        <v/>
      </c>
      <c r="C4427" s="190"/>
      <c r="D4427" s="37"/>
      <c r="E4427" s="190"/>
      <c r="F4427" s="40"/>
      <c r="G4427" s="832"/>
      <c r="H4427" s="7"/>
      <c r="I4427" s="253"/>
      <c r="J4427" s="253"/>
      <c r="K4427" s="584"/>
      <c r="L4427" s="39"/>
      <c r="M4427" s="39"/>
      <c r="N4427" s="52" t="str">
        <f>IF(AND('331-CT'!$E$7=TH!H4427,OR(L4427="331",M4427="331")),"331",IF(AND(OR(L4427="131",M4427="131"),H4427='131-CT'!$E$7),"131",""))</f>
        <v/>
      </c>
      <c r="O4427" s="52" t="str">
        <f>IF(AND($B4427&gt;='111'!$N$11,$B4427&lt;='111'!$O$11,OR($L4427=$O$7,$M4427=$O$7)),"x","")</f>
        <v/>
      </c>
      <c r="P4427" s="52" t="str">
        <f>IF(AND($L4427=$O$7,$B4427&lt;'111'!$N$11),"x","")</f>
        <v/>
      </c>
      <c r="Q4427" s="52" t="str">
        <f>IF(AND($M4427=$O$7,$B4427&lt;'111'!$N$11),"x","")</f>
        <v/>
      </c>
      <c r="R4427" s="52" t="str">
        <f>IF(ISERROR(FIND('112'!$M$9,G4427,1)),"",IF((AND(FIND('112'!$M$9,G4427,1)&gt;=1,$B4427&gt;='112'!$N$8,$B4427&lt;='112'!$O$8,OR($L4427='112'!$I$6,$M4427='112'!$I$6))),"x",""))</f>
        <v/>
      </c>
      <c r="S4427" s="52" t="str">
        <f>IF(ISERROR(FIND('112'!$M$9,G4427,1)),"",IF((AND(LEFT(G4427,2)=LEFT('112'!$M$9,2),B4427&lt;'112'!$N$8,$L4427='112'!$I$6)),"x",""))</f>
        <v/>
      </c>
      <c r="T4427" s="52" t="str">
        <f>IF(ISERROR(FIND('112'!$M$9,G4427,1)),"",IF((AND(RIGHT(G4427,2)=RIGHT('112'!$M$9,2),B4427&lt;'112'!$N$8,$M4427='112'!$I$6)),"x",""))</f>
        <v/>
      </c>
      <c r="U4427" s="52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V4427" s="52" t="str">
        <f>IF(OR(TH!L4427=TH!$V$7,M4427=TH!$V$7),"x","")</f>
        <v/>
      </c>
      <c r="W4427" s="52" t="str">
        <f>IF(AND(B4427&gt;='IN-NX'!$P$3,B4427&lt;='IN-NX'!$Q$3,'IN-NX'!$D$7=D4427,OR(LEFT(L4427,2)="15",AND(LEFT(M4427,2)&lt;&gt;"15",LEFT(M4427,2)&lt;&gt;"33"))),"x","")</f>
        <v/>
      </c>
      <c r="X4427" s="52" t="str">
        <f>IF(AND(OR(LEFT(TH!L4427,2)="15",LEFT(TH!M4427,2)="15"),'152-CT'!$J$8=TH!F4427),"x","")</f>
        <v/>
      </c>
      <c r="Y4427" s="52" t="str">
        <f>IF(AND(OR(LEFT(TH!L4427,2)="15",LEFT(TH!M4427,2)="15"),TK!$E$7=TH!F4427),"x","")</f>
        <v/>
      </c>
      <c r="Z4427" s="52" t="str">
        <f>IF(AND(B4427&lt;=NKC!$N$8,B4427&gt;=NKC!$M$8),"x","")</f>
        <v/>
      </c>
      <c r="AA4427" s="826"/>
    </row>
    <row r="4428" spans="1:27" ht="15.75" customHeight="1">
      <c r="A4428" s="827" t="str">
        <f>IF(B4428&lt;&gt;"",IF(AND(B4428&gt;=_TM1,B4428&lt;=_TM2,OR(TH!L4428="1111",TH!M4428="1111")),TH!D4428,""),"")</f>
        <v/>
      </c>
      <c r="B4428" s="36" t="str">
        <f t="shared" si="523"/>
        <v/>
      </c>
      <c r="C4428" s="190"/>
      <c r="D4428" s="37"/>
      <c r="E4428" s="190"/>
      <c r="F4428" s="40"/>
      <c r="G4428" s="832"/>
      <c r="H4428" s="7"/>
      <c r="I4428" s="253"/>
      <c r="J4428" s="253"/>
      <c r="K4428" s="584"/>
      <c r="L4428" s="39"/>
      <c r="M4428" s="39"/>
      <c r="N4428" s="52" t="str">
        <f>IF(AND('331-CT'!$E$7=TH!H4428,OR(L4428="331",M4428="331")),"331",IF(AND(OR(L4428="131",M4428="131"),H4428='131-CT'!$E$7),"131",""))</f>
        <v/>
      </c>
      <c r="O4428" s="52" t="str">
        <f>IF(AND($B4428&gt;='111'!$N$11,$B4428&lt;='111'!$O$11,OR($L4428=$O$7,$M4428=$O$7)),"x","")</f>
        <v/>
      </c>
      <c r="P4428" s="52" t="str">
        <f>IF(AND($L4428=$O$7,$B4428&lt;'111'!$N$11),"x","")</f>
        <v/>
      </c>
      <c r="Q4428" s="52" t="str">
        <f>IF(AND($M4428=$O$7,$B4428&lt;'111'!$N$11),"x","")</f>
        <v/>
      </c>
      <c r="R4428" s="52" t="str">
        <f>IF(ISERROR(FIND('112'!$M$9,G4428,1)),"",IF((AND(FIND('112'!$M$9,G4428,1)&gt;=1,$B4428&gt;='112'!$N$8,$B4428&lt;='112'!$O$8,OR($L4428='112'!$I$6,$M4428='112'!$I$6))),"x",""))</f>
        <v/>
      </c>
      <c r="S4428" s="52" t="str">
        <f>IF(ISERROR(FIND('112'!$M$9,G4428,1)),"",IF((AND(LEFT(G4428,2)=LEFT('112'!$M$9,2),B4428&lt;'112'!$N$8,$L4428='112'!$I$6)),"x",""))</f>
        <v/>
      </c>
      <c r="T4428" s="52" t="str">
        <f>IF(ISERROR(FIND('112'!$M$9,G4428,1)),"",IF((AND(RIGHT(G4428,2)=RIGHT('112'!$M$9,2),B4428&lt;'112'!$N$8,$M4428='112'!$I$6)),"x",""))</f>
        <v/>
      </c>
      <c r="U4428" s="52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V4428" s="52" t="str">
        <f>IF(OR(TH!L4428=TH!$V$7,M4428=TH!$V$7),"x","")</f>
        <v/>
      </c>
      <c r="W4428" s="52" t="str">
        <f>IF(AND(B4428&gt;='IN-NX'!$P$3,B4428&lt;='IN-NX'!$Q$3,'IN-NX'!$D$7=D4428,OR(LEFT(L4428,2)="15",AND(LEFT(M4428,2)&lt;&gt;"15",LEFT(M4428,2)&lt;&gt;"33"))),"x","")</f>
        <v/>
      </c>
      <c r="X4428" s="52" t="str">
        <f>IF(AND(OR(LEFT(TH!L4428,2)="15",LEFT(TH!M4428,2)="15"),'152-CT'!$J$8=TH!F4428),"x","")</f>
        <v/>
      </c>
      <c r="Y4428" s="52" t="str">
        <f>IF(AND(OR(LEFT(TH!L4428,2)="15",LEFT(TH!M4428,2)="15"),TK!$E$7=TH!F4428),"x","")</f>
        <v/>
      </c>
      <c r="Z4428" s="52" t="str">
        <f>IF(AND(B4428&lt;=NKC!$N$8,B4428&gt;=NKC!$M$8),"x","")</f>
        <v/>
      </c>
      <c r="AA4428" s="826"/>
    </row>
    <row r="4429" spans="1:27" ht="15.75" customHeight="1">
      <c r="A4429" s="827" t="str">
        <f>IF(B4429&lt;&gt;"",IF(AND(B4429&gt;=_TM1,B4429&lt;=_TM2,OR(TH!L4429="1111",TH!M4429="1111")),TH!D4429,""),"")</f>
        <v/>
      </c>
      <c r="B4429" s="36" t="str">
        <f t="shared" si="523"/>
        <v/>
      </c>
      <c r="C4429" s="190"/>
      <c r="D4429" s="37"/>
      <c r="E4429" s="190"/>
      <c r="F4429" s="40"/>
      <c r="G4429" s="832"/>
      <c r="H4429" s="7"/>
      <c r="I4429" s="253"/>
      <c r="J4429" s="253"/>
      <c r="K4429" s="584"/>
      <c r="L4429" s="39"/>
      <c r="M4429" s="39"/>
      <c r="N4429" s="52" t="str">
        <f>IF(AND('331-CT'!$E$7=TH!H4429,OR(L4429="331",M4429="331")),"331",IF(AND(OR(L4429="131",M4429="131"),H4429='131-CT'!$E$7),"131",""))</f>
        <v/>
      </c>
      <c r="O4429" s="52" t="str">
        <f>IF(AND($B4429&gt;='111'!$N$11,$B4429&lt;='111'!$O$11,OR($L4429=$O$7,$M4429=$O$7)),"x","")</f>
        <v/>
      </c>
      <c r="P4429" s="52" t="str">
        <f>IF(AND($L4429=$O$7,$B4429&lt;'111'!$N$11),"x","")</f>
        <v/>
      </c>
      <c r="Q4429" s="52" t="str">
        <f>IF(AND($M4429=$O$7,$B4429&lt;'111'!$N$11),"x","")</f>
        <v/>
      </c>
      <c r="R4429" s="52" t="str">
        <f>IF(ISERROR(FIND('112'!$M$9,G4429,1)),"",IF((AND(FIND('112'!$M$9,G4429,1)&gt;=1,$B4429&gt;='112'!$N$8,$B4429&lt;='112'!$O$8,OR($L4429='112'!$I$6,$M4429='112'!$I$6))),"x",""))</f>
        <v/>
      </c>
      <c r="S4429" s="52" t="str">
        <f>IF(ISERROR(FIND('112'!$M$9,G4429,1)),"",IF((AND(LEFT(G4429,2)=LEFT('112'!$M$9,2),B4429&lt;'112'!$N$8,$L4429='112'!$I$6)),"x",""))</f>
        <v/>
      </c>
      <c r="T4429" s="52" t="str">
        <f>IF(ISERROR(FIND('112'!$M$9,G4429,1)),"",IF((AND(RIGHT(G4429,2)=RIGHT('112'!$M$9,2),B4429&lt;'112'!$N$8,$M4429='112'!$I$6)),"x",""))</f>
        <v/>
      </c>
      <c r="U4429" s="52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V4429" s="52" t="str">
        <f>IF(OR(TH!L4429=TH!$V$7,M4429=TH!$V$7),"x","")</f>
        <v/>
      </c>
      <c r="W4429" s="52" t="str">
        <f>IF(AND(B4429&gt;='IN-NX'!$P$3,B4429&lt;='IN-NX'!$Q$3,'IN-NX'!$D$7=D4429,OR(LEFT(L4429,2)="15",AND(LEFT(M4429,2)&lt;&gt;"15",LEFT(M4429,2)&lt;&gt;"33"))),"x","")</f>
        <v/>
      </c>
      <c r="X4429" s="52" t="str">
        <f>IF(AND(OR(LEFT(TH!L4429,2)="15",LEFT(TH!M4429,2)="15"),'152-CT'!$J$8=TH!F4429),"x","")</f>
        <v/>
      </c>
      <c r="Y4429" s="52" t="str">
        <f>IF(AND(OR(LEFT(TH!L4429,2)="15",LEFT(TH!M4429,2)="15"),TK!$E$7=TH!F4429),"x","")</f>
        <v/>
      </c>
      <c r="Z4429" s="52" t="str">
        <f>IF(AND(B4429&lt;=NKC!$N$8,B4429&gt;=NKC!$M$8),"x","")</f>
        <v/>
      </c>
      <c r="AA4429" s="826"/>
    </row>
    <row r="4430" spans="1:27" ht="15.75" customHeight="1">
      <c r="A4430" s="827" t="str">
        <f>IF(B4430&lt;&gt;"",IF(AND(B4430&gt;=_TM1,B4430&lt;=_TM2,OR(TH!L4430="1111",TH!M4430="1111")),TH!D4430,""),"")</f>
        <v/>
      </c>
      <c r="B4430" s="36" t="str">
        <f t="shared" si="523"/>
        <v/>
      </c>
      <c r="C4430" s="190"/>
      <c r="D4430" s="37"/>
      <c r="E4430" s="190"/>
      <c r="F4430" s="40"/>
      <c r="G4430" s="832"/>
      <c r="H4430" s="7"/>
      <c r="I4430" s="253"/>
      <c r="J4430" s="253"/>
      <c r="K4430" s="584"/>
      <c r="L4430" s="39"/>
      <c r="M4430" s="39"/>
      <c r="N4430" s="52" t="str">
        <f>IF(AND('331-CT'!$E$7=TH!H4430,OR(L4430="331",M4430="331")),"331",IF(AND(OR(L4430="131",M4430="131"),H4430='131-CT'!$E$7),"131",""))</f>
        <v/>
      </c>
      <c r="O4430" s="52" t="str">
        <f>IF(AND($B4430&gt;='111'!$N$11,$B4430&lt;='111'!$O$11,OR($L4430=$O$7,$M4430=$O$7)),"x","")</f>
        <v/>
      </c>
      <c r="P4430" s="52" t="str">
        <f>IF(AND($L4430=$O$7,$B4430&lt;'111'!$N$11),"x","")</f>
        <v/>
      </c>
      <c r="Q4430" s="52" t="str">
        <f>IF(AND($M4430=$O$7,$B4430&lt;'111'!$N$11),"x","")</f>
        <v/>
      </c>
      <c r="R4430" s="52" t="str">
        <f>IF(ISERROR(FIND('112'!$M$9,G4430,1)),"",IF((AND(FIND('112'!$M$9,G4430,1)&gt;=1,$B4430&gt;='112'!$N$8,$B4430&lt;='112'!$O$8,OR($L4430='112'!$I$6,$M4430='112'!$I$6))),"x",""))</f>
        <v/>
      </c>
      <c r="S4430" s="52" t="str">
        <f>IF(ISERROR(FIND('112'!$M$9,G4430,1)),"",IF((AND(LEFT(G4430,2)=LEFT('112'!$M$9,2),B4430&lt;'112'!$N$8,$L4430='112'!$I$6)),"x",""))</f>
        <v/>
      </c>
      <c r="T4430" s="52" t="str">
        <f>IF(ISERROR(FIND('112'!$M$9,G4430,1)),"",IF((AND(RIGHT(G4430,2)=RIGHT('112'!$M$9,2),B4430&lt;'112'!$N$8,$M4430='112'!$I$6)),"x",""))</f>
        <v/>
      </c>
      <c r="U4430" s="52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V4430" s="52" t="str">
        <f>IF(OR(TH!L4430=TH!$V$7,M4430=TH!$V$7),"x","")</f>
        <v/>
      </c>
      <c r="W4430" s="52" t="str">
        <f>IF(AND(B4430&gt;='IN-NX'!$P$3,B4430&lt;='IN-NX'!$Q$3,'IN-NX'!$D$7=D4430,OR(LEFT(L4430,2)="15",AND(LEFT(M4430,2)&lt;&gt;"15",LEFT(M4430,2)&lt;&gt;"33"))),"x","")</f>
        <v/>
      </c>
      <c r="X4430" s="52" t="str">
        <f>IF(AND(OR(LEFT(TH!L4430,2)="15",LEFT(TH!M4430,2)="15"),'152-CT'!$J$8=TH!F4430),"x","")</f>
        <v/>
      </c>
      <c r="Y4430" s="52" t="str">
        <f>IF(AND(OR(LEFT(TH!L4430,2)="15",LEFT(TH!M4430,2)="15"),TK!$E$7=TH!F4430),"x","")</f>
        <v/>
      </c>
      <c r="Z4430" s="52" t="str">
        <f>IF(AND(B4430&lt;=NKC!$N$8,B4430&gt;=NKC!$M$8),"x","")</f>
        <v/>
      </c>
      <c r="AA4430" s="826"/>
    </row>
    <row r="4431" spans="1:27" ht="15.75" customHeight="1">
      <c r="A4431" s="827" t="str">
        <f>IF(B4431&lt;&gt;"",IF(AND(B4431&gt;=_TM1,B4431&lt;=_TM2,OR(TH!L4431="1111",TH!M4431="1111")),TH!D4431,""),"")</f>
        <v/>
      </c>
      <c r="B4431" s="36" t="str">
        <f t="shared" si="523"/>
        <v/>
      </c>
      <c r="C4431" s="190"/>
      <c r="D4431" s="37"/>
      <c r="E4431" s="190"/>
      <c r="F4431" s="40"/>
      <c r="G4431" s="832"/>
      <c r="H4431" s="7"/>
      <c r="I4431" s="253"/>
      <c r="J4431" s="253"/>
      <c r="K4431" s="584"/>
      <c r="L4431" s="39"/>
      <c r="M4431" s="39"/>
      <c r="N4431" s="52" t="str">
        <f>IF(AND('331-CT'!$E$7=TH!H4431,OR(L4431="331",M4431="331")),"331",IF(AND(OR(L4431="131",M4431="131"),H4431='131-CT'!$E$7),"131",""))</f>
        <v/>
      </c>
      <c r="O4431" s="52" t="str">
        <f>IF(AND($B4431&gt;='111'!$N$11,$B4431&lt;='111'!$O$11,OR($L4431=$O$7,$M4431=$O$7)),"x","")</f>
        <v/>
      </c>
      <c r="P4431" s="52" t="str">
        <f>IF(AND($L4431=$O$7,$B4431&lt;'111'!$N$11),"x","")</f>
        <v/>
      </c>
      <c r="Q4431" s="52" t="str">
        <f>IF(AND($M4431=$O$7,$B4431&lt;'111'!$N$11),"x","")</f>
        <v/>
      </c>
      <c r="R4431" s="52" t="str">
        <f>IF(ISERROR(FIND('112'!$M$9,G4431,1)),"",IF((AND(FIND('112'!$M$9,G4431,1)&gt;=1,$B4431&gt;='112'!$N$8,$B4431&lt;='112'!$O$8,OR($L4431='112'!$I$6,$M4431='112'!$I$6))),"x",""))</f>
        <v/>
      </c>
      <c r="S4431" s="52" t="str">
        <f>IF(ISERROR(FIND('112'!$M$9,G4431,1)),"",IF((AND(LEFT(G4431,2)=LEFT('112'!$M$9,2),B4431&lt;'112'!$N$8,$L4431='112'!$I$6)),"x",""))</f>
        <v/>
      </c>
      <c r="T4431" s="52" t="str">
        <f>IF(ISERROR(FIND('112'!$M$9,G4431,1)),"",IF((AND(RIGHT(G4431,2)=RIGHT('112'!$M$9,2),B4431&lt;'112'!$N$8,$M4431='112'!$I$6)),"x",""))</f>
        <v/>
      </c>
      <c r="U4431" s="52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V4431" s="52" t="str">
        <f>IF(OR(TH!L4431=TH!$V$7,M4431=TH!$V$7),"x","")</f>
        <v/>
      </c>
      <c r="W4431" s="52" t="str">
        <f>IF(AND(B4431&gt;='IN-NX'!$P$3,B4431&lt;='IN-NX'!$Q$3,'IN-NX'!$D$7=D4431,OR(LEFT(L4431,2)="15",AND(LEFT(M4431,2)&lt;&gt;"15",LEFT(M4431,2)&lt;&gt;"33"))),"x","")</f>
        <v/>
      </c>
      <c r="X4431" s="52" t="str">
        <f>IF(AND(OR(LEFT(TH!L4431,2)="15",LEFT(TH!M4431,2)="15"),'152-CT'!$J$8=TH!F4431),"x","")</f>
        <v/>
      </c>
      <c r="Y4431" s="52" t="str">
        <f>IF(AND(OR(LEFT(TH!L4431,2)="15",LEFT(TH!M4431,2)="15"),TK!$E$7=TH!F4431),"x","")</f>
        <v/>
      </c>
      <c r="Z4431" s="52" t="str">
        <f>IF(AND(B4431&lt;=NKC!$N$8,B4431&gt;=NKC!$M$8),"x","")</f>
        <v/>
      </c>
      <c r="AA4431" s="826"/>
    </row>
    <row r="4432" spans="1:27" ht="15.75" customHeight="1">
      <c r="A4432" s="827" t="str">
        <f>IF(B4432&lt;&gt;"",IF(AND(B4432&gt;=_TM1,B4432&lt;=_TM2,OR(TH!L4432="1111",TH!M4432="1111")),TH!D4432,""),"")</f>
        <v/>
      </c>
      <c r="B4432" s="36" t="str">
        <f t="shared" si="523"/>
        <v/>
      </c>
      <c r="C4432" s="190"/>
      <c r="D4432" s="37"/>
      <c r="E4432" s="190"/>
      <c r="F4432" s="40"/>
      <c r="G4432" s="832"/>
      <c r="H4432" s="7"/>
      <c r="I4432" s="253"/>
      <c r="J4432" s="253"/>
      <c r="K4432" s="584"/>
      <c r="L4432" s="39"/>
      <c r="M4432" s="39"/>
      <c r="N4432" s="52" t="str">
        <f>IF(AND('331-CT'!$E$7=TH!H4432,OR(L4432="331",M4432="331")),"331",IF(AND(OR(L4432="131",M4432="131"),H4432='131-CT'!$E$7),"131",""))</f>
        <v/>
      </c>
      <c r="O4432" s="52" t="str">
        <f>IF(AND($B4432&gt;='111'!$N$11,$B4432&lt;='111'!$O$11,OR($L4432=$O$7,$M4432=$O$7)),"x","")</f>
        <v/>
      </c>
      <c r="P4432" s="52" t="str">
        <f>IF(AND($L4432=$O$7,$B4432&lt;'111'!$N$11),"x","")</f>
        <v/>
      </c>
      <c r="Q4432" s="52" t="str">
        <f>IF(AND($M4432=$O$7,$B4432&lt;'111'!$N$11),"x","")</f>
        <v/>
      </c>
      <c r="R4432" s="52" t="str">
        <f>IF(ISERROR(FIND('112'!$M$9,G4432,1)),"",IF((AND(FIND('112'!$M$9,G4432,1)&gt;=1,$B4432&gt;='112'!$N$8,$B4432&lt;='112'!$O$8,OR($L4432='112'!$I$6,$M4432='112'!$I$6))),"x",""))</f>
        <v/>
      </c>
      <c r="S4432" s="52" t="str">
        <f>IF(ISERROR(FIND('112'!$M$9,G4432,1)),"",IF((AND(LEFT(G4432,2)=LEFT('112'!$M$9,2),B4432&lt;'112'!$N$8,$L4432='112'!$I$6)),"x",""))</f>
        <v/>
      </c>
      <c r="T4432" s="52" t="str">
        <f>IF(ISERROR(FIND('112'!$M$9,G4432,1)),"",IF((AND(RIGHT(G4432,2)=RIGHT('112'!$M$9,2),B4432&lt;'112'!$N$8,$M4432='112'!$I$6)),"x",""))</f>
        <v/>
      </c>
      <c r="U4432" s="52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V4432" s="52" t="str">
        <f>IF(OR(TH!L4432=TH!$V$7,M4432=TH!$V$7),"x","")</f>
        <v/>
      </c>
      <c r="W4432" s="52" t="str">
        <f>IF(AND(B4432&gt;='IN-NX'!$P$3,B4432&lt;='IN-NX'!$Q$3,'IN-NX'!$D$7=D4432,OR(LEFT(L4432,2)="15",AND(LEFT(M4432,2)&lt;&gt;"15",LEFT(M4432,2)&lt;&gt;"33"))),"x","")</f>
        <v/>
      </c>
      <c r="X4432" s="52" t="str">
        <f>IF(AND(OR(LEFT(TH!L4432,2)="15",LEFT(TH!M4432,2)="15"),'152-CT'!$J$8=TH!F4432),"x","")</f>
        <v/>
      </c>
      <c r="Y4432" s="52" t="str">
        <f>IF(AND(OR(LEFT(TH!L4432,2)="15",LEFT(TH!M4432,2)="15"),TK!$E$7=TH!F4432),"x","")</f>
        <v/>
      </c>
      <c r="Z4432" s="52" t="str">
        <f>IF(AND(B4432&lt;=NKC!$N$8,B4432&gt;=NKC!$M$8),"x","")</f>
        <v/>
      </c>
      <c r="AA4432" s="826"/>
    </row>
    <row r="4433" spans="1:27" ht="15.75" customHeight="1">
      <c r="A4433" s="827" t="str">
        <f>IF(B4433&lt;&gt;"",IF(AND(B4433&gt;=_TM1,B4433&lt;=_TM2,OR(TH!L4433="1111",TH!M4433="1111")),TH!D4433,""),"")</f>
        <v/>
      </c>
      <c r="B4433" s="36" t="str">
        <f t="shared" si="523"/>
        <v/>
      </c>
      <c r="C4433" s="190"/>
      <c r="D4433" s="37"/>
      <c r="E4433" s="190"/>
      <c r="F4433" s="40"/>
      <c r="G4433" s="832"/>
      <c r="H4433" s="7"/>
      <c r="I4433" s="253"/>
      <c r="J4433" s="253"/>
      <c r="K4433" s="584"/>
      <c r="L4433" s="39"/>
      <c r="M4433" s="39"/>
      <c r="N4433" s="52" t="str">
        <f>IF(AND('331-CT'!$E$7=TH!H4433,OR(L4433="331",M4433="331")),"331",IF(AND(OR(L4433="131",M4433="131"),H4433='131-CT'!$E$7),"131",""))</f>
        <v/>
      </c>
      <c r="O4433" s="52" t="str">
        <f>IF(AND($B4433&gt;='111'!$N$11,$B4433&lt;='111'!$O$11,OR($L4433=$O$7,$M4433=$O$7)),"x","")</f>
        <v/>
      </c>
      <c r="P4433" s="52" t="str">
        <f>IF(AND($L4433=$O$7,$B4433&lt;'111'!$N$11),"x","")</f>
        <v/>
      </c>
      <c r="Q4433" s="52" t="str">
        <f>IF(AND($M4433=$O$7,$B4433&lt;'111'!$N$11),"x","")</f>
        <v/>
      </c>
      <c r="R4433" s="52" t="str">
        <f>IF(ISERROR(FIND('112'!$M$9,G4433,1)),"",IF((AND(FIND('112'!$M$9,G4433,1)&gt;=1,$B4433&gt;='112'!$N$8,$B4433&lt;='112'!$O$8,OR($L4433='112'!$I$6,$M4433='112'!$I$6))),"x",""))</f>
        <v/>
      </c>
      <c r="S4433" s="52" t="str">
        <f>IF(ISERROR(FIND('112'!$M$9,G4433,1)),"",IF((AND(LEFT(G4433,2)=LEFT('112'!$M$9,2),B4433&lt;'112'!$N$8,$L4433='112'!$I$6)),"x",""))</f>
        <v/>
      </c>
      <c r="T4433" s="52" t="str">
        <f>IF(ISERROR(FIND('112'!$M$9,G4433,1)),"",IF((AND(RIGHT(G4433,2)=RIGHT('112'!$M$9,2),B4433&lt;'112'!$N$8,$M4433='112'!$I$6)),"x",""))</f>
        <v/>
      </c>
      <c r="U4433" s="52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V4433" s="52" t="str">
        <f>IF(OR(TH!L4433=TH!$V$7,M4433=TH!$V$7),"x","")</f>
        <v/>
      </c>
      <c r="W4433" s="52" t="str">
        <f>IF(AND(B4433&gt;='IN-NX'!$P$3,B4433&lt;='IN-NX'!$Q$3,'IN-NX'!$D$7=D4433,OR(LEFT(L4433,2)="15",AND(LEFT(M4433,2)&lt;&gt;"15",LEFT(M4433,2)&lt;&gt;"33"))),"x","")</f>
        <v/>
      </c>
      <c r="X4433" s="52" t="str">
        <f>IF(AND(OR(LEFT(TH!L4433,2)="15",LEFT(TH!M4433,2)="15"),'152-CT'!$J$8=TH!F4433),"x","")</f>
        <v/>
      </c>
      <c r="Y4433" s="52" t="str">
        <f>IF(AND(OR(LEFT(TH!L4433,2)="15",LEFT(TH!M4433,2)="15"),TK!$E$7=TH!F4433),"x","")</f>
        <v/>
      </c>
      <c r="Z4433" s="52" t="str">
        <f>IF(AND(B4433&lt;=NKC!$N$8,B4433&gt;=NKC!$M$8),"x","")</f>
        <v/>
      </c>
      <c r="AA4433" s="826"/>
    </row>
    <row r="4434" spans="1:27" ht="15.75" customHeight="1">
      <c r="A4434" s="827" t="str">
        <f>IF(B4434&lt;&gt;"",IF(AND(B4434&gt;=_TM1,B4434&lt;=_TM2,OR(TH!L4434="1111",TH!M4434="1111")),TH!D4434,""),"")</f>
        <v/>
      </c>
      <c r="B4434" s="36" t="str">
        <f t="shared" si="523"/>
        <v/>
      </c>
      <c r="C4434" s="190"/>
      <c r="D4434" s="37"/>
      <c r="E4434" s="190"/>
      <c r="F4434" s="40"/>
      <c r="G4434" s="832"/>
      <c r="H4434" s="7"/>
      <c r="I4434" s="253"/>
      <c r="J4434" s="253"/>
      <c r="K4434" s="584"/>
      <c r="L4434" s="39"/>
      <c r="M4434" s="39"/>
      <c r="N4434" s="52" t="str">
        <f>IF(AND('331-CT'!$E$7=TH!H4434,OR(L4434="331",M4434="331")),"331",IF(AND(OR(L4434="131",M4434="131"),H4434='131-CT'!$E$7),"131",""))</f>
        <v/>
      </c>
      <c r="O4434" s="52" t="str">
        <f>IF(AND($B4434&gt;='111'!$N$11,$B4434&lt;='111'!$O$11,OR($L4434=$O$7,$M4434=$O$7)),"x","")</f>
        <v/>
      </c>
      <c r="P4434" s="52" t="str">
        <f>IF(AND($L4434=$O$7,$B4434&lt;'111'!$N$11),"x","")</f>
        <v/>
      </c>
      <c r="Q4434" s="52" t="str">
        <f>IF(AND($M4434=$O$7,$B4434&lt;'111'!$N$11),"x","")</f>
        <v/>
      </c>
      <c r="R4434" s="52" t="str">
        <f>IF(ISERROR(FIND('112'!$M$9,G4434,1)),"",IF((AND(FIND('112'!$M$9,G4434,1)&gt;=1,$B4434&gt;='112'!$N$8,$B4434&lt;='112'!$O$8,OR($L4434='112'!$I$6,$M4434='112'!$I$6))),"x",""))</f>
        <v/>
      </c>
      <c r="S4434" s="52" t="str">
        <f>IF(ISERROR(FIND('112'!$M$9,G4434,1)),"",IF((AND(LEFT(G4434,2)=LEFT('112'!$M$9,2),B4434&lt;'112'!$N$8,$L4434='112'!$I$6)),"x",""))</f>
        <v/>
      </c>
      <c r="T4434" s="52" t="str">
        <f>IF(ISERROR(FIND('112'!$M$9,G4434,1)),"",IF((AND(RIGHT(G4434,2)=RIGHT('112'!$M$9,2),B4434&lt;'112'!$N$8,$M4434='112'!$I$6)),"x",""))</f>
        <v/>
      </c>
      <c r="U4434" s="52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V4434" s="52" t="str">
        <f>IF(OR(TH!L4434=TH!$V$7,M4434=TH!$V$7),"x","")</f>
        <v/>
      </c>
      <c r="W4434" s="52" t="str">
        <f>IF(AND(B4434&gt;='IN-NX'!$P$3,B4434&lt;='IN-NX'!$Q$3,'IN-NX'!$D$7=D4434,OR(LEFT(L4434,2)="15",AND(LEFT(M4434,2)&lt;&gt;"15",LEFT(M4434,2)&lt;&gt;"33"))),"x","")</f>
        <v/>
      </c>
      <c r="X4434" s="52" t="str">
        <f>IF(AND(OR(LEFT(TH!L4434,2)="15",LEFT(TH!M4434,2)="15"),'152-CT'!$J$8=TH!F4434),"x","")</f>
        <v/>
      </c>
      <c r="Y4434" s="52" t="str">
        <f>IF(AND(OR(LEFT(TH!L4434,2)="15",LEFT(TH!M4434,2)="15"),TK!$E$7=TH!F4434),"x","")</f>
        <v/>
      </c>
      <c r="Z4434" s="52" t="str">
        <f>IF(AND(B4434&lt;=NKC!$N$8,B4434&gt;=NKC!$M$8),"x","")</f>
        <v/>
      </c>
      <c r="AA4434" s="826"/>
    </row>
    <row r="4435" spans="1:27" ht="15.75" customHeight="1">
      <c r="A4435" s="827" t="str">
        <f>IF(B4435&lt;&gt;"",IF(AND(B4435&gt;=_TM1,B4435&lt;=_TM2,OR(TH!L4435="1111",TH!M4435="1111")),TH!D4435,""),"")</f>
        <v/>
      </c>
      <c r="B4435" s="36" t="str">
        <f t="shared" si="523"/>
        <v/>
      </c>
      <c r="C4435" s="190"/>
      <c r="D4435" s="37"/>
      <c r="E4435" s="190"/>
      <c r="F4435" s="40"/>
      <c r="G4435" s="832"/>
      <c r="H4435" s="7"/>
      <c r="I4435" s="253"/>
      <c r="J4435" s="253"/>
      <c r="K4435" s="584"/>
      <c r="L4435" s="39"/>
      <c r="M4435" s="39"/>
      <c r="N4435" s="52" t="str">
        <f>IF(AND('331-CT'!$E$7=TH!H4435,OR(L4435="331",M4435="331")),"331",IF(AND(OR(L4435="131",M4435="131"),H4435='131-CT'!$E$7),"131",""))</f>
        <v/>
      </c>
      <c r="O4435" s="52" t="str">
        <f>IF(AND($B4435&gt;='111'!$N$11,$B4435&lt;='111'!$O$11,OR($L4435=$O$7,$M4435=$O$7)),"x","")</f>
        <v/>
      </c>
      <c r="P4435" s="52" t="str">
        <f>IF(AND($L4435=$O$7,$B4435&lt;'111'!$N$11),"x","")</f>
        <v/>
      </c>
      <c r="Q4435" s="52" t="str">
        <f>IF(AND($M4435=$O$7,$B4435&lt;'111'!$N$11),"x","")</f>
        <v/>
      </c>
      <c r="R4435" s="52" t="str">
        <f>IF(ISERROR(FIND('112'!$M$9,G4435,1)),"",IF((AND(FIND('112'!$M$9,G4435,1)&gt;=1,$B4435&gt;='112'!$N$8,$B4435&lt;='112'!$O$8,OR($L4435='112'!$I$6,$M4435='112'!$I$6))),"x",""))</f>
        <v/>
      </c>
      <c r="S4435" s="52" t="str">
        <f>IF(ISERROR(FIND('112'!$M$9,G4435,1)),"",IF((AND(LEFT(G4435,2)=LEFT('112'!$M$9,2),B4435&lt;'112'!$N$8,$L4435='112'!$I$6)),"x",""))</f>
        <v/>
      </c>
      <c r="T4435" s="52" t="str">
        <f>IF(ISERROR(FIND('112'!$M$9,G4435,1)),"",IF((AND(RIGHT(G4435,2)=RIGHT('112'!$M$9,2),B4435&lt;'112'!$N$8,$M4435='112'!$I$6)),"x",""))</f>
        <v/>
      </c>
      <c r="U4435" s="52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V4435" s="52" t="str">
        <f>IF(OR(TH!L4435=TH!$V$7,M4435=TH!$V$7),"x","")</f>
        <v/>
      </c>
      <c r="W4435" s="52" t="str">
        <f>IF(AND(B4435&gt;='IN-NX'!$P$3,B4435&lt;='IN-NX'!$Q$3,'IN-NX'!$D$7=D4435,OR(LEFT(L4435,2)="15",AND(LEFT(M4435,2)&lt;&gt;"15",LEFT(M4435,2)&lt;&gt;"33"))),"x","")</f>
        <v/>
      </c>
      <c r="X4435" s="52" t="str">
        <f>IF(AND(OR(LEFT(TH!L4435,2)="15",LEFT(TH!M4435,2)="15"),'152-CT'!$J$8=TH!F4435),"x","")</f>
        <v/>
      </c>
      <c r="Y4435" s="52" t="str">
        <f>IF(AND(OR(LEFT(TH!L4435,2)="15",LEFT(TH!M4435,2)="15"),TK!$E$7=TH!F4435),"x","")</f>
        <v/>
      </c>
      <c r="Z4435" s="52" t="str">
        <f>IF(AND(B4435&lt;=NKC!$N$8,B4435&gt;=NKC!$M$8),"x","")</f>
        <v/>
      </c>
      <c r="AA4435" s="826"/>
    </row>
    <row r="4436" spans="1:27" ht="15.75" customHeight="1">
      <c r="A4436" s="827" t="str">
        <f>IF(B4436&lt;&gt;"",IF(AND(B4436&gt;=_TM1,B4436&lt;=_TM2,OR(TH!L4436="1111",TH!M4436="1111")),TH!D4436,""),"")</f>
        <v/>
      </c>
      <c r="B4436" s="36" t="str">
        <f t="shared" ref="B4436:B4483" si="524">IF(C4436&lt;&gt;"",MONTH(C4436),"")</f>
        <v/>
      </c>
      <c r="C4436" s="190"/>
      <c r="D4436" s="37"/>
      <c r="E4436" s="190"/>
      <c r="F4436" s="40"/>
      <c r="G4436" s="832"/>
      <c r="H4436" s="7"/>
      <c r="I4436" s="253"/>
      <c r="J4436" s="253"/>
      <c r="K4436" s="584"/>
      <c r="L4436" s="39"/>
      <c r="M4436" s="39"/>
      <c r="N4436" s="52" t="str">
        <f>IF(AND('331-CT'!$E$7=TH!H4436,OR(L4436="331",M4436="331")),"331",IF(AND(OR(L4436="131",M4436="131"),H4436='131-CT'!$E$7),"131",""))</f>
        <v/>
      </c>
      <c r="O4436" s="52" t="str">
        <f>IF(AND($B4436&gt;='111'!$N$11,$B4436&lt;='111'!$O$11,OR($L4436=$O$7,$M4436=$O$7)),"x","")</f>
        <v/>
      </c>
      <c r="P4436" s="52" t="str">
        <f>IF(AND($L4436=$O$7,$B4436&lt;'111'!$N$11),"x","")</f>
        <v/>
      </c>
      <c r="Q4436" s="52" t="str">
        <f>IF(AND($M4436=$O$7,$B4436&lt;'111'!$N$11),"x","")</f>
        <v/>
      </c>
      <c r="R4436" s="52" t="str">
        <f>IF(ISERROR(FIND('112'!$M$9,G4436,1)),"",IF((AND(FIND('112'!$M$9,G4436,1)&gt;=1,$B4436&gt;='112'!$N$8,$B4436&lt;='112'!$O$8,OR($L4436='112'!$I$6,$M4436='112'!$I$6))),"x",""))</f>
        <v/>
      </c>
      <c r="S4436" s="52" t="str">
        <f>IF(ISERROR(FIND('112'!$M$9,G4436,1)),"",IF((AND(LEFT(G4436,2)=LEFT('112'!$M$9,2),B4436&lt;'112'!$N$8,$L4436='112'!$I$6)),"x",""))</f>
        <v/>
      </c>
      <c r="T4436" s="52" t="str">
        <f>IF(ISERROR(FIND('112'!$M$9,G4436,1)),"",IF((AND(RIGHT(G4436,2)=RIGHT('112'!$M$9,2),B4436&lt;'112'!$N$8,$M4436='112'!$I$6)),"x",""))</f>
        <v/>
      </c>
      <c r="U4436" s="52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V4436" s="52" t="str">
        <f>IF(OR(TH!L4436=TH!$V$7,M4436=TH!$V$7),"x","")</f>
        <v/>
      </c>
      <c r="W4436" s="52" t="str">
        <f>IF(AND(B4436&gt;='IN-NX'!$P$3,B4436&lt;='IN-NX'!$Q$3,'IN-NX'!$D$7=D4436,OR(LEFT(L4436,2)="15",AND(LEFT(M4436,2)&lt;&gt;"15",LEFT(M4436,2)&lt;&gt;"33"))),"x","")</f>
        <v/>
      </c>
      <c r="X4436" s="52" t="str">
        <f>IF(AND(OR(LEFT(TH!L4436,2)="15",LEFT(TH!M4436,2)="15"),'152-CT'!$J$8=TH!F4436),"x","")</f>
        <v/>
      </c>
      <c r="Y4436" s="52" t="str">
        <f>IF(AND(OR(LEFT(TH!L4436,2)="15",LEFT(TH!M4436,2)="15"),TK!$E$7=TH!F4436),"x","")</f>
        <v/>
      </c>
      <c r="Z4436" s="52" t="str">
        <f>IF(AND(B4436&lt;=NKC!$N$8,B4436&gt;=NKC!$M$8),"x","")</f>
        <v/>
      </c>
      <c r="AA4436" s="826"/>
    </row>
    <row r="4437" spans="1:27" ht="15.75" customHeight="1">
      <c r="A4437" s="827" t="str">
        <f>IF(B4437&lt;&gt;"",IF(AND(B4437&gt;=_TM1,B4437&lt;=_TM2,OR(TH!L4437="1111",TH!M4437="1111")),TH!D4437,""),"")</f>
        <v/>
      </c>
      <c r="B4437" s="36" t="str">
        <f t="shared" si="524"/>
        <v/>
      </c>
      <c r="C4437" s="190"/>
      <c r="D4437" s="37"/>
      <c r="E4437" s="190"/>
      <c r="F4437" s="40"/>
      <c r="G4437" s="832"/>
      <c r="H4437" s="7"/>
      <c r="I4437" s="253"/>
      <c r="J4437" s="253"/>
      <c r="K4437" s="584"/>
      <c r="L4437" s="39"/>
      <c r="M4437" s="39"/>
      <c r="N4437" s="52" t="str">
        <f>IF(AND('331-CT'!$E$7=TH!H4437,OR(L4437="331",M4437="331")),"331",IF(AND(OR(L4437="131",M4437="131"),H4437='131-CT'!$E$7),"131",""))</f>
        <v/>
      </c>
      <c r="O4437" s="52" t="str">
        <f>IF(AND($B4437&gt;='111'!$N$11,$B4437&lt;='111'!$O$11,OR($L4437=$O$7,$M4437=$O$7)),"x","")</f>
        <v/>
      </c>
      <c r="P4437" s="52" t="str">
        <f>IF(AND($L4437=$O$7,$B4437&lt;'111'!$N$11),"x","")</f>
        <v/>
      </c>
      <c r="Q4437" s="52" t="str">
        <f>IF(AND($M4437=$O$7,$B4437&lt;'111'!$N$11),"x","")</f>
        <v/>
      </c>
      <c r="R4437" s="52" t="str">
        <f>IF(ISERROR(FIND('112'!$M$9,G4437,1)),"",IF((AND(FIND('112'!$M$9,G4437,1)&gt;=1,$B4437&gt;='112'!$N$8,$B4437&lt;='112'!$O$8,OR($L4437='112'!$I$6,$M4437='112'!$I$6))),"x",""))</f>
        <v/>
      </c>
      <c r="S4437" s="52" t="str">
        <f>IF(ISERROR(FIND('112'!$M$9,G4437,1)),"",IF((AND(LEFT(G4437,2)=LEFT('112'!$M$9,2),B4437&lt;'112'!$N$8,$L4437='112'!$I$6)),"x",""))</f>
        <v/>
      </c>
      <c r="T4437" s="52" t="str">
        <f>IF(ISERROR(FIND('112'!$M$9,G4437,1)),"",IF((AND(RIGHT(G4437,2)=RIGHT('112'!$M$9,2),B4437&lt;'112'!$N$8,$M4437='112'!$I$6)),"x",""))</f>
        <v/>
      </c>
      <c r="U4437" s="52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V4437" s="52" t="str">
        <f>IF(OR(TH!L4437=TH!$V$7,M4437=TH!$V$7),"x","")</f>
        <v/>
      </c>
      <c r="W4437" s="52" t="str">
        <f>IF(AND(B4437&gt;='IN-NX'!$P$3,B4437&lt;='IN-NX'!$Q$3,'IN-NX'!$D$7=D4437,OR(LEFT(L4437,2)="15",AND(LEFT(M4437,2)&lt;&gt;"15",LEFT(M4437,2)&lt;&gt;"33"))),"x","")</f>
        <v/>
      </c>
      <c r="X4437" s="52" t="str">
        <f>IF(AND(OR(LEFT(TH!L4437,2)="15",LEFT(TH!M4437,2)="15"),'152-CT'!$J$8=TH!F4437),"x","")</f>
        <v/>
      </c>
      <c r="Y4437" s="52" t="str">
        <f>IF(AND(OR(LEFT(TH!L4437,2)="15",LEFT(TH!M4437,2)="15"),TK!$E$7=TH!F4437),"x","")</f>
        <v/>
      </c>
      <c r="Z4437" s="52" t="str">
        <f>IF(AND(B4437&lt;=NKC!$N$8,B4437&gt;=NKC!$M$8),"x","")</f>
        <v/>
      </c>
      <c r="AA4437" s="826"/>
    </row>
    <row r="4438" spans="1:27" ht="15.75" customHeight="1">
      <c r="A4438" s="827" t="str">
        <f>IF(B4438&lt;&gt;"",IF(AND(B4438&gt;=_TM1,B4438&lt;=_TM2,OR(TH!L4438="1111",TH!M4438="1111")),TH!D4438,""),"")</f>
        <v/>
      </c>
      <c r="B4438" s="36" t="str">
        <f t="shared" si="524"/>
        <v/>
      </c>
      <c r="C4438" s="190"/>
      <c r="D4438" s="37"/>
      <c r="E4438" s="190"/>
      <c r="F4438" s="40"/>
      <c r="G4438" s="832"/>
      <c r="H4438" s="7"/>
      <c r="I4438" s="253"/>
      <c r="J4438" s="253"/>
      <c r="K4438" s="584"/>
      <c r="L4438" s="39"/>
      <c r="M4438" s="39"/>
      <c r="N4438" s="52" t="str">
        <f>IF(AND('331-CT'!$E$7=TH!H4438,OR(L4438="331",M4438="331")),"331",IF(AND(OR(L4438="131",M4438="131"),H4438='131-CT'!$E$7),"131",""))</f>
        <v/>
      </c>
      <c r="O4438" s="52" t="str">
        <f>IF(AND($B4438&gt;='111'!$N$11,$B4438&lt;='111'!$O$11,OR($L4438=$O$7,$M4438=$O$7)),"x","")</f>
        <v/>
      </c>
      <c r="P4438" s="52" t="str">
        <f>IF(AND($L4438=$O$7,$B4438&lt;'111'!$N$11),"x","")</f>
        <v/>
      </c>
      <c r="Q4438" s="52" t="str">
        <f>IF(AND($M4438=$O$7,$B4438&lt;'111'!$N$11),"x","")</f>
        <v/>
      </c>
      <c r="R4438" s="52" t="str">
        <f>IF(ISERROR(FIND('112'!$M$9,G4438,1)),"",IF((AND(FIND('112'!$M$9,G4438,1)&gt;=1,$B4438&gt;='112'!$N$8,$B4438&lt;='112'!$O$8,OR($L4438='112'!$I$6,$M4438='112'!$I$6))),"x",""))</f>
        <v/>
      </c>
      <c r="S4438" s="52" t="str">
        <f>IF(ISERROR(FIND('112'!$M$9,G4438,1)),"",IF((AND(LEFT(G4438,2)=LEFT('112'!$M$9,2),B4438&lt;'112'!$N$8,$L4438='112'!$I$6)),"x",""))</f>
        <v/>
      </c>
      <c r="T4438" s="52" t="str">
        <f>IF(ISERROR(FIND('112'!$M$9,G4438,1)),"",IF((AND(RIGHT(G4438,2)=RIGHT('112'!$M$9,2),B4438&lt;'112'!$N$8,$M4438='112'!$I$6)),"x",""))</f>
        <v/>
      </c>
      <c r="U4438" s="52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V4438" s="52" t="str">
        <f>IF(OR(TH!L4438=TH!$V$7,M4438=TH!$V$7),"x","")</f>
        <v/>
      </c>
      <c r="W4438" s="52" t="str">
        <f>IF(AND(B4438&gt;='IN-NX'!$P$3,B4438&lt;='IN-NX'!$Q$3,'IN-NX'!$D$7=D4438,OR(LEFT(L4438,2)="15",AND(LEFT(M4438,2)&lt;&gt;"15",LEFT(M4438,2)&lt;&gt;"33"))),"x","")</f>
        <v/>
      </c>
      <c r="X4438" s="52" t="str">
        <f>IF(AND(OR(LEFT(TH!L4438,2)="15",LEFT(TH!M4438,2)="15"),'152-CT'!$J$8=TH!F4438),"x","")</f>
        <v/>
      </c>
      <c r="Y4438" s="52" t="str">
        <f>IF(AND(OR(LEFT(TH!L4438,2)="15",LEFT(TH!M4438,2)="15"),TK!$E$7=TH!F4438),"x","")</f>
        <v/>
      </c>
      <c r="Z4438" s="52" t="str">
        <f>IF(AND(B4438&lt;=NKC!$N$8,B4438&gt;=NKC!$M$8),"x","")</f>
        <v/>
      </c>
      <c r="AA4438" s="826"/>
    </row>
    <row r="4439" spans="1:27" ht="15.75" customHeight="1">
      <c r="A4439" s="827" t="str">
        <f>IF(B4439&lt;&gt;"",IF(AND(B4439&gt;=_TM1,B4439&lt;=_TM2,OR(TH!L4439="1111",TH!M4439="1111")),TH!D4439,""),"")</f>
        <v/>
      </c>
      <c r="B4439" s="36" t="str">
        <f t="shared" si="524"/>
        <v/>
      </c>
      <c r="C4439" s="190"/>
      <c r="D4439" s="37"/>
      <c r="E4439" s="190"/>
      <c r="F4439" s="40"/>
      <c r="G4439" s="832"/>
      <c r="H4439" s="7"/>
      <c r="I4439" s="253"/>
      <c r="J4439" s="253"/>
      <c r="K4439" s="584"/>
      <c r="L4439" s="39"/>
      <c r="M4439" s="39"/>
      <c r="N4439" s="52" t="str">
        <f>IF(AND('331-CT'!$E$7=TH!H4439,OR(L4439="331",M4439="331")),"331",IF(AND(OR(L4439="131",M4439="131"),H4439='131-CT'!$E$7),"131",""))</f>
        <v/>
      </c>
      <c r="O4439" s="52" t="str">
        <f>IF(AND($B4439&gt;='111'!$N$11,$B4439&lt;='111'!$O$11,OR($L4439=$O$7,$M4439=$O$7)),"x","")</f>
        <v/>
      </c>
      <c r="P4439" s="52" t="str">
        <f>IF(AND($L4439=$O$7,$B4439&lt;'111'!$N$11),"x","")</f>
        <v/>
      </c>
      <c r="Q4439" s="52" t="str">
        <f>IF(AND($M4439=$O$7,$B4439&lt;'111'!$N$11),"x","")</f>
        <v/>
      </c>
      <c r="R4439" s="52" t="str">
        <f>IF(ISERROR(FIND('112'!$M$9,G4439,1)),"",IF((AND(FIND('112'!$M$9,G4439,1)&gt;=1,$B4439&gt;='112'!$N$8,$B4439&lt;='112'!$O$8,OR($L4439='112'!$I$6,$M4439='112'!$I$6))),"x",""))</f>
        <v/>
      </c>
      <c r="S4439" s="52" t="str">
        <f>IF(ISERROR(FIND('112'!$M$9,G4439,1)),"",IF((AND(LEFT(G4439,2)=LEFT('112'!$M$9,2),B4439&lt;'112'!$N$8,$L4439='112'!$I$6)),"x",""))</f>
        <v/>
      </c>
      <c r="T4439" s="52" t="str">
        <f>IF(ISERROR(FIND('112'!$M$9,G4439,1)),"",IF((AND(RIGHT(G4439,2)=RIGHT('112'!$M$9,2),B4439&lt;'112'!$N$8,$M4439='112'!$I$6)),"x",""))</f>
        <v/>
      </c>
      <c r="U4439" s="52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V4439" s="52" t="str">
        <f>IF(OR(TH!L4439=TH!$V$7,M4439=TH!$V$7),"x","")</f>
        <v/>
      </c>
      <c r="W4439" s="52" t="str">
        <f>IF(AND(B4439&gt;='IN-NX'!$P$3,B4439&lt;='IN-NX'!$Q$3,'IN-NX'!$D$7=D4439,OR(LEFT(L4439,2)="15",AND(LEFT(M4439,2)&lt;&gt;"15",LEFT(M4439,2)&lt;&gt;"33"))),"x","")</f>
        <v/>
      </c>
      <c r="X4439" s="52" t="str">
        <f>IF(AND(OR(LEFT(TH!L4439,2)="15",LEFT(TH!M4439,2)="15"),'152-CT'!$J$8=TH!F4439),"x","")</f>
        <v/>
      </c>
      <c r="Y4439" s="52" t="str">
        <f>IF(AND(OR(LEFT(TH!L4439,2)="15",LEFT(TH!M4439,2)="15"),TK!$E$7=TH!F4439),"x","")</f>
        <v/>
      </c>
      <c r="Z4439" s="52" t="str">
        <f>IF(AND(B4439&lt;=NKC!$N$8,B4439&gt;=NKC!$M$8),"x","")</f>
        <v/>
      </c>
      <c r="AA4439" s="826"/>
    </row>
    <row r="4440" spans="1:27" ht="15.75" customHeight="1">
      <c r="A4440" s="827" t="str">
        <f>IF(B4440&lt;&gt;"",IF(AND(B4440&gt;=_TM1,B4440&lt;=_TM2,OR(TH!L4440="1111",TH!M4440="1111")),TH!D4440,""),"")</f>
        <v/>
      </c>
      <c r="B4440" s="36" t="str">
        <f t="shared" si="524"/>
        <v/>
      </c>
      <c r="C4440" s="190"/>
      <c r="D4440" s="37"/>
      <c r="E4440" s="190"/>
      <c r="F4440" s="191"/>
      <c r="G4440" s="833"/>
      <c r="H4440" s="192"/>
      <c r="I4440" s="253"/>
      <c r="J4440" s="253"/>
      <c r="K4440" s="584"/>
      <c r="L4440" s="39"/>
      <c r="M4440" s="39"/>
      <c r="N4440" s="52" t="str">
        <f>IF(AND('331-CT'!$E$7=TH!H4440,OR(L4440="331",M4440="331")),"331",IF(AND(OR(L4440="131",M4440="131"),H4440='131-CT'!$E$7),"131",""))</f>
        <v/>
      </c>
      <c r="O4440" s="52" t="str">
        <f>IF(AND($B4440&gt;='111'!$N$11,$B4440&lt;='111'!$O$11,OR($L4440=$O$7,$M4440=$O$7)),"x","")</f>
        <v/>
      </c>
      <c r="P4440" s="52" t="str">
        <f>IF(AND($L4440=$O$7,$B4440&lt;'111'!$N$11),"x","")</f>
        <v/>
      </c>
      <c r="Q4440" s="52" t="str">
        <f>IF(AND($M4440=$O$7,$B4440&lt;'111'!$N$11),"x","")</f>
        <v/>
      </c>
      <c r="R4440" s="52" t="str">
        <f>IF(ISERROR(FIND('112'!$M$9,G4440,1)),"",IF((AND(FIND('112'!$M$9,G4440,1)&gt;=1,$B4440&gt;='112'!$N$8,$B4440&lt;='112'!$O$8,OR($L4440='112'!$I$6,$M4440='112'!$I$6))),"x",""))</f>
        <v/>
      </c>
      <c r="S4440" s="52" t="str">
        <f>IF(ISERROR(FIND('112'!$M$9,G4440,1)),"",IF((AND(LEFT(G4440,2)=LEFT('112'!$M$9,2),B4440&lt;'112'!$N$8,$L4440='112'!$I$6)),"x",""))</f>
        <v/>
      </c>
      <c r="T4440" s="52" t="str">
        <f>IF(ISERROR(FIND('112'!$M$9,G4440,1)),"",IF((AND(RIGHT(G4440,2)=RIGHT('112'!$M$9,2),B4440&lt;'112'!$N$8,$M4440='112'!$I$6)),"x",""))</f>
        <v/>
      </c>
      <c r="U4440" s="52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V4440" s="52" t="str">
        <f>IF(OR(TH!L4440=TH!$V$7,M4440=TH!$V$7),"x","")</f>
        <v/>
      </c>
      <c r="W4440" s="52" t="str">
        <f>IF(AND(B4440&gt;='IN-NX'!$P$3,B4440&lt;='IN-NX'!$Q$3,'IN-NX'!$D$7=D4440,OR(LEFT(L4440,2)="15",AND(LEFT(M4440,2)&lt;&gt;"15",LEFT(M4440,2)&lt;&gt;"33"))),"x","")</f>
        <v/>
      </c>
      <c r="X4440" s="52" t="str">
        <f>IF(AND(OR(LEFT(TH!L4440,2)="15",LEFT(TH!M4440,2)="15"),'152-CT'!$J$8=TH!F4440),"x","")</f>
        <v/>
      </c>
      <c r="Y4440" s="52" t="str">
        <f>IF(AND(OR(LEFT(TH!L4440,2)="15",LEFT(TH!M4440,2)="15"),TK!$E$7=TH!F4440),"x","")</f>
        <v/>
      </c>
      <c r="Z4440" s="52" t="str">
        <f>IF(AND(B4440&lt;=NKC!$N$8,B4440&gt;=NKC!$M$8),"x","")</f>
        <v/>
      </c>
      <c r="AA4440" s="826"/>
    </row>
    <row r="4441" spans="1:27" ht="15.75" customHeight="1">
      <c r="A4441" s="827" t="str">
        <f>IF(B4441&lt;&gt;"",IF(AND(B4441&gt;=_TM1,B4441&lt;=_TM2,OR(TH!L4441="1111",TH!M4441="1111")),TH!D4441,""),"")</f>
        <v/>
      </c>
      <c r="B4441" s="36" t="str">
        <f t="shared" si="524"/>
        <v/>
      </c>
      <c r="C4441" s="190"/>
      <c r="D4441" s="37"/>
      <c r="E4441" s="190"/>
      <c r="F4441" s="191"/>
      <c r="G4441" s="833"/>
      <c r="H4441" s="192"/>
      <c r="I4441" s="253"/>
      <c r="J4441" s="253"/>
      <c r="K4441" s="584"/>
      <c r="L4441" s="39"/>
      <c r="M4441" s="39"/>
      <c r="N4441" s="52" t="str">
        <f>IF(AND('331-CT'!$E$7=TH!H4441,OR(L4441="331",M4441="331")),"331",IF(AND(OR(L4441="131",M4441="131"),H4441='131-CT'!$E$7),"131",""))</f>
        <v/>
      </c>
      <c r="O4441" s="52" t="str">
        <f>IF(AND($B4441&gt;='111'!$N$11,$B4441&lt;='111'!$O$11,OR($L4441=$O$7,$M4441=$O$7)),"x","")</f>
        <v/>
      </c>
      <c r="P4441" s="52" t="str">
        <f>IF(AND($L4441=$O$7,$B4441&lt;'111'!$N$11),"x","")</f>
        <v/>
      </c>
      <c r="Q4441" s="52" t="str">
        <f>IF(AND($M4441=$O$7,$B4441&lt;'111'!$N$11),"x","")</f>
        <v/>
      </c>
      <c r="R4441" s="52" t="str">
        <f>IF(ISERROR(FIND('112'!$M$9,G4441,1)),"",IF((AND(FIND('112'!$M$9,G4441,1)&gt;=1,$B4441&gt;='112'!$N$8,$B4441&lt;='112'!$O$8,OR($L4441='112'!$I$6,$M4441='112'!$I$6))),"x",""))</f>
        <v/>
      </c>
      <c r="S4441" s="52" t="str">
        <f>IF(ISERROR(FIND('112'!$M$9,G4441,1)),"",IF((AND(LEFT(G4441,2)=LEFT('112'!$M$9,2),B4441&lt;'112'!$N$8,$L4441='112'!$I$6)),"x",""))</f>
        <v/>
      </c>
      <c r="T4441" s="52" t="str">
        <f>IF(ISERROR(FIND('112'!$M$9,G4441,1)),"",IF((AND(RIGHT(G4441,2)=RIGHT('112'!$M$9,2),B4441&lt;'112'!$N$8,$M4441='112'!$I$6)),"x",""))</f>
        <v/>
      </c>
      <c r="U4441" s="52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V4441" s="52" t="str">
        <f>IF(OR(TH!L4441=TH!$V$7,M4441=TH!$V$7),"x","")</f>
        <v/>
      </c>
      <c r="W4441" s="52" t="str">
        <f>IF(AND(B4441&gt;='IN-NX'!$P$3,B4441&lt;='IN-NX'!$Q$3,'IN-NX'!$D$7=D4441,OR(LEFT(L4441,2)="15",AND(LEFT(M4441,2)&lt;&gt;"15",LEFT(M4441,2)&lt;&gt;"33"))),"x","")</f>
        <v/>
      </c>
      <c r="X4441" s="52" t="str">
        <f>IF(AND(OR(LEFT(TH!L4441,2)="15",LEFT(TH!M4441,2)="15"),'152-CT'!$J$8=TH!F4441),"x","")</f>
        <v/>
      </c>
      <c r="Y4441" s="52" t="str">
        <f>IF(AND(OR(LEFT(TH!L4441,2)="15",LEFT(TH!M4441,2)="15"),TK!$E$7=TH!F4441),"x","")</f>
        <v/>
      </c>
      <c r="Z4441" s="52" t="str">
        <f>IF(AND(B4441&lt;=NKC!$N$8,B4441&gt;=NKC!$M$8),"x","")</f>
        <v/>
      </c>
      <c r="AA4441" s="826"/>
    </row>
    <row r="4442" spans="1:27" ht="15.75" customHeight="1">
      <c r="A4442" s="827" t="str">
        <f>IF(B4442&lt;&gt;"",IF(AND(B4442&gt;=_TM1,B4442&lt;=_TM2,OR(TH!L4442="1111",TH!M4442="1111")),TH!D4442,""),"")</f>
        <v/>
      </c>
      <c r="B4442" s="36" t="str">
        <f t="shared" si="524"/>
        <v/>
      </c>
      <c r="C4442" s="190"/>
      <c r="D4442" s="37"/>
      <c r="E4442" s="190"/>
      <c r="F4442" s="191"/>
      <c r="G4442" s="833"/>
      <c r="H4442" s="192"/>
      <c r="I4442" s="253"/>
      <c r="J4442" s="253"/>
      <c r="K4442" s="584"/>
      <c r="L4442" s="39"/>
      <c r="M4442" s="39"/>
      <c r="N4442" s="52" t="str">
        <f>IF(AND('331-CT'!$E$7=TH!H4442,OR(L4442="331",M4442="331")),"331",IF(AND(OR(L4442="131",M4442="131"),H4442='131-CT'!$E$7),"131",""))</f>
        <v/>
      </c>
      <c r="O4442" s="52" t="str">
        <f>IF(AND($B4442&gt;='111'!$N$11,$B4442&lt;='111'!$O$11,OR($L4442=$O$7,$M4442=$O$7)),"x","")</f>
        <v/>
      </c>
      <c r="P4442" s="52" t="str">
        <f>IF(AND($L4442=$O$7,$B4442&lt;'111'!$N$11),"x","")</f>
        <v/>
      </c>
      <c r="Q4442" s="52" t="str">
        <f>IF(AND($M4442=$O$7,$B4442&lt;'111'!$N$11),"x","")</f>
        <v/>
      </c>
      <c r="R4442" s="52" t="str">
        <f>IF(ISERROR(FIND('112'!$M$9,G4442,1)),"",IF((AND(FIND('112'!$M$9,G4442,1)&gt;=1,$B4442&gt;='112'!$N$8,$B4442&lt;='112'!$O$8,OR($L4442='112'!$I$6,$M4442='112'!$I$6))),"x",""))</f>
        <v/>
      </c>
      <c r="S4442" s="52" t="str">
        <f>IF(ISERROR(FIND('112'!$M$9,G4442,1)),"",IF((AND(LEFT(G4442,2)=LEFT('112'!$M$9,2),B4442&lt;'112'!$N$8,$L4442='112'!$I$6)),"x",""))</f>
        <v/>
      </c>
      <c r="T4442" s="52" t="str">
        <f>IF(ISERROR(FIND('112'!$M$9,G4442,1)),"",IF((AND(RIGHT(G4442,2)=RIGHT('112'!$M$9,2),B4442&lt;'112'!$N$8,$M4442='112'!$I$6)),"x",""))</f>
        <v/>
      </c>
      <c r="U4442" s="52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V4442" s="52" t="str">
        <f>IF(OR(TH!L4442=TH!$V$7,M4442=TH!$V$7),"x","")</f>
        <v/>
      </c>
      <c r="W4442" s="52" t="str">
        <f>IF(AND(B4442&gt;='IN-NX'!$P$3,B4442&lt;='IN-NX'!$Q$3,'IN-NX'!$D$7=D4442,OR(LEFT(L4442,2)="15",AND(LEFT(M4442,2)&lt;&gt;"15",LEFT(M4442,2)&lt;&gt;"33"))),"x","")</f>
        <v/>
      </c>
      <c r="X4442" s="52" t="str">
        <f>IF(AND(OR(LEFT(TH!L4442,2)="15",LEFT(TH!M4442,2)="15"),'152-CT'!$J$8=TH!F4442),"x","")</f>
        <v/>
      </c>
      <c r="Y4442" s="52" t="str">
        <f>IF(AND(OR(LEFT(TH!L4442,2)="15",LEFT(TH!M4442,2)="15"),TK!$E$7=TH!F4442),"x","")</f>
        <v/>
      </c>
      <c r="Z4442" s="52" t="str">
        <f>IF(AND(B4442&lt;=NKC!$N$8,B4442&gt;=NKC!$M$8),"x","")</f>
        <v/>
      </c>
      <c r="AA4442" s="826"/>
    </row>
    <row r="4443" spans="1:27" ht="15.75" customHeight="1">
      <c r="A4443" s="827" t="str">
        <f>IF(B4443&lt;&gt;"",IF(AND(B4443&gt;=_TM1,B4443&lt;=_TM2,OR(TH!L4443="1111",TH!M4443="1111")),TH!D4443,""),"")</f>
        <v/>
      </c>
      <c r="B4443" s="36" t="str">
        <f t="shared" si="524"/>
        <v/>
      </c>
      <c r="C4443" s="190"/>
      <c r="D4443" s="37"/>
      <c r="E4443" s="190"/>
      <c r="F4443" s="191"/>
      <c r="G4443" s="833"/>
      <c r="H4443" s="192"/>
      <c r="I4443" s="253"/>
      <c r="J4443" s="253"/>
      <c r="K4443" s="584"/>
      <c r="L4443" s="39"/>
      <c r="M4443" s="39"/>
      <c r="N4443" s="52" t="str">
        <f>IF(AND('331-CT'!$E$7=TH!H4443,OR(L4443="331",M4443="331")),"331",IF(AND(OR(L4443="131",M4443="131"),H4443='131-CT'!$E$7),"131",""))</f>
        <v/>
      </c>
      <c r="O4443" s="52" t="str">
        <f>IF(AND($B4443&gt;='111'!$N$11,$B4443&lt;='111'!$O$11,OR($L4443=$O$7,$M4443=$O$7)),"x","")</f>
        <v/>
      </c>
      <c r="P4443" s="52" t="str">
        <f>IF(AND($L4443=$O$7,$B4443&lt;'111'!$N$11),"x","")</f>
        <v/>
      </c>
      <c r="Q4443" s="52" t="str">
        <f>IF(AND($M4443=$O$7,$B4443&lt;'111'!$N$11),"x","")</f>
        <v/>
      </c>
      <c r="R4443" s="52" t="str">
        <f>IF(ISERROR(FIND('112'!$M$9,G4443,1)),"",IF((AND(FIND('112'!$M$9,G4443,1)&gt;=1,$B4443&gt;='112'!$N$8,$B4443&lt;='112'!$O$8,OR($L4443='112'!$I$6,$M4443='112'!$I$6))),"x",""))</f>
        <v/>
      </c>
      <c r="S4443" s="52" t="str">
        <f>IF(ISERROR(FIND('112'!$M$9,G4443,1)),"",IF((AND(LEFT(G4443,2)=LEFT('112'!$M$9,2),B4443&lt;'112'!$N$8,$L4443='112'!$I$6)),"x",""))</f>
        <v/>
      </c>
      <c r="T4443" s="52" t="str">
        <f>IF(ISERROR(FIND('112'!$M$9,G4443,1)),"",IF((AND(RIGHT(G4443,2)=RIGHT('112'!$M$9,2),B4443&lt;'112'!$N$8,$M4443='112'!$I$6)),"x",""))</f>
        <v/>
      </c>
      <c r="U4443" s="52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V4443" s="52" t="str">
        <f>IF(OR(TH!L4443=TH!$V$7,M4443=TH!$V$7),"x","")</f>
        <v/>
      </c>
      <c r="W4443" s="52" t="str">
        <f>IF(AND(B4443&gt;='IN-NX'!$P$3,B4443&lt;='IN-NX'!$Q$3,'IN-NX'!$D$7=D4443,OR(LEFT(L4443,2)="15",AND(LEFT(M4443,2)&lt;&gt;"15",LEFT(M4443,2)&lt;&gt;"33"))),"x","")</f>
        <v/>
      </c>
      <c r="X4443" s="52" t="str">
        <f>IF(AND(OR(LEFT(TH!L4443,2)="15",LEFT(TH!M4443,2)="15"),'152-CT'!$J$8=TH!F4443),"x","")</f>
        <v/>
      </c>
      <c r="Y4443" s="52" t="str">
        <f>IF(AND(OR(LEFT(TH!L4443,2)="15",LEFT(TH!M4443,2)="15"),TK!$E$7=TH!F4443),"x","")</f>
        <v/>
      </c>
      <c r="Z4443" s="52" t="str">
        <f>IF(AND(B4443&lt;=NKC!$N$8,B4443&gt;=NKC!$M$8),"x","")</f>
        <v/>
      </c>
      <c r="AA4443" s="826"/>
    </row>
    <row r="4444" spans="1:27" ht="15.75" customHeight="1">
      <c r="A4444" s="827" t="str">
        <f>IF(B4444&lt;&gt;"",IF(AND(B4444&gt;=_TM1,B4444&lt;=_TM2,OR(TH!L4444="1111",TH!M4444="1111")),TH!D4444,""),"")</f>
        <v/>
      </c>
      <c r="B4444" s="36" t="str">
        <f t="shared" si="524"/>
        <v/>
      </c>
      <c r="C4444" s="190"/>
      <c r="D4444" s="37"/>
      <c r="E4444" s="190"/>
      <c r="F4444" s="191"/>
      <c r="G4444" s="833"/>
      <c r="H4444" s="192"/>
      <c r="I4444" s="253"/>
      <c r="J4444" s="253"/>
      <c r="K4444" s="584"/>
      <c r="L4444" s="39"/>
      <c r="M4444" s="39"/>
      <c r="N4444" s="52" t="str">
        <f>IF(AND('331-CT'!$E$7=TH!H4444,OR(L4444="331",M4444="331")),"331",IF(AND(OR(L4444="131",M4444="131"),H4444='131-CT'!$E$7),"131",""))</f>
        <v/>
      </c>
      <c r="O4444" s="52" t="str">
        <f>IF(AND($B4444&gt;='111'!$N$11,$B4444&lt;='111'!$O$11,OR($L4444=$O$7,$M4444=$O$7)),"x","")</f>
        <v/>
      </c>
      <c r="P4444" s="52" t="str">
        <f>IF(AND($L4444=$O$7,$B4444&lt;'111'!$N$11),"x","")</f>
        <v/>
      </c>
      <c r="Q4444" s="52" t="str">
        <f>IF(AND($M4444=$O$7,$B4444&lt;'111'!$N$11),"x","")</f>
        <v/>
      </c>
      <c r="R4444" s="52" t="str">
        <f>IF(ISERROR(FIND('112'!$M$9,G4444,1)),"",IF((AND(FIND('112'!$M$9,G4444,1)&gt;=1,$B4444&gt;='112'!$N$8,$B4444&lt;='112'!$O$8,OR($L4444='112'!$I$6,$M4444='112'!$I$6))),"x",""))</f>
        <v/>
      </c>
      <c r="S4444" s="52" t="str">
        <f>IF(ISERROR(FIND('112'!$M$9,G4444,1)),"",IF((AND(LEFT(G4444,2)=LEFT('112'!$M$9,2),B4444&lt;'112'!$N$8,$L4444='112'!$I$6)),"x",""))</f>
        <v/>
      </c>
      <c r="T4444" s="52" t="str">
        <f>IF(ISERROR(FIND('112'!$M$9,G4444,1)),"",IF((AND(RIGHT(G4444,2)=RIGHT('112'!$M$9,2),B4444&lt;'112'!$N$8,$M4444='112'!$I$6)),"x",""))</f>
        <v/>
      </c>
      <c r="U4444" s="52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V4444" s="52" t="str">
        <f>IF(OR(TH!L4444=TH!$V$7,M4444=TH!$V$7),"x","")</f>
        <v/>
      </c>
      <c r="W4444" s="52" t="str">
        <f>IF(AND(B4444&gt;='IN-NX'!$P$3,B4444&lt;='IN-NX'!$Q$3,'IN-NX'!$D$7=D4444,OR(LEFT(L4444,2)="15",AND(LEFT(M4444,2)&lt;&gt;"15",LEFT(M4444,2)&lt;&gt;"33"))),"x","")</f>
        <v/>
      </c>
      <c r="X4444" s="52" t="str">
        <f>IF(AND(OR(LEFT(TH!L4444,2)="15",LEFT(TH!M4444,2)="15"),'152-CT'!$J$8=TH!F4444),"x","")</f>
        <v/>
      </c>
      <c r="Y4444" s="52" t="str">
        <f>IF(AND(OR(LEFT(TH!L4444,2)="15",LEFT(TH!M4444,2)="15"),TK!$E$7=TH!F4444),"x","")</f>
        <v/>
      </c>
      <c r="Z4444" s="52" t="str">
        <f>IF(AND(B4444&lt;=NKC!$N$8,B4444&gt;=NKC!$M$8),"x","")</f>
        <v/>
      </c>
      <c r="AA4444" s="826"/>
    </row>
    <row r="4445" spans="1:27" ht="15.75" customHeight="1">
      <c r="A4445" s="827" t="str">
        <f>IF(B4445&lt;&gt;"",IF(AND(B4445&gt;=_TM1,B4445&lt;=_TM2,OR(TH!L4445="1111",TH!M4445="1111")),TH!D4445,""),"")</f>
        <v/>
      </c>
      <c r="B4445" s="36" t="str">
        <f t="shared" si="524"/>
        <v/>
      </c>
      <c r="C4445" s="190"/>
      <c r="D4445" s="37"/>
      <c r="E4445" s="190"/>
      <c r="F4445" s="191"/>
      <c r="G4445" s="833"/>
      <c r="H4445" s="192"/>
      <c r="I4445" s="253"/>
      <c r="J4445" s="253"/>
      <c r="K4445" s="584"/>
      <c r="L4445" s="39"/>
      <c r="M4445" s="39"/>
      <c r="N4445" s="52" t="str">
        <f>IF(AND('331-CT'!$E$7=TH!H4445,OR(L4445="331",M4445="331")),"331",IF(AND(OR(L4445="131",M4445="131"),H4445='131-CT'!$E$7),"131",""))</f>
        <v/>
      </c>
      <c r="O4445" s="52" t="str">
        <f>IF(AND($B4445&gt;='111'!$N$11,$B4445&lt;='111'!$O$11,OR($L4445=$O$7,$M4445=$O$7)),"x","")</f>
        <v/>
      </c>
      <c r="P4445" s="52" t="str">
        <f>IF(AND($L4445=$O$7,$B4445&lt;'111'!$N$11),"x","")</f>
        <v/>
      </c>
      <c r="Q4445" s="52" t="str">
        <f>IF(AND($M4445=$O$7,$B4445&lt;'111'!$N$11),"x","")</f>
        <v/>
      </c>
      <c r="R4445" s="52" t="str">
        <f>IF(ISERROR(FIND('112'!$M$9,G4445,1)),"",IF((AND(FIND('112'!$M$9,G4445,1)&gt;=1,$B4445&gt;='112'!$N$8,$B4445&lt;='112'!$O$8,OR($L4445='112'!$I$6,$M4445='112'!$I$6))),"x",""))</f>
        <v/>
      </c>
      <c r="S4445" s="52" t="str">
        <f>IF(ISERROR(FIND('112'!$M$9,G4445,1)),"",IF((AND(LEFT(G4445,2)=LEFT('112'!$M$9,2),B4445&lt;'112'!$N$8,$L4445='112'!$I$6)),"x",""))</f>
        <v/>
      </c>
      <c r="T4445" s="52" t="str">
        <f>IF(ISERROR(FIND('112'!$M$9,G4445,1)),"",IF((AND(RIGHT(G4445,2)=RIGHT('112'!$M$9,2),B4445&lt;'112'!$N$8,$M4445='112'!$I$6)),"x",""))</f>
        <v/>
      </c>
      <c r="U4445" s="52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V4445" s="52" t="str">
        <f>IF(OR(TH!L4445=TH!$V$7,M4445=TH!$V$7),"x","")</f>
        <v/>
      </c>
      <c r="W4445" s="52" t="str">
        <f>IF(AND(B4445&gt;='IN-NX'!$P$3,B4445&lt;='IN-NX'!$Q$3,'IN-NX'!$D$7=D4445,OR(LEFT(L4445,2)="15",AND(LEFT(M4445,2)&lt;&gt;"15",LEFT(M4445,2)&lt;&gt;"33"))),"x","")</f>
        <v/>
      </c>
      <c r="X4445" s="52" t="str">
        <f>IF(AND(OR(LEFT(TH!L4445,2)="15",LEFT(TH!M4445,2)="15"),'152-CT'!$J$8=TH!F4445),"x","")</f>
        <v/>
      </c>
      <c r="Y4445" s="52" t="str">
        <f>IF(AND(OR(LEFT(TH!L4445,2)="15",LEFT(TH!M4445,2)="15"),TK!$E$7=TH!F4445),"x","")</f>
        <v/>
      </c>
      <c r="Z4445" s="52" t="str">
        <f>IF(AND(B4445&lt;=NKC!$N$8,B4445&gt;=NKC!$M$8),"x","")</f>
        <v/>
      </c>
      <c r="AA4445" s="826"/>
    </row>
    <row r="4446" spans="1:27" ht="15.75" customHeight="1">
      <c r="A4446" s="827" t="str">
        <f>IF(B4446&lt;&gt;"",IF(AND(B4446&gt;=_TM1,B4446&lt;=_TM2,OR(TH!L4446="1111",TH!M4446="1111")),TH!D4446,""),"")</f>
        <v/>
      </c>
      <c r="B4446" s="36" t="str">
        <f t="shared" si="524"/>
        <v/>
      </c>
      <c r="C4446" s="190"/>
      <c r="D4446" s="37"/>
      <c r="E4446" s="190"/>
      <c r="F4446" s="191"/>
      <c r="G4446" s="833"/>
      <c r="H4446" s="192"/>
      <c r="I4446" s="253"/>
      <c r="J4446" s="253"/>
      <c r="K4446" s="584"/>
      <c r="L4446" s="39"/>
      <c r="M4446" s="39"/>
      <c r="N4446" s="52" t="str">
        <f>IF(AND('331-CT'!$E$7=TH!H4446,OR(L4446="331",M4446="331")),"331",IF(AND(OR(L4446="131",M4446="131"),H4446='131-CT'!$E$7),"131",""))</f>
        <v/>
      </c>
      <c r="O4446" s="52" t="str">
        <f>IF(AND($B4446&gt;='111'!$N$11,$B4446&lt;='111'!$O$11,OR($L4446=$O$7,$M4446=$O$7)),"x","")</f>
        <v/>
      </c>
      <c r="P4446" s="52" t="str">
        <f>IF(AND($L4446=$O$7,$B4446&lt;'111'!$N$11),"x","")</f>
        <v/>
      </c>
      <c r="Q4446" s="52" t="str">
        <f>IF(AND($M4446=$O$7,$B4446&lt;'111'!$N$11),"x","")</f>
        <v/>
      </c>
      <c r="R4446" s="52" t="str">
        <f>IF(ISERROR(FIND('112'!$M$9,G4446,1)),"",IF((AND(FIND('112'!$M$9,G4446,1)&gt;=1,$B4446&gt;='112'!$N$8,$B4446&lt;='112'!$O$8,OR($L4446='112'!$I$6,$M4446='112'!$I$6))),"x",""))</f>
        <v/>
      </c>
      <c r="S4446" s="52" t="str">
        <f>IF(ISERROR(FIND('112'!$M$9,G4446,1)),"",IF((AND(LEFT(G4446,2)=LEFT('112'!$M$9,2),B4446&lt;'112'!$N$8,$L4446='112'!$I$6)),"x",""))</f>
        <v/>
      </c>
      <c r="T4446" s="52" t="str">
        <f>IF(ISERROR(FIND('112'!$M$9,G4446,1)),"",IF((AND(RIGHT(G4446,2)=RIGHT('112'!$M$9,2),B4446&lt;'112'!$N$8,$M4446='112'!$I$6)),"x",""))</f>
        <v/>
      </c>
      <c r="U4446" s="52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V4446" s="52" t="str">
        <f>IF(OR(TH!L4446=TH!$V$7,M4446=TH!$V$7),"x","")</f>
        <v/>
      </c>
      <c r="W4446" s="52" t="str">
        <f>IF(AND(B4446&gt;='IN-NX'!$P$3,B4446&lt;='IN-NX'!$Q$3,'IN-NX'!$D$7=D4446,OR(LEFT(L4446,2)="15",AND(LEFT(M4446,2)&lt;&gt;"15",LEFT(M4446,2)&lt;&gt;"33"))),"x","")</f>
        <v/>
      </c>
      <c r="X4446" s="52" t="str">
        <f>IF(AND(OR(LEFT(TH!L4446,2)="15",LEFT(TH!M4446,2)="15"),'152-CT'!$J$8=TH!F4446),"x","")</f>
        <v/>
      </c>
      <c r="Y4446" s="52" t="str">
        <f>IF(AND(OR(LEFT(TH!L4446,2)="15",LEFT(TH!M4446,2)="15"),TK!$E$7=TH!F4446),"x","")</f>
        <v/>
      </c>
      <c r="Z4446" s="52" t="str">
        <f>IF(AND(B4446&lt;=NKC!$N$8,B4446&gt;=NKC!$M$8),"x","")</f>
        <v/>
      </c>
      <c r="AA4446" s="826"/>
    </row>
    <row r="4447" spans="1:27" ht="15.75" customHeight="1">
      <c r="A4447" s="827" t="str">
        <f>IF(B4447&lt;&gt;"",IF(AND(B4447&gt;=_TM1,B4447&lt;=_TM2,OR(TH!L4447="1111",TH!M4447="1111")),TH!D4447,""),"")</f>
        <v/>
      </c>
      <c r="B4447" s="36" t="str">
        <f t="shared" si="524"/>
        <v/>
      </c>
      <c r="C4447" s="190"/>
      <c r="D4447" s="37"/>
      <c r="E4447" s="190"/>
      <c r="F4447" s="191"/>
      <c r="G4447" s="833"/>
      <c r="H4447" s="192"/>
      <c r="I4447" s="253"/>
      <c r="J4447" s="253"/>
      <c r="K4447" s="584"/>
      <c r="L4447" s="39"/>
      <c r="M4447" s="39"/>
      <c r="N4447" s="52" t="str">
        <f>IF(AND('331-CT'!$E$7=TH!H4447,OR(L4447="331",M4447="331")),"331",IF(AND(OR(L4447="131",M4447="131"),H4447='131-CT'!$E$7),"131",""))</f>
        <v/>
      </c>
      <c r="O4447" s="52" t="str">
        <f>IF(AND($B4447&gt;='111'!$N$11,$B4447&lt;='111'!$O$11,OR($L4447=$O$7,$M4447=$O$7)),"x","")</f>
        <v/>
      </c>
      <c r="P4447" s="52" t="str">
        <f>IF(AND($L4447=$O$7,$B4447&lt;'111'!$N$11),"x","")</f>
        <v/>
      </c>
      <c r="Q4447" s="52" t="str">
        <f>IF(AND($M4447=$O$7,$B4447&lt;'111'!$N$11),"x","")</f>
        <v/>
      </c>
      <c r="R4447" s="52" t="str">
        <f>IF(ISERROR(FIND('112'!$M$9,G4447,1)),"",IF((AND(FIND('112'!$M$9,G4447,1)&gt;=1,$B4447&gt;='112'!$N$8,$B4447&lt;='112'!$O$8,OR($L4447='112'!$I$6,$M4447='112'!$I$6))),"x",""))</f>
        <v/>
      </c>
      <c r="S4447" s="52" t="str">
        <f>IF(ISERROR(FIND('112'!$M$9,G4447,1)),"",IF((AND(LEFT(G4447,2)=LEFT('112'!$M$9,2),B4447&lt;'112'!$N$8,$L4447='112'!$I$6)),"x",""))</f>
        <v/>
      </c>
      <c r="T4447" s="52" t="str">
        <f>IF(ISERROR(FIND('112'!$M$9,G4447,1)),"",IF((AND(RIGHT(G4447,2)=RIGHT('112'!$M$9,2),B4447&lt;'112'!$N$8,$M4447='112'!$I$6)),"x",""))</f>
        <v/>
      </c>
      <c r="U4447" s="52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V4447" s="52" t="str">
        <f>IF(OR(TH!L4447=TH!$V$7,M4447=TH!$V$7),"x","")</f>
        <v/>
      </c>
      <c r="W4447" s="52" t="str">
        <f>IF(AND(B4447&gt;='IN-NX'!$P$3,B4447&lt;='IN-NX'!$Q$3,'IN-NX'!$D$7=D4447,OR(LEFT(L4447,2)="15",AND(LEFT(M4447,2)&lt;&gt;"15",LEFT(M4447,2)&lt;&gt;"33"))),"x","")</f>
        <v/>
      </c>
      <c r="X4447" s="52" t="str">
        <f>IF(AND(OR(LEFT(TH!L4447,2)="15",LEFT(TH!M4447,2)="15"),'152-CT'!$J$8=TH!F4447),"x","")</f>
        <v/>
      </c>
      <c r="Y4447" s="52" t="str">
        <f>IF(AND(OR(LEFT(TH!L4447,2)="15",LEFT(TH!M4447,2)="15"),TK!$E$7=TH!F4447),"x","")</f>
        <v/>
      </c>
      <c r="Z4447" s="52" t="str">
        <f>IF(AND(B4447&lt;=NKC!$N$8,B4447&gt;=NKC!$M$8),"x","")</f>
        <v/>
      </c>
      <c r="AA4447" s="826"/>
    </row>
    <row r="4448" spans="1:27" ht="15.75" customHeight="1">
      <c r="A4448" s="827" t="str">
        <f>IF(B4448&lt;&gt;"",IF(AND(B4448&gt;=_TM1,B4448&lt;=_TM2,OR(TH!L4448="1111",TH!M4448="1111")),TH!D4448,""),"")</f>
        <v/>
      </c>
      <c r="B4448" s="36" t="str">
        <f t="shared" si="524"/>
        <v/>
      </c>
      <c r="C4448" s="190"/>
      <c r="D4448" s="37"/>
      <c r="E4448" s="190"/>
      <c r="F4448" s="191"/>
      <c r="G4448" s="833"/>
      <c r="H4448" s="192"/>
      <c r="I4448" s="253"/>
      <c r="J4448" s="253"/>
      <c r="K4448" s="584"/>
      <c r="L4448" s="39"/>
      <c r="M4448" s="39"/>
      <c r="N4448" s="52" t="str">
        <f>IF(AND('331-CT'!$E$7=TH!H4448,OR(L4448="331",M4448="331")),"331",IF(AND(OR(L4448="131",M4448="131"),H4448='131-CT'!$E$7),"131",""))</f>
        <v/>
      </c>
      <c r="O4448" s="52" t="str">
        <f>IF(AND($B4448&gt;='111'!$N$11,$B4448&lt;='111'!$O$11,OR($L4448=$O$7,$M4448=$O$7)),"x","")</f>
        <v/>
      </c>
      <c r="P4448" s="52" t="str">
        <f>IF(AND($L4448=$O$7,$B4448&lt;'111'!$N$11),"x","")</f>
        <v/>
      </c>
      <c r="Q4448" s="52" t="str">
        <f>IF(AND($M4448=$O$7,$B4448&lt;'111'!$N$11),"x","")</f>
        <v/>
      </c>
      <c r="R4448" s="52" t="str">
        <f>IF(ISERROR(FIND('112'!$M$9,G4448,1)),"",IF((AND(FIND('112'!$M$9,G4448,1)&gt;=1,$B4448&gt;='112'!$N$8,$B4448&lt;='112'!$O$8,OR($L4448='112'!$I$6,$M4448='112'!$I$6))),"x",""))</f>
        <v/>
      </c>
      <c r="S4448" s="52" t="str">
        <f>IF(ISERROR(FIND('112'!$M$9,G4448,1)),"",IF((AND(LEFT(G4448,2)=LEFT('112'!$M$9,2),B4448&lt;'112'!$N$8,$L4448='112'!$I$6)),"x",""))</f>
        <v/>
      </c>
      <c r="T4448" s="52" t="str">
        <f>IF(ISERROR(FIND('112'!$M$9,G4448,1)),"",IF((AND(RIGHT(G4448,2)=RIGHT('112'!$M$9,2),B4448&lt;'112'!$N$8,$M4448='112'!$I$6)),"x",""))</f>
        <v/>
      </c>
      <c r="U4448" s="52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V4448" s="52" t="str">
        <f>IF(OR(TH!L4448=TH!$V$7,M4448=TH!$V$7),"x","")</f>
        <v/>
      </c>
      <c r="W4448" s="52" t="str">
        <f>IF(AND(B4448&gt;='IN-NX'!$P$3,B4448&lt;='IN-NX'!$Q$3,'IN-NX'!$D$7=D4448,OR(LEFT(L4448,2)="15",AND(LEFT(M4448,2)&lt;&gt;"15",LEFT(M4448,2)&lt;&gt;"33"))),"x","")</f>
        <v/>
      </c>
      <c r="X4448" s="52" t="str">
        <f>IF(AND(OR(LEFT(TH!L4448,2)="15",LEFT(TH!M4448,2)="15"),'152-CT'!$J$8=TH!F4448),"x","")</f>
        <v/>
      </c>
      <c r="Y4448" s="52" t="str">
        <f>IF(AND(OR(LEFT(TH!L4448,2)="15",LEFT(TH!M4448,2)="15"),TK!$E$7=TH!F4448),"x","")</f>
        <v/>
      </c>
      <c r="Z4448" s="52" t="str">
        <f>IF(AND(B4448&lt;=NKC!$N$8,B4448&gt;=NKC!$M$8),"x","")</f>
        <v/>
      </c>
      <c r="AA4448" s="826"/>
    </row>
    <row r="4449" spans="1:27" ht="15.75" customHeight="1">
      <c r="A4449" s="827" t="str">
        <f>IF(B4449&lt;&gt;"",IF(AND(B4449&gt;=_TM1,B4449&lt;=_TM2,OR(TH!L4449="1111",TH!M4449="1111")),TH!D4449,""),"")</f>
        <v/>
      </c>
      <c r="B4449" s="36" t="str">
        <f t="shared" si="524"/>
        <v/>
      </c>
      <c r="C4449" s="190"/>
      <c r="D4449" s="37"/>
      <c r="E4449" s="190"/>
      <c r="F4449" s="191"/>
      <c r="G4449" s="833"/>
      <c r="H4449" s="192"/>
      <c r="I4449" s="253"/>
      <c r="J4449" s="253"/>
      <c r="K4449" s="584"/>
      <c r="L4449" s="39"/>
      <c r="M4449" s="39"/>
      <c r="N4449" s="52" t="str">
        <f>IF(AND('331-CT'!$E$7=TH!H4449,OR(L4449="331",M4449="331")),"331",IF(AND(OR(L4449="131",M4449="131"),H4449='131-CT'!$E$7),"131",""))</f>
        <v/>
      </c>
      <c r="O4449" s="52" t="str">
        <f>IF(AND($B4449&gt;='111'!$N$11,$B4449&lt;='111'!$O$11,OR($L4449=$O$7,$M4449=$O$7)),"x","")</f>
        <v/>
      </c>
      <c r="P4449" s="52" t="str">
        <f>IF(AND($L4449=$O$7,$B4449&lt;'111'!$N$11),"x","")</f>
        <v/>
      </c>
      <c r="Q4449" s="52" t="str">
        <f>IF(AND($M4449=$O$7,$B4449&lt;'111'!$N$11),"x","")</f>
        <v/>
      </c>
      <c r="R4449" s="52" t="str">
        <f>IF(ISERROR(FIND('112'!$M$9,G4449,1)),"",IF((AND(FIND('112'!$M$9,G4449,1)&gt;=1,$B4449&gt;='112'!$N$8,$B4449&lt;='112'!$O$8,OR($L4449='112'!$I$6,$M4449='112'!$I$6))),"x",""))</f>
        <v/>
      </c>
      <c r="S4449" s="52" t="str">
        <f>IF(ISERROR(FIND('112'!$M$9,G4449,1)),"",IF((AND(LEFT(G4449,2)=LEFT('112'!$M$9,2),B4449&lt;'112'!$N$8,$L4449='112'!$I$6)),"x",""))</f>
        <v/>
      </c>
      <c r="T4449" s="52" t="str">
        <f>IF(ISERROR(FIND('112'!$M$9,G4449,1)),"",IF((AND(RIGHT(G4449,2)=RIGHT('112'!$M$9,2),B4449&lt;'112'!$N$8,$M4449='112'!$I$6)),"x",""))</f>
        <v/>
      </c>
      <c r="U4449" s="52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V4449" s="52" t="str">
        <f>IF(OR(TH!L4449=TH!$V$7,M4449=TH!$V$7),"x","")</f>
        <v/>
      </c>
      <c r="W4449" s="52" t="str">
        <f>IF(AND(B4449&gt;='IN-NX'!$P$3,B4449&lt;='IN-NX'!$Q$3,'IN-NX'!$D$7=D4449,OR(LEFT(L4449,2)="15",AND(LEFT(M4449,2)&lt;&gt;"15",LEFT(M4449,2)&lt;&gt;"33"))),"x","")</f>
        <v/>
      </c>
      <c r="X4449" s="52" t="str">
        <f>IF(AND(OR(LEFT(TH!L4449,2)="15",LEFT(TH!M4449,2)="15"),'152-CT'!$J$8=TH!F4449),"x","")</f>
        <v/>
      </c>
      <c r="Y4449" s="52" t="str">
        <f>IF(AND(OR(LEFT(TH!L4449,2)="15",LEFT(TH!M4449,2)="15"),TK!$E$7=TH!F4449),"x","")</f>
        <v/>
      </c>
      <c r="Z4449" s="52" t="str">
        <f>IF(AND(B4449&lt;=NKC!$N$8,B4449&gt;=NKC!$M$8),"x","")</f>
        <v/>
      </c>
      <c r="AA4449" s="826"/>
    </row>
    <row r="4450" spans="1:27" ht="15.75" customHeight="1">
      <c r="A4450" s="827" t="str">
        <f>IF(B4450&lt;&gt;"",IF(AND(B4450&gt;=_TM1,B4450&lt;=_TM2,OR(TH!L4450="1111",TH!M4450="1111")),TH!D4450,""),"")</f>
        <v/>
      </c>
      <c r="B4450" s="36" t="str">
        <f t="shared" si="524"/>
        <v/>
      </c>
      <c r="C4450" s="190"/>
      <c r="D4450" s="37"/>
      <c r="E4450" s="190"/>
      <c r="F4450" s="191"/>
      <c r="G4450" s="833"/>
      <c r="H4450" s="192"/>
      <c r="I4450" s="253"/>
      <c r="J4450" s="253"/>
      <c r="K4450" s="584"/>
      <c r="L4450" s="39"/>
      <c r="M4450" s="39"/>
      <c r="N4450" s="52" t="str">
        <f>IF(AND('331-CT'!$E$7=TH!H4450,OR(L4450="331",M4450="331")),"331",IF(AND(OR(L4450="131",M4450="131"),H4450='131-CT'!$E$7),"131",""))</f>
        <v/>
      </c>
      <c r="O4450" s="52" t="str">
        <f>IF(AND($B4450&gt;='111'!$N$11,$B4450&lt;='111'!$O$11,OR($L4450=$O$7,$M4450=$O$7)),"x","")</f>
        <v/>
      </c>
      <c r="P4450" s="52" t="str">
        <f>IF(AND($L4450=$O$7,$B4450&lt;'111'!$N$11),"x","")</f>
        <v/>
      </c>
      <c r="Q4450" s="52" t="str">
        <f>IF(AND($M4450=$O$7,$B4450&lt;'111'!$N$11),"x","")</f>
        <v/>
      </c>
      <c r="R4450" s="52" t="str">
        <f>IF(ISERROR(FIND('112'!$M$9,G4450,1)),"",IF((AND(FIND('112'!$M$9,G4450,1)&gt;=1,$B4450&gt;='112'!$N$8,$B4450&lt;='112'!$O$8,OR($L4450='112'!$I$6,$M4450='112'!$I$6))),"x",""))</f>
        <v/>
      </c>
      <c r="S4450" s="52" t="str">
        <f>IF(ISERROR(FIND('112'!$M$9,G4450,1)),"",IF((AND(LEFT(G4450,2)=LEFT('112'!$M$9,2),B4450&lt;'112'!$N$8,$L4450='112'!$I$6)),"x",""))</f>
        <v/>
      </c>
      <c r="T4450" s="52" t="str">
        <f>IF(ISERROR(FIND('112'!$M$9,G4450,1)),"",IF((AND(RIGHT(G4450,2)=RIGHT('112'!$M$9,2),B4450&lt;'112'!$N$8,$M4450='112'!$I$6)),"x",""))</f>
        <v/>
      </c>
      <c r="U4450" s="52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V4450" s="52" t="str">
        <f>IF(OR(TH!L4450=TH!$V$7,M4450=TH!$V$7),"x","")</f>
        <v/>
      </c>
      <c r="W4450" s="52" t="str">
        <f>IF(AND(B4450&gt;='IN-NX'!$P$3,B4450&lt;='IN-NX'!$Q$3,'IN-NX'!$D$7=D4450,OR(LEFT(L4450,2)="15",AND(LEFT(M4450,2)&lt;&gt;"15",LEFT(M4450,2)&lt;&gt;"33"))),"x","")</f>
        <v/>
      </c>
      <c r="X4450" s="52" t="str">
        <f>IF(AND(OR(LEFT(TH!L4450,2)="15",LEFT(TH!M4450,2)="15"),'152-CT'!$J$8=TH!F4450),"x","")</f>
        <v/>
      </c>
      <c r="Y4450" s="52" t="str">
        <f>IF(AND(OR(LEFT(TH!L4450,2)="15",LEFT(TH!M4450,2)="15"),TK!$E$7=TH!F4450),"x","")</f>
        <v/>
      </c>
      <c r="Z4450" s="52" t="str">
        <f>IF(AND(B4450&lt;=NKC!$N$8,B4450&gt;=NKC!$M$8),"x","")</f>
        <v/>
      </c>
      <c r="AA4450" s="826"/>
    </row>
    <row r="4451" spans="1:27" ht="15.75" customHeight="1">
      <c r="A4451" s="827" t="str">
        <f>IF(B4451&lt;&gt;"",IF(AND(B4451&gt;=_TM1,B4451&lt;=_TM2,OR(TH!L4451="1111",TH!M4451="1111")),TH!D4451,""),"")</f>
        <v/>
      </c>
      <c r="B4451" s="36" t="str">
        <f t="shared" si="524"/>
        <v/>
      </c>
      <c r="C4451" s="190"/>
      <c r="D4451" s="37"/>
      <c r="E4451" s="190"/>
      <c r="F4451" s="191"/>
      <c r="G4451" s="833"/>
      <c r="H4451" s="192"/>
      <c r="I4451" s="253"/>
      <c r="J4451" s="253"/>
      <c r="K4451" s="584"/>
      <c r="L4451" s="39"/>
      <c r="M4451" s="39"/>
      <c r="N4451" s="52" t="str">
        <f>IF(AND('331-CT'!$E$7=TH!H4451,OR(L4451="331",M4451="331")),"331",IF(AND(OR(L4451="131",M4451="131"),H4451='131-CT'!$E$7),"131",""))</f>
        <v/>
      </c>
      <c r="O4451" s="52" t="str">
        <f>IF(AND($B4451&gt;='111'!$N$11,$B4451&lt;='111'!$O$11,OR($L4451=$O$7,$M4451=$O$7)),"x","")</f>
        <v/>
      </c>
      <c r="P4451" s="52" t="str">
        <f>IF(AND($L4451=$O$7,$B4451&lt;'111'!$N$11),"x","")</f>
        <v/>
      </c>
      <c r="Q4451" s="52" t="str">
        <f>IF(AND($M4451=$O$7,$B4451&lt;'111'!$N$11),"x","")</f>
        <v/>
      </c>
      <c r="R4451" s="52" t="str">
        <f>IF(ISERROR(FIND('112'!$M$9,G4451,1)),"",IF((AND(FIND('112'!$M$9,G4451,1)&gt;=1,$B4451&gt;='112'!$N$8,$B4451&lt;='112'!$O$8,OR($L4451='112'!$I$6,$M4451='112'!$I$6))),"x",""))</f>
        <v/>
      </c>
      <c r="S4451" s="52" t="str">
        <f>IF(ISERROR(FIND('112'!$M$9,G4451,1)),"",IF((AND(LEFT(G4451,2)=LEFT('112'!$M$9,2),B4451&lt;'112'!$N$8,$L4451='112'!$I$6)),"x",""))</f>
        <v/>
      </c>
      <c r="T4451" s="52" t="str">
        <f>IF(ISERROR(FIND('112'!$M$9,G4451,1)),"",IF((AND(RIGHT(G4451,2)=RIGHT('112'!$M$9,2),B4451&lt;'112'!$N$8,$M4451='112'!$I$6)),"x",""))</f>
        <v/>
      </c>
      <c r="U4451" s="52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V4451" s="52" t="str">
        <f>IF(OR(TH!L4451=TH!$V$7,M4451=TH!$V$7),"x","")</f>
        <v/>
      </c>
      <c r="W4451" s="52" t="str">
        <f>IF(AND(B4451&gt;='IN-NX'!$P$3,B4451&lt;='IN-NX'!$Q$3,'IN-NX'!$D$7=D4451,OR(LEFT(L4451,2)="15",AND(LEFT(M4451,2)&lt;&gt;"15",LEFT(M4451,2)&lt;&gt;"33"))),"x","")</f>
        <v/>
      </c>
      <c r="X4451" s="52" t="str">
        <f>IF(AND(OR(LEFT(TH!L4451,2)="15",LEFT(TH!M4451,2)="15"),'152-CT'!$J$8=TH!F4451),"x","")</f>
        <v/>
      </c>
      <c r="Y4451" s="52" t="str">
        <f>IF(AND(OR(LEFT(TH!L4451,2)="15",LEFT(TH!M4451,2)="15"),TK!$E$7=TH!F4451),"x","")</f>
        <v/>
      </c>
      <c r="Z4451" s="52" t="str">
        <f>IF(AND(B4451&lt;=NKC!$N$8,B4451&gt;=NKC!$M$8),"x","")</f>
        <v/>
      </c>
      <c r="AA4451" s="826"/>
    </row>
    <row r="4452" spans="1:27" ht="15.75" customHeight="1">
      <c r="A4452" s="827" t="str">
        <f>IF(B4452&lt;&gt;"",IF(AND(B4452&gt;=_TM1,B4452&lt;=_TM2,OR(TH!L4452="1111",TH!M4452="1111")),TH!D4452,""),"")</f>
        <v/>
      </c>
      <c r="B4452" s="36" t="str">
        <f t="shared" si="524"/>
        <v/>
      </c>
      <c r="C4452" s="190"/>
      <c r="D4452" s="37"/>
      <c r="E4452" s="190"/>
      <c r="F4452" s="191"/>
      <c r="G4452" s="833"/>
      <c r="H4452" s="192"/>
      <c r="I4452" s="253"/>
      <c r="J4452" s="253"/>
      <c r="K4452" s="584"/>
      <c r="L4452" s="39"/>
      <c r="M4452" s="39"/>
      <c r="N4452" s="52" t="str">
        <f>IF(AND('331-CT'!$E$7=TH!H4452,OR(L4452="331",M4452="331")),"331",IF(AND(OR(L4452="131",M4452="131"),H4452='131-CT'!$E$7),"131",""))</f>
        <v/>
      </c>
      <c r="O4452" s="52" t="str">
        <f>IF(AND($B4452&gt;='111'!$N$11,$B4452&lt;='111'!$O$11,OR($L4452=$O$7,$M4452=$O$7)),"x","")</f>
        <v/>
      </c>
      <c r="P4452" s="52" t="str">
        <f>IF(AND($L4452=$O$7,$B4452&lt;'111'!$N$11),"x","")</f>
        <v/>
      </c>
      <c r="Q4452" s="52" t="str">
        <f>IF(AND($M4452=$O$7,$B4452&lt;'111'!$N$11),"x","")</f>
        <v/>
      </c>
      <c r="R4452" s="52" t="str">
        <f>IF(ISERROR(FIND('112'!$M$9,G4452,1)),"",IF((AND(FIND('112'!$M$9,G4452,1)&gt;=1,$B4452&gt;='112'!$N$8,$B4452&lt;='112'!$O$8,OR($L4452='112'!$I$6,$M4452='112'!$I$6))),"x",""))</f>
        <v/>
      </c>
      <c r="S4452" s="52" t="str">
        <f>IF(ISERROR(FIND('112'!$M$9,G4452,1)),"",IF((AND(LEFT(G4452,2)=LEFT('112'!$M$9,2),B4452&lt;'112'!$N$8,$L4452='112'!$I$6)),"x",""))</f>
        <v/>
      </c>
      <c r="T4452" s="52" t="str">
        <f>IF(ISERROR(FIND('112'!$M$9,G4452,1)),"",IF((AND(RIGHT(G4452,2)=RIGHT('112'!$M$9,2),B4452&lt;'112'!$N$8,$M4452='112'!$I$6)),"x",""))</f>
        <v/>
      </c>
      <c r="U4452" s="52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V4452" s="52" t="str">
        <f>IF(OR(TH!L4452=TH!$V$7,M4452=TH!$V$7),"x","")</f>
        <v/>
      </c>
      <c r="W4452" s="52" t="str">
        <f>IF(AND(B4452&gt;='IN-NX'!$P$3,B4452&lt;='IN-NX'!$Q$3,'IN-NX'!$D$7=D4452,OR(LEFT(L4452,2)="15",AND(LEFT(M4452,2)&lt;&gt;"15",LEFT(M4452,2)&lt;&gt;"33"))),"x","")</f>
        <v/>
      </c>
      <c r="X4452" s="52" t="str">
        <f>IF(AND(OR(LEFT(TH!L4452,2)="15",LEFT(TH!M4452,2)="15"),'152-CT'!$J$8=TH!F4452),"x","")</f>
        <v/>
      </c>
      <c r="Y4452" s="52" t="str">
        <f>IF(AND(OR(LEFT(TH!L4452,2)="15",LEFT(TH!M4452,2)="15"),TK!$E$7=TH!F4452),"x","")</f>
        <v/>
      </c>
      <c r="Z4452" s="52" t="str">
        <f>IF(AND(B4452&lt;=NKC!$N$8,B4452&gt;=NKC!$M$8),"x","")</f>
        <v/>
      </c>
      <c r="AA4452" s="826"/>
    </row>
    <row r="4453" spans="1:27" ht="15.75" customHeight="1">
      <c r="A4453" s="827" t="str">
        <f>IF(B4453&lt;&gt;"",IF(AND(B4453&gt;=_TM1,B4453&lt;=_TM2,OR(TH!L4453="1111",TH!M4453="1111")),TH!D4453,""),"")</f>
        <v/>
      </c>
      <c r="B4453" s="36" t="str">
        <f t="shared" si="524"/>
        <v/>
      </c>
      <c r="C4453" s="190"/>
      <c r="D4453" s="37"/>
      <c r="E4453" s="190"/>
      <c r="F4453" s="191"/>
      <c r="G4453" s="833"/>
      <c r="H4453" s="192"/>
      <c r="I4453" s="253"/>
      <c r="J4453" s="253"/>
      <c r="K4453" s="584"/>
      <c r="L4453" s="39"/>
      <c r="M4453" s="39"/>
      <c r="N4453" s="52" t="str">
        <f>IF(AND('331-CT'!$E$7=TH!H4453,OR(L4453="331",M4453="331")),"331",IF(AND(OR(L4453="131",M4453="131"),H4453='131-CT'!$E$7),"131",""))</f>
        <v/>
      </c>
      <c r="O4453" s="52" t="str">
        <f>IF(AND($B4453&gt;='111'!$N$11,$B4453&lt;='111'!$O$11,OR($L4453=$O$7,$M4453=$O$7)),"x","")</f>
        <v/>
      </c>
      <c r="P4453" s="52" t="str">
        <f>IF(AND($L4453=$O$7,$B4453&lt;'111'!$N$11),"x","")</f>
        <v/>
      </c>
      <c r="Q4453" s="52" t="str">
        <f>IF(AND($M4453=$O$7,$B4453&lt;'111'!$N$11),"x","")</f>
        <v/>
      </c>
      <c r="R4453" s="52" t="str">
        <f>IF(ISERROR(FIND('112'!$M$9,G4453,1)),"",IF((AND(FIND('112'!$M$9,G4453,1)&gt;=1,$B4453&gt;='112'!$N$8,$B4453&lt;='112'!$O$8,OR($L4453='112'!$I$6,$M4453='112'!$I$6))),"x",""))</f>
        <v/>
      </c>
      <c r="S4453" s="52" t="str">
        <f>IF(ISERROR(FIND('112'!$M$9,G4453,1)),"",IF((AND(LEFT(G4453,2)=LEFT('112'!$M$9,2),B4453&lt;'112'!$N$8,$L4453='112'!$I$6)),"x",""))</f>
        <v/>
      </c>
      <c r="T4453" s="52" t="str">
        <f>IF(ISERROR(FIND('112'!$M$9,G4453,1)),"",IF((AND(RIGHT(G4453,2)=RIGHT('112'!$M$9,2),B4453&lt;'112'!$N$8,$M4453='112'!$I$6)),"x",""))</f>
        <v/>
      </c>
      <c r="U4453" s="52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V4453" s="52" t="str">
        <f>IF(OR(TH!L4453=TH!$V$7,M4453=TH!$V$7),"x","")</f>
        <v/>
      </c>
      <c r="W4453" s="52" t="str">
        <f>IF(AND(B4453&gt;='IN-NX'!$P$3,B4453&lt;='IN-NX'!$Q$3,'IN-NX'!$D$7=D4453,OR(LEFT(L4453,2)="15",AND(LEFT(M4453,2)&lt;&gt;"15",LEFT(M4453,2)&lt;&gt;"33"))),"x","")</f>
        <v/>
      </c>
      <c r="X4453" s="52" t="str">
        <f>IF(AND(OR(LEFT(TH!L4453,2)="15",LEFT(TH!M4453,2)="15"),'152-CT'!$J$8=TH!F4453),"x","")</f>
        <v/>
      </c>
      <c r="Y4453" s="52" t="str">
        <f>IF(AND(OR(LEFT(TH!L4453,2)="15",LEFT(TH!M4453,2)="15"),TK!$E$7=TH!F4453),"x","")</f>
        <v/>
      </c>
      <c r="Z4453" s="52" t="str">
        <f>IF(AND(B4453&lt;=NKC!$N$8,B4453&gt;=NKC!$M$8),"x","")</f>
        <v/>
      </c>
      <c r="AA4453" s="826"/>
    </row>
    <row r="4454" spans="1:27" ht="15.75" customHeight="1">
      <c r="A4454" s="827" t="str">
        <f>IF(B4454&lt;&gt;"",IF(AND(B4454&gt;=_TM1,B4454&lt;=_TM2,OR(TH!L4454="1111",TH!M4454="1111")),TH!D4454,""),"")</f>
        <v/>
      </c>
      <c r="B4454" s="36" t="str">
        <f t="shared" si="524"/>
        <v/>
      </c>
      <c r="C4454" s="190"/>
      <c r="D4454" s="37"/>
      <c r="E4454" s="190"/>
      <c r="F4454" s="191"/>
      <c r="G4454" s="833"/>
      <c r="H4454" s="192"/>
      <c r="I4454" s="253"/>
      <c r="J4454" s="253"/>
      <c r="K4454" s="584"/>
      <c r="L4454" s="39"/>
      <c r="M4454" s="39"/>
      <c r="N4454" s="52" t="str">
        <f>IF(AND('331-CT'!$E$7=TH!H4454,OR(L4454="331",M4454="331")),"331",IF(AND(OR(L4454="131",M4454="131"),H4454='131-CT'!$E$7),"131",""))</f>
        <v/>
      </c>
      <c r="O4454" s="52" t="str">
        <f>IF(AND($B4454&gt;='111'!$N$11,$B4454&lt;='111'!$O$11,OR($L4454=$O$7,$M4454=$O$7)),"x","")</f>
        <v/>
      </c>
      <c r="P4454" s="52" t="str">
        <f>IF(AND($L4454=$O$7,$B4454&lt;'111'!$N$11),"x","")</f>
        <v/>
      </c>
      <c r="Q4454" s="52" t="str">
        <f>IF(AND($M4454=$O$7,$B4454&lt;'111'!$N$11),"x","")</f>
        <v/>
      </c>
      <c r="R4454" s="52" t="str">
        <f>IF(ISERROR(FIND('112'!$M$9,G4454,1)),"",IF((AND(FIND('112'!$M$9,G4454,1)&gt;=1,$B4454&gt;='112'!$N$8,$B4454&lt;='112'!$O$8,OR($L4454='112'!$I$6,$M4454='112'!$I$6))),"x",""))</f>
        <v/>
      </c>
      <c r="S4454" s="52" t="str">
        <f>IF(ISERROR(FIND('112'!$M$9,G4454,1)),"",IF((AND(LEFT(G4454,2)=LEFT('112'!$M$9,2),B4454&lt;'112'!$N$8,$L4454='112'!$I$6)),"x",""))</f>
        <v/>
      </c>
      <c r="T4454" s="52" t="str">
        <f>IF(ISERROR(FIND('112'!$M$9,G4454,1)),"",IF((AND(RIGHT(G4454,2)=RIGHT('112'!$M$9,2),B4454&lt;'112'!$N$8,$M4454='112'!$I$6)),"x",""))</f>
        <v/>
      </c>
      <c r="U4454" s="52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V4454" s="52" t="str">
        <f>IF(OR(TH!L4454=TH!$V$7,M4454=TH!$V$7),"x","")</f>
        <v/>
      </c>
      <c r="W4454" s="52" t="str">
        <f>IF(AND(B4454&gt;='IN-NX'!$P$3,B4454&lt;='IN-NX'!$Q$3,'IN-NX'!$D$7=D4454,OR(LEFT(L4454,2)="15",AND(LEFT(M4454,2)&lt;&gt;"15",LEFT(M4454,2)&lt;&gt;"33"))),"x","")</f>
        <v/>
      </c>
      <c r="X4454" s="52" t="str">
        <f>IF(AND(OR(LEFT(TH!L4454,2)="15",LEFT(TH!M4454,2)="15"),'152-CT'!$J$8=TH!F4454),"x","")</f>
        <v/>
      </c>
      <c r="Y4454" s="52" t="str">
        <f>IF(AND(OR(LEFT(TH!L4454,2)="15",LEFT(TH!M4454,2)="15"),TK!$E$7=TH!F4454),"x","")</f>
        <v/>
      </c>
      <c r="Z4454" s="52" t="str">
        <f>IF(AND(B4454&lt;=NKC!$N$8,B4454&gt;=NKC!$M$8),"x","")</f>
        <v/>
      </c>
      <c r="AA4454" s="826"/>
    </row>
    <row r="4455" spans="1:27" ht="15.75" customHeight="1">
      <c r="A4455" s="827" t="str">
        <f>IF(B4455&lt;&gt;"",IF(AND(B4455&gt;=_TM1,B4455&lt;=_TM2,OR(TH!L4455="1111",TH!M4455="1111")),TH!D4455,""),"")</f>
        <v/>
      </c>
      <c r="B4455" s="36" t="str">
        <f t="shared" si="524"/>
        <v/>
      </c>
      <c r="C4455" s="190"/>
      <c r="D4455" s="37"/>
      <c r="E4455" s="190"/>
      <c r="F4455" s="191"/>
      <c r="G4455" s="833"/>
      <c r="H4455" s="192"/>
      <c r="I4455" s="253"/>
      <c r="J4455" s="253"/>
      <c r="K4455" s="584"/>
      <c r="L4455" s="39"/>
      <c r="M4455" s="39"/>
      <c r="N4455" s="52" t="str">
        <f>IF(AND('331-CT'!$E$7=TH!H4455,OR(L4455="331",M4455="331")),"331",IF(AND(OR(L4455="131",M4455="131"),H4455='131-CT'!$E$7),"131",""))</f>
        <v/>
      </c>
      <c r="O4455" s="52" t="str">
        <f>IF(AND($B4455&gt;='111'!$N$11,$B4455&lt;='111'!$O$11,OR($L4455=$O$7,$M4455=$O$7)),"x","")</f>
        <v/>
      </c>
      <c r="P4455" s="52" t="str">
        <f>IF(AND($L4455=$O$7,$B4455&lt;'111'!$N$11),"x","")</f>
        <v/>
      </c>
      <c r="Q4455" s="52" t="str">
        <f>IF(AND($M4455=$O$7,$B4455&lt;'111'!$N$11),"x","")</f>
        <v/>
      </c>
      <c r="R4455" s="52" t="str">
        <f>IF(ISERROR(FIND('112'!$M$9,G4455,1)),"",IF((AND(FIND('112'!$M$9,G4455,1)&gt;=1,$B4455&gt;='112'!$N$8,$B4455&lt;='112'!$O$8,OR($L4455='112'!$I$6,$M4455='112'!$I$6))),"x",""))</f>
        <v/>
      </c>
      <c r="S4455" s="52" t="str">
        <f>IF(ISERROR(FIND('112'!$M$9,G4455,1)),"",IF((AND(LEFT(G4455,2)=LEFT('112'!$M$9,2),B4455&lt;'112'!$N$8,$L4455='112'!$I$6)),"x",""))</f>
        <v/>
      </c>
      <c r="T4455" s="52" t="str">
        <f>IF(ISERROR(FIND('112'!$M$9,G4455,1)),"",IF((AND(RIGHT(G4455,2)=RIGHT('112'!$M$9,2),B4455&lt;'112'!$N$8,$M4455='112'!$I$6)),"x",""))</f>
        <v/>
      </c>
      <c r="U4455" s="52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V4455" s="52" t="str">
        <f>IF(OR(TH!L4455=TH!$V$7,M4455=TH!$V$7),"x","")</f>
        <v/>
      </c>
      <c r="W4455" s="52" t="str">
        <f>IF(AND(B4455&gt;='IN-NX'!$P$3,B4455&lt;='IN-NX'!$Q$3,'IN-NX'!$D$7=D4455,OR(LEFT(L4455,2)="15",AND(LEFT(M4455,2)&lt;&gt;"15",LEFT(M4455,2)&lt;&gt;"33"))),"x","")</f>
        <v/>
      </c>
      <c r="X4455" s="52" t="str">
        <f>IF(AND(OR(LEFT(TH!L4455,2)="15",LEFT(TH!M4455,2)="15"),'152-CT'!$J$8=TH!F4455),"x","")</f>
        <v/>
      </c>
      <c r="Y4455" s="52" t="str">
        <f>IF(AND(OR(LEFT(TH!L4455,2)="15",LEFT(TH!M4455,2)="15"),TK!$E$7=TH!F4455),"x","")</f>
        <v/>
      </c>
      <c r="Z4455" s="52" t="str">
        <f>IF(AND(B4455&lt;=NKC!$N$8,B4455&gt;=NKC!$M$8),"x","")</f>
        <v/>
      </c>
      <c r="AA4455" s="826"/>
    </row>
    <row r="4456" spans="1:27" ht="15.75" customHeight="1">
      <c r="A4456" s="827" t="str">
        <f>IF(B4456&lt;&gt;"",IF(AND(B4456&gt;=_TM1,B4456&lt;=_TM2,OR(TH!L4456="1111",TH!M4456="1111")),TH!D4456,""),"")</f>
        <v/>
      </c>
      <c r="B4456" s="36" t="str">
        <f t="shared" si="524"/>
        <v/>
      </c>
      <c r="C4456" s="190"/>
      <c r="D4456" s="37"/>
      <c r="E4456" s="190"/>
      <c r="F4456" s="191"/>
      <c r="G4456" s="833"/>
      <c r="H4456" s="192"/>
      <c r="I4456" s="253"/>
      <c r="J4456" s="253"/>
      <c r="K4456" s="584"/>
      <c r="L4456" s="39"/>
      <c r="M4456" s="39"/>
      <c r="N4456" s="52" t="str">
        <f>IF(AND('331-CT'!$E$7=TH!H4456,OR(L4456="331",M4456="331")),"331",IF(AND(OR(L4456="131",M4456="131"),H4456='131-CT'!$E$7),"131",""))</f>
        <v/>
      </c>
      <c r="O4456" s="52" t="str">
        <f>IF(AND($B4456&gt;='111'!$N$11,$B4456&lt;='111'!$O$11,OR($L4456=$O$7,$M4456=$O$7)),"x","")</f>
        <v/>
      </c>
      <c r="P4456" s="52" t="str">
        <f>IF(AND($L4456=$O$7,$B4456&lt;'111'!$N$11),"x","")</f>
        <v/>
      </c>
      <c r="Q4456" s="52" t="str">
        <f>IF(AND($M4456=$O$7,$B4456&lt;'111'!$N$11),"x","")</f>
        <v/>
      </c>
      <c r="R4456" s="52" t="str">
        <f>IF(ISERROR(FIND('112'!$M$9,G4456,1)),"",IF((AND(FIND('112'!$M$9,G4456,1)&gt;=1,$B4456&gt;='112'!$N$8,$B4456&lt;='112'!$O$8,OR($L4456='112'!$I$6,$M4456='112'!$I$6))),"x",""))</f>
        <v/>
      </c>
      <c r="S4456" s="52" t="str">
        <f>IF(ISERROR(FIND('112'!$M$9,G4456,1)),"",IF((AND(LEFT(G4456,2)=LEFT('112'!$M$9,2),B4456&lt;'112'!$N$8,$L4456='112'!$I$6)),"x",""))</f>
        <v/>
      </c>
      <c r="T4456" s="52" t="str">
        <f>IF(ISERROR(FIND('112'!$M$9,G4456,1)),"",IF((AND(RIGHT(G4456,2)=RIGHT('112'!$M$9,2),B4456&lt;'112'!$N$8,$M4456='112'!$I$6)),"x",""))</f>
        <v/>
      </c>
      <c r="U4456" s="52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V4456" s="52" t="str">
        <f>IF(OR(TH!L4456=TH!$V$7,M4456=TH!$V$7),"x","")</f>
        <v/>
      </c>
      <c r="W4456" s="52" t="str">
        <f>IF(AND(B4456&gt;='IN-NX'!$P$3,B4456&lt;='IN-NX'!$Q$3,'IN-NX'!$D$7=D4456,OR(LEFT(L4456,2)="15",AND(LEFT(M4456,2)&lt;&gt;"15",LEFT(M4456,2)&lt;&gt;"33"))),"x","")</f>
        <v/>
      </c>
      <c r="X4456" s="52" t="str">
        <f>IF(AND(OR(LEFT(TH!L4456,2)="15",LEFT(TH!M4456,2)="15"),'152-CT'!$J$8=TH!F4456),"x","")</f>
        <v/>
      </c>
      <c r="Y4456" s="52" t="str">
        <f>IF(AND(OR(LEFT(TH!L4456,2)="15",LEFT(TH!M4456,2)="15"),TK!$E$7=TH!F4456),"x","")</f>
        <v/>
      </c>
      <c r="Z4456" s="52" t="str">
        <f>IF(AND(B4456&lt;=NKC!$N$8,B4456&gt;=NKC!$M$8),"x","")</f>
        <v/>
      </c>
      <c r="AA4456" s="826"/>
    </row>
    <row r="4457" spans="1:27" ht="15.75" customHeight="1">
      <c r="A4457" s="827" t="str">
        <f>IF(B4457&lt;&gt;"",IF(AND(B4457&gt;=_TM1,B4457&lt;=_TM2,OR(TH!L4457="1111",TH!M4457="1111")),TH!D4457,""),"")</f>
        <v/>
      </c>
      <c r="B4457" s="36" t="str">
        <f t="shared" si="524"/>
        <v/>
      </c>
      <c r="C4457" s="190"/>
      <c r="D4457" s="37"/>
      <c r="E4457" s="190"/>
      <c r="F4457" s="191"/>
      <c r="G4457" s="833"/>
      <c r="H4457" s="192"/>
      <c r="I4457" s="253"/>
      <c r="J4457" s="253"/>
      <c r="K4457" s="584"/>
      <c r="L4457" s="39"/>
      <c r="M4457" s="39"/>
      <c r="N4457" s="52" t="str">
        <f>IF(AND('331-CT'!$E$7=TH!H4457,OR(L4457="331",M4457="331")),"331",IF(AND(OR(L4457="131",M4457="131"),H4457='131-CT'!$E$7),"131",""))</f>
        <v/>
      </c>
      <c r="O4457" s="52" t="str">
        <f>IF(AND($B4457&gt;='111'!$N$11,$B4457&lt;='111'!$O$11,OR($L4457=$O$7,$M4457=$O$7)),"x","")</f>
        <v/>
      </c>
      <c r="P4457" s="52" t="str">
        <f>IF(AND($L4457=$O$7,$B4457&lt;'111'!$N$11),"x","")</f>
        <v/>
      </c>
      <c r="Q4457" s="52" t="str">
        <f>IF(AND($M4457=$O$7,$B4457&lt;'111'!$N$11),"x","")</f>
        <v/>
      </c>
      <c r="R4457" s="52" t="str">
        <f>IF(ISERROR(FIND('112'!$M$9,G4457,1)),"",IF((AND(FIND('112'!$M$9,G4457,1)&gt;=1,$B4457&gt;='112'!$N$8,$B4457&lt;='112'!$O$8,OR($L4457='112'!$I$6,$M4457='112'!$I$6))),"x",""))</f>
        <v/>
      </c>
      <c r="S4457" s="52" t="str">
        <f>IF(ISERROR(FIND('112'!$M$9,G4457,1)),"",IF((AND(LEFT(G4457,2)=LEFT('112'!$M$9,2),B4457&lt;'112'!$N$8,$L4457='112'!$I$6)),"x",""))</f>
        <v/>
      </c>
      <c r="T4457" s="52" t="str">
        <f>IF(ISERROR(FIND('112'!$M$9,G4457,1)),"",IF((AND(RIGHT(G4457,2)=RIGHT('112'!$M$9,2),B4457&lt;'112'!$N$8,$M4457='112'!$I$6)),"x",""))</f>
        <v/>
      </c>
      <c r="U4457" s="52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V4457" s="52" t="str">
        <f>IF(OR(TH!L4457=TH!$V$7,M4457=TH!$V$7),"x","")</f>
        <v/>
      </c>
      <c r="W4457" s="52" t="str">
        <f>IF(AND(B4457&gt;='IN-NX'!$P$3,B4457&lt;='IN-NX'!$Q$3,'IN-NX'!$D$7=D4457,OR(LEFT(L4457,2)="15",AND(LEFT(M4457,2)&lt;&gt;"15",LEFT(M4457,2)&lt;&gt;"33"))),"x","")</f>
        <v/>
      </c>
      <c r="X4457" s="52" t="str">
        <f>IF(AND(OR(LEFT(TH!L4457,2)="15",LEFT(TH!M4457,2)="15"),'152-CT'!$J$8=TH!F4457),"x","")</f>
        <v/>
      </c>
      <c r="Y4457" s="52" t="str">
        <f>IF(AND(OR(LEFT(TH!L4457,2)="15",LEFT(TH!M4457,2)="15"),TK!$E$7=TH!F4457),"x","")</f>
        <v/>
      </c>
      <c r="Z4457" s="52" t="str">
        <f>IF(AND(B4457&lt;=NKC!$N$8,B4457&gt;=NKC!$M$8),"x","")</f>
        <v/>
      </c>
      <c r="AA4457" s="826"/>
    </row>
    <row r="4458" spans="1:27" ht="15.75" customHeight="1">
      <c r="A4458" s="827" t="str">
        <f>IF(B4458&lt;&gt;"",IF(AND(B4458&gt;=_TM1,B4458&lt;=_TM2,OR(TH!L4458="1111",TH!M4458="1111")),TH!D4458,""),"")</f>
        <v/>
      </c>
      <c r="B4458" s="36" t="str">
        <f t="shared" si="524"/>
        <v/>
      </c>
      <c r="C4458" s="190"/>
      <c r="D4458" s="37"/>
      <c r="E4458" s="190"/>
      <c r="F4458" s="191"/>
      <c r="G4458" s="833"/>
      <c r="H4458" s="192"/>
      <c r="I4458" s="253"/>
      <c r="J4458" s="253"/>
      <c r="K4458" s="584"/>
      <c r="L4458" s="39"/>
      <c r="M4458" s="39"/>
      <c r="N4458" s="52" t="str">
        <f>IF(AND('331-CT'!$E$7=TH!H4458,OR(L4458="331",M4458="331")),"331",IF(AND(OR(L4458="131",M4458="131"),H4458='131-CT'!$E$7),"131",""))</f>
        <v/>
      </c>
      <c r="O4458" s="52" t="str">
        <f>IF(AND($B4458&gt;='111'!$N$11,$B4458&lt;='111'!$O$11,OR($L4458=$O$7,$M4458=$O$7)),"x","")</f>
        <v/>
      </c>
      <c r="P4458" s="52" t="str">
        <f>IF(AND($L4458=$O$7,$B4458&lt;'111'!$N$11),"x","")</f>
        <v/>
      </c>
      <c r="Q4458" s="52" t="str">
        <f>IF(AND($M4458=$O$7,$B4458&lt;'111'!$N$11),"x","")</f>
        <v/>
      </c>
      <c r="R4458" s="52" t="str">
        <f>IF(ISERROR(FIND('112'!$M$9,G4458,1)),"",IF((AND(FIND('112'!$M$9,G4458,1)&gt;=1,$B4458&gt;='112'!$N$8,$B4458&lt;='112'!$O$8,OR($L4458='112'!$I$6,$M4458='112'!$I$6))),"x",""))</f>
        <v/>
      </c>
      <c r="S4458" s="52" t="str">
        <f>IF(ISERROR(FIND('112'!$M$9,G4458,1)),"",IF((AND(LEFT(G4458,2)=LEFT('112'!$M$9,2),B4458&lt;'112'!$N$8,$L4458='112'!$I$6)),"x",""))</f>
        <v/>
      </c>
      <c r="T4458" s="52" t="str">
        <f>IF(ISERROR(FIND('112'!$M$9,G4458,1)),"",IF((AND(RIGHT(G4458,2)=RIGHT('112'!$M$9,2),B4458&lt;'112'!$N$8,$M4458='112'!$I$6)),"x",""))</f>
        <v/>
      </c>
      <c r="U4458" s="52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V4458" s="52" t="str">
        <f>IF(OR(TH!L4458=TH!$V$7,M4458=TH!$V$7),"x","")</f>
        <v/>
      </c>
      <c r="W4458" s="52" t="str">
        <f>IF(AND(B4458&gt;='IN-NX'!$P$3,B4458&lt;='IN-NX'!$Q$3,'IN-NX'!$D$7=D4458,OR(LEFT(L4458,2)="15",AND(LEFT(M4458,2)&lt;&gt;"15",LEFT(M4458,2)&lt;&gt;"33"))),"x","")</f>
        <v/>
      </c>
      <c r="X4458" s="52" t="str">
        <f>IF(AND(OR(LEFT(TH!L4458,2)="15",LEFT(TH!M4458,2)="15"),'152-CT'!$J$8=TH!F4458),"x","")</f>
        <v/>
      </c>
      <c r="Y4458" s="52" t="str">
        <f>IF(AND(OR(LEFT(TH!L4458,2)="15",LEFT(TH!M4458,2)="15"),TK!$E$7=TH!F4458),"x","")</f>
        <v/>
      </c>
      <c r="Z4458" s="52" t="str">
        <f>IF(AND(B4458&lt;=NKC!$N$8,B4458&gt;=NKC!$M$8),"x","")</f>
        <v/>
      </c>
      <c r="AA4458" s="826"/>
    </row>
    <row r="4459" spans="1:27" ht="15.75" customHeight="1">
      <c r="A4459" s="827" t="str">
        <f>IF(B4459&lt;&gt;"",IF(AND(B4459&gt;=_TM1,B4459&lt;=_TM2,OR(TH!L4459="1111",TH!M4459="1111")),TH!D4459,""),"")</f>
        <v/>
      </c>
      <c r="B4459" s="36" t="str">
        <f t="shared" si="524"/>
        <v/>
      </c>
      <c r="C4459" s="190"/>
      <c r="D4459" s="37"/>
      <c r="E4459" s="190"/>
      <c r="F4459" s="191"/>
      <c r="G4459" s="833"/>
      <c r="H4459" s="192"/>
      <c r="I4459" s="253"/>
      <c r="J4459" s="253"/>
      <c r="K4459" s="584"/>
      <c r="L4459" s="39"/>
      <c r="M4459" s="39"/>
      <c r="N4459" s="52" t="str">
        <f>IF(AND('331-CT'!$E$7=TH!H4459,OR(L4459="331",M4459="331")),"331",IF(AND(OR(L4459="131",M4459="131"),H4459='131-CT'!$E$7),"131",""))</f>
        <v/>
      </c>
      <c r="O4459" s="52" t="str">
        <f>IF(AND($B4459&gt;='111'!$N$11,$B4459&lt;='111'!$O$11,OR($L4459=$O$7,$M4459=$O$7)),"x","")</f>
        <v/>
      </c>
      <c r="P4459" s="52" t="str">
        <f>IF(AND($L4459=$O$7,$B4459&lt;'111'!$N$11),"x","")</f>
        <v/>
      </c>
      <c r="Q4459" s="52" t="str">
        <f>IF(AND($M4459=$O$7,$B4459&lt;'111'!$N$11),"x","")</f>
        <v/>
      </c>
      <c r="R4459" s="52" t="str">
        <f>IF(ISERROR(FIND('112'!$M$9,G4459,1)),"",IF((AND(FIND('112'!$M$9,G4459,1)&gt;=1,$B4459&gt;='112'!$N$8,$B4459&lt;='112'!$O$8,OR($L4459='112'!$I$6,$M4459='112'!$I$6))),"x",""))</f>
        <v/>
      </c>
      <c r="S4459" s="52" t="str">
        <f>IF(ISERROR(FIND('112'!$M$9,G4459,1)),"",IF((AND(LEFT(G4459,2)=LEFT('112'!$M$9,2),B4459&lt;'112'!$N$8,$L4459='112'!$I$6)),"x",""))</f>
        <v/>
      </c>
      <c r="T4459" s="52" t="str">
        <f>IF(ISERROR(FIND('112'!$M$9,G4459,1)),"",IF((AND(RIGHT(G4459,2)=RIGHT('112'!$M$9,2),B4459&lt;'112'!$N$8,$M4459='112'!$I$6)),"x",""))</f>
        <v/>
      </c>
      <c r="U4459" s="52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V4459" s="52" t="str">
        <f>IF(OR(TH!L4459=TH!$V$7,M4459=TH!$V$7),"x","")</f>
        <v/>
      </c>
      <c r="W4459" s="52" t="str">
        <f>IF(AND(B4459&gt;='IN-NX'!$P$3,B4459&lt;='IN-NX'!$Q$3,'IN-NX'!$D$7=D4459,OR(LEFT(L4459,2)="15",AND(LEFT(M4459,2)&lt;&gt;"15",LEFT(M4459,2)&lt;&gt;"33"))),"x","")</f>
        <v/>
      </c>
      <c r="X4459" s="52" t="str">
        <f>IF(AND(OR(LEFT(TH!L4459,2)="15",LEFT(TH!M4459,2)="15"),'152-CT'!$J$8=TH!F4459),"x","")</f>
        <v/>
      </c>
      <c r="Y4459" s="52" t="str">
        <f>IF(AND(OR(LEFT(TH!L4459,2)="15",LEFT(TH!M4459,2)="15"),TK!$E$7=TH!F4459),"x","")</f>
        <v/>
      </c>
      <c r="Z4459" s="52" t="str">
        <f>IF(AND(B4459&lt;=NKC!$N$8,B4459&gt;=NKC!$M$8),"x","")</f>
        <v/>
      </c>
      <c r="AA4459" s="826"/>
    </row>
    <row r="4460" spans="1:27" ht="15.75" customHeight="1">
      <c r="A4460" s="827" t="str">
        <f>IF(B4460&lt;&gt;"",IF(AND(B4460&gt;=_TM1,B4460&lt;=_TM2,OR(TH!L4460="1111",TH!M4460="1111")),TH!D4460,""),"")</f>
        <v/>
      </c>
      <c r="B4460" s="36" t="str">
        <f t="shared" si="524"/>
        <v/>
      </c>
      <c r="C4460" s="190"/>
      <c r="D4460" s="37"/>
      <c r="E4460" s="190"/>
      <c r="F4460" s="191"/>
      <c r="G4460" s="833"/>
      <c r="H4460" s="192"/>
      <c r="I4460" s="253"/>
      <c r="J4460" s="253"/>
      <c r="K4460" s="584"/>
      <c r="L4460" s="39"/>
      <c r="M4460" s="39"/>
      <c r="N4460" s="52" t="str">
        <f>IF(AND('331-CT'!$E$7=TH!H4460,OR(L4460="331",M4460="331")),"331",IF(AND(OR(L4460="131",M4460="131"),H4460='131-CT'!$E$7),"131",""))</f>
        <v/>
      </c>
      <c r="O4460" s="52" t="str">
        <f>IF(AND($B4460&gt;='111'!$N$11,$B4460&lt;='111'!$O$11,OR($L4460=$O$7,$M4460=$O$7)),"x","")</f>
        <v/>
      </c>
      <c r="P4460" s="52" t="str">
        <f>IF(AND($L4460=$O$7,$B4460&lt;'111'!$N$11),"x","")</f>
        <v/>
      </c>
      <c r="Q4460" s="52" t="str">
        <f>IF(AND($M4460=$O$7,$B4460&lt;'111'!$N$11),"x","")</f>
        <v/>
      </c>
      <c r="R4460" s="52" t="str">
        <f>IF(ISERROR(FIND('112'!$M$9,G4460,1)),"",IF((AND(FIND('112'!$M$9,G4460,1)&gt;=1,$B4460&gt;='112'!$N$8,$B4460&lt;='112'!$O$8,OR($L4460='112'!$I$6,$M4460='112'!$I$6))),"x",""))</f>
        <v/>
      </c>
      <c r="S4460" s="52" t="str">
        <f>IF(ISERROR(FIND('112'!$M$9,G4460,1)),"",IF((AND(LEFT(G4460,2)=LEFT('112'!$M$9,2),B4460&lt;'112'!$N$8,$L4460='112'!$I$6)),"x",""))</f>
        <v/>
      </c>
      <c r="T4460" s="52" t="str">
        <f>IF(ISERROR(FIND('112'!$M$9,G4460,1)),"",IF((AND(RIGHT(G4460,2)=RIGHT('112'!$M$9,2),B4460&lt;'112'!$N$8,$M4460='112'!$I$6)),"x",""))</f>
        <v/>
      </c>
      <c r="U4460" s="52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V4460" s="52" t="str">
        <f>IF(OR(TH!L4460=TH!$V$7,M4460=TH!$V$7),"x","")</f>
        <v/>
      </c>
      <c r="W4460" s="52" t="str">
        <f>IF(AND(B4460&gt;='IN-NX'!$P$3,B4460&lt;='IN-NX'!$Q$3,'IN-NX'!$D$7=D4460,OR(LEFT(L4460,2)="15",AND(LEFT(M4460,2)&lt;&gt;"15",LEFT(M4460,2)&lt;&gt;"33"))),"x","")</f>
        <v/>
      </c>
      <c r="X4460" s="52" t="str">
        <f>IF(AND(OR(LEFT(TH!L4460,2)="15",LEFT(TH!M4460,2)="15"),'152-CT'!$J$8=TH!F4460),"x","")</f>
        <v/>
      </c>
      <c r="Y4460" s="52" t="str">
        <f>IF(AND(OR(LEFT(TH!L4460,2)="15",LEFT(TH!M4460,2)="15"),TK!$E$7=TH!F4460),"x","")</f>
        <v/>
      </c>
      <c r="Z4460" s="52" t="str">
        <f>IF(AND(B4460&lt;=NKC!$N$8,B4460&gt;=NKC!$M$8),"x","")</f>
        <v/>
      </c>
      <c r="AA4460" s="826"/>
    </row>
    <row r="4461" spans="1:27" ht="15.75" customHeight="1">
      <c r="A4461" s="827" t="str">
        <f>IF(B4461&lt;&gt;"",IF(AND(B4461&gt;=_TM1,B4461&lt;=_TM2,OR(TH!L4461="1111",TH!M4461="1111")),TH!D4461,""),"")</f>
        <v/>
      </c>
      <c r="B4461" s="36" t="str">
        <f t="shared" si="524"/>
        <v/>
      </c>
      <c r="C4461" s="190"/>
      <c r="D4461" s="37"/>
      <c r="E4461" s="190"/>
      <c r="F4461" s="191"/>
      <c r="G4461" s="833"/>
      <c r="H4461" s="192"/>
      <c r="I4461" s="253"/>
      <c r="J4461" s="253"/>
      <c r="K4461" s="584"/>
      <c r="L4461" s="39"/>
      <c r="M4461" s="39"/>
      <c r="N4461" s="52" t="str">
        <f>IF(AND('331-CT'!$E$7=TH!H4461,OR(L4461="331",M4461="331")),"331",IF(AND(OR(L4461="131",M4461="131"),H4461='131-CT'!$E$7),"131",""))</f>
        <v/>
      </c>
      <c r="O4461" s="52" t="str">
        <f>IF(AND($B4461&gt;='111'!$N$11,$B4461&lt;='111'!$O$11,OR($L4461=$O$7,$M4461=$O$7)),"x","")</f>
        <v/>
      </c>
      <c r="P4461" s="52" t="str">
        <f>IF(AND($L4461=$O$7,$B4461&lt;'111'!$N$11),"x","")</f>
        <v/>
      </c>
      <c r="Q4461" s="52" t="str">
        <f>IF(AND($M4461=$O$7,$B4461&lt;'111'!$N$11),"x","")</f>
        <v/>
      </c>
      <c r="R4461" s="52" t="str">
        <f>IF(ISERROR(FIND('112'!$M$9,G4461,1)),"",IF((AND(FIND('112'!$M$9,G4461,1)&gt;=1,$B4461&gt;='112'!$N$8,$B4461&lt;='112'!$O$8,OR($L4461='112'!$I$6,$M4461='112'!$I$6))),"x",""))</f>
        <v/>
      </c>
      <c r="S4461" s="52" t="str">
        <f>IF(ISERROR(FIND('112'!$M$9,G4461,1)),"",IF((AND(LEFT(G4461,2)=LEFT('112'!$M$9,2),B4461&lt;'112'!$N$8,$L4461='112'!$I$6)),"x",""))</f>
        <v/>
      </c>
      <c r="T4461" s="52" t="str">
        <f>IF(ISERROR(FIND('112'!$M$9,G4461,1)),"",IF((AND(RIGHT(G4461,2)=RIGHT('112'!$M$9,2),B4461&lt;'112'!$N$8,$M4461='112'!$I$6)),"x",""))</f>
        <v/>
      </c>
      <c r="U4461" s="52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V4461" s="52" t="str">
        <f>IF(OR(TH!L4461=TH!$V$7,M4461=TH!$V$7),"x","")</f>
        <v/>
      </c>
      <c r="W4461" s="52" t="str">
        <f>IF(AND(B4461&gt;='IN-NX'!$P$3,B4461&lt;='IN-NX'!$Q$3,'IN-NX'!$D$7=D4461,OR(LEFT(L4461,2)="15",AND(LEFT(M4461,2)&lt;&gt;"15",LEFT(M4461,2)&lt;&gt;"33"))),"x","")</f>
        <v/>
      </c>
      <c r="X4461" s="52" t="str">
        <f>IF(AND(OR(LEFT(TH!L4461,2)="15",LEFT(TH!M4461,2)="15"),'152-CT'!$J$8=TH!F4461),"x","")</f>
        <v/>
      </c>
      <c r="Y4461" s="52" t="str">
        <f>IF(AND(OR(LEFT(TH!L4461,2)="15",LEFT(TH!M4461,2)="15"),TK!$E$7=TH!F4461),"x","")</f>
        <v/>
      </c>
      <c r="Z4461" s="52" t="str">
        <f>IF(AND(B4461&lt;=NKC!$N$8,B4461&gt;=NKC!$M$8),"x","")</f>
        <v/>
      </c>
      <c r="AA4461" s="826"/>
    </row>
    <row r="4462" spans="1:27" ht="15.75" customHeight="1">
      <c r="A4462" s="827" t="str">
        <f>IF(B4462&lt;&gt;"",IF(AND(B4462&gt;=_TM1,B4462&lt;=_TM2,OR(TH!L4462="1111",TH!M4462="1111")),TH!D4462,""),"")</f>
        <v/>
      </c>
      <c r="B4462" s="36" t="str">
        <f t="shared" si="524"/>
        <v/>
      </c>
      <c r="C4462" s="190"/>
      <c r="D4462" s="37"/>
      <c r="E4462" s="190"/>
      <c r="F4462" s="191"/>
      <c r="G4462" s="833"/>
      <c r="H4462" s="192"/>
      <c r="I4462" s="253"/>
      <c r="J4462" s="253"/>
      <c r="K4462" s="584"/>
      <c r="L4462" s="39"/>
      <c r="M4462" s="39"/>
      <c r="N4462" s="52" t="str">
        <f>IF(AND('331-CT'!$E$7=TH!H4462,OR(L4462="331",M4462="331")),"331",IF(AND(OR(L4462="131",M4462="131"),H4462='131-CT'!$E$7),"131",""))</f>
        <v/>
      </c>
      <c r="O4462" s="52" t="str">
        <f>IF(AND($B4462&gt;='111'!$N$11,$B4462&lt;='111'!$O$11,OR($L4462=$O$7,$M4462=$O$7)),"x","")</f>
        <v/>
      </c>
      <c r="P4462" s="52" t="str">
        <f>IF(AND($L4462=$O$7,$B4462&lt;'111'!$N$11),"x","")</f>
        <v/>
      </c>
      <c r="Q4462" s="52" t="str">
        <f>IF(AND($M4462=$O$7,$B4462&lt;'111'!$N$11),"x","")</f>
        <v/>
      </c>
      <c r="R4462" s="52" t="str">
        <f>IF(ISERROR(FIND('112'!$M$9,G4462,1)),"",IF((AND(FIND('112'!$M$9,G4462,1)&gt;=1,$B4462&gt;='112'!$N$8,$B4462&lt;='112'!$O$8,OR($L4462='112'!$I$6,$M4462='112'!$I$6))),"x",""))</f>
        <v/>
      </c>
      <c r="S4462" s="52" t="str">
        <f>IF(ISERROR(FIND('112'!$M$9,G4462,1)),"",IF((AND(LEFT(G4462,2)=LEFT('112'!$M$9,2),B4462&lt;'112'!$N$8,$L4462='112'!$I$6)),"x",""))</f>
        <v/>
      </c>
      <c r="T4462" s="52" t="str">
        <f>IF(ISERROR(FIND('112'!$M$9,G4462,1)),"",IF((AND(RIGHT(G4462,2)=RIGHT('112'!$M$9,2),B4462&lt;'112'!$N$8,$M4462='112'!$I$6)),"x",""))</f>
        <v/>
      </c>
      <c r="U4462" s="52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V4462" s="52" t="str">
        <f>IF(OR(TH!L4462=TH!$V$7,M4462=TH!$V$7),"x","")</f>
        <v/>
      </c>
      <c r="W4462" s="52" t="str">
        <f>IF(AND(B4462&gt;='IN-NX'!$P$3,B4462&lt;='IN-NX'!$Q$3,'IN-NX'!$D$7=D4462,OR(LEFT(L4462,2)="15",AND(LEFT(M4462,2)&lt;&gt;"15",LEFT(M4462,2)&lt;&gt;"33"))),"x","")</f>
        <v/>
      </c>
      <c r="X4462" s="52" t="str">
        <f>IF(AND(OR(LEFT(TH!L4462,2)="15",LEFT(TH!M4462,2)="15"),'152-CT'!$J$8=TH!F4462),"x","")</f>
        <v/>
      </c>
      <c r="Y4462" s="52" t="str">
        <f>IF(AND(OR(LEFT(TH!L4462,2)="15",LEFT(TH!M4462,2)="15"),TK!$E$7=TH!F4462),"x","")</f>
        <v/>
      </c>
      <c r="Z4462" s="52" t="str">
        <f>IF(AND(B4462&lt;=NKC!$N$8,B4462&gt;=NKC!$M$8),"x","")</f>
        <v/>
      </c>
      <c r="AA4462" s="826"/>
    </row>
    <row r="4463" spans="1:27" ht="15.75" customHeight="1">
      <c r="A4463" s="827" t="str">
        <f>IF(B4463&lt;&gt;"",IF(AND(B4463&gt;=_TM1,B4463&lt;=_TM2,OR(TH!L4463="1111",TH!M4463="1111")),TH!D4463,""),"")</f>
        <v/>
      </c>
      <c r="B4463" s="36" t="str">
        <f t="shared" si="524"/>
        <v/>
      </c>
      <c r="C4463" s="190"/>
      <c r="D4463" s="37"/>
      <c r="E4463" s="190"/>
      <c r="F4463" s="191"/>
      <c r="G4463" s="833"/>
      <c r="H4463" s="192"/>
      <c r="I4463" s="253"/>
      <c r="J4463" s="253"/>
      <c r="K4463" s="584"/>
      <c r="L4463" s="39"/>
      <c r="M4463" s="39"/>
      <c r="N4463" s="52" t="str">
        <f>IF(AND('331-CT'!$E$7=TH!H4463,OR(L4463="331",M4463="331")),"331",IF(AND(OR(L4463="131",M4463="131"),H4463='131-CT'!$E$7),"131",""))</f>
        <v/>
      </c>
      <c r="O4463" s="52" t="str">
        <f>IF(AND($B4463&gt;='111'!$N$11,$B4463&lt;='111'!$O$11,OR($L4463=$O$7,$M4463=$O$7)),"x","")</f>
        <v/>
      </c>
      <c r="P4463" s="52" t="str">
        <f>IF(AND($L4463=$O$7,$B4463&lt;'111'!$N$11),"x","")</f>
        <v/>
      </c>
      <c r="Q4463" s="52" t="str">
        <f>IF(AND($M4463=$O$7,$B4463&lt;'111'!$N$11),"x","")</f>
        <v/>
      </c>
      <c r="R4463" s="52" t="str">
        <f>IF(ISERROR(FIND('112'!$M$9,G4463,1)),"",IF((AND(FIND('112'!$M$9,G4463,1)&gt;=1,$B4463&gt;='112'!$N$8,$B4463&lt;='112'!$O$8,OR($L4463='112'!$I$6,$M4463='112'!$I$6))),"x",""))</f>
        <v/>
      </c>
      <c r="S4463" s="52" t="str">
        <f>IF(ISERROR(FIND('112'!$M$9,G4463,1)),"",IF((AND(LEFT(G4463,2)=LEFT('112'!$M$9,2),B4463&lt;'112'!$N$8,$L4463='112'!$I$6)),"x",""))</f>
        <v/>
      </c>
      <c r="T4463" s="52" t="str">
        <f>IF(ISERROR(FIND('112'!$M$9,G4463,1)),"",IF((AND(RIGHT(G4463,2)=RIGHT('112'!$M$9,2),B4463&lt;'112'!$N$8,$M4463='112'!$I$6)),"x",""))</f>
        <v/>
      </c>
      <c r="U4463" s="52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V4463" s="52" t="str">
        <f>IF(OR(TH!L4463=TH!$V$7,M4463=TH!$V$7),"x","")</f>
        <v/>
      </c>
      <c r="W4463" s="52" t="str">
        <f>IF(AND(B4463&gt;='IN-NX'!$P$3,B4463&lt;='IN-NX'!$Q$3,'IN-NX'!$D$7=D4463,OR(LEFT(L4463,2)="15",AND(LEFT(M4463,2)&lt;&gt;"15",LEFT(M4463,2)&lt;&gt;"33"))),"x","")</f>
        <v/>
      </c>
      <c r="X4463" s="52" t="str">
        <f>IF(AND(OR(LEFT(TH!L4463,2)="15",LEFT(TH!M4463,2)="15"),'152-CT'!$J$8=TH!F4463),"x","")</f>
        <v/>
      </c>
      <c r="Y4463" s="52" t="str">
        <f>IF(AND(OR(LEFT(TH!L4463,2)="15",LEFT(TH!M4463,2)="15"),TK!$E$7=TH!F4463),"x","")</f>
        <v/>
      </c>
      <c r="Z4463" s="52" t="str">
        <f>IF(AND(B4463&lt;=NKC!$N$8,B4463&gt;=NKC!$M$8),"x","")</f>
        <v/>
      </c>
      <c r="AA4463" s="826"/>
    </row>
    <row r="4464" spans="1:27" ht="15.75" customHeight="1">
      <c r="A4464" s="827" t="str">
        <f>IF(B4464&lt;&gt;"",IF(AND(B4464&gt;=_TM1,B4464&lt;=_TM2,OR(TH!L4464="1111",TH!M4464="1111")),TH!D4464,""),"")</f>
        <v/>
      </c>
      <c r="B4464" s="36" t="str">
        <f t="shared" si="524"/>
        <v/>
      </c>
      <c r="C4464" s="190"/>
      <c r="D4464" s="37"/>
      <c r="E4464" s="190"/>
      <c r="F4464" s="191"/>
      <c r="G4464" s="833"/>
      <c r="H4464" s="192"/>
      <c r="I4464" s="253"/>
      <c r="J4464" s="253"/>
      <c r="K4464" s="584"/>
      <c r="L4464" s="39"/>
      <c r="M4464" s="39"/>
      <c r="N4464" s="52" t="str">
        <f>IF(AND('331-CT'!$E$7=TH!H4464,OR(L4464="331",M4464="331")),"331",IF(AND(OR(L4464="131",M4464="131"),H4464='131-CT'!$E$7),"131",""))</f>
        <v/>
      </c>
      <c r="O4464" s="52" t="str">
        <f>IF(AND($B4464&gt;='111'!$N$11,$B4464&lt;='111'!$O$11,OR($L4464=$O$7,$M4464=$O$7)),"x","")</f>
        <v/>
      </c>
      <c r="P4464" s="52" t="str">
        <f>IF(AND($L4464=$O$7,$B4464&lt;'111'!$N$11),"x","")</f>
        <v/>
      </c>
      <c r="Q4464" s="52" t="str">
        <f>IF(AND($M4464=$O$7,$B4464&lt;'111'!$N$11),"x","")</f>
        <v/>
      </c>
      <c r="R4464" s="52" t="str">
        <f>IF(ISERROR(FIND('112'!$M$9,G4464,1)),"",IF((AND(FIND('112'!$M$9,G4464,1)&gt;=1,$B4464&gt;='112'!$N$8,$B4464&lt;='112'!$O$8,OR($L4464='112'!$I$6,$M4464='112'!$I$6))),"x",""))</f>
        <v/>
      </c>
      <c r="S4464" s="52" t="str">
        <f>IF(ISERROR(FIND('112'!$M$9,G4464,1)),"",IF((AND(LEFT(G4464,2)=LEFT('112'!$M$9,2),B4464&lt;'112'!$N$8,$L4464='112'!$I$6)),"x",""))</f>
        <v/>
      </c>
      <c r="T4464" s="52" t="str">
        <f>IF(ISERROR(FIND('112'!$M$9,G4464,1)),"",IF((AND(RIGHT(G4464,2)=RIGHT('112'!$M$9,2),B4464&lt;'112'!$N$8,$M4464='112'!$I$6)),"x",""))</f>
        <v/>
      </c>
      <c r="U4464" s="52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V4464" s="52" t="str">
        <f>IF(OR(TH!L4464=TH!$V$7,M4464=TH!$V$7),"x","")</f>
        <v/>
      </c>
      <c r="W4464" s="52" t="str">
        <f>IF(AND(B4464&gt;='IN-NX'!$P$3,B4464&lt;='IN-NX'!$Q$3,'IN-NX'!$D$7=D4464,OR(LEFT(L4464,2)="15",AND(LEFT(M4464,2)&lt;&gt;"15",LEFT(M4464,2)&lt;&gt;"33"))),"x","")</f>
        <v/>
      </c>
      <c r="X4464" s="52" t="str">
        <f>IF(AND(OR(LEFT(TH!L4464,2)="15",LEFT(TH!M4464,2)="15"),'152-CT'!$J$8=TH!F4464),"x","")</f>
        <v/>
      </c>
      <c r="Y4464" s="52" t="str">
        <f>IF(AND(OR(LEFT(TH!L4464,2)="15",LEFT(TH!M4464,2)="15"),TK!$E$7=TH!F4464),"x","")</f>
        <v/>
      </c>
      <c r="Z4464" s="52" t="str">
        <f>IF(AND(B4464&lt;=NKC!$N$8,B4464&gt;=NKC!$M$8),"x","")</f>
        <v/>
      </c>
      <c r="AA4464" s="826"/>
    </row>
    <row r="4465" spans="1:27" ht="15.75" customHeight="1">
      <c r="A4465" s="827" t="str">
        <f>IF(B4465&lt;&gt;"",IF(AND(B4465&gt;=_TM1,B4465&lt;=_TM2,OR(TH!L4465="1111",TH!M4465="1111")),TH!D4465,""),"")</f>
        <v/>
      </c>
      <c r="B4465" s="36" t="str">
        <f t="shared" si="524"/>
        <v/>
      </c>
      <c r="C4465" s="190"/>
      <c r="D4465" s="37"/>
      <c r="E4465" s="190"/>
      <c r="F4465" s="191"/>
      <c r="G4465" s="833"/>
      <c r="H4465" s="192"/>
      <c r="I4465" s="253"/>
      <c r="J4465" s="253"/>
      <c r="K4465" s="584"/>
      <c r="L4465" s="39"/>
      <c r="M4465" s="39"/>
      <c r="N4465" s="52" t="str">
        <f>IF(AND('331-CT'!$E$7=TH!H4465,OR(L4465="331",M4465="331")),"331",IF(AND(OR(L4465="131",M4465="131"),H4465='131-CT'!$E$7),"131",""))</f>
        <v/>
      </c>
      <c r="O4465" s="52" t="str">
        <f>IF(AND($B4465&gt;='111'!$N$11,$B4465&lt;='111'!$O$11,OR($L4465=$O$7,$M4465=$O$7)),"x","")</f>
        <v/>
      </c>
      <c r="P4465" s="52" t="str">
        <f>IF(AND($L4465=$O$7,$B4465&lt;'111'!$N$11),"x","")</f>
        <v/>
      </c>
      <c r="Q4465" s="52" t="str">
        <f>IF(AND($M4465=$O$7,$B4465&lt;'111'!$N$11),"x","")</f>
        <v/>
      </c>
      <c r="R4465" s="52" t="str">
        <f>IF(ISERROR(FIND('112'!$M$9,G4465,1)),"",IF((AND(FIND('112'!$M$9,G4465,1)&gt;=1,$B4465&gt;='112'!$N$8,$B4465&lt;='112'!$O$8,OR($L4465='112'!$I$6,$M4465='112'!$I$6))),"x",""))</f>
        <v/>
      </c>
      <c r="S4465" s="52" t="str">
        <f>IF(ISERROR(FIND('112'!$M$9,G4465,1)),"",IF((AND(LEFT(G4465,2)=LEFT('112'!$M$9,2),B4465&lt;'112'!$N$8,$L4465='112'!$I$6)),"x",""))</f>
        <v/>
      </c>
      <c r="T4465" s="52" t="str">
        <f>IF(ISERROR(FIND('112'!$M$9,G4465,1)),"",IF((AND(RIGHT(G4465,2)=RIGHT('112'!$M$9,2),B4465&lt;'112'!$N$8,$M4465='112'!$I$6)),"x",""))</f>
        <v/>
      </c>
      <c r="U4465" s="52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V4465" s="52" t="str">
        <f>IF(OR(TH!L4465=TH!$V$7,M4465=TH!$V$7),"x","")</f>
        <v/>
      </c>
      <c r="W4465" s="52" t="str">
        <f>IF(AND(B4465&gt;='IN-NX'!$P$3,B4465&lt;='IN-NX'!$Q$3,'IN-NX'!$D$7=D4465,OR(LEFT(L4465,2)="15",AND(LEFT(M4465,2)&lt;&gt;"15",LEFT(M4465,2)&lt;&gt;"33"))),"x","")</f>
        <v/>
      </c>
      <c r="X4465" s="52" t="str">
        <f>IF(AND(OR(LEFT(TH!L4465,2)="15",LEFT(TH!M4465,2)="15"),'152-CT'!$J$8=TH!F4465),"x","")</f>
        <v/>
      </c>
      <c r="Y4465" s="52" t="str">
        <f>IF(AND(OR(LEFT(TH!L4465,2)="15",LEFT(TH!M4465,2)="15"),TK!$E$7=TH!F4465),"x","")</f>
        <v/>
      </c>
      <c r="Z4465" s="52" t="str">
        <f>IF(AND(B4465&lt;=NKC!$N$8,B4465&gt;=NKC!$M$8),"x","")</f>
        <v/>
      </c>
      <c r="AA4465" s="826"/>
    </row>
    <row r="4466" spans="1:27" ht="15.75" customHeight="1">
      <c r="A4466" s="827" t="str">
        <f>IF(B4466&lt;&gt;"",IF(AND(B4466&gt;=_TM1,B4466&lt;=_TM2,OR(TH!L4466="1111",TH!M4466="1111")),TH!D4466,""),"")</f>
        <v/>
      </c>
      <c r="B4466" s="36" t="str">
        <f t="shared" si="524"/>
        <v/>
      </c>
      <c r="C4466" s="190"/>
      <c r="D4466" s="37"/>
      <c r="E4466" s="190"/>
      <c r="F4466" s="191"/>
      <c r="G4466" s="833"/>
      <c r="H4466" s="192"/>
      <c r="I4466" s="253"/>
      <c r="J4466" s="253"/>
      <c r="K4466" s="584"/>
      <c r="L4466" s="39"/>
      <c r="M4466" s="39"/>
      <c r="N4466" s="52" t="str">
        <f>IF(AND('331-CT'!$E$7=TH!H4466,OR(L4466="331",M4466="331")),"331",IF(AND(OR(L4466="131",M4466="131"),H4466='131-CT'!$E$7),"131",""))</f>
        <v/>
      </c>
      <c r="O4466" s="52" t="str">
        <f>IF(AND($B4466&gt;='111'!$N$11,$B4466&lt;='111'!$O$11,OR($L4466=$O$7,$M4466=$O$7)),"x","")</f>
        <v/>
      </c>
      <c r="P4466" s="52" t="str">
        <f>IF(AND($L4466=$O$7,$B4466&lt;'111'!$N$11),"x","")</f>
        <v/>
      </c>
      <c r="Q4466" s="52" t="str">
        <f>IF(AND($M4466=$O$7,$B4466&lt;'111'!$N$11),"x","")</f>
        <v/>
      </c>
      <c r="R4466" s="52" t="str">
        <f>IF(ISERROR(FIND('112'!$M$9,G4466,1)),"",IF((AND(FIND('112'!$M$9,G4466,1)&gt;=1,$B4466&gt;='112'!$N$8,$B4466&lt;='112'!$O$8,OR($L4466='112'!$I$6,$M4466='112'!$I$6))),"x",""))</f>
        <v/>
      </c>
      <c r="S4466" s="52" t="str">
        <f>IF(ISERROR(FIND('112'!$M$9,G4466,1)),"",IF((AND(LEFT(G4466,2)=LEFT('112'!$M$9,2),B4466&lt;'112'!$N$8,$L4466='112'!$I$6)),"x",""))</f>
        <v/>
      </c>
      <c r="T4466" s="52" t="str">
        <f>IF(ISERROR(FIND('112'!$M$9,G4466,1)),"",IF((AND(RIGHT(G4466,2)=RIGHT('112'!$M$9,2),B4466&lt;'112'!$N$8,$M4466='112'!$I$6)),"x",""))</f>
        <v/>
      </c>
      <c r="U4466" s="52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V4466" s="52" t="str">
        <f>IF(OR(TH!L4466=TH!$V$7,M4466=TH!$V$7),"x","")</f>
        <v/>
      </c>
      <c r="W4466" s="52" t="str">
        <f>IF(AND(B4466&gt;='IN-NX'!$P$3,B4466&lt;='IN-NX'!$Q$3,'IN-NX'!$D$7=D4466,OR(LEFT(L4466,2)="15",AND(LEFT(M4466,2)&lt;&gt;"15",LEFT(M4466,2)&lt;&gt;"33"))),"x","")</f>
        <v/>
      </c>
      <c r="X4466" s="52" t="str">
        <f>IF(AND(OR(LEFT(TH!L4466,2)="15",LEFT(TH!M4466,2)="15"),'152-CT'!$J$8=TH!F4466),"x","")</f>
        <v/>
      </c>
      <c r="Y4466" s="52" t="str">
        <f>IF(AND(OR(LEFT(TH!L4466,2)="15",LEFT(TH!M4466,2)="15"),TK!$E$7=TH!F4466),"x","")</f>
        <v/>
      </c>
      <c r="Z4466" s="52" t="str">
        <f>IF(AND(B4466&lt;=NKC!$N$8,B4466&gt;=NKC!$M$8),"x","")</f>
        <v/>
      </c>
      <c r="AA4466" s="826"/>
    </row>
    <row r="4467" spans="1:27" ht="15.75" customHeight="1">
      <c r="A4467" s="827" t="str">
        <f>IF(B4467&lt;&gt;"",IF(AND(B4467&gt;=_TM1,B4467&lt;=_TM2,OR(TH!L4467="1111",TH!M4467="1111")),TH!D4467,""),"")</f>
        <v/>
      </c>
      <c r="B4467" s="36" t="str">
        <f t="shared" si="524"/>
        <v/>
      </c>
      <c r="C4467" s="190"/>
      <c r="D4467" s="37"/>
      <c r="E4467" s="190"/>
      <c r="F4467" s="191"/>
      <c r="G4467" s="833"/>
      <c r="H4467" s="192"/>
      <c r="I4467" s="253"/>
      <c r="J4467" s="253"/>
      <c r="K4467" s="584"/>
      <c r="L4467" s="39"/>
      <c r="M4467" s="39"/>
      <c r="N4467" s="52" t="str">
        <f>IF(AND('331-CT'!$E$7=TH!H4467,OR(L4467="331",M4467="331")),"331",IF(AND(OR(L4467="131",M4467="131"),H4467='131-CT'!$E$7),"131",""))</f>
        <v/>
      </c>
      <c r="O4467" s="52" t="str">
        <f>IF(AND($B4467&gt;='111'!$N$11,$B4467&lt;='111'!$O$11,OR($L4467=$O$7,$M4467=$O$7)),"x","")</f>
        <v/>
      </c>
      <c r="P4467" s="52" t="str">
        <f>IF(AND($L4467=$O$7,$B4467&lt;'111'!$N$11),"x","")</f>
        <v/>
      </c>
      <c r="Q4467" s="52" t="str">
        <f>IF(AND($M4467=$O$7,$B4467&lt;'111'!$N$11),"x","")</f>
        <v/>
      </c>
      <c r="R4467" s="52" t="str">
        <f>IF(ISERROR(FIND('112'!$M$9,G4467,1)),"",IF((AND(FIND('112'!$M$9,G4467,1)&gt;=1,$B4467&gt;='112'!$N$8,$B4467&lt;='112'!$O$8,OR($L4467='112'!$I$6,$M4467='112'!$I$6))),"x",""))</f>
        <v/>
      </c>
      <c r="S4467" s="52" t="str">
        <f>IF(ISERROR(FIND('112'!$M$9,G4467,1)),"",IF((AND(LEFT(G4467,2)=LEFT('112'!$M$9,2),B4467&lt;'112'!$N$8,$L4467='112'!$I$6)),"x",""))</f>
        <v/>
      </c>
      <c r="T4467" s="52" t="str">
        <f>IF(ISERROR(FIND('112'!$M$9,G4467,1)),"",IF((AND(RIGHT(G4467,2)=RIGHT('112'!$M$9,2),B4467&lt;'112'!$N$8,$M4467='112'!$I$6)),"x",""))</f>
        <v/>
      </c>
      <c r="U4467" s="52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V4467" s="52" t="str">
        <f>IF(OR(TH!L4467=TH!$V$7,M4467=TH!$V$7),"x","")</f>
        <v/>
      </c>
      <c r="W4467" s="52" t="str">
        <f>IF(AND(B4467&gt;='IN-NX'!$P$3,B4467&lt;='IN-NX'!$Q$3,'IN-NX'!$D$7=D4467,OR(LEFT(L4467,2)="15",AND(LEFT(M4467,2)&lt;&gt;"15",LEFT(M4467,2)&lt;&gt;"33"))),"x","")</f>
        <v/>
      </c>
      <c r="X4467" s="52" t="str">
        <f>IF(AND(OR(LEFT(TH!L4467,2)="15",LEFT(TH!M4467,2)="15"),'152-CT'!$J$8=TH!F4467),"x","")</f>
        <v/>
      </c>
      <c r="Y4467" s="52" t="str">
        <f>IF(AND(OR(LEFT(TH!L4467,2)="15",LEFT(TH!M4467,2)="15"),TK!$E$7=TH!F4467),"x","")</f>
        <v/>
      </c>
      <c r="Z4467" s="52" t="str">
        <f>IF(AND(B4467&lt;=NKC!$N$8,B4467&gt;=NKC!$M$8),"x","")</f>
        <v/>
      </c>
      <c r="AA4467" s="826"/>
    </row>
    <row r="4468" spans="1:27" ht="15.75" customHeight="1">
      <c r="A4468" s="827" t="str">
        <f>IF(B4468&lt;&gt;"",IF(AND(B4468&gt;=_TM1,B4468&lt;=_TM2,OR(TH!L4468="1111",TH!M4468="1111")),TH!D4468,""),"")</f>
        <v/>
      </c>
      <c r="B4468" s="36" t="str">
        <f t="shared" si="524"/>
        <v/>
      </c>
      <c r="C4468" s="190"/>
      <c r="D4468" s="37"/>
      <c r="E4468" s="190"/>
      <c r="F4468" s="191"/>
      <c r="G4468" s="833"/>
      <c r="H4468" s="192"/>
      <c r="I4468" s="253"/>
      <c r="J4468" s="253"/>
      <c r="K4468" s="584"/>
      <c r="L4468" s="39"/>
      <c r="M4468" s="39"/>
      <c r="N4468" s="52" t="str">
        <f>IF(AND('331-CT'!$E$7=TH!H4468,OR(L4468="331",M4468="331")),"331",IF(AND(OR(L4468="131",M4468="131"),H4468='131-CT'!$E$7),"131",""))</f>
        <v/>
      </c>
      <c r="O4468" s="52" t="str">
        <f>IF(AND($B4468&gt;='111'!$N$11,$B4468&lt;='111'!$O$11,OR($L4468=$O$7,$M4468=$O$7)),"x","")</f>
        <v/>
      </c>
      <c r="P4468" s="52" t="str">
        <f>IF(AND($L4468=$O$7,$B4468&lt;'111'!$N$11),"x","")</f>
        <v/>
      </c>
      <c r="Q4468" s="52" t="str">
        <f>IF(AND($M4468=$O$7,$B4468&lt;'111'!$N$11),"x","")</f>
        <v/>
      </c>
      <c r="R4468" s="52" t="str">
        <f>IF(ISERROR(FIND('112'!$M$9,G4468,1)),"",IF((AND(FIND('112'!$M$9,G4468,1)&gt;=1,$B4468&gt;='112'!$N$8,$B4468&lt;='112'!$O$8,OR($L4468='112'!$I$6,$M4468='112'!$I$6))),"x",""))</f>
        <v/>
      </c>
      <c r="S4468" s="52" t="str">
        <f>IF(ISERROR(FIND('112'!$M$9,G4468,1)),"",IF((AND(LEFT(G4468,2)=LEFT('112'!$M$9,2),B4468&lt;'112'!$N$8,$L4468='112'!$I$6)),"x",""))</f>
        <v/>
      </c>
      <c r="T4468" s="52" t="str">
        <f>IF(ISERROR(FIND('112'!$M$9,G4468,1)),"",IF((AND(RIGHT(G4468,2)=RIGHT('112'!$M$9,2),B4468&lt;'112'!$N$8,$M4468='112'!$I$6)),"x",""))</f>
        <v/>
      </c>
      <c r="U4468" s="52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V4468" s="52" t="str">
        <f>IF(OR(TH!L4468=TH!$V$7,M4468=TH!$V$7),"x","")</f>
        <v/>
      </c>
      <c r="W4468" s="52" t="str">
        <f>IF(AND(B4468&gt;='IN-NX'!$P$3,B4468&lt;='IN-NX'!$Q$3,'IN-NX'!$D$7=D4468,OR(LEFT(L4468,2)="15",AND(LEFT(M4468,2)&lt;&gt;"15",LEFT(M4468,2)&lt;&gt;"33"))),"x","")</f>
        <v/>
      </c>
      <c r="X4468" s="52" t="str">
        <f>IF(AND(OR(LEFT(TH!L4468,2)="15",LEFT(TH!M4468,2)="15"),'152-CT'!$J$8=TH!F4468),"x","")</f>
        <v/>
      </c>
      <c r="Y4468" s="52" t="str">
        <f>IF(AND(OR(LEFT(TH!L4468,2)="15",LEFT(TH!M4468,2)="15"),TK!$E$7=TH!F4468),"x","")</f>
        <v/>
      </c>
      <c r="Z4468" s="52" t="str">
        <f>IF(AND(B4468&lt;=NKC!$N$8,B4468&gt;=NKC!$M$8),"x","")</f>
        <v/>
      </c>
      <c r="AA4468" s="826"/>
    </row>
    <row r="4469" spans="1:27" ht="15.75" customHeight="1">
      <c r="A4469" s="827" t="str">
        <f>IF(B4469&lt;&gt;"",IF(AND(B4469&gt;=_TM1,B4469&lt;=_TM2,OR(TH!L4469="1111",TH!M4469="1111")),TH!D4469,""),"")</f>
        <v/>
      </c>
      <c r="B4469" s="36" t="str">
        <f t="shared" si="524"/>
        <v/>
      </c>
      <c r="C4469" s="190"/>
      <c r="D4469" s="37"/>
      <c r="E4469" s="190"/>
      <c r="F4469" s="191"/>
      <c r="G4469" s="833"/>
      <c r="H4469" s="192"/>
      <c r="I4469" s="253"/>
      <c r="J4469" s="253"/>
      <c r="K4469" s="584"/>
      <c r="L4469" s="39"/>
      <c r="M4469" s="39"/>
      <c r="N4469" s="52" t="str">
        <f>IF(AND('331-CT'!$E$7=TH!H4469,OR(L4469="331",M4469="331")),"331",IF(AND(OR(L4469="131",M4469="131"),H4469='131-CT'!$E$7),"131",""))</f>
        <v/>
      </c>
      <c r="O4469" s="52" t="str">
        <f>IF(AND($B4469&gt;='111'!$N$11,$B4469&lt;='111'!$O$11,OR($L4469=$O$7,$M4469=$O$7)),"x","")</f>
        <v/>
      </c>
      <c r="P4469" s="52" t="str">
        <f>IF(AND($L4469=$O$7,$B4469&lt;'111'!$N$11),"x","")</f>
        <v/>
      </c>
      <c r="Q4469" s="52" t="str">
        <f>IF(AND($M4469=$O$7,$B4469&lt;'111'!$N$11),"x","")</f>
        <v/>
      </c>
      <c r="R4469" s="52" t="str">
        <f>IF(ISERROR(FIND('112'!$M$9,G4469,1)),"",IF((AND(FIND('112'!$M$9,G4469,1)&gt;=1,$B4469&gt;='112'!$N$8,$B4469&lt;='112'!$O$8,OR($L4469='112'!$I$6,$M4469='112'!$I$6))),"x",""))</f>
        <v/>
      </c>
      <c r="S4469" s="52" t="str">
        <f>IF(ISERROR(FIND('112'!$M$9,G4469,1)),"",IF((AND(LEFT(G4469,2)=LEFT('112'!$M$9,2),B4469&lt;'112'!$N$8,$L4469='112'!$I$6)),"x",""))</f>
        <v/>
      </c>
      <c r="T4469" s="52" t="str">
        <f>IF(ISERROR(FIND('112'!$M$9,G4469,1)),"",IF((AND(RIGHT(G4469,2)=RIGHT('112'!$M$9,2),B4469&lt;'112'!$N$8,$M4469='112'!$I$6)),"x",""))</f>
        <v/>
      </c>
      <c r="U4469" s="52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V4469" s="52" t="str">
        <f>IF(OR(TH!L4469=TH!$V$7,M4469=TH!$V$7),"x","")</f>
        <v/>
      </c>
      <c r="W4469" s="52" t="str">
        <f>IF(AND(B4469&gt;='IN-NX'!$P$3,B4469&lt;='IN-NX'!$Q$3,'IN-NX'!$D$7=D4469,OR(LEFT(L4469,2)="15",AND(LEFT(M4469,2)&lt;&gt;"15",LEFT(M4469,2)&lt;&gt;"33"))),"x","")</f>
        <v/>
      </c>
      <c r="X4469" s="52" t="str">
        <f>IF(AND(OR(LEFT(TH!L4469,2)="15",LEFT(TH!M4469,2)="15"),'152-CT'!$J$8=TH!F4469),"x","")</f>
        <v/>
      </c>
      <c r="Y4469" s="52" t="str">
        <f>IF(AND(OR(LEFT(TH!L4469,2)="15",LEFT(TH!M4469,2)="15"),TK!$E$7=TH!F4469),"x","")</f>
        <v/>
      </c>
      <c r="Z4469" s="52" t="str">
        <f>IF(AND(B4469&lt;=NKC!$N$8,B4469&gt;=NKC!$M$8),"x","")</f>
        <v/>
      </c>
      <c r="AA4469" s="826"/>
    </row>
    <row r="4470" spans="1:27" ht="15.75" customHeight="1">
      <c r="A4470" s="827" t="str">
        <f>IF(B4470&lt;&gt;"",IF(AND(B4470&gt;=_TM1,B4470&lt;=_TM2,OR(TH!L4470="1111",TH!M4470="1111")),TH!D4470,""),"")</f>
        <v/>
      </c>
      <c r="B4470" s="36" t="str">
        <f t="shared" si="524"/>
        <v/>
      </c>
      <c r="C4470" s="190"/>
      <c r="D4470" s="37"/>
      <c r="E4470" s="190"/>
      <c r="F4470" s="191"/>
      <c r="G4470" s="833"/>
      <c r="H4470" s="192"/>
      <c r="I4470" s="253"/>
      <c r="J4470" s="253"/>
      <c r="K4470" s="584"/>
      <c r="L4470" s="39"/>
      <c r="M4470" s="39"/>
      <c r="N4470" s="52" t="str">
        <f>IF(AND('331-CT'!$E$7=TH!H4470,OR(L4470="331",M4470="331")),"331",IF(AND(OR(L4470="131",M4470="131"),H4470='131-CT'!$E$7),"131",""))</f>
        <v/>
      </c>
      <c r="O4470" s="52" t="str">
        <f>IF(AND($B4470&gt;='111'!$N$11,$B4470&lt;='111'!$O$11,OR($L4470=$O$7,$M4470=$O$7)),"x","")</f>
        <v/>
      </c>
      <c r="P4470" s="52" t="str">
        <f>IF(AND($L4470=$O$7,$B4470&lt;'111'!$N$11),"x","")</f>
        <v/>
      </c>
      <c r="Q4470" s="52" t="str">
        <f>IF(AND($M4470=$O$7,$B4470&lt;'111'!$N$11),"x","")</f>
        <v/>
      </c>
      <c r="R4470" s="52" t="str">
        <f>IF(ISERROR(FIND('112'!$M$9,G4470,1)),"",IF((AND(FIND('112'!$M$9,G4470,1)&gt;=1,$B4470&gt;='112'!$N$8,$B4470&lt;='112'!$O$8,OR($L4470='112'!$I$6,$M4470='112'!$I$6))),"x",""))</f>
        <v/>
      </c>
      <c r="S4470" s="52" t="str">
        <f>IF(ISERROR(FIND('112'!$M$9,G4470,1)),"",IF((AND(LEFT(G4470,2)=LEFT('112'!$M$9,2),B4470&lt;'112'!$N$8,$L4470='112'!$I$6)),"x",""))</f>
        <v/>
      </c>
      <c r="T4470" s="52" t="str">
        <f>IF(ISERROR(FIND('112'!$M$9,G4470,1)),"",IF((AND(RIGHT(G4470,2)=RIGHT('112'!$M$9,2),B4470&lt;'112'!$N$8,$M4470='112'!$I$6)),"x",""))</f>
        <v/>
      </c>
      <c r="U4470" s="52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V4470" s="52" t="str">
        <f>IF(OR(TH!L4470=TH!$V$7,M4470=TH!$V$7),"x","")</f>
        <v/>
      </c>
      <c r="W4470" s="52" t="str">
        <f>IF(AND(B4470&gt;='IN-NX'!$P$3,B4470&lt;='IN-NX'!$Q$3,'IN-NX'!$D$7=D4470,OR(LEFT(L4470,2)="15",AND(LEFT(M4470,2)&lt;&gt;"15",LEFT(M4470,2)&lt;&gt;"33"))),"x","")</f>
        <v/>
      </c>
      <c r="X4470" s="52" t="str">
        <f>IF(AND(OR(LEFT(TH!L4470,2)="15",LEFT(TH!M4470,2)="15"),'152-CT'!$J$8=TH!F4470),"x","")</f>
        <v/>
      </c>
      <c r="Y4470" s="52" t="str">
        <f>IF(AND(OR(LEFT(TH!L4470,2)="15",LEFT(TH!M4470,2)="15"),TK!$E$7=TH!F4470),"x","")</f>
        <v/>
      </c>
      <c r="Z4470" s="52" t="str">
        <f>IF(AND(B4470&lt;=NKC!$N$8,B4470&gt;=NKC!$M$8),"x","")</f>
        <v/>
      </c>
      <c r="AA4470" s="826"/>
    </row>
    <row r="4471" spans="1:27" ht="15.75" customHeight="1">
      <c r="A4471" s="827" t="str">
        <f>IF(B4471&lt;&gt;"",IF(AND(B4471&gt;=_TM1,B4471&lt;=_TM2,OR(TH!L4471="1111",TH!M4471="1111")),TH!D4471,""),"")</f>
        <v/>
      </c>
      <c r="B4471" s="36" t="str">
        <f t="shared" si="524"/>
        <v/>
      </c>
      <c r="C4471" s="190"/>
      <c r="D4471" s="37"/>
      <c r="E4471" s="190"/>
      <c r="F4471" s="191"/>
      <c r="G4471" s="833"/>
      <c r="H4471" s="192"/>
      <c r="I4471" s="253"/>
      <c r="J4471" s="253"/>
      <c r="K4471" s="584"/>
      <c r="L4471" s="39"/>
      <c r="M4471" s="39"/>
      <c r="N4471" s="52" t="str">
        <f>IF(AND('331-CT'!$E$7=TH!H4471,OR(L4471="331",M4471="331")),"331",IF(AND(OR(L4471="131",M4471="131"),H4471='131-CT'!$E$7),"131",""))</f>
        <v/>
      </c>
      <c r="O4471" s="52" t="str">
        <f>IF(AND($B4471&gt;='111'!$N$11,$B4471&lt;='111'!$O$11,OR($L4471=$O$7,$M4471=$O$7)),"x","")</f>
        <v/>
      </c>
      <c r="P4471" s="52" t="str">
        <f>IF(AND($L4471=$O$7,$B4471&lt;'111'!$N$11),"x","")</f>
        <v/>
      </c>
      <c r="Q4471" s="52" t="str">
        <f>IF(AND($M4471=$O$7,$B4471&lt;'111'!$N$11),"x","")</f>
        <v/>
      </c>
      <c r="R4471" s="52" t="str">
        <f>IF(ISERROR(FIND('112'!$M$9,G4471,1)),"",IF((AND(FIND('112'!$M$9,G4471,1)&gt;=1,$B4471&gt;='112'!$N$8,$B4471&lt;='112'!$O$8,OR($L4471='112'!$I$6,$M4471='112'!$I$6))),"x",""))</f>
        <v/>
      </c>
      <c r="S4471" s="52" t="str">
        <f>IF(ISERROR(FIND('112'!$M$9,G4471,1)),"",IF((AND(LEFT(G4471,2)=LEFT('112'!$M$9,2),B4471&lt;'112'!$N$8,$L4471='112'!$I$6)),"x",""))</f>
        <v/>
      </c>
      <c r="T4471" s="52" t="str">
        <f>IF(ISERROR(FIND('112'!$M$9,G4471,1)),"",IF((AND(RIGHT(G4471,2)=RIGHT('112'!$M$9,2),B4471&lt;'112'!$N$8,$M4471='112'!$I$6)),"x",""))</f>
        <v/>
      </c>
      <c r="U4471" s="52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V4471" s="52" t="str">
        <f>IF(OR(TH!L4471=TH!$V$7,M4471=TH!$V$7),"x","")</f>
        <v/>
      </c>
      <c r="W4471" s="52" t="str">
        <f>IF(AND(B4471&gt;='IN-NX'!$P$3,B4471&lt;='IN-NX'!$Q$3,'IN-NX'!$D$7=D4471,OR(LEFT(L4471,2)="15",AND(LEFT(M4471,2)&lt;&gt;"15",LEFT(M4471,2)&lt;&gt;"33"))),"x","")</f>
        <v/>
      </c>
      <c r="X4471" s="52" t="str">
        <f>IF(AND(OR(LEFT(TH!L4471,2)="15",LEFT(TH!M4471,2)="15"),'152-CT'!$J$8=TH!F4471),"x","")</f>
        <v/>
      </c>
      <c r="Y4471" s="52" t="str">
        <f>IF(AND(OR(LEFT(TH!L4471,2)="15",LEFT(TH!M4471,2)="15"),TK!$E$7=TH!F4471),"x","")</f>
        <v/>
      </c>
      <c r="Z4471" s="52" t="str">
        <f>IF(AND(B4471&lt;=NKC!$N$8,B4471&gt;=NKC!$M$8),"x","")</f>
        <v/>
      </c>
      <c r="AA4471" s="826"/>
    </row>
    <row r="4472" spans="1:27" ht="15.75" customHeight="1">
      <c r="A4472" s="827" t="str">
        <f>IF(B4472&lt;&gt;"",IF(AND(B4472&gt;=_TM1,B4472&lt;=_TM2,OR(TH!L4472="1111",TH!M4472="1111")),TH!D4472,""),"")</f>
        <v/>
      </c>
      <c r="B4472" s="36" t="str">
        <f t="shared" si="524"/>
        <v/>
      </c>
      <c r="C4472" s="190"/>
      <c r="D4472" s="37"/>
      <c r="E4472" s="190"/>
      <c r="F4472" s="191"/>
      <c r="G4472" s="833"/>
      <c r="H4472" s="192"/>
      <c r="I4472" s="253"/>
      <c r="J4472" s="253"/>
      <c r="K4472" s="584"/>
      <c r="L4472" s="39"/>
      <c r="M4472" s="39"/>
      <c r="N4472" s="52" t="str">
        <f>IF(AND('331-CT'!$E$7=TH!H4472,OR(L4472="331",M4472="331")),"331",IF(AND(OR(L4472="131",M4472="131"),H4472='131-CT'!$E$7),"131",""))</f>
        <v/>
      </c>
      <c r="O4472" s="52" t="str">
        <f>IF(AND($B4472&gt;='111'!$N$11,$B4472&lt;='111'!$O$11,OR($L4472=$O$7,$M4472=$O$7)),"x","")</f>
        <v/>
      </c>
      <c r="P4472" s="52" t="str">
        <f>IF(AND($L4472=$O$7,$B4472&lt;'111'!$N$11),"x","")</f>
        <v/>
      </c>
      <c r="Q4472" s="52" t="str">
        <f>IF(AND($M4472=$O$7,$B4472&lt;'111'!$N$11),"x","")</f>
        <v/>
      </c>
      <c r="R4472" s="52" t="str">
        <f>IF(ISERROR(FIND('112'!$M$9,G4472,1)),"",IF((AND(FIND('112'!$M$9,G4472,1)&gt;=1,$B4472&gt;='112'!$N$8,$B4472&lt;='112'!$O$8,OR($L4472='112'!$I$6,$M4472='112'!$I$6))),"x",""))</f>
        <v/>
      </c>
      <c r="S4472" s="52" t="str">
        <f>IF(ISERROR(FIND('112'!$M$9,G4472,1)),"",IF((AND(LEFT(G4472,2)=LEFT('112'!$M$9,2),B4472&lt;'112'!$N$8,$L4472='112'!$I$6)),"x",""))</f>
        <v/>
      </c>
      <c r="T4472" s="52" t="str">
        <f>IF(ISERROR(FIND('112'!$M$9,G4472,1)),"",IF((AND(RIGHT(G4472,2)=RIGHT('112'!$M$9,2),B4472&lt;'112'!$N$8,$M4472='112'!$I$6)),"x",""))</f>
        <v/>
      </c>
      <c r="U4472" s="52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V4472" s="52" t="str">
        <f>IF(OR(TH!L4472=TH!$V$7,M4472=TH!$V$7),"x","")</f>
        <v/>
      </c>
      <c r="W4472" s="52" t="str">
        <f>IF(AND(B4472&gt;='IN-NX'!$P$3,B4472&lt;='IN-NX'!$Q$3,'IN-NX'!$D$7=D4472,OR(LEFT(L4472,2)="15",AND(LEFT(M4472,2)&lt;&gt;"15",LEFT(M4472,2)&lt;&gt;"33"))),"x","")</f>
        <v/>
      </c>
      <c r="X4472" s="52" t="str">
        <f>IF(AND(OR(LEFT(TH!L4472,2)="15",LEFT(TH!M4472,2)="15"),'152-CT'!$J$8=TH!F4472),"x","")</f>
        <v/>
      </c>
      <c r="Y4472" s="52" t="str">
        <f>IF(AND(OR(LEFT(TH!L4472,2)="15",LEFT(TH!M4472,2)="15"),TK!$E$7=TH!F4472),"x","")</f>
        <v/>
      </c>
      <c r="Z4472" s="52" t="str">
        <f>IF(AND(B4472&lt;=NKC!$N$8,B4472&gt;=NKC!$M$8),"x","")</f>
        <v/>
      </c>
      <c r="AA4472" s="826"/>
    </row>
    <row r="4473" spans="1:27" ht="15.75" customHeight="1">
      <c r="A4473" s="827" t="str">
        <f>IF(B4473&lt;&gt;"",IF(AND(B4473&gt;=_TM1,B4473&lt;=_TM2,OR(TH!L4473="1111",TH!M4473="1111")),TH!D4473,""),"")</f>
        <v/>
      </c>
      <c r="B4473" s="36" t="str">
        <f t="shared" si="524"/>
        <v/>
      </c>
      <c r="C4473" s="190"/>
      <c r="D4473" s="37"/>
      <c r="E4473" s="190"/>
      <c r="F4473" s="191"/>
      <c r="G4473" s="833"/>
      <c r="H4473" s="192"/>
      <c r="I4473" s="253"/>
      <c r="J4473" s="253"/>
      <c r="K4473" s="584"/>
      <c r="L4473" s="39"/>
      <c r="M4473" s="39"/>
      <c r="N4473" s="52" t="str">
        <f>IF(AND('331-CT'!$E$7=TH!H4473,OR(L4473="331",M4473="331")),"331",IF(AND(OR(L4473="131",M4473="131"),H4473='131-CT'!$E$7),"131",""))</f>
        <v/>
      </c>
      <c r="O4473" s="52" t="str">
        <f>IF(AND($B4473&gt;='111'!$N$11,$B4473&lt;='111'!$O$11,OR($L4473=$O$7,$M4473=$O$7)),"x","")</f>
        <v/>
      </c>
      <c r="P4473" s="52" t="str">
        <f>IF(AND($L4473=$O$7,$B4473&lt;'111'!$N$11),"x","")</f>
        <v/>
      </c>
      <c r="Q4473" s="52" t="str">
        <f>IF(AND($M4473=$O$7,$B4473&lt;'111'!$N$11),"x","")</f>
        <v/>
      </c>
      <c r="R4473" s="52" t="str">
        <f>IF(ISERROR(FIND('112'!$M$9,G4473,1)),"",IF((AND(FIND('112'!$M$9,G4473,1)&gt;=1,$B4473&gt;='112'!$N$8,$B4473&lt;='112'!$O$8,OR($L4473='112'!$I$6,$M4473='112'!$I$6))),"x",""))</f>
        <v/>
      </c>
      <c r="S4473" s="52" t="str">
        <f>IF(ISERROR(FIND('112'!$M$9,G4473,1)),"",IF((AND(LEFT(G4473,2)=LEFT('112'!$M$9,2),B4473&lt;'112'!$N$8,$L4473='112'!$I$6)),"x",""))</f>
        <v/>
      </c>
      <c r="T4473" s="52" t="str">
        <f>IF(ISERROR(FIND('112'!$M$9,G4473,1)),"",IF((AND(RIGHT(G4473,2)=RIGHT('112'!$M$9,2),B4473&lt;'112'!$N$8,$M4473='112'!$I$6)),"x",""))</f>
        <v/>
      </c>
      <c r="U4473" s="52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V4473" s="52" t="str">
        <f>IF(OR(TH!L4473=TH!$V$7,M4473=TH!$V$7),"x","")</f>
        <v/>
      </c>
      <c r="W4473" s="52" t="str">
        <f>IF(AND(B4473&gt;='IN-NX'!$P$3,B4473&lt;='IN-NX'!$Q$3,'IN-NX'!$D$7=D4473,OR(LEFT(L4473,2)="15",AND(LEFT(M4473,2)&lt;&gt;"15",LEFT(M4473,2)&lt;&gt;"33"))),"x","")</f>
        <v/>
      </c>
      <c r="X4473" s="52" t="str">
        <f>IF(AND(OR(LEFT(TH!L4473,2)="15",LEFT(TH!M4473,2)="15"),'152-CT'!$J$8=TH!F4473),"x","")</f>
        <v/>
      </c>
      <c r="Y4473" s="52" t="str">
        <f>IF(AND(OR(LEFT(TH!L4473,2)="15",LEFT(TH!M4473,2)="15"),TK!$E$7=TH!F4473),"x","")</f>
        <v/>
      </c>
      <c r="Z4473" s="52" t="str">
        <f>IF(AND(B4473&lt;=NKC!$N$8,B4473&gt;=NKC!$M$8),"x","")</f>
        <v/>
      </c>
      <c r="AA4473" s="826"/>
    </row>
    <row r="4474" spans="1:27" ht="15.75" customHeight="1">
      <c r="A4474" s="827" t="str">
        <f>IF(B4474&lt;&gt;"",IF(AND(B4474&gt;=_TM1,B4474&lt;=_TM2,OR(TH!L4474="1111",TH!M4474="1111")),TH!D4474,""),"")</f>
        <v/>
      </c>
      <c r="B4474" s="36" t="str">
        <f t="shared" si="524"/>
        <v/>
      </c>
      <c r="C4474" s="190"/>
      <c r="D4474" s="37"/>
      <c r="E4474" s="190"/>
      <c r="F4474" s="191"/>
      <c r="G4474" s="833"/>
      <c r="H4474" s="192"/>
      <c r="I4474" s="253"/>
      <c r="J4474" s="253"/>
      <c r="K4474" s="584"/>
      <c r="L4474" s="39"/>
      <c r="M4474" s="39"/>
      <c r="N4474" s="52" t="str">
        <f>IF(AND('331-CT'!$E$7=TH!H4474,OR(L4474="331",M4474="331")),"331",IF(AND(OR(L4474="131",M4474="131"),H4474='131-CT'!$E$7),"131",""))</f>
        <v/>
      </c>
      <c r="O4474" s="52" t="str">
        <f>IF(AND($B4474&gt;='111'!$N$11,$B4474&lt;='111'!$O$11,OR($L4474=$O$7,$M4474=$O$7)),"x","")</f>
        <v/>
      </c>
      <c r="P4474" s="52" t="str">
        <f>IF(AND($L4474=$O$7,$B4474&lt;'111'!$N$11),"x","")</f>
        <v/>
      </c>
      <c r="Q4474" s="52" t="str">
        <f>IF(AND($M4474=$O$7,$B4474&lt;'111'!$N$11),"x","")</f>
        <v/>
      </c>
      <c r="R4474" s="52" t="str">
        <f>IF(ISERROR(FIND('112'!$M$9,G4474,1)),"",IF((AND(FIND('112'!$M$9,G4474,1)&gt;=1,$B4474&gt;='112'!$N$8,$B4474&lt;='112'!$O$8,OR($L4474='112'!$I$6,$M4474='112'!$I$6))),"x",""))</f>
        <v/>
      </c>
      <c r="S4474" s="52" t="str">
        <f>IF(ISERROR(FIND('112'!$M$9,G4474,1)),"",IF((AND(LEFT(G4474,2)=LEFT('112'!$M$9,2),B4474&lt;'112'!$N$8,$L4474='112'!$I$6)),"x",""))</f>
        <v/>
      </c>
      <c r="T4474" s="52" t="str">
        <f>IF(ISERROR(FIND('112'!$M$9,G4474,1)),"",IF((AND(RIGHT(G4474,2)=RIGHT('112'!$M$9,2),B4474&lt;'112'!$N$8,$M4474='112'!$I$6)),"x",""))</f>
        <v/>
      </c>
      <c r="U4474" s="52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V4474" s="52" t="str">
        <f>IF(OR(TH!L4474=TH!$V$7,M4474=TH!$V$7),"x","")</f>
        <v/>
      </c>
      <c r="W4474" s="52" t="str">
        <f>IF(AND(B4474&gt;='IN-NX'!$P$3,B4474&lt;='IN-NX'!$Q$3,'IN-NX'!$D$7=D4474,OR(LEFT(L4474,2)="15",AND(LEFT(M4474,2)&lt;&gt;"15",LEFT(M4474,2)&lt;&gt;"33"))),"x","")</f>
        <v/>
      </c>
      <c r="X4474" s="52" t="str">
        <f>IF(AND(OR(LEFT(TH!L4474,2)="15",LEFT(TH!M4474,2)="15"),'152-CT'!$J$8=TH!F4474),"x","")</f>
        <v/>
      </c>
      <c r="Y4474" s="52" t="str">
        <f>IF(AND(OR(LEFT(TH!L4474,2)="15",LEFT(TH!M4474,2)="15"),TK!$E$7=TH!F4474),"x","")</f>
        <v/>
      </c>
      <c r="Z4474" s="52" t="str">
        <f>IF(AND(B4474&lt;=NKC!$N$8,B4474&gt;=NKC!$M$8),"x","")</f>
        <v/>
      </c>
      <c r="AA4474" s="826"/>
    </row>
    <row r="4475" spans="1:27" ht="15.75" customHeight="1">
      <c r="A4475" s="827" t="str">
        <f>IF(B4475&lt;&gt;"",IF(AND(B4475&gt;=_TM1,B4475&lt;=_TM2,OR(TH!L4475="1111",TH!M4475="1111")),TH!D4475,""),"")</f>
        <v/>
      </c>
      <c r="B4475" s="36" t="str">
        <f t="shared" si="524"/>
        <v/>
      </c>
      <c r="C4475" s="190"/>
      <c r="D4475" s="37"/>
      <c r="E4475" s="190"/>
      <c r="F4475" s="191"/>
      <c r="G4475" s="833"/>
      <c r="H4475" s="192"/>
      <c r="I4475" s="253"/>
      <c r="J4475" s="253"/>
      <c r="K4475" s="584"/>
      <c r="L4475" s="39"/>
      <c r="M4475" s="39"/>
      <c r="N4475" s="52" t="str">
        <f>IF(AND('331-CT'!$E$7=TH!H4475,OR(L4475="331",M4475="331")),"331",IF(AND(OR(L4475="131",M4475="131"),H4475='131-CT'!$E$7),"131",""))</f>
        <v/>
      </c>
      <c r="O4475" s="52" t="str">
        <f>IF(AND($B4475&gt;='111'!$N$11,$B4475&lt;='111'!$O$11,OR($L4475=$O$7,$M4475=$O$7)),"x","")</f>
        <v/>
      </c>
      <c r="P4475" s="52" t="str">
        <f>IF(AND($L4475=$O$7,$B4475&lt;'111'!$N$11),"x","")</f>
        <v/>
      </c>
      <c r="Q4475" s="52" t="str">
        <f>IF(AND($M4475=$O$7,$B4475&lt;'111'!$N$11),"x","")</f>
        <v/>
      </c>
      <c r="R4475" s="52" t="str">
        <f>IF(ISERROR(FIND('112'!$M$9,G4475,1)),"",IF((AND(FIND('112'!$M$9,G4475,1)&gt;=1,$B4475&gt;='112'!$N$8,$B4475&lt;='112'!$O$8,OR($L4475='112'!$I$6,$M4475='112'!$I$6))),"x",""))</f>
        <v/>
      </c>
      <c r="S4475" s="52" t="str">
        <f>IF(ISERROR(FIND('112'!$M$9,G4475,1)),"",IF((AND(LEFT(G4475,2)=LEFT('112'!$M$9,2),B4475&lt;'112'!$N$8,$L4475='112'!$I$6)),"x",""))</f>
        <v/>
      </c>
      <c r="T4475" s="52" t="str">
        <f>IF(ISERROR(FIND('112'!$M$9,G4475,1)),"",IF((AND(RIGHT(G4475,2)=RIGHT('112'!$M$9,2),B4475&lt;'112'!$N$8,$M4475='112'!$I$6)),"x",""))</f>
        <v/>
      </c>
      <c r="U4475" s="52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V4475" s="52" t="str">
        <f>IF(OR(TH!L4475=TH!$V$7,M4475=TH!$V$7),"x","")</f>
        <v/>
      </c>
      <c r="W4475" s="52" t="str">
        <f>IF(AND(B4475&gt;='IN-NX'!$P$3,B4475&lt;='IN-NX'!$Q$3,'IN-NX'!$D$7=D4475,OR(LEFT(L4475,2)="15",AND(LEFT(M4475,2)&lt;&gt;"15",LEFT(M4475,2)&lt;&gt;"33"))),"x","")</f>
        <v/>
      </c>
      <c r="X4475" s="52" t="str">
        <f>IF(AND(OR(LEFT(TH!L4475,2)="15",LEFT(TH!M4475,2)="15"),'152-CT'!$J$8=TH!F4475),"x","")</f>
        <v/>
      </c>
      <c r="Y4475" s="52" t="str">
        <f>IF(AND(OR(LEFT(TH!L4475,2)="15",LEFT(TH!M4475,2)="15"),TK!$E$7=TH!F4475),"x","")</f>
        <v/>
      </c>
      <c r="Z4475" s="52" t="str">
        <f>IF(AND(B4475&lt;=NKC!$N$8,B4475&gt;=NKC!$M$8),"x","")</f>
        <v/>
      </c>
      <c r="AA4475" s="826"/>
    </row>
    <row r="4476" spans="1:27" ht="15.75" customHeight="1">
      <c r="A4476" s="827" t="str">
        <f>IF(B4476&lt;&gt;"",IF(AND(B4476&gt;=_TM1,B4476&lt;=_TM2,OR(TH!L4476="1111",TH!M4476="1111")),TH!D4476,""),"")</f>
        <v/>
      </c>
      <c r="B4476" s="36" t="str">
        <f t="shared" si="524"/>
        <v/>
      </c>
      <c r="C4476" s="190"/>
      <c r="D4476" s="37"/>
      <c r="E4476" s="190"/>
      <c r="F4476" s="191"/>
      <c r="G4476" s="833"/>
      <c r="H4476" s="192"/>
      <c r="I4476" s="253"/>
      <c r="J4476" s="253"/>
      <c r="K4476" s="584"/>
      <c r="L4476" s="39"/>
      <c r="M4476" s="39"/>
      <c r="N4476" s="52" t="str">
        <f>IF(AND('331-CT'!$E$7=TH!H4476,OR(L4476="331",M4476="331")),"331",IF(AND(OR(L4476="131",M4476="131"),H4476='131-CT'!$E$7),"131",""))</f>
        <v/>
      </c>
      <c r="O4476" s="52" t="str">
        <f>IF(AND($B4476&gt;='111'!$N$11,$B4476&lt;='111'!$O$11,OR($L4476=$O$7,$M4476=$O$7)),"x","")</f>
        <v/>
      </c>
      <c r="P4476" s="52" t="str">
        <f>IF(AND($L4476=$O$7,$B4476&lt;'111'!$N$11),"x","")</f>
        <v/>
      </c>
      <c r="Q4476" s="52" t="str">
        <f>IF(AND($M4476=$O$7,$B4476&lt;'111'!$N$11),"x","")</f>
        <v/>
      </c>
      <c r="R4476" s="52" t="str">
        <f>IF(ISERROR(FIND('112'!$M$9,G4476,1)),"",IF((AND(FIND('112'!$M$9,G4476,1)&gt;=1,$B4476&gt;='112'!$N$8,$B4476&lt;='112'!$O$8,OR($L4476='112'!$I$6,$M4476='112'!$I$6))),"x",""))</f>
        <v/>
      </c>
      <c r="S4476" s="52" t="str">
        <f>IF(ISERROR(FIND('112'!$M$9,G4476,1)),"",IF((AND(LEFT(G4476,2)=LEFT('112'!$M$9,2),B4476&lt;'112'!$N$8,$L4476='112'!$I$6)),"x",""))</f>
        <v/>
      </c>
      <c r="T4476" s="52" t="str">
        <f>IF(ISERROR(FIND('112'!$M$9,G4476,1)),"",IF((AND(RIGHT(G4476,2)=RIGHT('112'!$M$9,2),B4476&lt;'112'!$N$8,$M4476='112'!$I$6)),"x",""))</f>
        <v/>
      </c>
      <c r="U4476" s="52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V4476" s="52" t="str">
        <f>IF(OR(TH!L4476=TH!$V$7,M4476=TH!$V$7),"x","")</f>
        <v/>
      </c>
      <c r="W4476" s="52" t="str">
        <f>IF(AND(B4476&gt;='IN-NX'!$P$3,B4476&lt;='IN-NX'!$Q$3,'IN-NX'!$D$7=D4476,OR(LEFT(L4476,2)="15",AND(LEFT(M4476,2)&lt;&gt;"15",LEFT(M4476,2)&lt;&gt;"33"))),"x","")</f>
        <v/>
      </c>
      <c r="X4476" s="52" t="str">
        <f>IF(AND(OR(LEFT(TH!L4476,2)="15",LEFT(TH!M4476,2)="15"),'152-CT'!$J$8=TH!F4476),"x","")</f>
        <v/>
      </c>
      <c r="Y4476" s="52" t="str">
        <f>IF(AND(OR(LEFT(TH!L4476,2)="15",LEFT(TH!M4476,2)="15"),TK!$E$7=TH!F4476),"x","")</f>
        <v/>
      </c>
      <c r="Z4476" s="52" t="str">
        <f>IF(AND(B4476&lt;=NKC!$N$8,B4476&gt;=NKC!$M$8),"x","")</f>
        <v/>
      </c>
      <c r="AA4476" s="826"/>
    </row>
    <row r="4477" spans="1:27" ht="15.75" customHeight="1">
      <c r="A4477" s="827" t="str">
        <f>IF(B4477&lt;&gt;"",IF(AND(B4477&gt;=_TM1,B4477&lt;=_TM2,OR(TH!L4477="1111",TH!M4477="1111")),TH!D4477,""),"")</f>
        <v/>
      </c>
      <c r="B4477" s="36" t="str">
        <f t="shared" si="524"/>
        <v/>
      </c>
      <c r="C4477" s="190"/>
      <c r="D4477" s="37"/>
      <c r="E4477" s="190"/>
      <c r="F4477" s="191"/>
      <c r="G4477" s="833"/>
      <c r="H4477" s="192"/>
      <c r="I4477" s="253"/>
      <c r="J4477" s="253"/>
      <c r="K4477" s="584"/>
      <c r="L4477" s="39"/>
      <c r="M4477" s="39"/>
      <c r="N4477" s="52" t="str">
        <f>IF(AND('331-CT'!$E$7=TH!H4477,OR(L4477="331",M4477="331")),"331",IF(AND(OR(L4477="131",M4477="131"),H4477='131-CT'!$E$7),"131",""))</f>
        <v/>
      </c>
      <c r="O4477" s="52" t="str">
        <f>IF(AND($B4477&gt;='111'!$N$11,$B4477&lt;='111'!$O$11,OR($L4477=$O$7,$M4477=$O$7)),"x","")</f>
        <v/>
      </c>
      <c r="P4477" s="52" t="str">
        <f>IF(AND($L4477=$O$7,$B4477&lt;'111'!$N$11),"x","")</f>
        <v/>
      </c>
      <c r="Q4477" s="52" t="str">
        <f>IF(AND($M4477=$O$7,$B4477&lt;'111'!$N$11),"x","")</f>
        <v/>
      </c>
      <c r="R4477" s="52" t="str">
        <f>IF(ISERROR(FIND('112'!$M$9,G4477,1)),"",IF((AND(FIND('112'!$M$9,G4477,1)&gt;=1,$B4477&gt;='112'!$N$8,$B4477&lt;='112'!$O$8,OR($L4477='112'!$I$6,$M4477='112'!$I$6))),"x",""))</f>
        <v/>
      </c>
      <c r="S4477" s="52" t="str">
        <f>IF(ISERROR(FIND('112'!$M$9,G4477,1)),"",IF((AND(LEFT(G4477,2)=LEFT('112'!$M$9,2),B4477&lt;'112'!$N$8,$L4477='112'!$I$6)),"x",""))</f>
        <v/>
      </c>
      <c r="T4477" s="52" t="str">
        <f>IF(ISERROR(FIND('112'!$M$9,G4477,1)),"",IF((AND(RIGHT(G4477,2)=RIGHT('112'!$M$9,2),B4477&lt;'112'!$N$8,$M4477='112'!$I$6)),"x",""))</f>
        <v/>
      </c>
      <c r="U4477" s="52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V4477" s="52" t="str">
        <f>IF(OR(TH!L4477=TH!$V$7,M4477=TH!$V$7),"x","")</f>
        <v/>
      </c>
      <c r="W4477" s="52" t="str">
        <f>IF(AND(B4477&gt;='IN-NX'!$P$3,B4477&lt;='IN-NX'!$Q$3,'IN-NX'!$D$7=D4477,OR(LEFT(L4477,2)="15",AND(LEFT(M4477,2)&lt;&gt;"15",LEFT(M4477,2)&lt;&gt;"33"))),"x","")</f>
        <v/>
      </c>
      <c r="X4477" s="52" t="str">
        <f>IF(AND(OR(LEFT(TH!L4477,2)="15",LEFT(TH!M4477,2)="15"),'152-CT'!$J$8=TH!F4477),"x","")</f>
        <v/>
      </c>
      <c r="Y4477" s="52" t="str">
        <f>IF(AND(OR(LEFT(TH!L4477,2)="15",LEFT(TH!M4477,2)="15"),TK!$E$7=TH!F4477),"x","")</f>
        <v/>
      </c>
      <c r="Z4477" s="52" t="str">
        <f>IF(AND(B4477&lt;=NKC!$N$8,B4477&gt;=NKC!$M$8),"x","")</f>
        <v/>
      </c>
      <c r="AA4477" s="826"/>
    </row>
    <row r="4478" spans="1:27" ht="15.75" customHeight="1">
      <c r="A4478" s="827" t="str">
        <f>IF(B4478&lt;&gt;"",IF(AND(B4478&gt;=_TM1,B4478&lt;=_TM2,OR(TH!L4478="1111",TH!M4478="1111")),TH!D4478,""),"")</f>
        <v/>
      </c>
      <c r="B4478" s="36" t="str">
        <f t="shared" si="524"/>
        <v/>
      </c>
      <c r="C4478" s="183"/>
      <c r="D4478" s="183"/>
      <c r="E4478" s="190"/>
      <c r="F4478" s="188"/>
      <c r="G4478" s="835"/>
      <c r="H4478" s="7"/>
      <c r="I4478" s="253"/>
      <c r="J4478" s="253"/>
      <c r="K4478" s="584"/>
      <c r="L4478" s="585"/>
      <c r="M4478" s="585"/>
      <c r="N4478" s="52" t="str">
        <f>IF(AND('331-CT'!$E$7=TH!H4478,OR(L4478="331",M4478="331")),"331",IF(AND(OR(L4478="131",M4478="131"),H4478='131-CT'!$E$7),"131",""))</f>
        <v/>
      </c>
      <c r="O4478" s="52" t="str">
        <f>IF(AND($B4478&gt;='111'!$N$11,$B4478&lt;='111'!$O$11,OR($L4478=$O$7,$M4478=$O$7)),"x","")</f>
        <v/>
      </c>
      <c r="P4478" s="52" t="str">
        <f>IF(AND($L4478=$O$7,$B4478&lt;'111'!$N$11),"x","")</f>
        <v/>
      </c>
      <c r="Q4478" s="52" t="str">
        <f>IF(AND($M4478=$O$7,$B4478&lt;'111'!$N$11),"x","")</f>
        <v/>
      </c>
      <c r="R4478" s="52" t="str">
        <f>IF(ISERROR(FIND('112'!$M$9,G4478,1)),"",IF((AND(FIND('112'!$M$9,G4478,1)&gt;=1,$B4478&gt;='112'!$N$8,$B4478&lt;='112'!$O$8,OR($L4478='112'!$I$6,$M4478='112'!$I$6))),"x",""))</f>
        <v/>
      </c>
      <c r="S4478" s="52" t="str">
        <f>IF(ISERROR(FIND('112'!$M$9,G4478,1)),"",IF((AND(LEFT(G4478,2)=LEFT('112'!$M$9,2),B4478&lt;'112'!$N$8,$L4478='112'!$I$6)),"x",""))</f>
        <v/>
      </c>
      <c r="T4478" s="52" t="str">
        <f>IF(ISERROR(FIND('112'!$M$9,G4478,1)),"",IF((AND(RIGHT(G4478,2)=RIGHT('112'!$M$9,2),B4478&lt;'112'!$N$8,$M4478='112'!$I$6)),"x",""))</f>
        <v/>
      </c>
      <c r="U4478" s="52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V4478" s="52" t="str">
        <f>IF(OR(TH!L4478=TH!$V$7,M4478=TH!$V$7),"x","")</f>
        <v/>
      </c>
      <c r="W4478" s="52" t="str">
        <f>IF(AND(B4478&gt;='IN-NX'!$P$3,B4478&lt;='IN-NX'!$Q$3,'IN-NX'!$D$7=D4478,OR(LEFT(L4478,2)="15",AND(LEFT(M4478,2)&lt;&gt;"15",LEFT(M4478,2)&lt;&gt;"33"))),"x","")</f>
        <v/>
      </c>
      <c r="X4478" s="52" t="str">
        <f>IF(AND(OR(LEFT(TH!L4478,2)="15",LEFT(TH!M4478,2)="15"),'152-CT'!$J$8=TH!F4478),"x","")</f>
        <v/>
      </c>
      <c r="Y4478" s="52" t="str">
        <f>IF(AND(OR(LEFT(TH!L4478,2)="15",LEFT(TH!M4478,2)="15"),TK!$E$7=TH!F4478),"x","")</f>
        <v/>
      </c>
      <c r="Z4478" s="52" t="str">
        <f>IF(AND(B4478&lt;=NKC!$N$8,B4478&gt;=NKC!$M$8),"x","")</f>
        <v/>
      </c>
      <c r="AA4478" s="826"/>
    </row>
    <row r="4479" spans="1:27" ht="15.75" customHeight="1">
      <c r="A4479" s="827" t="str">
        <f>IF(B4479&lt;&gt;"",IF(AND(B4479&gt;=_TM1,B4479&lt;=_TM2,OR(TH!L4479="1111",TH!M4479="1111")),TH!D4479,""),"")</f>
        <v/>
      </c>
      <c r="B4479" s="36" t="str">
        <f t="shared" si="524"/>
        <v/>
      </c>
      <c r="C4479" s="183"/>
      <c r="D4479" s="183"/>
      <c r="E4479" s="190"/>
      <c r="F4479" s="188"/>
      <c r="G4479" s="835"/>
      <c r="H4479" s="7"/>
      <c r="I4479" s="253"/>
      <c r="J4479" s="253"/>
      <c r="K4479" s="584"/>
      <c r="L4479" s="585"/>
      <c r="M4479" s="585"/>
      <c r="N4479" s="52" t="str">
        <f>IF(AND('331-CT'!$E$7=TH!H4479,OR(L4479="331",M4479="331")),"331",IF(AND(OR(L4479="131",M4479="131"),H4479='131-CT'!$E$7),"131",""))</f>
        <v/>
      </c>
      <c r="O4479" s="52" t="str">
        <f>IF(AND($B4479&gt;='111'!$N$11,$B4479&lt;='111'!$O$11,OR($L4479=$O$7,$M4479=$O$7)),"x","")</f>
        <v/>
      </c>
      <c r="P4479" s="52" t="str">
        <f>IF(AND($L4479=$O$7,$B4479&lt;'111'!$N$11),"x","")</f>
        <v/>
      </c>
      <c r="Q4479" s="52" t="str">
        <f>IF(AND($M4479=$O$7,$B4479&lt;'111'!$N$11),"x","")</f>
        <v/>
      </c>
      <c r="R4479" s="52" t="str">
        <f>IF(ISERROR(FIND('112'!$M$9,G4479,1)),"",IF((AND(FIND('112'!$M$9,G4479,1)&gt;=1,$B4479&gt;='112'!$N$8,$B4479&lt;='112'!$O$8,OR($L4479='112'!$I$6,$M4479='112'!$I$6))),"x",""))</f>
        <v/>
      </c>
      <c r="S4479" s="52" t="str">
        <f>IF(ISERROR(FIND('112'!$M$9,G4479,1)),"",IF((AND(LEFT(G4479,2)=LEFT('112'!$M$9,2),B4479&lt;'112'!$N$8,$L4479='112'!$I$6)),"x",""))</f>
        <v/>
      </c>
      <c r="T4479" s="52" t="str">
        <f>IF(ISERROR(FIND('112'!$M$9,G4479,1)),"",IF((AND(RIGHT(G4479,2)=RIGHT('112'!$M$9,2),B4479&lt;'112'!$N$8,$M4479='112'!$I$6)),"x",""))</f>
        <v/>
      </c>
      <c r="U4479" s="52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V4479" s="52" t="str">
        <f>IF(OR(TH!L4479=TH!$V$7,M4479=TH!$V$7),"x","")</f>
        <v/>
      </c>
      <c r="W4479" s="52" t="str">
        <f>IF(AND(B4479&gt;='IN-NX'!$P$3,B4479&lt;='IN-NX'!$Q$3,'IN-NX'!$D$7=D4479,OR(LEFT(L4479,2)="15",AND(LEFT(M4479,2)&lt;&gt;"15",LEFT(M4479,2)&lt;&gt;"33"))),"x","")</f>
        <v/>
      </c>
      <c r="X4479" s="52" t="str">
        <f>IF(AND(OR(LEFT(TH!L4479,2)="15",LEFT(TH!M4479,2)="15"),'152-CT'!$J$8=TH!F4479),"x","")</f>
        <v/>
      </c>
      <c r="Y4479" s="52" t="str">
        <f>IF(AND(OR(LEFT(TH!L4479,2)="15",LEFT(TH!M4479,2)="15"),TK!$E$7=TH!F4479),"x","")</f>
        <v/>
      </c>
      <c r="Z4479" s="52" t="str">
        <f>IF(AND(B4479&lt;=NKC!$N$8,B4479&gt;=NKC!$M$8),"x","")</f>
        <v/>
      </c>
      <c r="AA4479" s="826"/>
    </row>
    <row r="4480" spans="1:27" ht="15.75" customHeight="1">
      <c r="A4480" s="827" t="str">
        <f>IF(B4480&lt;&gt;"",IF(AND(B4480&gt;=_TM1,B4480&lt;=_TM2,OR(TH!L4480="1111",TH!M4480="1111")),TH!D4480,""),"")</f>
        <v/>
      </c>
      <c r="B4480" s="36" t="str">
        <f t="shared" si="524"/>
        <v/>
      </c>
      <c r="C4480" s="183"/>
      <c r="D4480" s="183"/>
      <c r="E4480" s="190"/>
      <c r="F4480" s="188"/>
      <c r="G4480" s="835"/>
      <c r="H4480" s="7"/>
      <c r="I4480" s="253"/>
      <c r="J4480" s="253"/>
      <c r="K4480" s="584"/>
      <c r="L4480" s="585"/>
      <c r="M4480" s="585"/>
      <c r="N4480" s="52" t="str">
        <f>IF(AND('331-CT'!$E$7=TH!H4480,OR(L4480="331",M4480="331")),"331",IF(AND(OR(L4480="131",M4480="131"),H4480='131-CT'!$E$7),"131",""))</f>
        <v/>
      </c>
      <c r="O4480" s="52" t="str">
        <f>IF(AND($B4480&gt;='111'!$N$11,$B4480&lt;='111'!$O$11,OR($L4480=$O$7,$M4480=$O$7)),"x","")</f>
        <v/>
      </c>
      <c r="P4480" s="52" t="str">
        <f>IF(AND($L4480=$O$7,$B4480&lt;'111'!$N$11),"x","")</f>
        <v/>
      </c>
      <c r="Q4480" s="52" t="str">
        <f>IF(AND($M4480=$O$7,$B4480&lt;'111'!$N$11),"x","")</f>
        <v/>
      </c>
      <c r="R4480" s="52" t="str">
        <f>IF(ISERROR(FIND('112'!$M$9,G4480,1)),"",IF((AND(FIND('112'!$M$9,G4480,1)&gt;=1,$B4480&gt;='112'!$N$8,$B4480&lt;='112'!$O$8,OR($L4480='112'!$I$6,$M4480='112'!$I$6))),"x",""))</f>
        <v/>
      </c>
      <c r="S4480" s="52" t="str">
        <f>IF(ISERROR(FIND('112'!$M$9,G4480,1)),"",IF((AND(LEFT(G4480,2)=LEFT('112'!$M$9,2),B4480&lt;'112'!$N$8,$L4480='112'!$I$6)),"x",""))</f>
        <v/>
      </c>
      <c r="T4480" s="52" t="str">
        <f>IF(ISERROR(FIND('112'!$M$9,G4480,1)),"",IF((AND(RIGHT(G4480,2)=RIGHT('112'!$M$9,2),B4480&lt;'112'!$N$8,$M4480='112'!$I$6)),"x",""))</f>
        <v/>
      </c>
      <c r="U4480" s="52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V4480" s="52" t="str">
        <f>IF(OR(TH!L4480=TH!$V$7,M4480=TH!$V$7),"x","")</f>
        <v/>
      </c>
      <c r="W4480" s="52" t="str">
        <f>IF(AND(B4480&gt;='IN-NX'!$P$3,B4480&lt;='IN-NX'!$Q$3,'IN-NX'!$D$7=D4480,OR(LEFT(L4480,2)="15",AND(LEFT(M4480,2)&lt;&gt;"15",LEFT(M4480,2)&lt;&gt;"33"))),"x","")</f>
        <v/>
      </c>
      <c r="X4480" s="52" t="str">
        <f>IF(AND(OR(LEFT(TH!L4480,2)="15",LEFT(TH!M4480,2)="15"),'152-CT'!$J$8=TH!F4480),"x","")</f>
        <v/>
      </c>
      <c r="Y4480" s="52" t="str">
        <f>IF(AND(OR(LEFT(TH!L4480,2)="15",LEFT(TH!M4480,2)="15"),TK!$E$7=TH!F4480),"x","")</f>
        <v/>
      </c>
      <c r="Z4480" s="52" t="str">
        <f>IF(AND(B4480&lt;=NKC!$N$8,B4480&gt;=NKC!$M$8),"x","")</f>
        <v/>
      </c>
      <c r="AA4480" s="826"/>
    </row>
    <row r="4481" spans="1:27" ht="15.75" customHeight="1">
      <c r="A4481" s="827" t="str">
        <f>IF(B4481&lt;&gt;"",IF(AND(B4481&gt;=_TM1,B4481&lt;=_TM2,OR(TH!L4481="1111",TH!M4481="1111")),TH!D4481,""),"")</f>
        <v/>
      </c>
      <c r="B4481" s="36" t="str">
        <f t="shared" si="524"/>
        <v/>
      </c>
      <c r="C4481" s="190"/>
      <c r="D4481" s="190"/>
      <c r="E4481" s="190"/>
      <c r="F4481" s="191"/>
      <c r="G4481" s="833"/>
      <c r="H4481" s="192"/>
      <c r="I4481" s="253"/>
      <c r="J4481" s="253"/>
      <c r="K4481" s="584"/>
      <c r="L4481" s="193"/>
      <c r="M4481" s="193"/>
      <c r="N4481" s="52" t="str">
        <f>IF(AND('331-CT'!$E$7=TH!H4481,OR(L4481="331",M4481="331")),"331",IF(AND(OR(L4481="131",M4481="131"),H4481='131-CT'!$E$7),"131",""))</f>
        <v/>
      </c>
      <c r="O4481" s="52" t="str">
        <f>IF(AND($B4481&gt;='111'!$N$11,$B4481&lt;='111'!$O$11,OR($L4481=$O$7,$M4481=$O$7)),"x","")</f>
        <v/>
      </c>
      <c r="P4481" s="52" t="str">
        <f>IF(AND($L4481=$O$7,$B4481&lt;'111'!$N$11),"x","")</f>
        <v/>
      </c>
      <c r="Q4481" s="52" t="str">
        <f>IF(AND($M4481=$O$7,$B4481&lt;'111'!$N$11),"x","")</f>
        <v/>
      </c>
      <c r="R4481" s="52" t="str">
        <f>IF(ISERROR(FIND('112'!$M$9,G4481,1)),"",IF((AND(FIND('112'!$M$9,G4481,1)&gt;=1,$B4481&gt;='112'!$N$8,$B4481&lt;='112'!$O$8,OR($L4481='112'!$I$6,$M4481='112'!$I$6))),"x",""))</f>
        <v/>
      </c>
      <c r="S4481" s="52" t="str">
        <f>IF(ISERROR(FIND('112'!$M$9,G4481,1)),"",IF((AND(LEFT(G4481,2)=LEFT('112'!$M$9,2),B4481&lt;'112'!$N$8,$L4481='112'!$I$6)),"x",""))</f>
        <v/>
      </c>
      <c r="T4481" s="52" t="str">
        <f>IF(ISERROR(FIND('112'!$M$9,G4481,1)),"",IF((AND(RIGHT(G4481,2)=RIGHT('112'!$M$9,2),B4481&lt;'112'!$N$8,$M4481='112'!$I$6)),"x",""))</f>
        <v/>
      </c>
      <c r="U4481" s="52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V4481" s="52" t="str">
        <f>IF(OR(TH!L4481=TH!$V$7,M4481=TH!$V$7),"x","")</f>
        <v/>
      </c>
      <c r="W4481" s="52" t="str">
        <f>IF(AND(B4481&gt;='IN-NX'!$P$3,B4481&lt;='IN-NX'!$Q$3,'IN-NX'!$D$7=D4481,OR(LEFT(L4481,2)="15",AND(LEFT(M4481,2)&lt;&gt;"15",LEFT(M4481,2)&lt;&gt;"33"))),"x","")</f>
        <v/>
      </c>
      <c r="X4481" s="52" t="str">
        <f>IF(AND(OR(LEFT(TH!L4481,2)="15",LEFT(TH!M4481,2)="15"),'152-CT'!$J$8=TH!F4481),"x","")</f>
        <v/>
      </c>
      <c r="Y4481" s="52" t="str">
        <f>IF(AND(OR(LEFT(TH!L4481,2)="15",LEFT(TH!M4481,2)="15"),TK!$E$7=TH!F4481),"x","")</f>
        <v/>
      </c>
      <c r="Z4481" s="52" t="str">
        <f>IF(AND(B4481&lt;=NKC!$N$8,B4481&gt;=NKC!$M$8),"x","")</f>
        <v/>
      </c>
      <c r="AA4481" s="826"/>
    </row>
    <row r="4482" spans="1:27" ht="15.75" customHeight="1">
      <c r="A4482" s="827" t="str">
        <f>IF(B4482&lt;&gt;"",IF(AND(B4482&gt;=_TM1,B4482&lt;=_TM2,OR(TH!L4482="1111",TH!M4482="1111")),TH!D4482,""),"")</f>
        <v/>
      </c>
      <c r="B4482" s="36" t="str">
        <f t="shared" si="524"/>
        <v/>
      </c>
      <c r="C4482" s="190"/>
      <c r="D4482" s="190"/>
      <c r="E4482" s="190"/>
      <c r="F4482" s="191"/>
      <c r="G4482" s="833"/>
      <c r="H4482" s="192"/>
      <c r="I4482" s="253"/>
      <c r="J4482" s="253"/>
      <c r="K4482" s="584"/>
      <c r="L4482" s="193"/>
      <c r="M4482" s="193"/>
      <c r="N4482" s="52" t="str">
        <f>IF(AND('331-CT'!$E$7=TH!H4482,OR(L4482="331",M4482="331")),"331",IF(AND(OR(L4482="131",M4482="131"),H4482='131-CT'!$E$7),"131",""))</f>
        <v/>
      </c>
      <c r="O4482" s="52" t="str">
        <f>IF(AND($B4482&gt;='111'!$N$11,$B4482&lt;='111'!$O$11,OR($L4482=$O$7,$M4482=$O$7)),"x","")</f>
        <v/>
      </c>
      <c r="P4482" s="52" t="str">
        <f>IF(AND($L4482=$O$7,$B4482&lt;'111'!$N$11),"x","")</f>
        <v/>
      </c>
      <c r="Q4482" s="52" t="str">
        <f>IF(AND($M4482=$O$7,$B4482&lt;'111'!$N$11),"x","")</f>
        <v/>
      </c>
      <c r="R4482" s="52" t="str">
        <f>IF(ISERROR(FIND('112'!$M$9,G4482,1)),"",IF((AND(FIND('112'!$M$9,G4482,1)&gt;=1,$B4482&gt;='112'!$N$8,$B4482&lt;='112'!$O$8,OR($L4482='112'!$I$6,$M4482='112'!$I$6))),"x",""))</f>
        <v/>
      </c>
      <c r="S4482" s="52" t="str">
        <f>IF(ISERROR(FIND('112'!$M$9,G4482,1)),"",IF((AND(LEFT(G4482,2)=LEFT('112'!$M$9,2),B4482&lt;'112'!$N$8,$L4482='112'!$I$6)),"x",""))</f>
        <v/>
      </c>
      <c r="T4482" s="52" t="str">
        <f>IF(ISERROR(FIND('112'!$M$9,G4482,1)),"",IF((AND(RIGHT(G4482,2)=RIGHT('112'!$M$9,2),B4482&lt;'112'!$N$8,$M4482='112'!$I$6)),"x",""))</f>
        <v/>
      </c>
      <c r="U4482" s="52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V4482" s="52" t="str">
        <f>IF(OR(TH!L4482=TH!$V$7,M4482=TH!$V$7),"x","")</f>
        <v/>
      </c>
      <c r="W4482" s="52" t="str">
        <f>IF(AND(B4482&gt;='IN-NX'!$P$3,B4482&lt;='IN-NX'!$Q$3,'IN-NX'!$D$7=D4482,OR(LEFT(L4482,2)="15",AND(LEFT(M4482,2)&lt;&gt;"15",LEFT(M4482,2)&lt;&gt;"33"))),"x","")</f>
        <v/>
      </c>
      <c r="X4482" s="52" t="str">
        <f>IF(AND(OR(LEFT(TH!L4482,2)="15",LEFT(TH!M4482,2)="15"),'152-CT'!$J$8=TH!F4482),"x","")</f>
        <v/>
      </c>
      <c r="Y4482" s="52" t="str">
        <f>IF(AND(OR(LEFT(TH!L4482,2)="15",LEFT(TH!M4482,2)="15"),TK!$E$7=TH!F4482),"x","")</f>
        <v/>
      </c>
      <c r="Z4482" s="52" t="str">
        <f>IF(AND(B4482&lt;=NKC!$N$8,B4482&gt;=NKC!$M$8),"x","")</f>
        <v/>
      </c>
      <c r="AA4482" s="826"/>
    </row>
    <row r="4483" spans="1:27" ht="15.75" customHeight="1">
      <c r="A4483" s="827" t="str">
        <f>IF(B4483&lt;&gt;"",IF(AND(B4483&gt;=_TM1,B4483&lt;=_TM2,OR(TH!L4483="1111",TH!M4483="1111")),TH!D4483,""),"")</f>
        <v/>
      </c>
      <c r="B4483" s="36" t="str">
        <f t="shared" si="524"/>
        <v/>
      </c>
      <c r="C4483" s="190"/>
      <c r="D4483" s="190"/>
      <c r="E4483" s="190"/>
      <c r="F4483" s="191"/>
      <c r="G4483" s="833"/>
      <c r="H4483" s="192"/>
      <c r="I4483" s="253"/>
      <c r="J4483" s="253"/>
      <c r="K4483" s="38"/>
      <c r="L4483" s="193"/>
      <c r="M4483" s="193"/>
      <c r="N4483" s="52" t="str">
        <f>IF(AND('331-CT'!$E$7=TH!H4483,OR(L4483="331",M4483="331")),"331",IF(AND(OR(L4483="131",M4483="131"),H4483='131-CT'!$E$7),"131",""))</f>
        <v/>
      </c>
      <c r="O4483" s="52" t="str">
        <f>IF(AND($B4483&gt;='111'!$N$11,$B4483&lt;='111'!$O$11,OR($L4483=$O$7,$M4483=$O$7)),"x","")</f>
        <v/>
      </c>
      <c r="P4483" s="52" t="str">
        <f>IF(AND($L4483=$O$7,$B4483&lt;'111'!$N$11),"x","")</f>
        <v/>
      </c>
      <c r="Q4483" s="52" t="str">
        <f>IF(AND($M4483=$O$7,$B4483&lt;'111'!$N$11),"x","")</f>
        <v/>
      </c>
      <c r="R4483" s="52" t="str">
        <f>IF(ISERROR(FIND('112'!$M$9,G4483,1)),"",IF((AND(FIND('112'!$M$9,G4483,1)&gt;=1,$B4483&gt;='112'!$N$8,$B4483&lt;='112'!$O$8,OR($L4483='112'!$I$6,$M4483='112'!$I$6))),"x",""))</f>
        <v/>
      </c>
      <c r="S4483" s="52" t="str">
        <f>IF(ISERROR(FIND('112'!$M$9,G4483,1)),"",IF((AND(LEFT(G4483,2)=LEFT('112'!$M$9,2),B4483&lt;'112'!$N$8,$L4483='112'!$I$6)),"x",""))</f>
        <v/>
      </c>
      <c r="T4483" s="52" t="str">
        <f>IF(ISERROR(FIND('112'!$M$9,G4483,1)),"",IF((AND(RIGHT(G4483,2)=RIGHT('112'!$M$9,2),B4483&lt;'112'!$N$8,$M4483='112'!$I$6)),"x",""))</f>
        <v/>
      </c>
      <c r="U4483" s="52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V4483" s="52" t="str">
        <f>IF(OR(TH!L4483=TH!$V$7,M4483=TH!$V$7),"x","")</f>
        <v/>
      </c>
      <c r="W4483" s="52" t="str">
        <f>IF(AND(B4483&gt;='IN-NX'!$P$3,B4483&lt;='IN-NX'!$Q$3,'IN-NX'!$D$7=D4483,OR(LEFT(L4483,2)="15",AND(LEFT(M4483,2)&lt;&gt;"15",LEFT(M4483,2)&lt;&gt;"33"))),"x","")</f>
        <v/>
      </c>
      <c r="X4483" s="52" t="str">
        <f>IF(AND(OR(LEFT(TH!L4483,2)="15",LEFT(TH!M4483,2)="15"),'152-CT'!$J$8=TH!F4483),"x","")</f>
        <v/>
      </c>
      <c r="Y4483" s="52" t="str">
        <f>IF(AND(OR(LEFT(TH!L4483,2)="15",LEFT(TH!M4483,2)="15"),TK!$E$7=TH!F4483),"x","")</f>
        <v/>
      </c>
      <c r="Z4483" s="52" t="str">
        <f>IF(AND(B4483&lt;=NKC!$N$8,B4483&gt;=NKC!$M$8),"x","")</f>
        <v/>
      </c>
      <c r="AA4483" s="826"/>
    </row>
    <row r="4484" spans="1:27" ht="15.75" customHeight="1">
      <c r="A4484" s="827" t="str">
        <f>IF(B4484&lt;&gt;"",IF(AND(B4484&gt;=_TM1,B4484&lt;=_TM2,OR(TH!L4484="1111",TH!M4484="1111")),TH!D4484,""),"")</f>
        <v/>
      </c>
      <c r="B4484" s="36" t="str">
        <f t="shared" ref="B4484:B4489" si="525">IF(C4484&lt;&gt;"",MONTH(C4484),"")</f>
        <v/>
      </c>
      <c r="C4484" s="190"/>
      <c r="D4484" s="37"/>
      <c r="E4484" s="190"/>
      <c r="F4484" s="191"/>
      <c r="G4484" s="832"/>
      <c r="H4484" s="44"/>
      <c r="I4484" s="253"/>
      <c r="J4484" s="253"/>
      <c r="K4484" s="38"/>
      <c r="L4484" s="39"/>
      <c r="M4484" s="39"/>
      <c r="N4484" s="52" t="str">
        <f>IF(AND('331-CT'!$E$7=TH!H4484,OR(L4484="331",M4484="331")),"331",IF(AND(OR(L4484="131",M4484="131"),H4484='131-CT'!$E$7),"131",""))</f>
        <v/>
      </c>
      <c r="O4484" s="52" t="str">
        <f>IF(AND($B4484&gt;='111'!$N$11,$B4484&lt;='111'!$O$11,OR($L4484=$O$7,$M4484=$O$7)),"x","")</f>
        <v/>
      </c>
      <c r="P4484" s="52" t="str">
        <f>IF(AND($L4484=$O$7,$B4484&lt;'111'!$N$11),"x","")</f>
        <v/>
      </c>
      <c r="Q4484" s="52" t="str">
        <f>IF(AND($M4484=$O$7,$B4484&lt;'111'!$N$11),"x","")</f>
        <v/>
      </c>
      <c r="R4484" s="52" t="str">
        <f>IF(ISERROR(FIND('112'!$M$9,G4484,1)),"",IF((AND(FIND('112'!$M$9,G4484,1)&gt;=1,$B4484&gt;='112'!$N$8,$B4484&lt;='112'!$O$8,OR($L4484='112'!$I$6,$M4484='112'!$I$6))),"x",""))</f>
        <v/>
      </c>
      <c r="S4484" s="52" t="str">
        <f>IF(ISERROR(FIND('112'!$M$9,G4484,1)),"",IF((AND(LEFT(G4484,2)=LEFT('112'!$M$9,2),B4484&lt;'112'!$N$8,$L4484='112'!$I$6)),"x",""))</f>
        <v/>
      </c>
      <c r="T4484" s="52" t="str">
        <f>IF(ISERROR(FIND('112'!$M$9,G4484,1)),"",IF((AND(RIGHT(G4484,2)=RIGHT('112'!$M$9,2),B4484&lt;'112'!$N$8,$M4484='112'!$I$6)),"x",""))</f>
        <v/>
      </c>
      <c r="U4484" s="52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V4484" s="52" t="str">
        <f>IF(OR(TH!L4484=TH!$V$7,M4484=TH!$V$7),"x","")</f>
        <v/>
      </c>
      <c r="W4484" s="52" t="str">
        <f>IF(AND(B4484&gt;='IN-NX'!$P$3,B4484&lt;='IN-NX'!$Q$3,'IN-NX'!$D$7=D4484,OR(LEFT(L4484,2)="15",AND(LEFT(M4484,2)&lt;&gt;"15",LEFT(M4484,2)&lt;&gt;"33"))),"x","")</f>
        <v/>
      </c>
      <c r="X4484" s="52" t="str">
        <f>IF(AND(OR(LEFT(TH!L4484,2)="15",LEFT(TH!M4484,2)="15"),'152-CT'!$J$8=TH!F4484),"x","")</f>
        <v/>
      </c>
      <c r="Y4484" s="52" t="str">
        <f>IF(AND(OR(LEFT(TH!L4484,2)="15",LEFT(TH!M4484,2)="15"),TK!$E$7=TH!F4484),"x","")</f>
        <v/>
      </c>
      <c r="Z4484" s="52" t="str">
        <f>IF(AND(B4484&lt;=NKC!$N$8,B4484&gt;=NKC!$M$8),"x","")</f>
        <v/>
      </c>
      <c r="AA4484" s="826"/>
    </row>
    <row r="4485" spans="1:27" ht="15.75" customHeight="1">
      <c r="A4485" s="827" t="str">
        <f>IF(B4485&lt;&gt;"",IF(AND(B4485&gt;=_TM1,B4485&lt;=_TM2,OR(TH!L4485="1111",TH!M4485="1111")),TH!D4485,""),"")</f>
        <v/>
      </c>
      <c r="B4485" s="36" t="str">
        <f t="shared" si="525"/>
        <v/>
      </c>
      <c r="C4485" s="37"/>
      <c r="D4485" s="37"/>
      <c r="E4485" s="37"/>
      <c r="F4485" s="40"/>
      <c r="G4485" s="832"/>
      <c r="H4485" s="44"/>
      <c r="I4485" s="253"/>
      <c r="J4485" s="253"/>
      <c r="K4485" s="38"/>
      <c r="L4485" s="39"/>
      <c r="M4485" s="39"/>
      <c r="N4485" s="52" t="str">
        <f>IF(AND('331-CT'!$E$7=TH!H4485,OR(L4485="331",M4485="331")),"331",IF(AND(OR(L4485="131",M4485="131"),H4485='131-CT'!$E$7),"131",""))</f>
        <v/>
      </c>
      <c r="O4485" s="52" t="str">
        <f>IF(AND($B4485&gt;='111'!$N$11,$B4485&lt;='111'!$O$11,OR($L4485=$O$7,$M4485=$O$7)),"x","")</f>
        <v/>
      </c>
      <c r="P4485" s="52" t="str">
        <f>IF(AND($L4485=$O$7,$B4485&lt;'111'!$N$11),"x","")</f>
        <v/>
      </c>
      <c r="Q4485" s="52" t="str">
        <f>IF(AND($M4485=$O$7,$B4485&lt;'111'!$N$11),"x","")</f>
        <v/>
      </c>
      <c r="R4485" s="52" t="str">
        <f>IF(ISERROR(FIND('112'!$M$9,G4485,1)),"",IF((AND(FIND('112'!$M$9,G4485,1)&gt;=1,$B4485&gt;='112'!$N$8,$B4485&lt;='112'!$O$8,OR($L4485='112'!$I$6,$M4485='112'!$I$6))),"x",""))</f>
        <v/>
      </c>
      <c r="S4485" s="52" t="str">
        <f>IF(ISERROR(FIND('112'!$M$9,G4485,1)),"",IF((AND(LEFT(G4485,2)=LEFT('112'!$M$9,2),B4485&lt;'112'!$N$8,$L4485='112'!$I$6)),"x",""))</f>
        <v/>
      </c>
      <c r="T4485" s="52" t="str">
        <f>IF(ISERROR(FIND('112'!$M$9,G4485,1)),"",IF((AND(RIGHT(G4485,2)=RIGHT('112'!$M$9,2),B4485&lt;'112'!$N$8,$M4485='112'!$I$6)),"x",""))</f>
        <v/>
      </c>
      <c r="U4485" s="52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V4485" s="52" t="str">
        <f>IF(OR(TH!L4485=TH!$V$7,M4485=TH!$V$7),"x","")</f>
        <v/>
      </c>
      <c r="W4485" s="52" t="str">
        <f>IF(AND(B4485&gt;='IN-NX'!$P$3,B4485&lt;='IN-NX'!$Q$3,'IN-NX'!$D$7=D4485,OR(LEFT(L4485,2)="15",AND(LEFT(M4485,2)&lt;&gt;"15",LEFT(M4485,2)&lt;&gt;"33"))),"x","")</f>
        <v/>
      </c>
      <c r="X4485" s="52" t="str">
        <f>IF(AND(OR(LEFT(TH!L4485,2)="15",LEFT(TH!M4485,2)="15"),'152-CT'!$J$8=TH!F4485),"x","")</f>
        <v/>
      </c>
      <c r="Y4485" s="52" t="str">
        <f>IF(AND(OR(LEFT(TH!L4485,2)="15",LEFT(TH!M4485,2)="15"),TK!$E$7=TH!F4485),"x","")</f>
        <v/>
      </c>
      <c r="Z4485" s="52" t="str">
        <f>IF(AND(B4485&lt;=NKC!$N$8,B4485&gt;=NKC!$M$8),"x","")</f>
        <v/>
      </c>
      <c r="AA4485" s="826"/>
    </row>
    <row r="4486" spans="1:27" ht="15.75" customHeight="1">
      <c r="A4486" s="827" t="str">
        <f>IF(B4486&lt;&gt;"",IF(AND(B4486&gt;=_TM1,B4486&lt;=_TM2,OR(TH!L4486="1111",TH!M4486="1111")),TH!D4486,""),"")</f>
        <v/>
      </c>
      <c r="B4486" s="36" t="str">
        <f t="shared" si="525"/>
        <v/>
      </c>
      <c r="C4486" s="37"/>
      <c r="D4486" s="37"/>
      <c r="E4486" s="37"/>
      <c r="F4486" s="40"/>
      <c r="G4486" s="832"/>
      <c r="H4486" s="44"/>
      <c r="I4486" s="253"/>
      <c r="J4486" s="253"/>
      <c r="K4486" s="38"/>
      <c r="L4486" s="39"/>
      <c r="M4486" s="39"/>
      <c r="N4486" s="52" t="str">
        <f>IF(AND('331-CT'!$E$7=TH!H4486,OR(L4486="331",M4486="331")),"331",IF(AND(OR(L4486="131",M4486="131"),H4486='131-CT'!$E$7),"131",""))</f>
        <v/>
      </c>
      <c r="O4486" s="52" t="str">
        <f>IF(AND($B4486&gt;='111'!$N$11,$B4486&lt;='111'!$O$11,OR($L4486=$O$7,$M4486=$O$7)),"x","")</f>
        <v/>
      </c>
      <c r="P4486" s="52" t="str">
        <f>IF(AND($L4486=$O$7,$B4486&lt;'111'!$N$11),"x","")</f>
        <v/>
      </c>
      <c r="Q4486" s="52" t="str">
        <f>IF(AND($M4486=$O$7,$B4486&lt;'111'!$N$11),"x","")</f>
        <v/>
      </c>
      <c r="R4486" s="52" t="str">
        <f>IF(ISERROR(FIND('112'!$M$9,G4486,1)),"",IF((AND(FIND('112'!$M$9,G4486,1)&gt;=1,$B4486&gt;='112'!$N$8,$B4486&lt;='112'!$O$8,OR($L4486='112'!$I$6,$M4486='112'!$I$6))),"x",""))</f>
        <v/>
      </c>
      <c r="S4486" s="52" t="str">
        <f>IF(ISERROR(FIND('112'!$M$9,G4486,1)),"",IF((AND(LEFT(G4486,2)=LEFT('112'!$M$9,2),B4486&lt;'112'!$N$8,$L4486='112'!$I$6)),"x",""))</f>
        <v/>
      </c>
      <c r="T4486" s="52" t="str">
        <f>IF(ISERROR(FIND('112'!$M$9,G4486,1)),"",IF((AND(RIGHT(G4486,2)=RIGHT('112'!$M$9,2),B4486&lt;'112'!$N$8,$M4486='112'!$I$6)),"x",""))</f>
        <v/>
      </c>
      <c r="U4486" s="52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V4486" s="52" t="str">
        <f>IF(OR(TH!L4486=TH!$V$7,M4486=TH!$V$7),"x","")</f>
        <v/>
      </c>
      <c r="W4486" s="52" t="str">
        <f>IF(AND(B4486&gt;='IN-NX'!$P$3,B4486&lt;='IN-NX'!$Q$3,'IN-NX'!$D$7=D4486,OR(LEFT(L4486,2)="15",AND(LEFT(M4486,2)&lt;&gt;"15",LEFT(M4486,2)&lt;&gt;"33"))),"x","")</f>
        <v/>
      </c>
      <c r="X4486" s="52" t="str">
        <f>IF(AND(OR(LEFT(TH!L4486,2)="15",LEFT(TH!M4486,2)="15"),'152-CT'!$J$8=TH!F4486),"x","")</f>
        <v/>
      </c>
      <c r="Y4486" s="52" t="str">
        <f>IF(AND(OR(LEFT(TH!L4486,2)="15",LEFT(TH!M4486,2)="15"),TK!$E$7=TH!F4486),"x","")</f>
        <v/>
      </c>
      <c r="Z4486" s="52" t="str">
        <f>IF(AND(B4486&lt;=NKC!$N$8,B4486&gt;=NKC!$M$8),"x","")</f>
        <v/>
      </c>
      <c r="AA4486" s="826"/>
    </row>
    <row r="4487" spans="1:27" ht="15.75" customHeight="1">
      <c r="A4487" s="827" t="str">
        <f>IF(B4487&lt;&gt;"",IF(AND(B4487&gt;=_TM1,B4487&lt;=_TM2,OR(TH!L4487="1111",TH!M4487="1111")),TH!D4487,""),"")</f>
        <v/>
      </c>
      <c r="B4487" s="36" t="str">
        <f t="shared" si="525"/>
        <v/>
      </c>
      <c r="C4487" s="37"/>
      <c r="D4487" s="37"/>
      <c r="E4487" s="37"/>
      <c r="F4487" s="40"/>
      <c r="G4487" s="832"/>
      <c r="H4487" s="44"/>
      <c r="I4487" s="253"/>
      <c r="J4487" s="253"/>
      <c r="K4487" s="38"/>
      <c r="L4487" s="39"/>
      <c r="M4487" s="39"/>
      <c r="N4487" s="52" t="str">
        <f>IF(AND('331-CT'!$E$7=TH!H4487,OR(L4487="331",M4487="331")),"331",IF(AND(OR(L4487="131",M4487="131"),H4487='131-CT'!$E$7),"131",""))</f>
        <v/>
      </c>
      <c r="O4487" s="52" t="str">
        <f>IF(AND($B4487&gt;='111'!$N$11,$B4487&lt;='111'!$O$11,OR($L4487=$O$7,$M4487=$O$7)),"x","")</f>
        <v/>
      </c>
      <c r="P4487" s="52" t="str">
        <f>IF(AND($L4487=$O$7,$B4487&lt;'111'!$N$11),"x","")</f>
        <v/>
      </c>
      <c r="Q4487" s="52" t="str">
        <f>IF(AND($M4487=$O$7,$B4487&lt;'111'!$N$11),"x","")</f>
        <v/>
      </c>
      <c r="R4487" s="52" t="str">
        <f>IF(ISERROR(FIND('112'!$M$9,G4487,1)),"",IF((AND(FIND('112'!$M$9,G4487,1)&gt;=1,$B4487&gt;='112'!$N$8,$B4487&lt;='112'!$O$8,OR($L4487='112'!$I$6,$M4487='112'!$I$6))),"x",""))</f>
        <v/>
      </c>
      <c r="S4487" s="52" t="str">
        <f>IF(ISERROR(FIND('112'!$M$9,G4487,1)),"",IF((AND(LEFT(G4487,2)=LEFT('112'!$M$9,2),B4487&lt;'112'!$N$8,$L4487='112'!$I$6)),"x",""))</f>
        <v/>
      </c>
      <c r="T4487" s="52" t="str">
        <f>IF(ISERROR(FIND('112'!$M$9,G4487,1)),"",IF((AND(RIGHT(G4487,2)=RIGHT('112'!$M$9,2),B4487&lt;'112'!$N$8,$M4487='112'!$I$6)),"x",""))</f>
        <v/>
      </c>
      <c r="U4487" s="52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V4487" s="52" t="str">
        <f>IF(OR(TH!L4487=TH!$V$7,M4487=TH!$V$7),"x","")</f>
        <v/>
      </c>
      <c r="W4487" s="52" t="str">
        <f>IF(AND(B4487&gt;='IN-NX'!$P$3,B4487&lt;='IN-NX'!$Q$3,'IN-NX'!$D$7=D4487,OR(LEFT(L4487,2)="15",AND(LEFT(M4487,2)&lt;&gt;"15",LEFT(M4487,2)&lt;&gt;"33"))),"x","")</f>
        <v/>
      </c>
      <c r="X4487" s="52" t="str">
        <f>IF(AND(OR(LEFT(TH!L4487,2)="15",LEFT(TH!M4487,2)="15"),'152-CT'!$J$8=TH!F4487),"x","")</f>
        <v/>
      </c>
      <c r="Y4487" s="52" t="str">
        <f>IF(AND(OR(LEFT(TH!L4487,2)="15",LEFT(TH!M4487,2)="15"),TK!$E$7=TH!F4487),"x","")</f>
        <v/>
      </c>
      <c r="Z4487" s="52" t="str">
        <f>IF(AND(B4487&lt;=NKC!$N$8,B4487&gt;=NKC!$M$8),"x","")</f>
        <v/>
      </c>
      <c r="AA4487" s="826"/>
    </row>
    <row r="4488" spans="1:27" ht="15.75" customHeight="1">
      <c r="A4488" s="827" t="str">
        <f>IF(B4488&lt;&gt;"",IF(AND(B4488&gt;=_TM1,B4488&lt;=_TM2,OR(TH!L4488="1111",TH!M4488="1111")),TH!D4488,""),"")</f>
        <v/>
      </c>
      <c r="B4488" s="36" t="str">
        <f t="shared" si="525"/>
        <v/>
      </c>
      <c r="C4488" s="37"/>
      <c r="D4488" s="37"/>
      <c r="E4488" s="37"/>
      <c r="F4488" s="40"/>
      <c r="G4488" s="832"/>
      <c r="H4488" s="44"/>
      <c r="I4488" s="253"/>
      <c r="J4488" s="253"/>
      <c r="K4488" s="38"/>
      <c r="L4488" s="39"/>
      <c r="M4488" s="39"/>
      <c r="N4488" s="52" t="str">
        <f>IF(AND('331-CT'!$E$7=TH!H4488,OR(L4488="331",M4488="331")),"331",IF(AND(OR(L4488="131",M4488="131"),H4488='131-CT'!$E$7),"131",""))</f>
        <v/>
      </c>
      <c r="O4488" s="52" t="str">
        <f>IF(AND($B4488&gt;='111'!$N$11,$B4488&lt;='111'!$O$11,OR($L4488=$O$7,$M4488=$O$7)),"x","")</f>
        <v/>
      </c>
      <c r="P4488" s="52" t="str">
        <f>IF(AND($L4488=$O$7,$B4488&lt;'111'!$N$11),"x","")</f>
        <v/>
      </c>
      <c r="Q4488" s="52" t="str">
        <f>IF(AND($M4488=$O$7,$B4488&lt;'111'!$N$11),"x","")</f>
        <v/>
      </c>
      <c r="R4488" s="52" t="str">
        <f>IF(ISERROR(FIND('112'!$M$9,G4488,1)),"",IF((AND(FIND('112'!$M$9,G4488,1)&gt;=1,$B4488&gt;='112'!$N$8,$B4488&lt;='112'!$O$8,OR($L4488='112'!$I$6,$M4488='112'!$I$6))),"x",""))</f>
        <v/>
      </c>
      <c r="S4488" s="52" t="str">
        <f>IF(ISERROR(FIND('112'!$M$9,G4488,1)),"",IF((AND(LEFT(G4488,2)=LEFT('112'!$M$9,2),B4488&lt;'112'!$N$8,$L4488='112'!$I$6)),"x",""))</f>
        <v/>
      </c>
      <c r="T4488" s="52" t="str">
        <f>IF(ISERROR(FIND('112'!$M$9,G4488,1)),"",IF((AND(RIGHT(G4488,2)=RIGHT('112'!$M$9,2),B4488&lt;'112'!$N$8,$M4488='112'!$I$6)),"x",""))</f>
        <v/>
      </c>
      <c r="U4488" s="52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V4488" s="52" t="str">
        <f>IF(OR(TH!L4488=TH!$V$7,M4488=TH!$V$7),"x","")</f>
        <v/>
      </c>
      <c r="W4488" s="52" t="str">
        <f>IF(AND(B4488&gt;='IN-NX'!$P$3,B4488&lt;='IN-NX'!$Q$3,'IN-NX'!$D$7=D4488,OR(LEFT(L4488,2)="15",AND(LEFT(M4488,2)&lt;&gt;"15",LEFT(M4488,2)&lt;&gt;"33"))),"x","")</f>
        <v/>
      </c>
      <c r="X4488" s="52" t="str">
        <f>IF(AND(OR(LEFT(TH!L4488,2)="15",LEFT(TH!M4488,2)="15"),'152-CT'!$J$8=TH!F4488),"x","")</f>
        <v/>
      </c>
      <c r="Y4488" s="52" t="str">
        <f>IF(AND(OR(LEFT(TH!L4488,2)="15",LEFT(TH!M4488,2)="15"),TK!$E$7=TH!F4488),"x","")</f>
        <v/>
      </c>
      <c r="Z4488" s="52" t="str">
        <f>IF(AND(B4488&lt;=NKC!$N$8,B4488&gt;=NKC!$M$8),"x","")</f>
        <v/>
      </c>
      <c r="AA4488" s="826"/>
    </row>
    <row r="4489" spans="1:27" ht="15.75" customHeight="1">
      <c r="A4489" s="199" t="str">
        <f>IF(B4489&lt;&gt;"",IF(AND(B4489&gt;=_TM1,B4489&lt;=_TM2,OR(TH!L4489="1111",TH!M4489="1111")),TH!D4489,""),"")</f>
        <v/>
      </c>
      <c r="B4489" s="36" t="str">
        <f t="shared" si="525"/>
        <v/>
      </c>
      <c r="C4489" s="37"/>
      <c r="D4489" s="37"/>
      <c r="E4489" s="37"/>
      <c r="F4489" s="40"/>
      <c r="G4489" s="832"/>
      <c r="H4489" s="44"/>
      <c r="I4489" s="253"/>
      <c r="J4489" s="253"/>
      <c r="K4489" s="38"/>
      <c r="L4489" s="39"/>
      <c r="M4489" s="39"/>
      <c r="N4489" s="52" t="str">
        <f>IF(AND('331-CT'!$E$7=TH!H4489,OR(L4489="331",M4489="331")),"331",IF(AND(OR(L4489="131",M4489="131"),H4489='131-CT'!$E$7),"131",""))</f>
        <v/>
      </c>
      <c r="O4489" s="52" t="str">
        <f>IF(AND($B4489&gt;='111'!$N$11,$B4489&lt;='111'!$O$11,OR($L4489=$O$7,$M4489=$O$7)),"x","")</f>
        <v/>
      </c>
      <c r="P4489" s="52" t="str">
        <f>IF(AND($L4489=$O$7,$B4489&lt;'111'!$N$11),"x","")</f>
        <v/>
      </c>
      <c r="Q4489" s="52" t="str">
        <f>IF(AND($M4489=$O$7,$B4489&lt;'111'!$N$11),"x","")</f>
        <v/>
      </c>
      <c r="R4489" s="52" t="str">
        <f>IF(ISERROR(FIND('112'!$M$9,G4489,1)),"",IF((AND(FIND('112'!$M$9,G4489,1)&gt;=1,$B4489&gt;='112'!$N$8,$B4489&lt;='112'!$O$8,OR($L4489='112'!$I$6,$M4489='112'!$I$6))),"x",""))</f>
        <v/>
      </c>
      <c r="S4489" s="52" t="str">
        <f>IF(ISERROR(FIND('112'!$M$9,G4489,1)),"",IF((AND(LEFT(G4489,2)=LEFT('112'!$M$9,2),B4489&lt;'112'!$N$8,$L4489='112'!$I$6)),"x",""))</f>
        <v/>
      </c>
      <c r="T4489" s="52" t="str">
        <f>IF(ISERROR(FIND('112'!$M$9,G4489,1)),"",IF((AND(RIGHT(G4489,2)=RIGHT('112'!$M$9,2),B4489&lt;'112'!$N$8,$M4489='112'!$I$6)),"x",""))</f>
        <v/>
      </c>
      <c r="U4489" s="52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V4489" s="52" t="str">
        <f>IF(OR(TH!L4489=TH!$V$7,M4489=TH!$V$7),"x","")</f>
        <v/>
      </c>
      <c r="W4489" s="52" t="str">
        <f>IF(AND(B4489&gt;='IN-NX'!$P$3,B4489&lt;='IN-NX'!$Q$3,'IN-NX'!$D$7=D4489,OR(LEFT(L4489,2)="15",AND(LEFT(M4489,2)&lt;&gt;"15",LEFT(M4489,2)&lt;&gt;"33"))),"x","")</f>
        <v/>
      </c>
      <c r="X4489" s="52" t="str">
        <f>IF(AND(OR(LEFT(TH!L4489,2)="15",LEFT(TH!M4489,2)="15"),'152-CT'!$J$8=TH!F4489),"x","")</f>
        <v/>
      </c>
      <c r="Y4489" s="52" t="str">
        <f>IF(AND(OR(LEFT(TH!L4489,2)="15",LEFT(TH!M4489,2)="15"),TK!$E$7=TH!F4489),"x","")</f>
        <v/>
      </c>
      <c r="Z4489" s="52" t="str">
        <f>IF(AND(B4489&lt;=NKC!$N$8,B4489&gt;=NKC!$M$8),"x","")</f>
        <v/>
      </c>
      <c r="AA4489" s="826"/>
    </row>
    <row r="4491" spans="1:27">
      <c r="J4491" s="782"/>
    </row>
    <row r="4499" spans="11:11">
      <c r="K4499" s="469">
        <f>SUBTOTAL(9,K10:K4489)</f>
        <v>36855507507</v>
      </c>
    </row>
  </sheetData>
  <autoFilter ref="A9:AD4489"/>
  <sortState ref="A1140:AE1296">
    <sortCondition ref="C1140:C1296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06" customWidth="1"/>
    <col min="2" max="2" width="9.28515625" style="606" customWidth="1"/>
    <col min="3" max="3" width="10" style="606" customWidth="1"/>
    <col min="4" max="4" width="41.42578125" style="606" customWidth="1"/>
    <col min="5" max="5" width="6" style="606" customWidth="1"/>
    <col min="6" max="6" width="7.85546875" style="606" customWidth="1"/>
    <col min="7" max="7" width="8.5703125" style="606" customWidth="1"/>
    <col min="8" max="8" width="13.85546875" style="606" customWidth="1"/>
    <col min="9" max="9" width="14.140625" style="606" customWidth="1"/>
    <col min="10" max="11" width="9.140625" style="606"/>
    <col min="12" max="12" width="3.5703125" style="606" customWidth="1"/>
    <col min="13" max="256" width="9.140625" style="606"/>
    <col min="257" max="257" width="13" style="606" customWidth="1"/>
    <col min="258" max="258" width="9.140625" style="606"/>
    <col min="259" max="259" width="13" style="606" customWidth="1"/>
    <col min="260" max="260" width="29.7109375" style="606" customWidth="1"/>
    <col min="261" max="261" width="7.7109375" style="606" customWidth="1"/>
    <col min="262" max="262" width="6" style="606" customWidth="1"/>
    <col min="263" max="263" width="11.5703125" style="606" customWidth="1"/>
    <col min="264" max="264" width="13.42578125" style="606" customWidth="1"/>
    <col min="265" max="265" width="13.85546875" style="606" customWidth="1"/>
    <col min="266" max="512" width="9.140625" style="606"/>
    <col min="513" max="513" width="13" style="606" customWidth="1"/>
    <col min="514" max="514" width="9.140625" style="606"/>
    <col min="515" max="515" width="13" style="606" customWidth="1"/>
    <col min="516" max="516" width="29.7109375" style="606" customWidth="1"/>
    <col min="517" max="517" width="7.7109375" style="606" customWidth="1"/>
    <col min="518" max="518" width="6" style="606" customWidth="1"/>
    <col min="519" max="519" width="11.5703125" style="606" customWidth="1"/>
    <col min="520" max="520" width="13.42578125" style="606" customWidth="1"/>
    <col min="521" max="521" width="13.85546875" style="606" customWidth="1"/>
    <col min="522" max="768" width="9.140625" style="606"/>
    <col min="769" max="769" width="13" style="606" customWidth="1"/>
    <col min="770" max="770" width="9.140625" style="606"/>
    <col min="771" max="771" width="13" style="606" customWidth="1"/>
    <col min="772" max="772" width="29.7109375" style="606" customWidth="1"/>
    <col min="773" max="773" width="7.7109375" style="606" customWidth="1"/>
    <col min="774" max="774" width="6" style="606" customWidth="1"/>
    <col min="775" max="775" width="11.5703125" style="606" customWidth="1"/>
    <col min="776" max="776" width="13.42578125" style="606" customWidth="1"/>
    <col min="777" max="777" width="13.85546875" style="606" customWidth="1"/>
    <col min="778" max="1024" width="9.140625" style="606"/>
    <col min="1025" max="1025" width="13" style="606" customWidth="1"/>
    <col min="1026" max="1026" width="9.140625" style="606"/>
    <col min="1027" max="1027" width="13" style="606" customWidth="1"/>
    <col min="1028" max="1028" width="29.7109375" style="606" customWidth="1"/>
    <col min="1029" max="1029" width="7.7109375" style="606" customWidth="1"/>
    <col min="1030" max="1030" width="6" style="606" customWidth="1"/>
    <col min="1031" max="1031" width="11.5703125" style="606" customWidth="1"/>
    <col min="1032" max="1032" width="13.42578125" style="606" customWidth="1"/>
    <col min="1033" max="1033" width="13.85546875" style="606" customWidth="1"/>
    <col min="1034" max="1280" width="9.140625" style="606"/>
    <col min="1281" max="1281" width="13" style="606" customWidth="1"/>
    <col min="1282" max="1282" width="9.140625" style="606"/>
    <col min="1283" max="1283" width="13" style="606" customWidth="1"/>
    <col min="1284" max="1284" width="29.7109375" style="606" customWidth="1"/>
    <col min="1285" max="1285" width="7.7109375" style="606" customWidth="1"/>
    <col min="1286" max="1286" width="6" style="606" customWidth="1"/>
    <col min="1287" max="1287" width="11.5703125" style="606" customWidth="1"/>
    <col min="1288" max="1288" width="13.42578125" style="606" customWidth="1"/>
    <col min="1289" max="1289" width="13.85546875" style="606" customWidth="1"/>
    <col min="1290" max="1536" width="9.140625" style="606"/>
    <col min="1537" max="1537" width="13" style="606" customWidth="1"/>
    <col min="1538" max="1538" width="9.140625" style="606"/>
    <col min="1539" max="1539" width="13" style="606" customWidth="1"/>
    <col min="1540" max="1540" width="29.7109375" style="606" customWidth="1"/>
    <col min="1541" max="1541" width="7.7109375" style="606" customWidth="1"/>
    <col min="1542" max="1542" width="6" style="606" customWidth="1"/>
    <col min="1543" max="1543" width="11.5703125" style="606" customWidth="1"/>
    <col min="1544" max="1544" width="13.42578125" style="606" customWidth="1"/>
    <col min="1545" max="1545" width="13.85546875" style="606" customWidth="1"/>
    <col min="1546" max="1792" width="9.140625" style="606"/>
    <col min="1793" max="1793" width="13" style="606" customWidth="1"/>
    <col min="1794" max="1794" width="9.140625" style="606"/>
    <col min="1795" max="1795" width="13" style="606" customWidth="1"/>
    <col min="1796" max="1796" width="29.7109375" style="606" customWidth="1"/>
    <col min="1797" max="1797" width="7.7109375" style="606" customWidth="1"/>
    <col min="1798" max="1798" width="6" style="606" customWidth="1"/>
    <col min="1799" max="1799" width="11.5703125" style="606" customWidth="1"/>
    <col min="1800" max="1800" width="13.42578125" style="606" customWidth="1"/>
    <col min="1801" max="1801" width="13.85546875" style="606" customWidth="1"/>
    <col min="1802" max="2048" width="9.140625" style="606"/>
    <col min="2049" max="2049" width="13" style="606" customWidth="1"/>
    <col min="2050" max="2050" width="9.140625" style="606"/>
    <col min="2051" max="2051" width="13" style="606" customWidth="1"/>
    <col min="2052" max="2052" width="29.7109375" style="606" customWidth="1"/>
    <col min="2053" max="2053" width="7.7109375" style="606" customWidth="1"/>
    <col min="2054" max="2054" width="6" style="606" customWidth="1"/>
    <col min="2055" max="2055" width="11.5703125" style="606" customWidth="1"/>
    <col min="2056" max="2056" width="13.42578125" style="606" customWidth="1"/>
    <col min="2057" max="2057" width="13.85546875" style="606" customWidth="1"/>
    <col min="2058" max="2304" width="9.140625" style="606"/>
    <col min="2305" max="2305" width="13" style="606" customWidth="1"/>
    <col min="2306" max="2306" width="9.140625" style="606"/>
    <col min="2307" max="2307" width="13" style="606" customWidth="1"/>
    <col min="2308" max="2308" width="29.7109375" style="606" customWidth="1"/>
    <col min="2309" max="2309" width="7.7109375" style="606" customWidth="1"/>
    <col min="2310" max="2310" width="6" style="606" customWidth="1"/>
    <col min="2311" max="2311" width="11.5703125" style="606" customWidth="1"/>
    <col min="2312" max="2312" width="13.42578125" style="606" customWidth="1"/>
    <col min="2313" max="2313" width="13.85546875" style="606" customWidth="1"/>
    <col min="2314" max="2560" width="9.140625" style="606"/>
    <col min="2561" max="2561" width="13" style="606" customWidth="1"/>
    <col min="2562" max="2562" width="9.140625" style="606"/>
    <col min="2563" max="2563" width="13" style="606" customWidth="1"/>
    <col min="2564" max="2564" width="29.7109375" style="606" customWidth="1"/>
    <col min="2565" max="2565" width="7.7109375" style="606" customWidth="1"/>
    <col min="2566" max="2566" width="6" style="606" customWidth="1"/>
    <col min="2567" max="2567" width="11.5703125" style="606" customWidth="1"/>
    <col min="2568" max="2568" width="13.42578125" style="606" customWidth="1"/>
    <col min="2569" max="2569" width="13.85546875" style="606" customWidth="1"/>
    <col min="2570" max="2816" width="9.140625" style="606"/>
    <col min="2817" max="2817" width="13" style="606" customWidth="1"/>
    <col min="2818" max="2818" width="9.140625" style="606"/>
    <col min="2819" max="2819" width="13" style="606" customWidth="1"/>
    <col min="2820" max="2820" width="29.7109375" style="606" customWidth="1"/>
    <col min="2821" max="2821" width="7.7109375" style="606" customWidth="1"/>
    <col min="2822" max="2822" width="6" style="606" customWidth="1"/>
    <col min="2823" max="2823" width="11.5703125" style="606" customWidth="1"/>
    <col min="2824" max="2824" width="13.42578125" style="606" customWidth="1"/>
    <col min="2825" max="2825" width="13.85546875" style="606" customWidth="1"/>
    <col min="2826" max="3072" width="9.140625" style="606"/>
    <col min="3073" max="3073" width="13" style="606" customWidth="1"/>
    <col min="3074" max="3074" width="9.140625" style="606"/>
    <col min="3075" max="3075" width="13" style="606" customWidth="1"/>
    <col min="3076" max="3076" width="29.7109375" style="606" customWidth="1"/>
    <col min="3077" max="3077" width="7.7109375" style="606" customWidth="1"/>
    <col min="3078" max="3078" width="6" style="606" customWidth="1"/>
    <col min="3079" max="3079" width="11.5703125" style="606" customWidth="1"/>
    <col min="3080" max="3080" width="13.42578125" style="606" customWidth="1"/>
    <col min="3081" max="3081" width="13.85546875" style="606" customWidth="1"/>
    <col min="3082" max="3328" width="9.140625" style="606"/>
    <col min="3329" max="3329" width="13" style="606" customWidth="1"/>
    <col min="3330" max="3330" width="9.140625" style="606"/>
    <col min="3331" max="3331" width="13" style="606" customWidth="1"/>
    <col min="3332" max="3332" width="29.7109375" style="606" customWidth="1"/>
    <col min="3333" max="3333" width="7.7109375" style="606" customWidth="1"/>
    <col min="3334" max="3334" width="6" style="606" customWidth="1"/>
    <col min="3335" max="3335" width="11.5703125" style="606" customWidth="1"/>
    <col min="3336" max="3336" width="13.42578125" style="606" customWidth="1"/>
    <col min="3337" max="3337" width="13.85546875" style="606" customWidth="1"/>
    <col min="3338" max="3584" width="9.140625" style="606"/>
    <col min="3585" max="3585" width="13" style="606" customWidth="1"/>
    <col min="3586" max="3586" width="9.140625" style="606"/>
    <col min="3587" max="3587" width="13" style="606" customWidth="1"/>
    <col min="3588" max="3588" width="29.7109375" style="606" customWidth="1"/>
    <col min="3589" max="3589" width="7.7109375" style="606" customWidth="1"/>
    <col min="3590" max="3590" width="6" style="606" customWidth="1"/>
    <col min="3591" max="3591" width="11.5703125" style="606" customWidth="1"/>
    <col min="3592" max="3592" width="13.42578125" style="606" customWidth="1"/>
    <col min="3593" max="3593" width="13.85546875" style="606" customWidth="1"/>
    <col min="3594" max="3840" width="9.140625" style="606"/>
    <col min="3841" max="3841" width="13" style="606" customWidth="1"/>
    <col min="3842" max="3842" width="9.140625" style="606"/>
    <col min="3843" max="3843" width="13" style="606" customWidth="1"/>
    <col min="3844" max="3844" width="29.7109375" style="606" customWidth="1"/>
    <col min="3845" max="3845" width="7.7109375" style="606" customWidth="1"/>
    <col min="3846" max="3846" width="6" style="606" customWidth="1"/>
    <col min="3847" max="3847" width="11.5703125" style="606" customWidth="1"/>
    <col min="3848" max="3848" width="13.42578125" style="606" customWidth="1"/>
    <col min="3849" max="3849" width="13.85546875" style="606" customWidth="1"/>
    <col min="3850" max="4096" width="9.140625" style="606"/>
    <col min="4097" max="4097" width="13" style="606" customWidth="1"/>
    <col min="4098" max="4098" width="9.140625" style="606"/>
    <col min="4099" max="4099" width="13" style="606" customWidth="1"/>
    <col min="4100" max="4100" width="29.7109375" style="606" customWidth="1"/>
    <col min="4101" max="4101" width="7.7109375" style="606" customWidth="1"/>
    <col min="4102" max="4102" width="6" style="606" customWidth="1"/>
    <col min="4103" max="4103" width="11.5703125" style="606" customWidth="1"/>
    <col min="4104" max="4104" width="13.42578125" style="606" customWidth="1"/>
    <col min="4105" max="4105" width="13.85546875" style="606" customWidth="1"/>
    <col min="4106" max="4352" width="9.140625" style="606"/>
    <col min="4353" max="4353" width="13" style="606" customWidth="1"/>
    <col min="4354" max="4354" width="9.140625" style="606"/>
    <col min="4355" max="4355" width="13" style="606" customWidth="1"/>
    <col min="4356" max="4356" width="29.7109375" style="606" customWidth="1"/>
    <col min="4357" max="4357" width="7.7109375" style="606" customWidth="1"/>
    <col min="4358" max="4358" width="6" style="606" customWidth="1"/>
    <col min="4359" max="4359" width="11.5703125" style="606" customWidth="1"/>
    <col min="4360" max="4360" width="13.42578125" style="606" customWidth="1"/>
    <col min="4361" max="4361" width="13.85546875" style="606" customWidth="1"/>
    <col min="4362" max="4608" width="9.140625" style="606"/>
    <col min="4609" max="4609" width="13" style="606" customWidth="1"/>
    <col min="4610" max="4610" width="9.140625" style="606"/>
    <col min="4611" max="4611" width="13" style="606" customWidth="1"/>
    <col min="4612" max="4612" width="29.7109375" style="606" customWidth="1"/>
    <col min="4613" max="4613" width="7.7109375" style="606" customWidth="1"/>
    <col min="4614" max="4614" width="6" style="606" customWidth="1"/>
    <col min="4615" max="4615" width="11.5703125" style="606" customWidth="1"/>
    <col min="4616" max="4616" width="13.42578125" style="606" customWidth="1"/>
    <col min="4617" max="4617" width="13.85546875" style="606" customWidth="1"/>
    <col min="4618" max="4864" width="9.140625" style="606"/>
    <col min="4865" max="4865" width="13" style="606" customWidth="1"/>
    <col min="4866" max="4866" width="9.140625" style="606"/>
    <col min="4867" max="4867" width="13" style="606" customWidth="1"/>
    <col min="4868" max="4868" width="29.7109375" style="606" customWidth="1"/>
    <col min="4869" max="4869" width="7.7109375" style="606" customWidth="1"/>
    <col min="4870" max="4870" width="6" style="606" customWidth="1"/>
    <col min="4871" max="4871" width="11.5703125" style="606" customWidth="1"/>
    <col min="4872" max="4872" width="13.42578125" style="606" customWidth="1"/>
    <col min="4873" max="4873" width="13.85546875" style="606" customWidth="1"/>
    <col min="4874" max="5120" width="9.140625" style="606"/>
    <col min="5121" max="5121" width="13" style="606" customWidth="1"/>
    <col min="5122" max="5122" width="9.140625" style="606"/>
    <col min="5123" max="5123" width="13" style="606" customWidth="1"/>
    <col min="5124" max="5124" width="29.7109375" style="606" customWidth="1"/>
    <col min="5125" max="5125" width="7.7109375" style="606" customWidth="1"/>
    <col min="5126" max="5126" width="6" style="606" customWidth="1"/>
    <col min="5127" max="5127" width="11.5703125" style="606" customWidth="1"/>
    <col min="5128" max="5128" width="13.42578125" style="606" customWidth="1"/>
    <col min="5129" max="5129" width="13.85546875" style="606" customWidth="1"/>
    <col min="5130" max="5376" width="9.140625" style="606"/>
    <col min="5377" max="5377" width="13" style="606" customWidth="1"/>
    <col min="5378" max="5378" width="9.140625" style="606"/>
    <col min="5379" max="5379" width="13" style="606" customWidth="1"/>
    <col min="5380" max="5380" width="29.7109375" style="606" customWidth="1"/>
    <col min="5381" max="5381" width="7.7109375" style="606" customWidth="1"/>
    <col min="5382" max="5382" width="6" style="606" customWidth="1"/>
    <col min="5383" max="5383" width="11.5703125" style="606" customWidth="1"/>
    <col min="5384" max="5384" width="13.42578125" style="606" customWidth="1"/>
    <col min="5385" max="5385" width="13.85546875" style="606" customWidth="1"/>
    <col min="5386" max="5632" width="9.140625" style="606"/>
    <col min="5633" max="5633" width="13" style="606" customWidth="1"/>
    <col min="5634" max="5634" width="9.140625" style="606"/>
    <col min="5635" max="5635" width="13" style="606" customWidth="1"/>
    <col min="5636" max="5636" width="29.7109375" style="606" customWidth="1"/>
    <col min="5637" max="5637" width="7.7109375" style="606" customWidth="1"/>
    <col min="5638" max="5638" width="6" style="606" customWidth="1"/>
    <col min="5639" max="5639" width="11.5703125" style="606" customWidth="1"/>
    <col min="5640" max="5640" width="13.42578125" style="606" customWidth="1"/>
    <col min="5641" max="5641" width="13.85546875" style="606" customWidth="1"/>
    <col min="5642" max="5888" width="9.140625" style="606"/>
    <col min="5889" max="5889" width="13" style="606" customWidth="1"/>
    <col min="5890" max="5890" width="9.140625" style="606"/>
    <col min="5891" max="5891" width="13" style="606" customWidth="1"/>
    <col min="5892" max="5892" width="29.7109375" style="606" customWidth="1"/>
    <col min="5893" max="5893" width="7.7109375" style="606" customWidth="1"/>
    <col min="5894" max="5894" width="6" style="606" customWidth="1"/>
    <col min="5895" max="5895" width="11.5703125" style="606" customWidth="1"/>
    <col min="5896" max="5896" width="13.42578125" style="606" customWidth="1"/>
    <col min="5897" max="5897" width="13.85546875" style="606" customWidth="1"/>
    <col min="5898" max="6144" width="9.140625" style="606"/>
    <col min="6145" max="6145" width="13" style="606" customWidth="1"/>
    <col min="6146" max="6146" width="9.140625" style="606"/>
    <col min="6147" max="6147" width="13" style="606" customWidth="1"/>
    <col min="6148" max="6148" width="29.7109375" style="606" customWidth="1"/>
    <col min="6149" max="6149" width="7.7109375" style="606" customWidth="1"/>
    <col min="6150" max="6150" width="6" style="606" customWidth="1"/>
    <col min="6151" max="6151" width="11.5703125" style="606" customWidth="1"/>
    <col min="6152" max="6152" width="13.42578125" style="606" customWidth="1"/>
    <col min="6153" max="6153" width="13.85546875" style="606" customWidth="1"/>
    <col min="6154" max="6400" width="9.140625" style="606"/>
    <col min="6401" max="6401" width="13" style="606" customWidth="1"/>
    <col min="6402" max="6402" width="9.140625" style="606"/>
    <col min="6403" max="6403" width="13" style="606" customWidth="1"/>
    <col min="6404" max="6404" width="29.7109375" style="606" customWidth="1"/>
    <col min="6405" max="6405" width="7.7109375" style="606" customWidth="1"/>
    <col min="6406" max="6406" width="6" style="606" customWidth="1"/>
    <col min="6407" max="6407" width="11.5703125" style="606" customWidth="1"/>
    <col min="6408" max="6408" width="13.42578125" style="606" customWidth="1"/>
    <col min="6409" max="6409" width="13.85546875" style="606" customWidth="1"/>
    <col min="6410" max="6656" width="9.140625" style="606"/>
    <col min="6657" max="6657" width="13" style="606" customWidth="1"/>
    <col min="6658" max="6658" width="9.140625" style="606"/>
    <col min="6659" max="6659" width="13" style="606" customWidth="1"/>
    <col min="6660" max="6660" width="29.7109375" style="606" customWidth="1"/>
    <col min="6661" max="6661" width="7.7109375" style="606" customWidth="1"/>
    <col min="6662" max="6662" width="6" style="606" customWidth="1"/>
    <col min="6663" max="6663" width="11.5703125" style="606" customWidth="1"/>
    <col min="6664" max="6664" width="13.42578125" style="606" customWidth="1"/>
    <col min="6665" max="6665" width="13.85546875" style="606" customWidth="1"/>
    <col min="6666" max="6912" width="9.140625" style="606"/>
    <col min="6913" max="6913" width="13" style="606" customWidth="1"/>
    <col min="6914" max="6914" width="9.140625" style="606"/>
    <col min="6915" max="6915" width="13" style="606" customWidth="1"/>
    <col min="6916" max="6916" width="29.7109375" style="606" customWidth="1"/>
    <col min="6917" max="6917" width="7.7109375" style="606" customWidth="1"/>
    <col min="6918" max="6918" width="6" style="606" customWidth="1"/>
    <col min="6919" max="6919" width="11.5703125" style="606" customWidth="1"/>
    <col min="6920" max="6920" width="13.42578125" style="606" customWidth="1"/>
    <col min="6921" max="6921" width="13.85546875" style="606" customWidth="1"/>
    <col min="6922" max="7168" width="9.140625" style="606"/>
    <col min="7169" max="7169" width="13" style="606" customWidth="1"/>
    <col min="7170" max="7170" width="9.140625" style="606"/>
    <col min="7171" max="7171" width="13" style="606" customWidth="1"/>
    <col min="7172" max="7172" width="29.7109375" style="606" customWidth="1"/>
    <col min="7173" max="7173" width="7.7109375" style="606" customWidth="1"/>
    <col min="7174" max="7174" width="6" style="606" customWidth="1"/>
    <col min="7175" max="7175" width="11.5703125" style="606" customWidth="1"/>
    <col min="7176" max="7176" width="13.42578125" style="606" customWidth="1"/>
    <col min="7177" max="7177" width="13.85546875" style="606" customWidth="1"/>
    <col min="7178" max="7424" width="9.140625" style="606"/>
    <col min="7425" max="7425" width="13" style="606" customWidth="1"/>
    <col min="7426" max="7426" width="9.140625" style="606"/>
    <col min="7427" max="7427" width="13" style="606" customWidth="1"/>
    <col min="7428" max="7428" width="29.7109375" style="606" customWidth="1"/>
    <col min="7429" max="7429" width="7.7109375" style="606" customWidth="1"/>
    <col min="7430" max="7430" width="6" style="606" customWidth="1"/>
    <col min="7431" max="7431" width="11.5703125" style="606" customWidth="1"/>
    <col min="7432" max="7432" width="13.42578125" style="606" customWidth="1"/>
    <col min="7433" max="7433" width="13.85546875" style="606" customWidth="1"/>
    <col min="7434" max="7680" width="9.140625" style="606"/>
    <col min="7681" max="7681" width="13" style="606" customWidth="1"/>
    <col min="7682" max="7682" width="9.140625" style="606"/>
    <col min="7683" max="7683" width="13" style="606" customWidth="1"/>
    <col min="7684" max="7684" width="29.7109375" style="606" customWidth="1"/>
    <col min="7685" max="7685" width="7.7109375" style="606" customWidth="1"/>
    <col min="7686" max="7686" width="6" style="606" customWidth="1"/>
    <col min="7687" max="7687" width="11.5703125" style="606" customWidth="1"/>
    <col min="7688" max="7688" width="13.42578125" style="606" customWidth="1"/>
    <col min="7689" max="7689" width="13.85546875" style="606" customWidth="1"/>
    <col min="7690" max="7936" width="9.140625" style="606"/>
    <col min="7937" max="7937" width="13" style="606" customWidth="1"/>
    <col min="7938" max="7938" width="9.140625" style="606"/>
    <col min="7939" max="7939" width="13" style="606" customWidth="1"/>
    <col min="7940" max="7940" width="29.7109375" style="606" customWidth="1"/>
    <col min="7941" max="7941" width="7.7109375" style="606" customWidth="1"/>
    <col min="7942" max="7942" width="6" style="606" customWidth="1"/>
    <col min="7943" max="7943" width="11.5703125" style="606" customWidth="1"/>
    <col min="7944" max="7944" width="13.42578125" style="606" customWidth="1"/>
    <col min="7945" max="7945" width="13.85546875" style="606" customWidth="1"/>
    <col min="7946" max="8192" width="9.140625" style="606"/>
    <col min="8193" max="8193" width="13" style="606" customWidth="1"/>
    <col min="8194" max="8194" width="9.140625" style="606"/>
    <col min="8195" max="8195" width="13" style="606" customWidth="1"/>
    <col min="8196" max="8196" width="29.7109375" style="606" customWidth="1"/>
    <col min="8197" max="8197" width="7.7109375" style="606" customWidth="1"/>
    <col min="8198" max="8198" width="6" style="606" customWidth="1"/>
    <col min="8199" max="8199" width="11.5703125" style="606" customWidth="1"/>
    <col min="8200" max="8200" width="13.42578125" style="606" customWidth="1"/>
    <col min="8201" max="8201" width="13.85546875" style="606" customWidth="1"/>
    <col min="8202" max="8448" width="9.140625" style="606"/>
    <col min="8449" max="8449" width="13" style="606" customWidth="1"/>
    <col min="8450" max="8450" width="9.140625" style="606"/>
    <col min="8451" max="8451" width="13" style="606" customWidth="1"/>
    <col min="8452" max="8452" width="29.7109375" style="606" customWidth="1"/>
    <col min="8453" max="8453" width="7.7109375" style="606" customWidth="1"/>
    <col min="8454" max="8454" width="6" style="606" customWidth="1"/>
    <col min="8455" max="8455" width="11.5703125" style="606" customWidth="1"/>
    <col min="8456" max="8456" width="13.42578125" style="606" customWidth="1"/>
    <col min="8457" max="8457" width="13.85546875" style="606" customWidth="1"/>
    <col min="8458" max="8704" width="9.140625" style="606"/>
    <col min="8705" max="8705" width="13" style="606" customWidth="1"/>
    <col min="8706" max="8706" width="9.140625" style="606"/>
    <col min="8707" max="8707" width="13" style="606" customWidth="1"/>
    <col min="8708" max="8708" width="29.7109375" style="606" customWidth="1"/>
    <col min="8709" max="8709" width="7.7109375" style="606" customWidth="1"/>
    <col min="8710" max="8710" width="6" style="606" customWidth="1"/>
    <col min="8711" max="8711" width="11.5703125" style="606" customWidth="1"/>
    <col min="8712" max="8712" width="13.42578125" style="606" customWidth="1"/>
    <col min="8713" max="8713" width="13.85546875" style="606" customWidth="1"/>
    <col min="8714" max="8960" width="9.140625" style="606"/>
    <col min="8961" max="8961" width="13" style="606" customWidth="1"/>
    <col min="8962" max="8962" width="9.140625" style="606"/>
    <col min="8963" max="8963" width="13" style="606" customWidth="1"/>
    <col min="8964" max="8964" width="29.7109375" style="606" customWidth="1"/>
    <col min="8965" max="8965" width="7.7109375" style="606" customWidth="1"/>
    <col min="8966" max="8966" width="6" style="606" customWidth="1"/>
    <col min="8967" max="8967" width="11.5703125" style="606" customWidth="1"/>
    <col min="8968" max="8968" width="13.42578125" style="606" customWidth="1"/>
    <col min="8969" max="8969" width="13.85546875" style="606" customWidth="1"/>
    <col min="8970" max="9216" width="9.140625" style="606"/>
    <col min="9217" max="9217" width="13" style="606" customWidth="1"/>
    <col min="9218" max="9218" width="9.140625" style="606"/>
    <col min="9219" max="9219" width="13" style="606" customWidth="1"/>
    <col min="9220" max="9220" width="29.7109375" style="606" customWidth="1"/>
    <col min="9221" max="9221" width="7.7109375" style="606" customWidth="1"/>
    <col min="9222" max="9222" width="6" style="606" customWidth="1"/>
    <col min="9223" max="9223" width="11.5703125" style="606" customWidth="1"/>
    <col min="9224" max="9224" width="13.42578125" style="606" customWidth="1"/>
    <col min="9225" max="9225" width="13.85546875" style="606" customWidth="1"/>
    <col min="9226" max="9472" width="9.140625" style="606"/>
    <col min="9473" max="9473" width="13" style="606" customWidth="1"/>
    <col min="9474" max="9474" width="9.140625" style="606"/>
    <col min="9475" max="9475" width="13" style="606" customWidth="1"/>
    <col min="9476" max="9476" width="29.7109375" style="606" customWidth="1"/>
    <col min="9477" max="9477" width="7.7109375" style="606" customWidth="1"/>
    <col min="9478" max="9478" width="6" style="606" customWidth="1"/>
    <col min="9479" max="9479" width="11.5703125" style="606" customWidth="1"/>
    <col min="9480" max="9480" width="13.42578125" style="606" customWidth="1"/>
    <col min="9481" max="9481" width="13.85546875" style="606" customWidth="1"/>
    <col min="9482" max="9728" width="9.140625" style="606"/>
    <col min="9729" max="9729" width="13" style="606" customWidth="1"/>
    <col min="9730" max="9730" width="9.140625" style="606"/>
    <col min="9731" max="9731" width="13" style="606" customWidth="1"/>
    <col min="9732" max="9732" width="29.7109375" style="606" customWidth="1"/>
    <col min="9733" max="9733" width="7.7109375" style="606" customWidth="1"/>
    <col min="9734" max="9734" width="6" style="606" customWidth="1"/>
    <col min="9735" max="9735" width="11.5703125" style="606" customWidth="1"/>
    <col min="9736" max="9736" width="13.42578125" style="606" customWidth="1"/>
    <col min="9737" max="9737" width="13.85546875" style="606" customWidth="1"/>
    <col min="9738" max="9984" width="9.140625" style="606"/>
    <col min="9985" max="9985" width="13" style="606" customWidth="1"/>
    <col min="9986" max="9986" width="9.140625" style="606"/>
    <col min="9987" max="9987" width="13" style="606" customWidth="1"/>
    <col min="9988" max="9988" width="29.7109375" style="606" customWidth="1"/>
    <col min="9989" max="9989" width="7.7109375" style="606" customWidth="1"/>
    <col min="9990" max="9990" width="6" style="606" customWidth="1"/>
    <col min="9991" max="9991" width="11.5703125" style="606" customWidth="1"/>
    <col min="9992" max="9992" width="13.42578125" style="606" customWidth="1"/>
    <col min="9993" max="9993" width="13.85546875" style="606" customWidth="1"/>
    <col min="9994" max="10240" width="9.140625" style="606"/>
    <col min="10241" max="10241" width="13" style="606" customWidth="1"/>
    <col min="10242" max="10242" width="9.140625" style="606"/>
    <col min="10243" max="10243" width="13" style="606" customWidth="1"/>
    <col min="10244" max="10244" width="29.7109375" style="606" customWidth="1"/>
    <col min="10245" max="10245" width="7.7109375" style="606" customWidth="1"/>
    <col min="10246" max="10246" width="6" style="606" customWidth="1"/>
    <col min="10247" max="10247" width="11.5703125" style="606" customWidth="1"/>
    <col min="10248" max="10248" width="13.42578125" style="606" customWidth="1"/>
    <col min="10249" max="10249" width="13.85546875" style="606" customWidth="1"/>
    <col min="10250" max="10496" width="9.140625" style="606"/>
    <col min="10497" max="10497" width="13" style="606" customWidth="1"/>
    <col min="10498" max="10498" width="9.140625" style="606"/>
    <col min="10499" max="10499" width="13" style="606" customWidth="1"/>
    <col min="10500" max="10500" width="29.7109375" style="606" customWidth="1"/>
    <col min="10501" max="10501" width="7.7109375" style="606" customWidth="1"/>
    <col min="10502" max="10502" width="6" style="606" customWidth="1"/>
    <col min="10503" max="10503" width="11.5703125" style="606" customWidth="1"/>
    <col min="10504" max="10504" width="13.42578125" style="606" customWidth="1"/>
    <col min="10505" max="10505" width="13.85546875" style="606" customWidth="1"/>
    <col min="10506" max="10752" width="9.140625" style="606"/>
    <col min="10753" max="10753" width="13" style="606" customWidth="1"/>
    <col min="10754" max="10754" width="9.140625" style="606"/>
    <col min="10755" max="10755" width="13" style="606" customWidth="1"/>
    <col min="10756" max="10756" width="29.7109375" style="606" customWidth="1"/>
    <col min="10757" max="10757" width="7.7109375" style="606" customWidth="1"/>
    <col min="10758" max="10758" width="6" style="606" customWidth="1"/>
    <col min="10759" max="10759" width="11.5703125" style="606" customWidth="1"/>
    <col min="10760" max="10760" width="13.42578125" style="606" customWidth="1"/>
    <col min="10761" max="10761" width="13.85546875" style="606" customWidth="1"/>
    <col min="10762" max="11008" width="9.140625" style="606"/>
    <col min="11009" max="11009" width="13" style="606" customWidth="1"/>
    <col min="11010" max="11010" width="9.140625" style="606"/>
    <col min="11011" max="11011" width="13" style="606" customWidth="1"/>
    <col min="11012" max="11012" width="29.7109375" style="606" customWidth="1"/>
    <col min="11013" max="11013" width="7.7109375" style="606" customWidth="1"/>
    <col min="11014" max="11014" width="6" style="606" customWidth="1"/>
    <col min="11015" max="11015" width="11.5703125" style="606" customWidth="1"/>
    <col min="11016" max="11016" width="13.42578125" style="606" customWidth="1"/>
    <col min="11017" max="11017" width="13.85546875" style="606" customWidth="1"/>
    <col min="11018" max="11264" width="9.140625" style="606"/>
    <col min="11265" max="11265" width="13" style="606" customWidth="1"/>
    <col min="11266" max="11266" width="9.140625" style="606"/>
    <col min="11267" max="11267" width="13" style="606" customWidth="1"/>
    <col min="11268" max="11268" width="29.7109375" style="606" customWidth="1"/>
    <col min="11269" max="11269" width="7.7109375" style="606" customWidth="1"/>
    <col min="11270" max="11270" width="6" style="606" customWidth="1"/>
    <col min="11271" max="11271" width="11.5703125" style="606" customWidth="1"/>
    <col min="11272" max="11272" width="13.42578125" style="606" customWidth="1"/>
    <col min="11273" max="11273" width="13.85546875" style="606" customWidth="1"/>
    <col min="11274" max="11520" width="9.140625" style="606"/>
    <col min="11521" max="11521" width="13" style="606" customWidth="1"/>
    <col min="11522" max="11522" width="9.140625" style="606"/>
    <col min="11523" max="11523" width="13" style="606" customWidth="1"/>
    <col min="11524" max="11524" width="29.7109375" style="606" customWidth="1"/>
    <col min="11525" max="11525" width="7.7109375" style="606" customWidth="1"/>
    <col min="11526" max="11526" width="6" style="606" customWidth="1"/>
    <col min="11527" max="11527" width="11.5703125" style="606" customWidth="1"/>
    <col min="11528" max="11528" width="13.42578125" style="606" customWidth="1"/>
    <col min="11529" max="11529" width="13.85546875" style="606" customWidth="1"/>
    <col min="11530" max="11776" width="9.140625" style="606"/>
    <col min="11777" max="11777" width="13" style="606" customWidth="1"/>
    <col min="11778" max="11778" width="9.140625" style="606"/>
    <col min="11779" max="11779" width="13" style="606" customWidth="1"/>
    <col min="11780" max="11780" width="29.7109375" style="606" customWidth="1"/>
    <col min="11781" max="11781" width="7.7109375" style="606" customWidth="1"/>
    <col min="11782" max="11782" width="6" style="606" customWidth="1"/>
    <col min="11783" max="11783" width="11.5703125" style="606" customWidth="1"/>
    <col min="11784" max="11784" width="13.42578125" style="606" customWidth="1"/>
    <col min="11785" max="11785" width="13.85546875" style="606" customWidth="1"/>
    <col min="11786" max="12032" width="9.140625" style="606"/>
    <col min="12033" max="12033" width="13" style="606" customWidth="1"/>
    <col min="12034" max="12034" width="9.140625" style="606"/>
    <col min="12035" max="12035" width="13" style="606" customWidth="1"/>
    <col min="12036" max="12036" width="29.7109375" style="606" customWidth="1"/>
    <col min="12037" max="12037" width="7.7109375" style="606" customWidth="1"/>
    <col min="12038" max="12038" width="6" style="606" customWidth="1"/>
    <col min="12039" max="12039" width="11.5703125" style="606" customWidth="1"/>
    <col min="12040" max="12040" width="13.42578125" style="606" customWidth="1"/>
    <col min="12041" max="12041" width="13.85546875" style="606" customWidth="1"/>
    <col min="12042" max="12288" width="9.140625" style="606"/>
    <col min="12289" max="12289" width="13" style="606" customWidth="1"/>
    <col min="12290" max="12290" width="9.140625" style="606"/>
    <col min="12291" max="12291" width="13" style="606" customWidth="1"/>
    <col min="12292" max="12292" width="29.7109375" style="606" customWidth="1"/>
    <col min="12293" max="12293" width="7.7109375" style="606" customWidth="1"/>
    <col min="12294" max="12294" width="6" style="606" customWidth="1"/>
    <col min="12295" max="12295" width="11.5703125" style="606" customWidth="1"/>
    <col min="12296" max="12296" width="13.42578125" style="606" customWidth="1"/>
    <col min="12297" max="12297" width="13.85546875" style="606" customWidth="1"/>
    <col min="12298" max="12544" width="9.140625" style="606"/>
    <col min="12545" max="12545" width="13" style="606" customWidth="1"/>
    <col min="12546" max="12546" width="9.140625" style="606"/>
    <col min="12547" max="12547" width="13" style="606" customWidth="1"/>
    <col min="12548" max="12548" width="29.7109375" style="606" customWidth="1"/>
    <col min="12549" max="12549" width="7.7109375" style="606" customWidth="1"/>
    <col min="12550" max="12550" width="6" style="606" customWidth="1"/>
    <col min="12551" max="12551" width="11.5703125" style="606" customWidth="1"/>
    <col min="12552" max="12552" width="13.42578125" style="606" customWidth="1"/>
    <col min="12553" max="12553" width="13.85546875" style="606" customWidth="1"/>
    <col min="12554" max="12800" width="9.140625" style="606"/>
    <col min="12801" max="12801" width="13" style="606" customWidth="1"/>
    <col min="12802" max="12802" width="9.140625" style="606"/>
    <col min="12803" max="12803" width="13" style="606" customWidth="1"/>
    <col min="12804" max="12804" width="29.7109375" style="606" customWidth="1"/>
    <col min="12805" max="12805" width="7.7109375" style="606" customWidth="1"/>
    <col min="12806" max="12806" width="6" style="606" customWidth="1"/>
    <col min="12807" max="12807" width="11.5703125" style="606" customWidth="1"/>
    <col min="12808" max="12808" width="13.42578125" style="606" customWidth="1"/>
    <col min="12809" max="12809" width="13.85546875" style="606" customWidth="1"/>
    <col min="12810" max="13056" width="9.140625" style="606"/>
    <col min="13057" max="13057" width="13" style="606" customWidth="1"/>
    <col min="13058" max="13058" width="9.140625" style="606"/>
    <col min="13059" max="13059" width="13" style="606" customWidth="1"/>
    <col min="13060" max="13060" width="29.7109375" style="606" customWidth="1"/>
    <col min="13061" max="13061" width="7.7109375" style="606" customWidth="1"/>
    <col min="13062" max="13062" width="6" style="606" customWidth="1"/>
    <col min="13063" max="13063" width="11.5703125" style="606" customWidth="1"/>
    <col min="13064" max="13064" width="13.42578125" style="606" customWidth="1"/>
    <col min="13065" max="13065" width="13.85546875" style="606" customWidth="1"/>
    <col min="13066" max="13312" width="9.140625" style="606"/>
    <col min="13313" max="13313" width="13" style="606" customWidth="1"/>
    <col min="13314" max="13314" width="9.140625" style="606"/>
    <col min="13315" max="13315" width="13" style="606" customWidth="1"/>
    <col min="13316" max="13316" width="29.7109375" style="606" customWidth="1"/>
    <col min="13317" max="13317" width="7.7109375" style="606" customWidth="1"/>
    <col min="13318" max="13318" width="6" style="606" customWidth="1"/>
    <col min="13319" max="13319" width="11.5703125" style="606" customWidth="1"/>
    <col min="13320" max="13320" width="13.42578125" style="606" customWidth="1"/>
    <col min="13321" max="13321" width="13.85546875" style="606" customWidth="1"/>
    <col min="13322" max="13568" width="9.140625" style="606"/>
    <col min="13569" max="13569" width="13" style="606" customWidth="1"/>
    <col min="13570" max="13570" width="9.140625" style="606"/>
    <col min="13571" max="13571" width="13" style="606" customWidth="1"/>
    <col min="13572" max="13572" width="29.7109375" style="606" customWidth="1"/>
    <col min="13573" max="13573" width="7.7109375" style="606" customWidth="1"/>
    <col min="13574" max="13574" width="6" style="606" customWidth="1"/>
    <col min="13575" max="13575" width="11.5703125" style="606" customWidth="1"/>
    <col min="13576" max="13576" width="13.42578125" style="606" customWidth="1"/>
    <col min="13577" max="13577" width="13.85546875" style="606" customWidth="1"/>
    <col min="13578" max="13824" width="9.140625" style="606"/>
    <col min="13825" max="13825" width="13" style="606" customWidth="1"/>
    <col min="13826" max="13826" width="9.140625" style="606"/>
    <col min="13827" max="13827" width="13" style="606" customWidth="1"/>
    <col min="13828" max="13828" width="29.7109375" style="606" customWidth="1"/>
    <col min="13829" max="13829" width="7.7109375" style="606" customWidth="1"/>
    <col min="13830" max="13830" width="6" style="606" customWidth="1"/>
    <col min="13831" max="13831" width="11.5703125" style="606" customWidth="1"/>
    <col min="13832" max="13832" width="13.42578125" style="606" customWidth="1"/>
    <col min="13833" max="13833" width="13.85546875" style="606" customWidth="1"/>
    <col min="13834" max="14080" width="9.140625" style="606"/>
    <col min="14081" max="14081" width="13" style="606" customWidth="1"/>
    <col min="14082" max="14082" width="9.140625" style="606"/>
    <col min="14083" max="14083" width="13" style="606" customWidth="1"/>
    <col min="14084" max="14084" width="29.7109375" style="606" customWidth="1"/>
    <col min="14085" max="14085" width="7.7109375" style="606" customWidth="1"/>
    <col min="14086" max="14086" width="6" style="606" customWidth="1"/>
    <col min="14087" max="14087" width="11.5703125" style="606" customWidth="1"/>
    <col min="14088" max="14088" width="13.42578125" style="606" customWidth="1"/>
    <col min="14089" max="14089" width="13.85546875" style="606" customWidth="1"/>
    <col min="14090" max="14336" width="9.140625" style="606"/>
    <col min="14337" max="14337" width="13" style="606" customWidth="1"/>
    <col min="14338" max="14338" width="9.140625" style="606"/>
    <col min="14339" max="14339" width="13" style="606" customWidth="1"/>
    <col min="14340" max="14340" width="29.7109375" style="606" customWidth="1"/>
    <col min="14341" max="14341" width="7.7109375" style="606" customWidth="1"/>
    <col min="14342" max="14342" width="6" style="606" customWidth="1"/>
    <col min="14343" max="14343" width="11.5703125" style="606" customWidth="1"/>
    <col min="14344" max="14344" width="13.42578125" style="606" customWidth="1"/>
    <col min="14345" max="14345" width="13.85546875" style="606" customWidth="1"/>
    <col min="14346" max="14592" width="9.140625" style="606"/>
    <col min="14593" max="14593" width="13" style="606" customWidth="1"/>
    <col min="14594" max="14594" width="9.140625" style="606"/>
    <col min="14595" max="14595" width="13" style="606" customWidth="1"/>
    <col min="14596" max="14596" width="29.7109375" style="606" customWidth="1"/>
    <col min="14597" max="14597" width="7.7109375" style="606" customWidth="1"/>
    <col min="14598" max="14598" width="6" style="606" customWidth="1"/>
    <col min="14599" max="14599" width="11.5703125" style="606" customWidth="1"/>
    <col min="14600" max="14600" width="13.42578125" style="606" customWidth="1"/>
    <col min="14601" max="14601" width="13.85546875" style="606" customWidth="1"/>
    <col min="14602" max="14848" width="9.140625" style="606"/>
    <col min="14849" max="14849" width="13" style="606" customWidth="1"/>
    <col min="14850" max="14850" width="9.140625" style="606"/>
    <col min="14851" max="14851" width="13" style="606" customWidth="1"/>
    <col min="14852" max="14852" width="29.7109375" style="606" customWidth="1"/>
    <col min="14853" max="14853" width="7.7109375" style="606" customWidth="1"/>
    <col min="14854" max="14854" width="6" style="606" customWidth="1"/>
    <col min="14855" max="14855" width="11.5703125" style="606" customWidth="1"/>
    <col min="14856" max="14856" width="13.42578125" style="606" customWidth="1"/>
    <col min="14857" max="14857" width="13.85546875" style="606" customWidth="1"/>
    <col min="14858" max="15104" width="9.140625" style="606"/>
    <col min="15105" max="15105" width="13" style="606" customWidth="1"/>
    <col min="15106" max="15106" width="9.140625" style="606"/>
    <col min="15107" max="15107" width="13" style="606" customWidth="1"/>
    <col min="15108" max="15108" width="29.7109375" style="606" customWidth="1"/>
    <col min="15109" max="15109" width="7.7109375" style="606" customWidth="1"/>
    <col min="15110" max="15110" width="6" style="606" customWidth="1"/>
    <col min="15111" max="15111" width="11.5703125" style="606" customWidth="1"/>
    <col min="15112" max="15112" width="13.42578125" style="606" customWidth="1"/>
    <col min="15113" max="15113" width="13.85546875" style="606" customWidth="1"/>
    <col min="15114" max="15360" width="9.140625" style="606"/>
    <col min="15361" max="15361" width="13" style="606" customWidth="1"/>
    <col min="15362" max="15362" width="9.140625" style="606"/>
    <col min="15363" max="15363" width="13" style="606" customWidth="1"/>
    <col min="15364" max="15364" width="29.7109375" style="606" customWidth="1"/>
    <col min="15365" max="15365" width="7.7109375" style="606" customWidth="1"/>
    <col min="15366" max="15366" width="6" style="606" customWidth="1"/>
    <col min="15367" max="15367" width="11.5703125" style="606" customWidth="1"/>
    <col min="15368" max="15368" width="13.42578125" style="606" customWidth="1"/>
    <col min="15369" max="15369" width="13.85546875" style="606" customWidth="1"/>
    <col min="15370" max="15616" width="9.140625" style="606"/>
    <col min="15617" max="15617" width="13" style="606" customWidth="1"/>
    <col min="15618" max="15618" width="9.140625" style="606"/>
    <col min="15619" max="15619" width="13" style="606" customWidth="1"/>
    <col min="15620" max="15620" width="29.7109375" style="606" customWidth="1"/>
    <col min="15621" max="15621" width="7.7109375" style="606" customWidth="1"/>
    <col min="15622" max="15622" width="6" style="606" customWidth="1"/>
    <col min="15623" max="15623" width="11.5703125" style="606" customWidth="1"/>
    <col min="15624" max="15624" width="13.42578125" style="606" customWidth="1"/>
    <col min="15625" max="15625" width="13.85546875" style="606" customWidth="1"/>
    <col min="15626" max="15872" width="9.140625" style="606"/>
    <col min="15873" max="15873" width="13" style="606" customWidth="1"/>
    <col min="15874" max="15874" width="9.140625" style="606"/>
    <col min="15875" max="15875" width="13" style="606" customWidth="1"/>
    <col min="15876" max="15876" width="29.7109375" style="606" customWidth="1"/>
    <col min="15877" max="15877" width="7.7109375" style="606" customWidth="1"/>
    <col min="15878" max="15878" width="6" style="606" customWidth="1"/>
    <col min="15879" max="15879" width="11.5703125" style="606" customWidth="1"/>
    <col min="15880" max="15880" width="13.42578125" style="606" customWidth="1"/>
    <col min="15881" max="15881" width="13.85546875" style="606" customWidth="1"/>
    <col min="15882" max="16128" width="9.140625" style="606"/>
    <col min="16129" max="16129" width="13" style="606" customWidth="1"/>
    <col min="16130" max="16130" width="9.140625" style="606"/>
    <col min="16131" max="16131" width="13" style="606" customWidth="1"/>
    <col min="16132" max="16132" width="29.7109375" style="606" customWidth="1"/>
    <col min="16133" max="16133" width="7.7109375" style="606" customWidth="1"/>
    <col min="16134" max="16134" width="6" style="606" customWidth="1"/>
    <col min="16135" max="16135" width="11.5703125" style="606" customWidth="1"/>
    <col min="16136" max="16136" width="13.42578125" style="606" customWidth="1"/>
    <col min="16137" max="16137" width="13.85546875" style="606" customWidth="1"/>
    <col min="16138" max="16384" width="9.140625" style="606"/>
  </cols>
  <sheetData>
    <row r="1" spans="1:14">
      <c r="A1" s="605" t="str">
        <f>TH!A1</f>
        <v>Đơn vị: CÔNG TY TNHH MỘT THÀNH VIÊN KHỞI NGUYÊN AN</v>
      </c>
      <c r="F1" s="978" t="s">
        <v>325</v>
      </c>
      <c r="G1" s="978"/>
      <c r="H1" s="978"/>
      <c r="I1" s="978"/>
    </row>
    <row r="2" spans="1:14">
      <c r="A2" s="606" t="str">
        <f>TH!A2</f>
        <v>Địa chỉ: Thửa đất số 144, tờ bản đồ số 12TĐH.1, tổ 1, khu phố Đông Tác, Phường Tân Đông Hiệp, Thị Xã Dĩ An, Tỉnh Bình Dương, Việt Nam</v>
      </c>
      <c r="F2" s="977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77"/>
      <c r="H2" s="977"/>
      <c r="I2" s="977"/>
    </row>
    <row r="3" spans="1:14">
      <c r="F3" s="977"/>
      <c r="G3" s="977"/>
      <c r="H3" s="977"/>
      <c r="I3" s="977"/>
    </row>
    <row r="4" spans="1:14">
      <c r="H4" s="607"/>
      <c r="I4" s="607"/>
    </row>
    <row r="5" spans="1:14" ht="26.25" customHeight="1">
      <c r="B5" s="608"/>
      <c r="C5" s="608"/>
      <c r="D5" s="609" t="s">
        <v>326</v>
      </c>
      <c r="E5" s="608"/>
      <c r="F5" s="608"/>
      <c r="G5" s="608"/>
      <c r="H5" s="608"/>
      <c r="I5" s="608"/>
      <c r="J5" s="608"/>
      <c r="K5" s="608"/>
    </row>
    <row r="6" spans="1:14">
      <c r="B6" s="610"/>
      <c r="C6" s="610"/>
      <c r="D6" s="611" t="str">
        <f ca="1">$K$9&amp;"   -   Năm:  " &amp;YEAR(A11)</f>
        <v>Quý III   -   Năm:  2016</v>
      </c>
      <c r="E6" s="610"/>
      <c r="F6" s="610"/>
      <c r="G6" s="610"/>
      <c r="H6" s="610"/>
      <c r="I6" s="610"/>
      <c r="J6" s="610"/>
      <c r="K6" s="610"/>
    </row>
    <row r="7" spans="1:14">
      <c r="A7" s="612"/>
      <c r="B7" s="612"/>
      <c r="C7" s="612"/>
      <c r="D7" s="612"/>
      <c r="E7" s="612"/>
      <c r="F7" s="612"/>
      <c r="G7" s="612"/>
      <c r="H7" s="981" t="s">
        <v>123</v>
      </c>
      <c r="I7" s="981"/>
      <c r="J7" s="612"/>
      <c r="K7" s="612"/>
      <c r="M7" s="980" t="s">
        <v>318</v>
      </c>
      <c r="N7" s="980"/>
    </row>
    <row r="8" spans="1:14" s="794" customFormat="1" ht="23.25" customHeight="1" thickBot="1">
      <c r="A8" s="971" t="s">
        <v>327</v>
      </c>
      <c r="B8" s="973" t="s">
        <v>1</v>
      </c>
      <c r="C8" s="974"/>
      <c r="D8" s="975" t="s">
        <v>0</v>
      </c>
      <c r="E8" s="971" t="s">
        <v>328</v>
      </c>
      <c r="F8" s="979" t="s">
        <v>94</v>
      </c>
      <c r="G8" s="979"/>
      <c r="H8" s="973" t="s">
        <v>21</v>
      </c>
      <c r="I8" s="974"/>
      <c r="J8" s="793"/>
      <c r="K8" s="793"/>
      <c r="M8" s="795">
        <f>IF(K9="Quý I",1,IF(K9="Quý II",4,IF(K9="Quý III",7,IF(K9="Quý IV",10,""))))</f>
        <v>7</v>
      </c>
      <c r="N8" s="795">
        <f>IF(K9="Quý I",3,IF(K9="Quý II",6,IF(K9="Quý III",9,IF(K9="Quý IV",12,""))))</f>
        <v>9</v>
      </c>
    </row>
    <row r="9" spans="1:14" s="794" customFormat="1" ht="28.5" customHeight="1" thickBot="1">
      <c r="A9" s="972"/>
      <c r="B9" s="796" t="s">
        <v>15</v>
      </c>
      <c r="C9" s="796" t="s">
        <v>32</v>
      </c>
      <c r="D9" s="976"/>
      <c r="E9" s="972"/>
      <c r="F9" s="797" t="s">
        <v>22</v>
      </c>
      <c r="G9" s="797" t="s">
        <v>23</v>
      </c>
      <c r="H9" s="796" t="s">
        <v>329</v>
      </c>
      <c r="I9" s="796" t="s">
        <v>23</v>
      </c>
      <c r="K9" s="706" t="s">
        <v>397</v>
      </c>
    </row>
    <row r="10" spans="1:14" s="794" customFormat="1" ht="21" customHeight="1">
      <c r="A10" s="798"/>
      <c r="B10" s="798"/>
      <c r="C10" s="798"/>
      <c r="D10" s="799" t="s">
        <v>332</v>
      </c>
      <c r="E10" s="800"/>
      <c r="F10" s="798"/>
      <c r="G10" s="798"/>
      <c r="H10" s="801">
        <f>SUMIF(_M,"&lt;"&amp;$M$8,TH)</f>
        <v>16035830567.9</v>
      </c>
      <c r="I10" s="801">
        <f>SUMIF(_M,"&lt;"&amp;$M$8,TH)</f>
        <v>16035830567.9</v>
      </c>
    </row>
    <row r="11" spans="1:14" s="794" customFormat="1" ht="21" customHeight="1">
      <c r="A11" s="802">
        <f ca="1">IF(ROWS($1:1)&gt;COUNT(Dong6),"",OFFSET(TH!C$1,SMALL(Dong6,ROWS($1:1)),))</f>
        <v>42552</v>
      </c>
      <c r="B11" s="803" t="str">
        <f ca="1">IF(ROWS($1:1)&gt;COUNT(Dong6),"",OFFSET(TH!D$1,SMALL(Dong6,ROWS($1:1)),))</f>
        <v>GBC</v>
      </c>
      <c r="C11" s="802">
        <f ca="1">IF(ROWS($1:1)&gt;COUNT(Dong6),"",OFFSET(TH!E$1,SMALL(Dong6,ROWS($1:1)),))</f>
        <v>42552</v>
      </c>
      <c r="D11" s="804" t="str">
        <f ca="1">IF(ROWS($1:1)&gt;COUNT(Dong6),"",OFFSET(TH!F$1,SMALL(Dong6,ROWS($1:1)),))</f>
        <v>Nộp tiền mặt vào tài khoản</v>
      </c>
      <c r="E11" s="803">
        <f t="shared" ref="E11:E40" ca="1" si="0">IF(D11&lt;&gt;"",ROW()-10,"")</f>
        <v>1</v>
      </c>
      <c r="F11" s="805" t="str">
        <f ca="1">IF(ROWS($1:1)&gt;COUNT(Dong6),"",OFFSET(TH!L$1,SMALL(Dong6,ROWS($1:1)),))</f>
        <v>1121</v>
      </c>
      <c r="G11" s="805" t="str">
        <f ca="1">IF(ROWS($1:1)&gt;COUNT(Dong6),"",OFFSET(TH!M$1,SMALL(Dong6,ROWS($1:1)),))</f>
        <v>1111</v>
      </c>
      <c r="H11" s="691">
        <f ca="1">IF(ROWS($1:1)&gt;COUNT(Dong6),"",OFFSET(TH!K$1,SMALL(Dong6,ROWS($1:1)),))</f>
        <v>4470000</v>
      </c>
      <c r="I11" s="691">
        <f ca="1">IF(ROWS($1:1)&gt;COUNT(Dong6),"",OFFSET(TH!K$1,SMALL(Dong6,ROWS($1:1)),))</f>
        <v>4470000</v>
      </c>
    </row>
    <row r="12" spans="1:14" s="794" customFormat="1" ht="21" customHeight="1">
      <c r="A12" s="802">
        <f ca="1">IF(ROWS($1:2)&gt;COUNT(Dong6),"",OFFSET(TH!C$1,SMALL(Dong6,ROWS($1:2)),))</f>
        <v>42557</v>
      </c>
      <c r="B12" s="803" t="str">
        <f ca="1">IF(ROWS($1:2)&gt;COUNT(Dong6),"",OFFSET(TH!D$1,SMALL(Dong6,ROWS($1:2)),))</f>
        <v>GBC</v>
      </c>
      <c r="C12" s="802">
        <f ca="1">IF(ROWS($1:2)&gt;COUNT(Dong6),"",OFFSET(TH!E$1,SMALL(Dong6,ROWS($1:2)),))</f>
        <v>42557</v>
      </c>
      <c r="D12" s="804" t="str">
        <f ca="1">IF(ROWS($1:2)&gt;COUNT(Dong6),"",OFFSET(TH!F$1,SMALL(Dong6,ROWS($1:2)),))</f>
        <v>Nộp tiền mặt vào tài khoản</v>
      </c>
      <c r="E12" s="803">
        <f t="shared" ca="1" si="0"/>
        <v>2</v>
      </c>
      <c r="F12" s="805" t="str">
        <f ca="1">IF(ROWS($1:2)&gt;COUNT(Dong6),"",OFFSET(TH!L$1,SMALL(Dong6,ROWS($1:2)),))</f>
        <v>1121</v>
      </c>
      <c r="G12" s="805" t="str">
        <f ca="1">IF(ROWS($1:2)&gt;COUNT(Dong6),"",OFFSET(TH!M$1,SMALL(Dong6,ROWS($1:2)),))</f>
        <v>1111</v>
      </c>
      <c r="H12" s="691">
        <f ca="1">IF(ROWS($1:2)&gt;COUNT(Dong6),"",OFFSET(TH!K$1,SMALL(Dong6,ROWS($1:2)),))</f>
        <v>454380000</v>
      </c>
      <c r="I12" s="691">
        <f ca="1">IF(ROWS($1:2)&gt;COUNT(Dong6),"",OFFSET(TH!K$1,SMALL(Dong6,ROWS($1:2)),))</f>
        <v>454380000</v>
      </c>
    </row>
    <row r="13" spans="1:14" s="794" customFormat="1" ht="21" customHeight="1">
      <c r="A13" s="802">
        <f ca="1">IF(ROWS($1:3)&gt;COUNT(Dong6),"",OFFSET(TH!C$1,SMALL(Dong6,ROWS($1:3)),))</f>
        <v>42557</v>
      </c>
      <c r="B13" s="803" t="str">
        <f ca="1">IF(ROWS($1:3)&gt;COUNT(Dong6),"",OFFSET(TH!D$1,SMALL(Dong6,ROWS($1:3)),))</f>
        <v>GBC</v>
      </c>
      <c r="C13" s="802">
        <f ca="1">IF(ROWS($1:3)&gt;COUNT(Dong6),"",OFFSET(TH!E$1,SMALL(Dong6,ROWS($1:3)),))</f>
        <v>42557</v>
      </c>
      <c r="D13" s="804" t="str">
        <f ca="1">IF(ROWS($1:3)&gt;COUNT(Dong6),"",OFFSET(TH!F$1,SMALL(Dong6,ROWS($1:3)),))</f>
        <v>Nộp tiền mặt vào tài khoản</v>
      </c>
      <c r="E13" s="803">
        <f t="shared" ca="1" si="0"/>
        <v>3</v>
      </c>
      <c r="F13" s="805" t="str">
        <f ca="1">IF(ROWS($1:3)&gt;COUNT(Dong6),"",OFFSET(TH!L$1,SMALL(Dong6,ROWS($1:3)),))</f>
        <v>1121</v>
      </c>
      <c r="G13" s="805" t="str">
        <f ca="1">IF(ROWS($1:3)&gt;COUNT(Dong6),"",OFFSET(TH!M$1,SMALL(Dong6,ROWS($1:3)),))</f>
        <v>1111</v>
      </c>
      <c r="H13" s="691">
        <f ca="1">IF(ROWS($1:3)&gt;COUNT(Dong6),"",OFFSET(TH!K$1,SMALL(Dong6,ROWS($1:3)),))</f>
        <v>170000</v>
      </c>
      <c r="I13" s="691">
        <f ca="1">IF(ROWS($1:3)&gt;COUNT(Dong6),"",OFFSET(TH!K$1,SMALL(Dong6,ROWS($1:3)),))</f>
        <v>170000</v>
      </c>
    </row>
    <row r="14" spans="1:14" s="794" customFormat="1" ht="21" customHeight="1">
      <c r="A14" s="802">
        <f ca="1">IF(ROWS($1:4)&gt;COUNT(Dong6),"",OFFSET(TH!C$1,SMALL(Dong6,ROWS($1:4)),))</f>
        <v>42559</v>
      </c>
      <c r="B14" s="803" t="str">
        <f ca="1">IF(ROWS($1:4)&gt;COUNT(Dong6),"",OFFSET(TH!D$1,SMALL(Dong6,ROWS($1:4)),))</f>
        <v>GBC</v>
      </c>
      <c r="C14" s="802">
        <f ca="1">IF(ROWS($1:4)&gt;COUNT(Dong6),"",OFFSET(TH!E$1,SMALL(Dong6,ROWS($1:4)),))</f>
        <v>42559</v>
      </c>
      <c r="D14" s="804" t="str">
        <f ca="1">IF(ROWS($1:4)&gt;COUNT(Dong6),"",OFFSET(TH!F$1,SMALL(Dong6,ROWS($1:4)),))</f>
        <v>Thu tiền hàng</v>
      </c>
      <c r="E14" s="803">
        <f t="shared" ca="1" si="0"/>
        <v>4</v>
      </c>
      <c r="F14" s="805" t="str">
        <f ca="1">IF(ROWS($1:4)&gt;COUNT(Dong6),"",OFFSET(TH!L$1,SMALL(Dong6,ROWS($1:4)),))</f>
        <v>1121</v>
      </c>
      <c r="G14" s="805" t="str">
        <f ca="1">IF(ROWS($1:4)&gt;COUNT(Dong6),"",OFFSET(TH!M$1,SMALL(Dong6,ROWS($1:4)),))</f>
        <v>131</v>
      </c>
      <c r="H14" s="691">
        <f ca="1">IF(ROWS($1:4)&gt;COUNT(Dong6),"",OFFSET(TH!K$1,SMALL(Dong6,ROWS($1:4)),))</f>
        <v>37182884</v>
      </c>
      <c r="I14" s="691">
        <f ca="1">IF(ROWS($1:4)&gt;COUNT(Dong6),"",OFFSET(TH!K$1,SMALL(Dong6,ROWS($1:4)),))</f>
        <v>37182884</v>
      </c>
    </row>
    <row r="15" spans="1:14" s="794" customFormat="1" ht="21" customHeight="1">
      <c r="A15" s="802">
        <f ca="1">IF(ROWS($1:5)&gt;COUNT(Dong6),"",OFFSET(TH!C$1,SMALL(Dong6,ROWS($1:5)),))</f>
        <v>42563</v>
      </c>
      <c r="B15" s="803" t="str">
        <f ca="1">IF(ROWS($1:5)&gt;COUNT(Dong6),"",OFFSET(TH!D$1,SMALL(Dong6,ROWS($1:5)),))</f>
        <v>GBC</v>
      </c>
      <c r="C15" s="802">
        <f ca="1">IF(ROWS($1:5)&gt;COUNT(Dong6),"",OFFSET(TH!E$1,SMALL(Dong6,ROWS($1:5)),))</f>
        <v>42563</v>
      </c>
      <c r="D15" s="804" t="str">
        <f ca="1">IF(ROWS($1:5)&gt;COUNT(Dong6),"",OFFSET(TH!F$1,SMALL(Dong6,ROWS($1:5)),))</f>
        <v>Thu tiền hàng</v>
      </c>
      <c r="E15" s="803">
        <f t="shared" ca="1" si="0"/>
        <v>5</v>
      </c>
      <c r="F15" s="805" t="str">
        <f ca="1">IF(ROWS($1:5)&gt;COUNT(Dong6),"",OFFSET(TH!L$1,SMALL(Dong6,ROWS($1:5)),))</f>
        <v>1121</v>
      </c>
      <c r="G15" s="805" t="str">
        <f ca="1">IF(ROWS($1:5)&gt;COUNT(Dong6),"",OFFSET(TH!M$1,SMALL(Dong6,ROWS($1:5)),))</f>
        <v>131</v>
      </c>
      <c r="H15" s="691">
        <f ca="1">IF(ROWS($1:5)&gt;COUNT(Dong6),"",OFFSET(TH!K$1,SMALL(Dong6,ROWS($1:5)),))</f>
        <v>10043000</v>
      </c>
      <c r="I15" s="691">
        <f ca="1">IF(ROWS($1:5)&gt;COUNT(Dong6),"",OFFSET(TH!K$1,SMALL(Dong6,ROWS($1:5)),))</f>
        <v>10043000</v>
      </c>
    </row>
    <row r="16" spans="1:14" s="794" customFormat="1" ht="21" customHeight="1">
      <c r="A16" s="802">
        <f ca="1">IF(ROWS($1:6)&gt;COUNT(Dong6),"",OFFSET(TH!C$1,SMALL(Dong6,ROWS($1:6)),))</f>
        <v>42563</v>
      </c>
      <c r="B16" s="803" t="str">
        <f ca="1">IF(ROWS($1:6)&gt;COUNT(Dong6),"",OFFSET(TH!D$1,SMALL(Dong6,ROWS($1:6)),))</f>
        <v>GBC</v>
      </c>
      <c r="C16" s="802">
        <f ca="1">IF(ROWS($1:6)&gt;COUNT(Dong6),"",OFFSET(TH!E$1,SMALL(Dong6,ROWS($1:6)),))</f>
        <v>42563</v>
      </c>
      <c r="D16" s="804" t="str">
        <f ca="1">IF(ROWS($1:6)&gt;COUNT(Dong6),"",OFFSET(TH!F$1,SMALL(Dong6,ROWS($1:6)),))</f>
        <v>Thu tiền hàng</v>
      </c>
      <c r="E16" s="803">
        <f t="shared" ca="1" si="0"/>
        <v>6</v>
      </c>
      <c r="F16" s="805" t="str">
        <f ca="1">IF(ROWS($1:6)&gt;COUNT(Dong6),"",OFFSET(TH!L$1,SMALL(Dong6,ROWS($1:6)),))</f>
        <v>1121</v>
      </c>
      <c r="G16" s="805" t="str">
        <f ca="1">IF(ROWS($1:6)&gt;COUNT(Dong6),"",OFFSET(TH!M$1,SMALL(Dong6,ROWS($1:6)),))</f>
        <v>131</v>
      </c>
      <c r="H16" s="691">
        <f ca="1">IF(ROWS($1:6)&gt;COUNT(Dong6),"",OFFSET(TH!K$1,SMALL(Dong6,ROWS($1:6)),))</f>
        <v>11550000</v>
      </c>
      <c r="I16" s="691">
        <f ca="1">IF(ROWS($1:6)&gt;COUNT(Dong6),"",OFFSET(TH!K$1,SMALL(Dong6,ROWS($1:6)),))</f>
        <v>11550000</v>
      </c>
    </row>
    <row r="17" spans="1:9" s="794" customFormat="1" ht="21" customHeight="1">
      <c r="A17" s="802">
        <f ca="1">IF(ROWS($1:7)&gt;COUNT(Dong6),"",OFFSET(TH!C$1,SMALL(Dong6,ROWS($1:7)),))</f>
        <v>42566</v>
      </c>
      <c r="B17" s="803" t="str">
        <f ca="1">IF(ROWS($1:7)&gt;COUNT(Dong6),"",OFFSET(TH!D$1,SMALL(Dong6,ROWS($1:7)),))</f>
        <v>GBC</v>
      </c>
      <c r="C17" s="802">
        <f ca="1">IF(ROWS($1:7)&gt;COUNT(Dong6),"",OFFSET(TH!E$1,SMALL(Dong6,ROWS($1:7)),))</f>
        <v>42566</v>
      </c>
      <c r="D17" s="804" t="str">
        <f ca="1">IF(ROWS($1:7)&gt;COUNT(Dong6),"",OFFSET(TH!F$1,SMALL(Dong6,ROWS($1:7)),))</f>
        <v>Nộp tiền mặt vào tài khoản</v>
      </c>
      <c r="E17" s="803">
        <f t="shared" ca="1" si="0"/>
        <v>7</v>
      </c>
      <c r="F17" s="805" t="str">
        <f ca="1">IF(ROWS($1:7)&gt;COUNT(Dong6),"",OFFSET(TH!L$1,SMALL(Dong6,ROWS($1:7)),))</f>
        <v>1121</v>
      </c>
      <c r="G17" s="805" t="str">
        <f ca="1">IF(ROWS($1:7)&gt;COUNT(Dong6),"",OFFSET(TH!M$1,SMALL(Dong6,ROWS($1:7)),))</f>
        <v>1111</v>
      </c>
      <c r="H17" s="691">
        <f ca="1">IF(ROWS($1:7)&gt;COUNT(Dong6),"",OFFSET(TH!K$1,SMALL(Dong6,ROWS($1:7)),))</f>
        <v>4700000</v>
      </c>
      <c r="I17" s="691">
        <f ca="1">IF(ROWS($1:7)&gt;COUNT(Dong6),"",OFFSET(TH!K$1,SMALL(Dong6,ROWS($1:7)),))</f>
        <v>4700000</v>
      </c>
    </row>
    <row r="18" spans="1:9" s="794" customFormat="1" ht="21" customHeight="1">
      <c r="A18" s="802">
        <f ca="1">IF(ROWS($1:8)&gt;COUNT(Dong6),"",OFFSET(TH!C$1,SMALL(Dong6,ROWS($1:8)),))</f>
        <v>42569</v>
      </c>
      <c r="B18" s="803" t="str">
        <f ca="1">IF(ROWS($1:8)&gt;COUNT(Dong6),"",OFFSET(TH!D$1,SMALL(Dong6,ROWS($1:8)),))</f>
        <v>GBC</v>
      </c>
      <c r="C18" s="802">
        <f ca="1">IF(ROWS($1:8)&gt;COUNT(Dong6),"",OFFSET(TH!E$1,SMALL(Dong6,ROWS($1:8)),))</f>
        <v>42569</v>
      </c>
      <c r="D18" s="804" t="str">
        <f ca="1">IF(ROWS($1:8)&gt;COUNT(Dong6),"",OFFSET(TH!F$1,SMALL(Dong6,ROWS($1:8)),))</f>
        <v>Nộp tiền mặt vào tài khoản</v>
      </c>
      <c r="E18" s="803">
        <f t="shared" ca="1" si="0"/>
        <v>8</v>
      </c>
      <c r="F18" s="805" t="str">
        <f ca="1">IF(ROWS($1:8)&gt;COUNT(Dong6),"",OFFSET(TH!L$1,SMALL(Dong6,ROWS($1:8)),))</f>
        <v>1121</v>
      </c>
      <c r="G18" s="805" t="str">
        <f ca="1">IF(ROWS($1:8)&gt;COUNT(Dong6),"",OFFSET(TH!M$1,SMALL(Dong6,ROWS($1:8)),))</f>
        <v>1111</v>
      </c>
      <c r="H18" s="691">
        <f ca="1">IF(ROWS($1:8)&gt;COUNT(Dong6),"",OFFSET(TH!K$1,SMALL(Dong6,ROWS($1:8)),))</f>
        <v>1300000</v>
      </c>
      <c r="I18" s="691">
        <f ca="1">IF(ROWS($1:8)&gt;COUNT(Dong6),"",OFFSET(TH!K$1,SMALL(Dong6,ROWS($1:8)),))</f>
        <v>1300000</v>
      </c>
    </row>
    <row r="19" spans="1:9" s="794" customFormat="1" ht="21" customHeight="1">
      <c r="A19" s="802">
        <f ca="1">IF(ROWS($1:9)&gt;COUNT(Dong6),"",OFFSET(TH!C$1,SMALL(Dong6,ROWS($1:9)),))</f>
        <v>42552</v>
      </c>
      <c r="B19" s="803" t="str">
        <f ca="1">IF(ROWS($1:9)&gt;COUNT(Dong6),"",OFFSET(TH!D$1,SMALL(Dong6,ROWS($1:9)),))</f>
        <v>GBN</v>
      </c>
      <c r="C19" s="802">
        <f ca="1">IF(ROWS($1:9)&gt;COUNT(Dong6),"",OFFSET(TH!E$1,SMALL(Dong6,ROWS($1:9)),))</f>
        <v>42552</v>
      </c>
      <c r="D19" s="804" t="str">
        <f ca="1">IF(ROWS($1:9)&gt;COUNT(Dong6),"",OFFSET(TH!F$1,SMALL(Dong6,ROWS($1:9)),))</f>
        <v>Thanh toán tiền hàng</v>
      </c>
      <c r="E19" s="803">
        <f t="shared" ca="1" si="0"/>
        <v>9</v>
      </c>
      <c r="F19" s="805" t="str">
        <f ca="1">IF(ROWS($1:9)&gt;COUNT(Dong6),"",OFFSET(TH!L$1,SMALL(Dong6,ROWS($1:9)),))</f>
        <v>331</v>
      </c>
      <c r="G19" s="805" t="str">
        <f ca="1">IF(ROWS($1:9)&gt;COUNT(Dong6),"",OFFSET(TH!M$1,SMALL(Dong6,ROWS($1:9)),))</f>
        <v>1121</v>
      </c>
      <c r="H19" s="691">
        <f ca="1">IF(ROWS($1:9)&gt;COUNT(Dong6),"",OFFSET(TH!K$1,SMALL(Dong6,ROWS($1:9)),))</f>
        <v>4482632</v>
      </c>
      <c r="I19" s="691">
        <f ca="1">IF(ROWS($1:9)&gt;COUNT(Dong6),"",OFFSET(TH!K$1,SMALL(Dong6,ROWS($1:9)),))</f>
        <v>4482632</v>
      </c>
    </row>
    <row r="20" spans="1:9" s="794" customFormat="1" ht="21" customHeight="1">
      <c r="A20" s="802">
        <f ca="1">IF(ROWS($1:10)&gt;COUNT(Dong6),"",OFFSET(TH!C$1,SMALL(Dong6,ROWS($1:10)),))</f>
        <v>42552</v>
      </c>
      <c r="B20" s="803" t="str">
        <f ca="1">IF(ROWS($1:10)&gt;COUNT(Dong6),"",OFFSET(TH!D$1,SMALL(Dong6,ROWS($1:10)),))</f>
        <v>GBN</v>
      </c>
      <c r="C20" s="802">
        <f ca="1">IF(ROWS($1:10)&gt;COUNT(Dong6),"",OFFSET(TH!E$1,SMALL(Dong6,ROWS($1:10)),))</f>
        <v>42552</v>
      </c>
      <c r="D20" s="804" t="str">
        <f ca="1">IF(ROWS($1:10)&gt;COUNT(Dong6),"",OFFSET(TH!F$1,SMALL(Dong6,ROWS($1:10)),))</f>
        <v>Phí sử dụng tiền mặt trong ngày</v>
      </c>
      <c r="E20" s="803">
        <f t="shared" ca="1" si="0"/>
        <v>10</v>
      </c>
      <c r="F20" s="805" t="str">
        <f ca="1">IF(ROWS($1:10)&gt;COUNT(Dong6),"",OFFSET(TH!L$1,SMALL(Dong6,ROWS($1:10)),))</f>
        <v>642</v>
      </c>
      <c r="G20" s="805" t="str">
        <f ca="1">IF(ROWS($1:10)&gt;COUNT(Dong6),"",OFFSET(TH!M$1,SMALL(Dong6,ROWS($1:10)),))</f>
        <v>1121</v>
      </c>
      <c r="H20" s="691">
        <f ca="1">IF(ROWS($1:10)&gt;COUNT(Dong6),"",OFFSET(TH!K$1,SMALL(Dong6,ROWS($1:10)),))</f>
        <v>20000</v>
      </c>
      <c r="I20" s="691">
        <f ca="1">IF(ROWS($1:10)&gt;COUNT(Dong6),"",OFFSET(TH!K$1,SMALL(Dong6,ROWS($1:10)),))</f>
        <v>20000</v>
      </c>
    </row>
    <row r="21" spans="1:9" s="794" customFormat="1" ht="21" customHeight="1">
      <c r="A21" s="802">
        <f ca="1">IF(ROWS($1:11)&gt;COUNT(Dong6),"",OFFSET(TH!C$1,SMALL(Dong6,ROWS($1:11)),))</f>
        <v>42552</v>
      </c>
      <c r="B21" s="803" t="str">
        <f ca="1">IF(ROWS($1:11)&gt;COUNT(Dong6),"",OFFSET(TH!D$1,SMALL(Dong6,ROWS($1:11)),))</f>
        <v>GBN</v>
      </c>
      <c r="C21" s="802">
        <f ca="1">IF(ROWS($1:11)&gt;COUNT(Dong6),"",OFFSET(TH!E$1,SMALL(Dong6,ROWS($1:11)),))</f>
        <v>42552</v>
      </c>
      <c r="D21" s="804" t="str">
        <f ca="1">IF(ROWS($1:11)&gt;COUNT(Dong6),"",OFFSET(TH!F$1,SMALL(Dong6,ROWS($1:11)),))</f>
        <v>VAT Phí sử dụng tiền mặt trong ngày</v>
      </c>
      <c r="E21" s="803">
        <f t="shared" ca="1" si="0"/>
        <v>11</v>
      </c>
      <c r="F21" s="805" t="str">
        <f ca="1">IF(ROWS($1:11)&gt;COUNT(Dong6),"",OFFSET(TH!L$1,SMALL(Dong6,ROWS($1:11)),))</f>
        <v>1331</v>
      </c>
      <c r="G21" s="805" t="str">
        <f ca="1">IF(ROWS($1:11)&gt;COUNT(Dong6),"",OFFSET(TH!M$1,SMALL(Dong6,ROWS($1:11)),))</f>
        <v>1121</v>
      </c>
      <c r="H21" s="691">
        <f ca="1">IF(ROWS($1:11)&gt;COUNT(Dong6),"",OFFSET(TH!K$1,SMALL(Dong6,ROWS($1:11)),))</f>
        <v>2000</v>
      </c>
      <c r="I21" s="691">
        <f ca="1">IF(ROWS($1:11)&gt;COUNT(Dong6),"",OFFSET(TH!K$1,SMALL(Dong6,ROWS($1:11)),))</f>
        <v>2000</v>
      </c>
    </row>
    <row r="22" spans="1:9" s="794" customFormat="1" ht="21" customHeight="1">
      <c r="A22" s="802">
        <f ca="1">IF(ROWS($1:12)&gt;COUNT(Dong6),"",OFFSET(TH!C$1,SMALL(Dong6,ROWS($1:12)),))</f>
        <v>42557</v>
      </c>
      <c r="B22" s="803" t="str">
        <f ca="1">IF(ROWS($1:12)&gt;COUNT(Dong6),"",OFFSET(TH!D$1,SMALL(Dong6,ROWS($1:12)),))</f>
        <v>GBN</v>
      </c>
      <c r="C22" s="802">
        <f ca="1">IF(ROWS($1:12)&gt;COUNT(Dong6),"",OFFSET(TH!E$1,SMALL(Dong6,ROWS($1:12)),))</f>
        <v>42557</v>
      </c>
      <c r="D22" s="804" t="str">
        <f ca="1">IF(ROWS($1:12)&gt;COUNT(Dong6),"",OFFSET(TH!F$1,SMALL(Dong6,ROWS($1:12)),))</f>
        <v>Thanh toán tiền hàng</v>
      </c>
      <c r="E22" s="803">
        <f t="shared" ca="1" si="0"/>
        <v>12</v>
      </c>
      <c r="F22" s="805" t="str">
        <f ca="1">IF(ROWS($1:12)&gt;COUNT(Dong6),"",OFFSET(TH!L$1,SMALL(Dong6,ROWS($1:12)),))</f>
        <v>331</v>
      </c>
      <c r="G22" s="805" t="str">
        <f ca="1">IF(ROWS($1:12)&gt;COUNT(Dong6),"",OFFSET(TH!M$1,SMALL(Dong6,ROWS($1:12)),))</f>
        <v>1121</v>
      </c>
      <c r="H22" s="691">
        <f ca="1">IF(ROWS($1:12)&gt;COUNT(Dong6),"",OFFSET(TH!K$1,SMALL(Dong6,ROWS($1:12)),))</f>
        <v>454383524</v>
      </c>
      <c r="I22" s="691">
        <f ca="1">IF(ROWS($1:12)&gt;COUNT(Dong6),"",OFFSET(TH!K$1,SMALL(Dong6,ROWS($1:12)),))</f>
        <v>454383524</v>
      </c>
    </row>
    <row r="23" spans="1:9" s="794" customFormat="1" ht="21" customHeight="1">
      <c r="A23" s="802">
        <f ca="1">IF(ROWS($1:13)&gt;COUNT(Dong6),"",OFFSET(TH!C$1,SMALL(Dong6,ROWS($1:13)),))</f>
        <v>42557</v>
      </c>
      <c r="B23" s="803" t="str">
        <f ca="1">IF(ROWS($1:13)&gt;COUNT(Dong6),"",OFFSET(TH!D$1,SMALL(Dong6,ROWS($1:13)),))</f>
        <v>GBN</v>
      </c>
      <c r="C23" s="802">
        <f ca="1">IF(ROWS($1:13)&gt;COUNT(Dong6),"",OFFSET(TH!E$1,SMALL(Dong6,ROWS($1:13)),))</f>
        <v>42557</v>
      </c>
      <c r="D23" s="804" t="str">
        <f ca="1">IF(ROWS($1:13)&gt;COUNT(Dong6),"",OFFSET(TH!F$1,SMALL(Dong6,ROWS($1:13)),))</f>
        <v>Phí nộp tiền mặt</v>
      </c>
      <c r="E23" s="803">
        <f t="shared" ca="1" si="0"/>
        <v>13</v>
      </c>
      <c r="F23" s="805" t="str">
        <f ca="1">IF(ROWS($1:13)&gt;COUNT(Dong6),"",OFFSET(TH!L$1,SMALL(Dong6,ROWS($1:13)),))</f>
        <v>642</v>
      </c>
      <c r="G23" s="805" t="str">
        <f ca="1">IF(ROWS($1:13)&gt;COUNT(Dong6),"",OFFSET(TH!M$1,SMALL(Dong6,ROWS($1:13)),))</f>
        <v>1121</v>
      </c>
      <c r="H23" s="691">
        <f ca="1">IF(ROWS($1:13)&gt;COUNT(Dong6),"",OFFSET(TH!K$1,SMALL(Dong6,ROWS($1:13)),))</f>
        <v>156310</v>
      </c>
      <c r="I23" s="691">
        <f ca="1">IF(ROWS($1:13)&gt;COUNT(Dong6),"",OFFSET(TH!K$1,SMALL(Dong6,ROWS($1:13)),))</f>
        <v>156310</v>
      </c>
    </row>
    <row r="24" spans="1:9" s="794" customFormat="1" ht="21" customHeight="1">
      <c r="A24" s="802">
        <f ca="1">IF(ROWS($1:14)&gt;COUNT(Dong6),"",OFFSET(TH!C$1,SMALL(Dong6,ROWS($1:14)),))</f>
        <v>42557</v>
      </c>
      <c r="B24" s="803" t="str">
        <f ca="1">IF(ROWS($1:14)&gt;COUNT(Dong6),"",OFFSET(TH!D$1,SMALL(Dong6,ROWS($1:14)),))</f>
        <v>GBN</v>
      </c>
      <c r="C24" s="802">
        <f ca="1">IF(ROWS($1:14)&gt;COUNT(Dong6),"",OFFSET(TH!E$1,SMALL(Dong6,ROWS($1:14)),))</f>
        <v>42557</v>
      </c>
      <c r="D24" s="804" t="str">
        <f ca="1">IF(ROWS($1:14)&gt;COUNT(Dong6),"",OFFSET(TH!F$1,SMALL(Dong6,ROWS($1:14)),))</f>
        <v>VAT Phí nộp tiền mặt</v>
      </c>
      <c r="E24" s="803">
        <f t="shared" ca="1" si="0"/>
        <v>14</v>
      </c>
      <c r="F24" s="805" t="str">
        <f ca="1">IF(ROWS($1:14)&gt;COUNT(Dong6),"",OFFSET(TH!L$1,SMALL(Dong6,ROWS($1:14)),))</f>
        <v>1331</v>
      </c>
      <c r="G24" s="805" t="str">
        <f ca="1">IF(ROWS($1:14)&gt;COUNT(Dong6),"",OFFSET(TH!M$1,SMALL(Dong6,ROWS($1:14)),))</f>
        <v>1121</v>
      </c>
      <c r="H24" s="691">
        <f ca="1">IF(ROWS($1:14)&gt;COUNT(Dong6),"",OFFSET(TH!K$1,SMALL(Dong6,ROWS($1:14)),))</f>
        <v>15631</v>
      </c>
      <c r="I24" s="691">
        <f ca="1">IF(ROWS($1:14)&gt;COUNT(Dong6),"",OFFSET(TH!K$1,SMALL(Dong6,ROWS($1:14)),))</f>
        <v>15631</v>
      </c>
    </row>
    <row r="25" spans="1:9" s="794" customFormat="1" ht="21" customHeight="1">
      <c r="A25" s="802">
        <f ca="1">IF(ROWS($1:15)&gt;COUNT(Dong6),"",OFFSET(TH!C$1,SMALL(Dong6,ROWS($1:15)),))</f>
        <v>42559</v>
      </c>
      <c r="B25" s="803" t="str">
        <f ca="1">IF(ROWS($1:15)&gt;COUNT(Dong6),"",OFFSET(TH!D$1,SMALL(Dong6,ROWS($1:15)),))</f>
        <v>GBN</v>
      </c>
      <c r="C25" s="802">
        <f ca="1">IF(ROWS($1:15)&gt;COUNT(Dong6),"",OFFSET(TH!E$1,SMALL(Dong6,ROWS($1:15)),))</f>
        <v>42559</v>
      </c>
      <c r="D25" s="804" t="str">
        <f ca="1">IF(ROWS($1:15)&gt;COUNT(Dong6),"",OFFSET(TH!F$1,SMALL(Dong6,ROWS($1:15)),))</f>
        <v>Rút tiền mặt nộp quỹ</v>
      </c>
      <c r="E25" s="803">
        <f t="shared" ca="1" si="0"/>
        <v>15</v>
      </c>
      <c r="F25" s="805" t="str">
        <f ca="1">IF(ROWS($1:15)&gt;COUNT(Dong6),"",OFFSET(TH!L$1,SMALL(Dong6,ROWS($1:15)),))</f>
        <v>1111</v>
      </c>
      <c r="G25" s="805" t="str">
        <f ca="1">IF(ROWS($1:15)&gt;COUNT(Dong6),"",OFFSET(TH!M$1,SMALL(Dong6,ROWS($1:15)),))</f>
        <v>1121</v>
      </c>
      <c r="H25" s="691">
        <f ca="1">IF(ROWS($1:15)&gt;COUNT(Dong6),"",OFFSET(TH!K$1,SMALL(Dong6,ROWS($1:15)),))</f>
        <v>37180000</v>
      </c>
      <c r="I25" s="691">
        <f ca="1">IF(ROWS($1:15)&gt;COUNT(Dong6),"",OFFSET(TH!K$1,SMALL(Dong6,ROWS($1:15)),))</f>
        <v>37180000</v>
      </c>
    </row>
    <row r="26" spans="1:9" s="794" customFormat="1" ht="21" customHeight="1">
      <c r="A26" s="802">
        <f ca="1">IF(ROWS($1:16)&gt;COUNT(Dong6),"",OFFSET(TH!C$1,SMALL(Dong6,ROWS($1:16)),))</f>
        <v>42563</v>
      </c>
      <c r="B26" s="803" t="str">
        <f ca="1">IF(ROWS($1:16)&gt;COUNT(Dong6),"",OFFSET(TH!D$1,SMALL(Dong6,ROWS($1:16)),))</f>
        <v>GBN</v>
      </c>
      <c r="C26" s="802">
        <f ca="1">IF(ROWS($1:16)&gt;COUNT(Dong6),"",OFFSET(TH!E$1,SMALL(Dong6,ROWS($1:16)),))</f>
        <v>42563</v>
      </c>
      <c r="D26" s="804" t="str">
        <f ca="1">IF(ROWS($1:16)&gt;COUNT(Dong6),"",OFFSET(TH!F$1,SMALL(Dong6,ROWS($1:16)),))</f>
        <v>Rút tiền mặt nộp quỹ</v>
      </c>
      <c r="E26" s="803">
        <f t="shared" ca="1" si="0"/>
        <v>16</v>
      </c>
      <c r="F26" s="805" t="str">
        <f ca="1">IF(ROWS($1:16)&gt;COUNT(Dong6),"",OFFSET(TH!L$1,SMALL(Dong6,ROWS($1:16)),))</f>
        <v>1111</v>
      </c>
      <c r="G26" s="805" t="str">
        <f ca="1">IF(ROWS($1:16)&gt;COUNT(Dong6),"",OFFSET(TH!M$1,SMALL(Dong6,ROWS($1:16)),))</f>
        <v>1121</v>
      </c>
      <c r="H26" s="691">
        <f ca="1">IF(ROWS($1:16)&gt;COUNT(Dong6),"",OFFSET(TH!K$1,SMALL(Dong6,ROWS($1:16)),))</f>
        <v>10000000</v>
      </c>
      <c r="I26" s="691">
        <f ca="1">IF(ROWS($1:16)&gt;COUNT(Dong6),"",OFFSET(TH!K$1,SMALL(Dong6,ROWS($1:16)),))</f>
        <v>10000000</v>
      </c>
    </row>
    <row r="27" spans="1:9" s="794" customFormat="1" ht="21" customHeight="1">
      <c r="A27" s="802">
        <f ca="1">IF(ROWS($1:17)&gt;COUNT(Dong6),"",OFFSET(TH!C$1,SMALL(Dong6,ROWS($1:17)),))</f>
        <v>42564</v>
      </c>
      <c r="B27" s="803" t="str">
        <f ca="1">IF(ROWS($1:17)&gt;COUNT(Dong6),"",OFFSET(TH!D$1,SMALL(Dong6,ROWS($1:17)),))</f>
        <v>GBN</v>
      </c>
      <c r="C27" s="802">
        <f ca="1">IF(ROWS($1:17)&gt;COUNT(Dong6),"",OFFSET(TH!E$1,SMALL(Dong6,ROWS($1:17)),))</f>
        <v>42564</v>
      </c>
      <c r="D27" s="804" t="str">
        <f ca="1">IF(ROWS($1:17)&gt;COUNT(Dong6),"",OFFSET(TH!F$1,SMALL(Dong6,ROWS($1:17)),))</f>
        <v>Rút tiền mặt nộp quỹ</v>
      </c>
      <c r="E27" s="803">
        <f t="shared" ca="1" si="0"/>
        <v>17</v>
      </c>
      <c r="F27" s="805" t="str">
        <f ca="1">IF(ROWS($1:17)&gt;COUNT(Dong6),"",OFFSET(TH!L$1,SMALL(Dong6,ROWS($1:17)),))</f>
        <v>1111</v>
      </c>
      <c r="G27" s="805" t="str">
        <f ca="1">IF(ROWS($1:17)&gt;COUNT(Dong6),"",OFFSET(TH!M$1,SMALL(Dong6,ROWS($1:17)),))</f>
        <v>1121</v>
      </c>
      <c r="H27" s="691">
        <f ca="1">IF(ROWS($1:17)&gt;COUNT(Dong6),"",OFFSET(TH!K$1,SMALL(Dong6,ROWS($1:17)),))</f>
        <v>11500000</v>
      </c>
      <c r="I27" s="691">
        <f ca="1">IF(ROWS($1:17)&gt;COUNT(Dong6),"",OFFSET(TH!K$1,SMALL(Dong6,ROWS($1:17)),))</f>
        <v>11500000</v>
      </c>
    </row>
    <row r="28" spans="1:9" s="794" customFormat="1" ht="21" customHeight="1">
      <c r="A28" s="802">
        <f ca="1">IF(ROWS($1:18)&gt;COUNT(Dong6),"",OFFSET(TH!C$1,SMALL(Dong6,ROWS($1:18)),))</f>
        <v>42566</v>
      </c>
      <c r="B28" s="803" t="str">
        <f ca="1">IF(ROWS($1:18)&gt;COUNT(Dong6),"",OFFSET(TH!D$1,SMALL(Dong6,ROWS($1:18)),))</f>
        <v>GBN</v>
      </c>
      <c r="C28" s="802">
        <f ca="1">IF(ROWS($1:18)&gt;COUNT(Dong6),"",OFFSET(TH!E$1,SMALL(Dong6,ROWS($1:18)),))</f>
        <v>42566</v>
      </c>
      <c r="D28" s="804" t="str">
        <f ca="1">IF(ROWS($1:18)&gt;COUNT(Dong6),"",OFFSET(TH!F$1,SMALL(Dong6,ROWS($1:18)),))</f>
        <v>Đóng BHXH tháng 6/2016</v>
      </c>
      <c r="E28" s="803">
        <f t="shared" ca="1" si="0"/>
        <v>18</v>
      </c>
      <c r="F28" s="805" t="str">
        <f ca="1">IF(ROWS($1:18)&gt;COUNT(Dong6),"",OFFSET(TH!L$1,SMALL(Dong6,ROWS($1:18)),))</f>
        <v>3383</v>
      </c>
      <c r="G28" s="805" t="str">
        <f ca="1">IF(ROWS($1:18)&gt;COUNT(Dong6),"",OFFSET(TH!M$1,SMALL(Dong6,ROWS($1:18)),))</f>
        <v>1121</v>
      </c>
      <c r="H28" s="691">
        <f ca="1">IF(ROWS($1:18)&gt;COUNT(Dong6),"",OFFSET(TH!K$1,SMALL(Dong6,ROWS($1:18)),))</f>
        <v>4720250</v>
      </c>
      <c r="I28" s="691">
        <f ca="1">IF(ROWS($1:18)&gt;COUNT(Dong6),"",OFFSET(TH!K$1,SMALL(Dong6,ROWS($1:18)),))</f>
        <v>4720250</v>
      </c>
    </row>
    <row r="29" spans="1:9" s="794" customFormat="1" ht="21" customHeight="1">
      <c r="A29" s="802">
        <f ca="1">IF(ROWS($1:19)&gt;COUNT(Dong6),"",OFFSET(TH!C$1,SMALL(Dong6,ROWS($1:19)),))</f>
        <v>42569</v>
      </c>
      <c r="B29" s="803" t="str">
        <f ca="1">IF(ROWS($1:19)&gt;COUNT(Dong6),"",OFFSET(TH!D$1,SMALL(Dong6,ROWS($1:19)),))</f>
        <v>GBN</v>
      </c>
      <c r="C29" s="802">
        <f ca="1">IF(ROWS($1:19)&gt;COUNT(Dong6),"",OFFSET(TH!E$1,SMALL(Dong6,ROWS($1:19)),))</f>
        <v>42569</v>
      </c>
      <c r="D29" s="804" t="str">
        <f ca="1">IF(ROWS($1:19)&gt;COUNT(Dong6),"",OFFSET(TH!F$1,SMALL(Dong6,ROWS($1:19)),))</f>
        <v>Thanh toán tiền hàng</v>
      </c>
      <c r="E29" s="803">
        <f t="shared" ca="1" si="0"/>
        <v>19</v>
      </c>
      <c r="F29" s="805" t="str">
        <f ca="1">IF(ROWS($1:19)&gt;COUNT(Dong6),"",OFFSET(TH!L$1,SMALL(Dong6,ROWS($1:19)),))</f>
        <v>331</v>
      </c>
      <c r="G29" s="805" t="str">
        <f ca="1">IF(ROWS($1:19)&gt;COUNT(Dong6),"",OFFSET(TH!M$1,SMALL(Dong6,ROWS($1:19)),))</f>
        <v>1121</v>
      </c>
      <c r="H29" s="691">
        <f ca="1">IF(ROWS($1:19)&gt;COUNT(Dong6),"",OFFSET(TH!K$1,SMALL(Dong6,ROWS($1:19)),))</f>
        <v>13688769</v>
      </c>
      <c r="I29" s="691">
        <f ca="1">IF(ROWS($1:19)&gt;COUNT(Dong6),"",OFFSET(TH!K$1,SMALL(Dong6,ROWS($1:19)),))</f>
        <v>13688769</v>
      </c>
    </row>
    <row r="30" spans="1:9" s="794" customFormat="1" ht="21" customHeight="1">
      <c r="A30" s="802">
        <f ca="1">IF(ROWS($1:20)&gt;COUNT(Dong6),"",OFFSET(TH!C$1,SMALL(Dong6,ROWS($1:20)),))</f>
        <v>42569</v>
      </c>
      <c r="B30" s="803" t="str">
        <f ca="1">IF(ROWS($1:20)&gt;COUNT(Dong6),"",OFFSET(TH!D$1,SMALL(Dong6,ROWS($1:20)),))</f>
        <v>GBN</v>
      </c>
      <c r="C30" s="802">
        <f ca="1">IF(ROWS($1:20)&gt;COUNT(Dong6),"",OFFSET(TH!E$1,SMALL(Dong6,ROWS($1:20)),))</f>
        <v>42569</v>
      </c>
      <c r="D30" s="804" t="str">
        <f ca="1">IF(ROWS($1:20)&gt;COUNT(Dong6),"",OFFSET(TH!F$1,SMALL(Dong6,ROWS($1:20)),))</f>
        <v>Phí sử dụng tiền mặt trong ngày</v>
      </c>
      <c r="E30" s="803">
        <f t="shared" ca="1" si="0"/>
        <v>20</v>
      </c>
      <c r="F30" s="805" t="str">
        <f ca="1">IF(ROWS($1:20)&gt;COUNT(Dong6),"",OFFSET(TH!L$1,SMALL(Dong6,ROWS($1:20)),))</f>
        <v>642</v>
      </c>
      <c r="G30" s="805" t="str">
        <f ca="1">IF(ROWS($1:20)&gt;COUNT(Dong6),"",OFFSET(TH!M$1,SMALL(Dong6,ROWS($1:20)),))</f>
        <v>1121</v>
      </c>
      <c r="H30" s="691">
        <f ca="1">IF(ROWS($1:20)&gt;COUNT(Dong6),"",OFFSET(TH!K$1,SMALL(Dong6,ROWS($1:20)),))</f>
        <v>20000</v>
      </c>
      <c r="I30" s="691">
        <f ca="1">IF(ROWS($1:20)&gt;COUNT(Dong6),"",OFFSET(TH!K$1,SMALL(Dong6,ROWS($1:20)),))</f>
        <v>20000</v>
      </c>
    </row>
    <row r="31" spans="1:9" s="794" customFormat="1" ht="21" customHeight="1">
      <c r="A31" s="802">
        <f ca="1">IF(ROWS($1:21)&gt;COUNT(Dong6),"",OFFSET(TH!C$1,SMALL(Dong6,ROWS($1:21)),))</f>
        <v>42569</v>
      </c>
      <c r="B31" s="803" t="str">
        <f ca="1">IF(ROWS($1:21)&gt;COUNT(Dong6),"",OFFSET(TH!D$1,SMALL(Dong6,ROWS($1:21)),))</f>
        <v>GBN</v>
      </c>
      <c r="C31" s="802">
        <f ca="1">IF(ROWS($1:21)&gt;COUNT(Dong6),"",OFFSET(TH!E$1,SMALL(Dong6,ROWS($1:21)),))</f>
        <v>42569</v>
      </c>
      <c r="D31" s="804" t="str">
        <f ca="1">IF(ROWS($1:21)&gt;COUNT(Dong6),"",OFFSET(TH!F$1,SMALL(Dong6,ROWS($1:21)),))</f>
        <v>VAT Phí sử dụng tiền mặt trong ngày</v>
      </c>
      <c r="E31" s="803">
        <f t="shared" ca="1" si="0"/>
        <v>21</v>
      </c>
      <c r="F31" s="805" t="str">
        <f ca="1">IF(ROWS($1:21)&gt;COUNT(Dong6),"",OFFSET(TH!L$1,SMALL(Dong6,ROWS($1:21)),))</f>
        <v>1331</v>
      </c>
      <c r="G31" s="805" t="str">
        <f ca="1">IF(ROWS($1:21)&gt;COUNT(Dong6),"",OFFSET(TH!M$1,SMALL(Dong6,ROWS($1:21)),))</f>
        <v>1121</v>
      </c>
      <c r="H31" s="691">
        <f ca="1">IF(ROWS($1:21)&gt;COUNT(Dong6),"",OFFSET(TH!K$1,SMALL(Dong6,ROWS($1:21)),))</f>
        <v>2000</v>
      </c>
      <c r="I31" s="691">
        <f ca="1">IF(ROWS($1:21)&gt;COUNT(Dong6),"",OFFSET(TH!K$1,SMALL(Dong6,ROWS($1:21)),))</f>
        <v>2000</v>
      </c>
    </row>
    <row r="32" spans="1:9" s="794" customFormat="1" ht="21" customHeight="1">
      <c r="A32" s="802">
        <f ca="1">IF(ROWS($1:22)&gt;COUNT(Dong6),"",OFFSET(TH!C$1,SMALL(Dong6,ROWS($1:22)),))</f>
        <v>42569</v>
      </c>
      <c r="B32" s="803" t="str">
        <f ca="1">IF(ROWS($1:22)&gt;COUNT(Dong6),"",OFFSET(TH!D$1,SMALL(Dong6,ROWS($1:22)),))</f>
        <v>GBC</v>
      </c>
      <c r="C32" s="802">
        <f ca="1">IF(ROWS($1:22)&gt;COUNT(Dong6),"",OFFSET(TH!E$1,SMALL(Dong6,ROWS($1:22)),))</f>
        <v>42569</v>
      </c>
      <c r="D32" s="804" t="str">
        <f ca="1">IF(ROWS($1:22)&gt;COUNT(Dong6),"",OFFSET(TH!F$1,SMALL(Dong6,ROWS($1:22)),))</f>
        <v>Thu tiền hàng</v>
      </c>
      <c r="E32" s="803">
        <f t="shared" ca="1" si="0"/>
        <v>22</v>
      </c>
      <c r="F32" s="805" t="str">
        <f ca="1">IF(ROWS($1:22)&gt;COUNT(Dong6),"",OFFSET(TH!L$1,SMALL(Dong6,ROWS($1:22)),))</f>
        <v>1121</v>
      </c>
      <c r="G32" s="805" t="str">
        <f ca="1">IF(ROWS($1:22)&gt;COUNT(Dong6),"",OFFSET(TH!M$1,SMALL(Dong6,ROWS($1:22)),))</f>
        <v>131</v>
      </c>
      <c r="H32" s="691">
        <f ca="1">IF(ROWS($1:22)&gt;COUNT(Dong6),"",OFFSET(TH!K$1,SMALL(Dong6,ROWS($1:22)),))</f>
        <v>12418590</v>
      </c>
      <c r="I32" s="691">
        <f ca="1">IF(ROWS($1:22)&gt;COUNT(Dong6),"",OFFSET(TH!K$1,SMALL(Dong6,ROWS($1:22)),))</f>
        <v>12418590</v>
      </c>
    </row>
    <row r="33" spans="1:9" s="794" customFormat="1" ht="21" customHeight="1">
      <c r="A33" s="802">
        <f ca="1">IF(ROWS($1:23)&gt;COUNT(Dong6),"",OFFSET(TH!C$1,SMALL(Dong6,ROWS($1:23)),))</f>
        <v>42572</v>
      </c>
      <c r="B33" s="803" t="str">
        <f ca="1">IF(ROWS($1:23)&gt;COUNT(Dong6),"",OFFSET(TH!D$1,SMALL(Dong6,ROWS($1:23)),))</f>
        <v>GBC</v>
      </c>
      <c r="C33" s="802">
        <f ca="1">IF(ROWS($1:23)&gt;COUNT(Dong6),"",OFFSET(TH!E$1,SMALL(Dong6,ROWS($1:23)),))</f>
        <v>42572</v>
      </c>
      <c r="D33" s="804" t="str">
        <f ca="1">IF(ROWS($1:23)&gt;COUNT(Dong6),"",OFFSET(TH!F$1,SMALL(Dong6,ROWS($1:23)),))</f>
        <v>Nộp tiền mặt vào tài khoản</v>
      </c>
      <c r="E33" s="803">
        <f t="shared" ca="1" si="0"/>
        <v>23</v>
      </c>
      <c r="F33" s="805" t="str">
        <f ca="1">IF(ROWS($1:23)&gt;COUNT(Dong6),"",OFFSET(TH!L$1,SMALL(Dong6,ROWS($1:23)),))</f>
        <v>1121</v>
      </c>
      <c r="G33" s="805" t="str">
        <f ca="1">IF(ROWS($1:23)&gt;COUNT(Dong6),"",OFFSET(TH!M$1,SMALL(Dong6,ROWS($1:23)),))</f>
        <v>1111</v>
      </c>
      <c r="H33" s="691">
        <f ca="1">IF(ROWS($1:23)&gt;COUNT(Dong6),"",OFFSET(TH!K$1,SMALL(Dong6,ROWS($1:23)),))</f>
        <v>20000000</v>
      </c>
      <c r="I33" s="691">
        <f ca="1">IF(ROWS($1:23)&gt;COUNT(Dong6),"",OFFSET(TH!K$1,SMALL(Dong6,ROWS($1:23)),))</f>
        <v>20000000</v>
      </c>
    </row>
    <row r="34" spans="1:9" s="794" customFormat="1" ht="21" customHeight="1">
      <c r="A34" s="802">
        <f ca="1">IF(ROWS($1:24)&gt;COUNT(Dong6),"",OFFSET(TH!C$1,SMALL(Dong6,ROWS($1:24)),))</f>
        <v>42573</v>
      </c>
      <c r="B34" s="803" t="str">
        <f ca="1">IF(ROWS($1:24)&gt;COUNT(Dong6),"",OFFSET(TH!D$1,SMALL(Dong6,ROWS($1:24)),))</f>
        <v>GBC</v>
      </c>
      <c r="C34" s="802">
        <f ca="1">IF(ROWS($1:24)&gt;COUNT(Dong6),"",OFFSET(TH!E$1,SMALL(Dong6,ROWS($1:24)),))</f>
        <v>42573</v>
      </c>
      <c r="D34" s="804" t="str">
        <f ca="1">IF(ROWS($1:24)&gt;COUNT(Dong6),"",OFFSET(TH!F$1,SMALL(Dong6,ROWS($1:24)),))</f>
        <v>Thu tiền hàng</v>
      </c>
      <c r="E34" s="803">
        <f t="shared" ca="1" si="0"/>
        <v>24</v>
      </c>
      <c r="F34" s="805" t="str">
        <f ca="1">IF(ROWS($1:24)&gt;COUNT(Dong6),"",OFFSET(TH!L$1,SMALL(Dong6,ROWS($1:24)),))</f>
        <v>1121</v>
      </c>
      <c r="G34" s="805" t="str">
        <f ca="1">IF(ROWS($1:24)&gt;COUNT(Dong6),"",OFFSET(TH!M$1,SMALL(Dong6,ROWS($1:24)),))</f>
        <v>131</v>
      </c>
      <c r="H34" s="691">
        <f ca="1">IF(ROWS($1:24)&gt;COUNT(Dong6),"",OFFSET(TH!K$1,SMALL(Dong6,ROWS($1:24)),))</f>
        <v>130855512</v>
      </c>
      <c r="I34" s="691">
        <f ca="1">IF(ROWS($1:24)&gt;COUNT(Dong6),"",OFFSET(TH!K$1,SMALL(Dong6,ROWS($1:24)),))</f>
        <v>130855512</v>
      </c>
    </row>
    <row r="35" spans="1:9" s="794" customFormat="1" ht="21" customHeight="1">
      <c r="A35" s="802">
        <f ca="1">IF(ROWS($1:25)&gt;COUNT(Dong6),"",OFFSET(TH!C$1,SMALL(Dong6,ROWS($1:25)),))</f>
        <v>42577</v>
      </c>
      <c r="B35" s="803" t="str">
        <f ca="1">IF(ROWS($1:25)&gt;COUNT(Dong6),"",OFFSET(TH!D$1,SMALL(Dong6,ROWS($1:25)),))</f>
        <v>GBC</v>
      </c>
      <c r="C35" s="802">
        <f ca="1">IF(ROWS($1:25)&gt;COUNT(Dong6),"",OFFSET(TH!E$1,SMALL(Dong6,ROWS($1:25)),))</f>
        <v>42577</v>
      </c>
      <c r="D35" s="804" t="str">
        <f ca="1">IF(ROWS($1:25)&gt;COUNT(Dong6),"",OFFSET(TH!F$1,SMALL(Dong6,ROWS($1:25)),))</f>
        <v>Thu tiền hàng</v>
      </c>
      <c r="E35" s="803">
        <f t="shared" ca="1" si="0"/>
        <v>25</v>
      </c>
      <c r="F35" s="805" t="str">
        <f ca="1">IF(ROWS($1:25)&gt;COUNT(Dong6),"",OFFSET(TH!L$1,SMALL(Dong6,ROWS($1:25)),))</f>
        <v>1121</v>
      </c>
      <c r="G35" s="805" t="str">
        <f ca="1">IF(ROWS($1:25)&gt;COUNT(Dong6),"",OFFSET(TH!M$1,SMALL(Dong6,ROWS($1:25)),))</f>
        <v>131</v>
      </c>
      <c r="H35" s="691">
        <f ca="1">IF(ROWS($1:25)&gt;COUNT(Dong6),"",OFFSET(TH!K$1,SMALL(Dong6,ROWS($1:25)),))</f>
        <v>120000000</v>
      </c>
      <c r="I35" s="691">
        <f ca="1">IF(ROWS($1:25)&gt;COUNT(Dong6),"",OFFSET(TH!K$1,SMALL(Dong6,ROWS($1:25)),))</f>
        <v>120000000</v>
      </c>
    </row>
    <row r="36" spans="1:9" s="794" customFormat="1" ht="21" customHeight="1">
      <c r="A36" s="802">
        <f ca="1">IF(ROWS($1:26)&gt;COUNT(Dong6),"",OFFSET(TH!C$1,SMALL(Dong6,ROWS($1:26)),))</f>
        <v>42578</v>
      </c>
      <c r="B36" s="803" t="str">
        <f ca="1">IF(ROWS($1:26)&gt;COUNT(Dong6),"",OFFSET(TH!D$1,SMALL(Dong6,ROWS($1:26)),))</f>
        <v>GBC</v>
      </c>
      <c r="C36" s="802">
        <f ca="1">IF(ROWS($1:26)&gt;COUNT(Dong6),"",OFFSET(TH!E$1,SMALL(Dong6,ROWS($1:26)),))</f>
        <v>42578</v>
      </c>
      <c r="D36" s="804" t="str">
        <f ca="1">IF(ROWS($1:26)&gt;COUNT(Dong6),"",OFFSET(TH!F$1,SMALL(Dong6,ROWS($1:26)),))</f>
        <v>Thu tiền hàng</v>
      </c>
      <c r="E36" s="803">
        <f t="shared" ca="1" si="0"/>
        <v>26</v>
      </c>
      <c r="F36" s="805" t="str">
        <f ca="1">IF(ROWS($1:26)&gt;COUNT(Dong6),"",OFFSET(TH!L$1,SMALL(Dong6,ROWS($1:26)),))</f>
        <v>1121</v>
      </c>
      <c r="G36" s="805" t="str">
        <f ca="1">IF(ROWS($1:26)&gt;COUNT(Dong6),"",OFFSET(TH!M$1,SMALL(Dong6,ROWS($1:26)),))</f>
        <v>131</v>
      </c>
      <c r="H36" s="691">
        <f ca="1">IF(ROWS($1:26)&gt;COUNT(Dong6),"",OFFSET(TH!K$1,SMALL(Dong6,ROWS($1:26)),))</f>
        <v>125190000</v>
      </c>
      <c r="I36" s="691">
        <f ca="1">IF(ROWS($1:26)&gt;COUNT(Dong6),"",OFFSET(TH!K$1,SMALL(Dong6,ROWS($1:26)),))</f>
        <v>125190000</v>
      </c>
    </row>
    <row r="37" spans="1:9" s="794" customFormat="1" ht="21" customHeight="1">
      <c r="A37" s="802">
        <f ca="1">IF(ROWS($1:27)&gt;COUNT(Dong6),"",OFFSET(TH!C$1,SMALL(Dong6,ROWS($1:27)),))</f>
        <v>42579</v>
      </c>
      <c r="B37" s="803" t="str">
        <f ca="1">IF(ROWS($1:27)&gt;COUNT(Dong6),"",OFFSET(TH!D$1,SMALL(Dong6,ROWS($1:27)),))</f>
        <v>GBC</v>
      </c>
      <c r="C37" s="802">
        <f ca="1">IF(ROWS($1:27)&gt;COUNT(Dong6),"",OFFSET(TH!E$1,SMALL(Dong6,ROWS($1:27)),))</f>
        <v>42579</v>
      </c>
      <c r="D37" s="804" t="str">
        <f ca="1">IF(ROWS($1:27)&gt;COUNT(Dong6),"",OFFSET(TH!F$1,SMALL(Dong6,ROWS($1:27)),))</f>
        <v>Thu tiền hàng</v>
      </c>
      <c r="E37" s="803">
        <f t="shared" ca="1" si="0"/>
        <v>27</v>
      </c>
      <c r="F37" s="805" t="str">
        <f ca="1">IF(ROWS($1:27)&gt;COUNT(Dong6),"",OFFSET(TH!L$1,SMALL(Dong6,ROWS($1:27)),))</f>
        <v>1121</v>
      </c>
      <c r="G37" s="805" t="str">
        <f ca="1">IF(ROWS($1:27)&gt;COUNT(Dong6),"",OFFSET(TH!M$1,SMALL(Dong6,ROWS($1:27)),))</f>
        <v>131</v>
      </c>
      <c r="H37" s="691">
        <f ca="1">IF(ROWS($1:27)&gt;COUNT(Dong6),"",OFFSET(TH!K$1,SMALL(Dong6,ROWS($1:27)),))</f>
        <v>11286000</v>
      </c>
      <c r="I37" s="691">
        <f ca="1">IF(ROWS($1:27)&gt;COUNT(Dong6),"",OFFSET(TH!K$1,SMALL(Dong6,ROWS($1:27)),))</f>
        <v>11286000</v>
      </c>
    </row>
    <row r="38" spans="1:9" s="794" customFormat="1" ht="21" customHeight="1">
      <c r="A38" s="802">
        <f ca="1">IF(ROWS($1:28)&gt;COUNT(Dong6),"",OFFSET(TH!C$1,SMALL(Dong6,ROWS($1:28)),))</f>
        <v>42580</v>
      </c>
      <c r="B38" s="803" t="str">
        <f ca="1">IF(ROWS($1:28)&gt;COUNT(Dong6),"",OFFSET(TH!D$1,SMALL(Dong6,ROWS($1:28)),))</f>
        <v>GBC</v>
      </c>
      <c r="C38" s="802">
        <f ca="1">IF(ROWS($1:28)&gt;COUNT(Dong6),"",OFFSET(TH!E$1,SMALL(Dong6,ROWS($1:28)),))</f>
        <v>42580</v>
      </c>
      <c r="D38" s="804" t="str">
        <f ca="1">IF(ROWS($1:28)&gt;COUNT(Dong6),"",OFFSET(TH!F$1,SMALL(Dong6,ROWS($1:28)),))</f>
        <v>Thu tiền hàng</v>
      </c>
      <c r="E38" s="803">
        <f t="shared" ca="1" si="0"/>
        <v>28</v>
      </c>
      <c r="F38" s="805" t="str">
        <f ca="1">IF(ROWS($1:28)&gt;COUNT(Dong6),"",OFFSET(TH!L$1,SMALL(Dong6,ROWS($1:28)),))</f>
        <v>1121</v>
      </c>
      <c r="G38" s="805" t="str">
        <f ca="1">IF(ROWS($1:28)&gt;COUNT(Dong6),"",OFFSET(TH!M$1,SMALL(Dong6,ROWS($1:28)),))</f>
        <v>131</v>
      </c>
      <c r="H38" s="691">
        <f ca="1">IF(ROWS($1:28)&gt;COUNT(Dong6),"",OFFSET(TH!K$1,SMALL(Dong6,ROWS($1:28)),))</f>
        <v>27500000</v>
      </c>
      <c r="I38" s="691">
        <f ca="1">IF(ROWS($1:28)&gt;COUNT(Dong6),"",OFFSET(TH!K$1,SMALL(Dong6,ROWS($1:28)),))</f>
        <v>27500000</v>
      </c>
    </row>
    <row r="39" spans="1:9" s="794" customFormat="1" ht="21" customHeight="1">
      <c r="A39" s="802">
        <f ca="1">IF(ROWS($1:29)&gt;COUNT(Dong6),"",OFFSET(TH!C$1,SMALL(Dong6,ROWS($1:29)),))</f>
        <v>42572</v>
      </c>
      <c r="B39" s="803" t="str">
        <f ca="1">IF(ROWS($1:29)&gt;COUNT(Dong6),"",OFFSET(TH!D$1,SMALL(Dong6,ROWS($1:29)),))</f>
        <v>GBN</v>
      </c>
      <c r="C39" s="802">
        <f ca="1">IF(ROWS($1:29)&gt;COUNT(Dong6),"",OFFSET(TH!E$1,SMALL(Dong6,ROWS($1:29)),))</f>
        <v>42572</v>
      </c>
      <c r="D39" s="804" t="str">
        <f ca="1">IF(ROWS($1:29)&gt;COUNT(Dong6),"",OFFSET(TH!F$1,SMALL(Dong6,ROWS($1:29)),))</f>
        <v>Thanh toán tiền hàng</v>
      </c>
      <c r="E39" s="803">
        <f t="shared" ca="1" si="0"/>
        <v>29</v>
      </c>
      <c r="F39" s="805" t="str">
        <f ca="1">IF(ROWS($1:29)&gt;COUNT(Dong6),"",OFFSET(TH!L$1,SMALL(Dong6,ROWS($1:29)),))</f>
        <v>331</v>
      </c>
      <c r="G39" s="805" t="str">
        <f ca="1">IF(ROWS($1:29)&gt;COUNT(Dong6),"",OFFSET(TH!M$1,SMALL(Dong6,ROWS($1:29)),))</f>
        <v>1121</v>
      </c>
      <c r="H39" s="691">
        <f ca="1">IF(ROWS($1:29)&gt;COUNT(Dong6),"",OFFSET(TH!K$1,SMALL(Dong6,ROWS($1:29)),))</f>
        <v>20000000</v>
      </c>
      <c r="I39" s="691">
        <f ca="1">IF(ROWS($1:29)&gt;COUNT(Dong6),"",OFFSET(TH!K$1,SMALL(Dong6,ROWS($1:29)),))</f>
        <v>20000000</v>
      </c>
    </row>
    <row r="40" spans="1:9" s="794" customFormat="1" ht="21" customHeight="1">
      <c r="A40" s="802">
        <f ca="1">IF(ROWS($1:30)&gt;COUNT(Dong6),"",OFFSET(TH!C$1,SMALL(Dong6,ROWS($1:30)),))</f>
        <v>42572</v>
      </c>
      <c r="B40" s="803" t="str">
        <f ca="1">IF(ROWS($1:30)&gt;COUNT(Dong6),"",OFFSET(TH!D$1,SMALL(Dong6,ROWS($1:30)),))</f>
        <v>GBN</v>
      </c>
      <c r="C40" s="802">
        <f ca="1">IF(ROWS($1:30)&gt;COUNT(Dong6),"",OFFSET(TH!E$1,SMALL(Dong6,ROWS($1:30)),))</f>
        <v>42572</v>
      </c>
      <c r="D40" s="804" t="str">
        <f ca="1">IF(ROWS($1:30)&gt;COUNT(Dong6),"",OFFSET(TH!F$1,SMALL(Dong6,ROWS($1:30)),))</f>
        <v>Phí chuyển tiền</v>
      </c>
      <c r="E40" s="803">
        <f t="shared" ca="1" si="0"/>
        <v>30</v>
      </c>
      <c r="F40" s="805" t="str">
        <f ca="1">IF(ROWS($1:30)&gt;COUNT(Dong6),"",OFFSET(TH!L$1,SMALL(Dong6,ROWS($1:30)),))</f>
        <v>642</v>
      </c>
      <c r="G40" s="805" t="str">
        <f ca="1">IF(ROWS($1:30)&gt;COUNT(Dong6),"",OFFSET(TH!M$1,SMALL(Dong6,ROWS($1:30)),))</f>
        <v>1121</v>
      </c>
      <c r="H40" s="691">
        <f ca="1">IF(ROWS($1:30)&gt;COUNT(Dong6),"",OFFSET(TH!K$1,SMALL(Dong6,ROWS($1:30)),))</f>
        <v>20000</v>
      </c>
      <c r="I40" s="691">
        <f ca="1">IF(ROWS($1:30)&gt;COUNT(Dong6),"",OFFSET(TH!K$1,SMALL(Dong6,ROWS($1:30)),))</f>
        <v>20000</v>
      </c>
    </row>
    <row r="41" spans="1:9" s="794" customFormat="1" ht="21" customHeight="1">
      <c r="A41" s="802">
        <f ca="1">IF(ROWS($1:31)&gt;COUNT(Dong6),"",OFFSET(TH!C$1,SMALL(Dong6,ROWS($1:31)),))</f>
        <v>42572</v>
      </c>
      <c r="B41" s="803" t="str">
        <f ca="1">IF(ROWS($1:31)&gt;COUNT(Dong6),"",OFFSET(TH!D$1,SMALL(Dong6,ROWS($1:31)),))</f>
        <v>GBN</v>
      </c>
      <c r="C41" s="802">
        <f ca="1">IF(ROWS($1:31)&gt;COUNT(Dong6),"",OFFSET(TH!E$1,SMALL(Dong6,ROWS($1:31)),))</f>
        <v>42572</v>
      </c>
      <c r="D41" s="804" t="str">
        <f ca="1">IF(ROWS($1:31)&gt;COUNT(Dong6),"",OFFSET(TH!F$1,SMALL(Dong6,ROWS($1:31)),))</f>
        <v>VAT Phí chuyển tiền</v>
      </c>
      <c r="E41" s="803">
        <f t="shared" ref="E41:E50" ca="1" si="1">IF(D41&lt;&gt;"",ROW()-10,"")</f>
        <v>31</v>
      </c>
      <c r="F41" s="805" t="str">
        <f ca="1">IF(ROWS($1:31)&gt;COUNT(Dong6),"",OFFSET(TH!L$1,SMALL(Dong6,ROWS($1:31)),))</f>
        <v>1331</v>
      </c>
      <c r="G41" s="805" t="str">
        <f ca="1">IF(ROWS($1:31)&gt;COUNT(Dong6),"",OFFSET(TH!M$1,SMALL(Dong6,ROWS($1:31)),))</f>
        <v>1121</v>
      </c>
      <c r="H41" s="691">
        <f ca="1">IF(ROWS($1:31)&gt;COUNT(Dong6),"",OFFSET(TH!K$1,SMALL(Dong6,ROWS($1:31)),))</f>
        <v>2000</v>
      </c>
      <c r="I41" s="691">
        <f ca="1">IF(ROWS($1:31)&gt;COUNT(Dong6),"",OFFSET(TH!K$1,SMALL(Dong6,ROWS($1:31)),))</f>
        <v>2000</v>
      </c>
    </row>
    <row r="42" spans="1:9" s="794" customFormat="1" ht="21" customHeight="1">
      <c r="A42" s="802">
        <f ca="1">IF(ROWS($1:32)&gt;COUNT(Dong6),"",OFFSET(TH!C$1,SMALL(Dong6,ROWS($1:32)),))</f>
        <v>42573</v>
      </c>
      <c r="B42" s="803" t="str">
        <f ca="1">IF(ROWS($1:32)&gt;COUNT(Dong6),"",OFFSET(TH!D$1,SMALL(Dong6,ROWS($1:32)),))</f>
        <v>GBN</v>
      </c>
      <c r="C42" s="802">
        <f ca="1">IF(ROWS($1:32)&gt;COUNT(Dong6),"",OFFSET(TH!E$1,SMALL(Dong6,ROWS($1:32)),))</f>
        <v>42573</v>
      </c>
      <c r="D42" s="804" t="str">
        <f ca="1">IF(ROWS($1:32)&gt;COUNT(Dong6),"",OFFSET(TH!F$1,SMALL(Dong6,ROWS($1:32)),))</f>
        <v>Rút tiền mặt nộp quỹ</v>
      </c>
      <c r="E42" s="803">
        <f t="shared" ca="1" si="1"/>
        <v>32</v>
      </c>
      <c r="F42" s="805" t="str">
        <f ca="1">IF(ROWS($1:32)&gt;COUNT(Dong6),"",OFFSET(TH!L$1,SMALL(Dong6,ROWS($1:32)),))</f>
        <v>1111</v>
      </c>
      <c r="G42" s="805" t="str">
        <f ca="1">IF(ROWS($1:32)&gt;COUNT(Dong6),"",OFFSET(TH!M$1,SMALL(Dong6,ROWS($1:32)),))</f>
        <v>1121</v>
      </c>
      <c r="H42" s="691">
        <f ca="1">IF(ROWS($1:32)&gt;COUNT(Dong6),"",OFFSET(TH!K$1,SMALL(Dong6,ROWS($1:32)),))</f>
        <v>130800000</v>
      </c>
      <c r="I42" s="691">
        <f ca="1">IF(ROWS($1:32)&gt;COUNT(Dong6),"",OFFSET(TH!K$1,SMALL(Dong6,ROWS($1:32)),))</f>
        <v>130800000</v>
      </c>
    </row>
    <row r="43" spans="1:9" s="794" customFormat="1" ht="21" customHeight="1">
      <c r="A43" s="802">
        <f ca="1">IF(ROWS($1:33)&gt;COUNT(Dong6),"",OFFSET(TH!C$1,SMALL(Dong6,ROWS($1:33)),))</f>
        <v>42574</v>
      </c>
      <c r="B43" s="803" t="str">
        <f ca="1">IF(ROWS($1:33)&gt;COUNT(Dong6),"",OFFSET(TH!D$1,SMALL(Dong6,ROWS($1:33)),))</f>
        <v>GBN</v>
      </c>
      <c r="C43" s="802">
        <f ca="1">IF(ROWS($1:33)&gt;COUNT(Dong6),"",OFFSET(TH!E$1,SMALL(Dong6,ROWS($1:33)),))</f>
        <v>42574</v>
      </c>
      <c r="D43" s="804" t="str">
        <f ca="1">IF(ROWS($1:33)&gt;COUNT(Dong6),"",OFFSET(TH!F$1,SMALL(Dong6,ROWS($1:33)),))</f>
        <v xml:space="preserve">Dịch vụ SMS </v>
      </c>
      <c r="E43" s="803">
        <f t="shared" ca="1" si="1"/>
        <v>33</v>
      </c>
      <c r="F43" s="805" t="str">
        <f ca="1">IF(ROWS($1:33)&gt;COUNT(Dong6),"",OFFSET(TH!L$1,SMALL(Dong6,ROWS($1:33)),))</f>
        <v>642</v>
      </c>
      <c r="G43" s="805" t="str">
        <f ca="1">IF(ROWS($1:33)&gt;COUNT(Dong6),"",OFFSET(TH!M$1,SMALL(Dong6,ROWS($1:33)),))</f>
        <v>1121</v>
      </c>
      <c r="H43" s="691">
        <f ca="1">IF(ROWS($1:33)&gt;COUNT(Dong6),"",OFFSET(TH!K$1,SMALL(Dong6,ROWS($1:33)),))</f>
        <v>50000</v>
      </c>
      <c r="I43" s="691">
        <f ca="1">IF(ROWS($1:33)&gt;COUNT(Dong6),"",OFFSET(TH!K$1,SMALL(Dong6,ROWS($1:33)),))</f>
        <v>50000</v>
      </c>
    </row>
    <row r="44" spans="1:9" s="794" customFormat="1" ht="21" customHeight="1">
      <c r="A44" s="802">
        <f ca="1">IF(ROWS($1:34)&gt;COUNT(Dong6),"",OFFSET(TH!C$1,SMALL(Dong6,ROWS($1:34)),))</f>
        <v>42574</v>
      </c>
      <c r="B44" s="803" t="str">
        <f ca="1">IF(ROWS($1:34)&gt;COUNT(Dong6),"",OFFSET(TH!D$1,SMALL(Dong6,ROWS($1:34)),))</f>
        <v>GBN</v>
      </c>
      <c r="C44" s="802">
        <f ca="1">IF(ROWS($1:34)&gt;COUNT(Dong6),"",OFFSET(TH!E$1,SMALL(Dong6,ROWS($1:34)),))</f>
        <v>42574</v>
      </c>
      <c r="D44" s="804" t="str">
        <f ca="1">IF(ROWS($1:34)&gt;COUNT(Dong6),"",OFFSET(TH!F$1,SMALL(Dong6,ROWS($1:34)),))</f>
        <v xml:space="preserve">VAT Dịch vụ SMS </v>
      </c>
      <c r="E44" s="803">
        <f t="shared" ca="1" si="1"/>
        <v>34</v>
      </c>
      <c r="F44" s="805" t="str">
        <f ca="1">IF(ROWS($1:34)&gt;COUNT(Dong6),"",OFFSET(TH!L$1,SMALL(Dong6,ROWS($1:34)),))</f>
        <v>1331</v>
      </c>
      <c r="G44" s="805" t="str">
        <f ca="1">IF(ROWS($1:34)&gt;COUNT(Dong6),"",OFFSET(TH!M$1,SMALL(Dong6,ROWS($1:34)),))</f>
        <v>1121</v>
      </c>
      <c r="H44" s="691">
        <f ca="1">IF(ROWS($1:34)&gt;COUNT(Dong6),"",OFFSET(TH!K$1,SMALL(Dong6,ROWS($1:34)),))</f>
        <v>5000</v>
      </c>
      <c r="I44" s="691">
        <f ca="1">IF(ROWS($1:34)&gt;COUNT(Dong6),"",OFFSET(TH!K$1,SMALL(Dong6,ROWS($1:34)),))</f>
        <v>5000</v>
      </c>
    </row>
    <row r="45" spans="1:9" s="794" customFormat="1" ht="21" customHeight="1">
      <c r="A45" s="802">
        <f ca="1">IF(ROWS($1:35)&gt;COUNT(Dong6),"",OFFSET(TH!C$1,SMALL(Dong6,ROWS($1:35)),))</f>
        <v>42576</v>
      </c>
      <c r="B45" s="803" t="str">
        <f ca="1">IF(ROWS($1:35)&gt;COUNT(Dong6),"",OFFSET(TH!D$1,SMALL(Dong6,ROWS($1:35)),))</f>
        <v>GBN</v>
      </c>
      <c r="C45" s="802">
        <f ca="1">IF(ROWS($1:35)&gt;COUNT(Dong6),"",OFFSET(TH!E$1,SMALL(Dong6,ROWS($1:35)),))</f>
        <v>42576</v>
      </c>
      <c r="D45" s="804" t="str">
        <f ca="1">IF(ROWS($1:35)&gt;COUNT(Dong6),"",OFFSET(TH!F$1,SMALL(Dong6,ROWS($1:35)),))</f>
        <v>Phí quản lý tài khoản</v>
      </c>
      <c r="E45" s="803">
        <f t="shared" ca="1" si="1"/>
        <v>35</v>
      </c>
      <c r="F45" s="805" t="str">
        <f ca="1">IF(ROWS($1:35)&gt;COUNT(Dong6),"",OFFSET(TH!L$1,SMALL(Dong6,ROWS($1:35)),))</f>
        <v>642</v>
      </c>
      <c r="G45" s="805" t="str">
        <f ca="1">IF(ROWS($1:35)&gt;COUNT(Dong6),"",OFFSET(TH!M$1,SMALL(Dong6,ROWS($1:35)),))</f>
        <v>1121</v>
      </c>
      <c r="H45" s="691">
        <f ca="1">IF(ROWS($1:35)&gt;COUNT(Dong6),"",OFFSET(TH!K$1,SMALL(Dong6,ROWS($1:35)),))</f>
        <v>10000</v>
      </c>
      <c r="I45" s="691">
        <f ca="1">IF(ROWS($1:35)&gt;COUNT(Dong6),"",OFFSET(TH!K$1,SMALL(Dong6,ROWS($1:35)),))</f>
        <v>10000</v>
      </c>
    </row>
    <row r="46" spans="1:9" s="794" customFormat="1" ht="21" customHeight="1">
      <c r="A46" s="802">
        <f ca="1">IF(ROWS($1:36)&gt;COUNT(Dong6),"",OFFSET(TH!C$1,SMALL(Dong6,ROWS($1:36)),))</f>
        <v>42576</v>
      </c>
      <c r="B46" s="803" t="str">
        <f ca="1">IF(ROWS($1:36)&gt;COUNT(Dong6),"",OFFSET(TH!D$1,SMALL(Dong6,ROWS($1:36)),))</f>
        <v>GBN</v>
      </c>
      <c r="C46" s="802">
        <f ca="1">IF(ROWS($1:36)&gt;COUNT(Dong6),"",OFFSET(TH!E$1,SMALL(Dong6,ROWS($1:36)),))</f>
        <v>42576</v>
      </c>
      <c r="D46" s="804" t="str">
        <f ca="1">IF(ROWS($1:36)&gt;COUNT(Dong6),"",OFFSET(TH!F$1,SMALL(Dong6,ROWS($1:36)),))</f>
        <v>VAT Phí quản lý tài khoản</v>
      </c>
      <c r="E46" s="803">
        <f t="shared" ca="1" si="1"/>
        <v>36</v>
      </c>
      <c r="F46" s="805" t="str">
        <f ca="1">IF(ROWS($1:36)&gt;COUNT(Dong6),"",OFFSET(TH!L$1,SMALL(Dong6,ROWS($1:36)),))</f>
        <v>1331</v>
      </c>
      <c r="G46" s="805" t="str">
        <f ca="1">IF(ROWS($1:36)&gt;COUNT(Dong6),"",OFFSET(TH!M$1,SMALL(Dong6,ROWS($1:36)),))</f>
        <v>1121</v>
      </c>
      <c r="H46" s="691">
        <f ca="1">IF(ROWS($1:36)&gt;COUNT(Dong6),"",OFFSET(TH!K$1,SMALL(Dong6,ROWS($1:36)),))</f>
        <v>1000</v>
      </c>
      <c r="I46" s="691">
        <f ca="1">IF(ROWS($1:36)&gt;COUNT(Dong6),"",OFFSET(TH!K$1,SMALL(Dong6,ROWS($1:36)),))</f>
        <v>1000</v>
      </c>
    </row>
    <row r="47" spans="1:9" s="794" customFormat="1" ht="21" customHeight="1">
      <c r="A47" s="802">
        <f ca="1">IF(ROWS($1:37)&gt;COUNT(Dong6),"",OFFSET(TH!C$1,SMALL(Dong6,ROWS($1:37)),))</f>
        <v>42578</v>
      </c>
      <c r="B47" s="803" t="str">
        <f ca="1">IF(ROWS($1:37)&gt;COUNT(Dong6),"",OFFSET(TH!D$1,SMALL(Dong6,ROWS($1:37)),))</f>
        <v>GBN</v>
      </c>
      <c r="C47" s="802">
        <f ca="1">IF(ROWS($1:37)&gt;COUNT(Dong6),"",OFFSET(TH!E$1,SMALL(Dong6,ROWS($1:37)),))</f>
        <v>42578</v>
      </c>
      <c r="D47" s="804" t="str">
        <f ca="1">IF(ROWS($1:37)&gt;COUNT(Dong6),"",OFFSET(TH!F$1,SMALL(Dong6,ROWS($1:37)),))</f>
        <v>Rút tiền mặt nộp quỹ</v>
      </c>
      <c r="E47" s="803">
        <f t="shared" ca="1" si="1"/>
        <v>37</v>
      </c>
      <c r="F47" s="805" t="str">
        <f ca="1">IF(ROWS($1:37)&gt;COUNT(Dong6),"",OFFSET(TH!L$1,SMALL(Dong6,ROWS($1:37)),))</f>
        <v>1111</v>
      </c>
      <c r="G47" s="805" t="str">
        <f ca="1">IF(ROWS($1:37)&gt;COUNT(Dong6),"",OFFSET(TH!M$1,SMALL(Dong6,ROWS($1:37)),))</f>
        <v>1121</v>
      </c>
      <c r="H47" s="691">
        <f ca="1">IF(ROWS($1:37)&gt;COUNT(Dong6),"",OFFSET(TH!K$1,SMALL(Dong6,ROWS($1:37)),))</f>
        <v>120000000</v>
      </c>
      <c r="I47" s="691">
        <f ca="1">IF(ROWS($1:37)&gt;COUNT(Dong6),"",OFFSET(TH!K$1,SMALL(Dong6,ROWS($1:37)),))</f>
        <v>120000000</v>
      </c>
    </row>
    <row r="48" spans="1:9" s="794" customFormat="1" ht="21" customHeight="1">
      <c r="A48" s="802">
        <f ca="1">IF(ROWS($1:38)&gt;COUNT(Dong6),"",OFFSET(TH!C$1,SMALL(Dong6,ROWS($1:38)),))</f>
        <v>42578</v>
      </c>
      <c r="B48" s="803" t="str">
        <f ca="1">IF(ROWS($1:38)&gt;COUNT(Dong6),"",OFFSET(TH!D$1,SMALL(Dong6,ROWS($1:38)),))</f>
        <v>GBN</v>
      </c>
      <c r="C48" s="802">
        <f ca="1">IF(ROWS($1:38)&gt;COUNT(Dong6),"",OFFSET(TH!E$1,SMALL(Dong6,ROWS($1:38)),))</f>
        <v>42578</v>
      </c>
      <c r="D48" s="804" t="str">
        <f ca="1">IF(ROWS($1:38)&gt;COUNT(Dong6),"",OFFSET(TH!F$1,SMALL(Dong6,ROWS($1:38)),))</f>
        <v>Rút tiền mặt nộp quỹ</v>
      </c>
      <c r="E48" s="803">
        <f t="shared" ca="1" si="1"/>
        <v>38</v>
      </c>
      <c r="F48" s="805" t="str">
        <f ca="1">IF(ROWS($1:38)&gt;COUNT(Dong6),"",OFFSET(TH!L$1,SMALL(Dong6,ROWS($1:38)),))</f>
        <v>1111</v>
      </c>
      <c r="G48" s="805" t="str">
        <f ca="1">IF(ROWS($1:38)&gt;COUNT(Dong6),"",OFFSET(TH!M$1,SMALL(Dong6,ROWS($1:38)),))</f>
        <v>1121</v>
      </c>
      <c r="H48" s="691">
        <f ca="1">IF(ROWS($1:38)&gt;COUNT(Dong6),"",OFFSET(TH!K$1,SMALL(Dong6,ROWS($1:38)),))</f>
        <v>125190000</v>
      </c>
      <c r="I48" s="691">
        <f ca="1">IF(ROWS($1:38)&gt;COUNT(Dong6),"",OFFSET(TH!K$1,SMALL(Dong6,ROWS($1:38)),))</f>
        <v>125190000</v>
      </c>
    </row>
    <row r="49" spans="1:10" s="794" customFormat="1" ht="21" customHeight="1">
      <c r="A49" s="802">
        <f ca="1">IF(ROWS($1:39)&gt;COUNT(Dong6),"",OFFSET(TH!C$1,SMALL(Dong6,ROWS($1:39)),))</f>
        <v>42579</v>
      </c>
      <c r="B49" s="803" t="str">
        <f ca="1">IF(ROWS($1:39)&gt;COUNT(Dong6),"",OFFSET(TH!D$1,SMALL(Dong6,ROWS($1:39)),))</f>
        <v>GBN</v>
      </c>
      <c r="C49" s="802">
        <f ca="1">IF(ROWS($1:39)&gt;COUNT(Dong6),"",OFFSET(TH!E$1,SMALL(Dong6,ROWS($1:39)),))</f>
        <v>42579</v>
      </c>
      <c r="D49" s="804" t="str">
        <f ca="1">IF(ROWS($1:39)&gt;COUNT(Dong6),"",OFFSET(TH!F$1,SMALL(Dong6,ROWS($1:39)),))</f>
        <v>Rút tiền mặt nộp quỹ</v>
      </c>
      <c r="E49" s="803">
        <f t="shared" ca="1" si="1"/>
        <v>39</v>
      </c>
      <c r="F49" s="805" t="str">
        <f ca="1">IF(ROWS($1:39)&gt;COUNT(Dong6),"",OFFSET(TH!L$1,SMALL(Dong6,ROWS($1:39)),))</f>
        <v>1111</v>
      </c>
      <c r="G49" s="805" t="str">
        <f ca="1">IF(ROWS($1:39)&gt;COUNT(Dong6),"",OFFSET(TH!M$1,SMALL(Dong6,ROWS($1:39)),))</f>
        <v>1121</v>
      </c>
      <c r="H49" s="691">
        <f ca="1">IF(ROWS($1:39)&gt;COUNT(Dong6),"",OFFSET(TH!K$1,SMALL(Dong6,ROWS($1:39)),))</f>
        <v>11300000</v>
      </c>
      <c r="I49" s="691">
        <f ca="1">IF(ROWS($1:39)&gt;COUNT(Dong6),"",OFFSET(TH!K$1,SMALL(Dong6,ROWS($1:39)),))</f>
        <v>11300000</v>
      </c>
    </row>
    <row r="50" spans="1:10" s="794" customFormat="1" ht="21" customHeight="1">
      <c r="A50" s="802">
        <f ca="1">IF(ROWS($1:40)&gt;COUNT(Dong6),"",OFFSET(TH!C$1,SMALL(Dong6,ROWS($1:40)),))</f>
        <v>42580</v>
      </c>
      <c r="B50" s="803" t="str">
        <f ca="1">IF(ROWS($1:40)&gt;COUNT(Dong6),"",OFFSET(TH!D$1,SMALL(Dong6,ROWS($1:40)),))</f>
        <v>GBN</v>
      </c>
      <c r="C50" s="802">
        <f ca="1">IF(ROWS($1:40)&gt;COUNT(Dong6),"",OFFSET(TH!E$1,SMALL(Dong6,ROWS($1:40)),))</f>
        <v>42580</v>
      </c>
      <c r="D50" s="804" t="str">
        <f ca="1">IF(ROWS($1:40)&gt;COUNT(Dong6),"",OFFSET(TH!F$1,SMALL(Dong6,ROWS($1:40)),))</f>
        <v>Rút tiền mặt nộp quỹ</v>
      </c>
      <c r="E50" s="803">
        <f t="shared" ca="1" si="1"/>
        <v>40</v>
      </c>
      <c r="F50" s="805" t="str">
        <f ca="1">IF(ROWS($1:40)&gt;COUNT(Dong6),"",OFFSET(TH!L$1,SMALL(Dong6,ROWS($1:40)),))</f>
        <v>1111</v>
      </c>
      <c r="G50" s="805" t="str">
        <f ca="1">IF(ROWS($1:40)&gt;COUNT(Dong6),"",OFFSET(TH!M$1,SMALL(Dong6,ROWS($1:40)),))</f>
        <v>1121</v>
      </c>
      <c r="H50" s="691">
        <f ca="1">IF(ROWS($1:40)&gt;COUNT(Dong6),"",OFFSET(TH!K$1,SMALL(Dong6,ROWS($1:40)),))</f>
        <v>27500000</v>
      </c>
      <c r="I50" s="691">
        <f ca="1">IF(ROWS($1:40)&gt;COUNT(Dong6),"",OFFSET(TH!K$1,SMALL(Dong6,ROWS($1:40)),))</f>
        <v>27500000</v>
      </c>
    </row>
    <row r="51" spans="1:10" s="794" customFormat="1" ht="21" customHeight="1">
      <c r="A51" s="802"/>
      <c r="B51" s="803"/>
      <c r="C51" s="802"/>
      <c r="D51" s="804"/>
      <c r="E51" s="803"/>
      <c r="F51" s="805"/>
      <c r="G51" s="805"/>
      <c r="H51" s="691"/>
      <c r="I51" s="691"/>
    </row>
    <row r="52" spans="1:10" s="794" customFormat="1" ht="21" customHeight="1">
      <c r="A52" s="806"/>
      <c r="B52" s="806"/>
      <c r="C52" s="806"/>
      <c r="D52" s="807" t="s">
        <v>333</v>
      </c>
      <c r="E52" s="808" t="s">
        <v>19</v>
      </c>
      <c r="F52" s="808"/>
      <c r="G52" s="808" t="s">
        <v>19</v>
      </c>
      <c r="H52" s="809">
        <f ca="1">SUBTOTAL(9,$H$10:$H$51)</f>
        <v>17977925669.900002</v>
      </c>
      <c r="I52" s="809">
        <f ca="1">SUBTOTAL(9,I10:I51)</f>
        <v>17977925669.900002</v>
      </c>
    </row>
    <row r="53" spans="1:10" s="794" customFormat="1" ht="15">
      <c r="A53" s="810" t="s">
        <v>403</v>
      </c>
    </row>
    <row r="54" spans="1:10" s="794" customFormat="1" ht="15">
      <c r="A54" s="810" t="str">
        <f ca="1">"- Ngày mở sổ: "&amp;DAY($A$11)&amp;"/"&amp;MONTH($A$11)&amp;"/ " &amp;YEAR($A$11)</f>
        <v>- Ngày mở sổ: 1/7/ 2016</v>
      </c>
    </row>
    <row r="55" spans="1:10" s="794" customFormat="1" ht="15">
      <c r="H55" s="135" t="str">
        <f ca="1">"Ngày "&amp;IF(OR($L$11=4,$L$11=6,$L$11=9,$L$11=11),"30",IF($L$11=2,"28","31"))&amp;" tháng "&amp;$N$8&amp;"  năm  "&amp;YEAR($A$14)</f>
        <v>Ngày 31 tháng 9  năm  2016</v>
      </c>
      <c r="I55" s="811"/>
      <c r="J55" s="811"/>
    </row>
    <row r="56" spans="1:10" s="794" customFormat="1" ht="15">
      <c r="B56" s="811" t="s">
        <v>330</v>
      </c>
      <c r="D56" s="811" t="s">
        <v>12</v>
      </c>
      <c r="H56" s="811" t="s">
        <v>331</v>
      </c>
      <c r="I56" s="811"/>
      <c r="J56" s="811"/>
    </row>
    <row r="57" spans="1:10" s="794" customFormat="1" ht="15">
      <c r="B57" s="811" t="s">
        <v>13</v>
      </c>
      <c r="D57" s="811" t="s">
        <v>13</v>
      </c>
      <c r="H57" s="811" t="s">
        <v>136</v>
      </c>
      <c r="I57" s="811"/>
      <c r="J57" s="811"/>
    </row>
    <row r="58" spans="1:10" s="794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85" t="s">
        <v>145</v>
      </c>
      <c r="H2" s="985"/>
      <c r="I2" s="985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86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86"/>
      <c r="I3" s="986"/>
    </row>
    <row r="4" spans="1:9">
      <c r="F4" s="17"/>
      <c r="G4" s="986"/>
      <c r="H4" s="986"/>
      <c r="I4" s="986"/>
    </row>
    <row r="5" spans="1:9" ht="17.25" customHeight="1">
      <c r="A5" s="987" t="s">
        <v>146</v>
      </c>
      <c r="B5" s="987"/>
      <c r="C5" s="987"/>
      <c r="D5" s="987"/>
      <c r="E5" s="987"/>
      <c r="F5" s="987"/>
      <c r="G5" s="987"/>
      <c r="H5" s="987"/>
      <c r="I5" s="987"/>
    </row>
    <row r="6" spans="1:9">
      <c r="A6" s="988" t="s">
        <v>147</v>
      </c>
      <c r="B6" s="989"/>
      <c r="C6" s="989"/>
      <c r="D6" s="989"/>
      <c r="E6" s="989"/>
      <c r="F6" s="989"/>
      <c r="G6" s="989"/>
      <c r="H6" s="989"/>
      <c r="I6" s="989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89" t="s">
        <v>29</v>
      </c>
      <c r="B9" s="990"/>
      <c r="C9" s="990"/>
      <c r="D9" s="990"/>
      <c r="E9" s="990"/>
      <c r="F9" s="990"/>
      <c r="G9" s="990"/>
      <c r="H9" s="990"/>
      <c r="I9" s="990"/>
    </row>
    <row r="10" spans="1:9" ht="9.75" customHeight="1">
      <c r="C10" s="991"/>
      <c r="D10" s="992"/>
      <c r="E10" s="992"/>
      <c r="F10" s="992"/>
      <c r="G10" s="992"/>
      <c r="H10" s="992"/>
      <c r="I10" s="992"/>
    </row>
    <row r="11" spans="1:9" s="18" customFormat="1" ht="19.5" customHeight="1">
      <c r="A11" s="993" t="s">
        <v>20</v>
      </c>
      <c r="B11" s="983" t="s">
        <v>1</v>
      </c>
      <c r="C11" s="994"/>
      <c r="D11" s="993" t="s">
        <v>0</v>
      </c>
      <c r="E11" s="993" t="s">
        <v>14</v>
      </c>
      <c r="F11" s="983" t="s">
        <v>21</v>
      </c>
      <c r="G11" s="994"/>
      <c r="H11" s="983" t="s">
        <v>31</v>
      </c>
      <c r="I11" s="984"/>
    </row>
    <row r="12" spans="1:9" s="18" customFormat="1" ht="32.25" customHeight="1">
      <c r="A12" s="993"/>
      <c r="B12" s="235" t="s">
        <v>15</v>
      </c>
      <c r="C12" s="235" t="s">
        <v>32</v>
      </c>
      <c r="D12" s="993"/>
      <c r="E12" s="993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141836370</v>
      </c>
      <c r="H15" s="240">
        <f ca="1">IF(D15&lt;&gt;"",MAX(H14+F15-G15-I14,0),0)</f>
        <v>0</v>
      </c>
      <c r="I15" s="240">
        <f ca="1">IF(D15&lt;&gt;"",MAX(I14+G15-H14-F15,0),0)</f>
        <v>141836370</v>
      </c>
    </row>
    <row r="16" spans="1:9" s="18" customFormat="1" ht="18" customHeight="1">
      <c r="A16" s="197">
        <f ca="1">IF(ROWS($1:2)&gt;COUNT(Dong5),"",OFFSET(TH!C$1,SMALL(Dong5,ROWS($1:2)),))</f>
        <v>42378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42378</v>
      </c>
      <c r="D16" s="238" t="str">
        <f ca="1">IF(ROWS($1:2)&gt;COUNT(Dong5),"",OFFSET(TH!F$1,SMALL(Dong5,ROWS($1:2)),))</f>
        <v>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50000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141786370</v>
      </c>
    </row>
    <row r="17" spans="1:9" s="18" customFormat="1" ht="18" customHeight="1">
      <c r="A17" s="197">
        <f ca="1">IF(ROWS($1:3)&gt;COUNT(Dong5),"",OFFSET(TH!C$1,SMALL(Dong5,ROWS($1:3)),))</f>
        <v>42380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42380</v>
      </c>
      <c r="D17" s="238" t="str">
        <f ca="1">IF(ROWS($1:3)&gt;COUNT(Dong5),"",OFFSET(TH!F$1,SMALL(Dong5,ROWS($1:3)),))</f>
        <v>Phí chuyển tiền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20000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141766370</v>
      </c>
    </row>
    <row r="18" spans="1:9" s="18" customFormat="1" ht="18" customHeight="1">
      <c r="A18" s="197">
        <f ca="1">IF(ROWS($1:4)&gt;COUNT(Dong5),"",OFFSET(TH!C$1,SMALL(Dong5,ROWS($1:4)),))</f>
        <v>42381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42381</v>
      </c>
      <c r="D18" s="238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11000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141755370</v>
      </c>
    </row>
    <row r="19" spans="1:9" s="18" customFormat="1" ht="18" customHeight="1">
      <c r="A19" s="197">
        <f ca="1">IF(ROWS($1:5)&gt;COUNT(Dong5),"",OFFSET(TH!C$1,SMALL(Dong5,ROWS($1:5)),))</f>
        <v>42381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42381</v>
      </c>
      <c r="D19" s="238" t="str">
        <f ca="1">IF(ROWS($1:5)&gt;COUNT(Dong5),"",OFFSET(TH!F$1,SMALL(Dong5,ROWS($1:5)),))</f>
        <v>Phí chuyển tiền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20000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141735370</v>
      </c>
    </row>
    <row r="20" spans="1:9" s="18" customFormat="1" ht="18" customHeight="1">
      <c r="A20" s="197">
        <f ca="1">IF(ROWS($1:6)&gt;COUNT(Dong5),"",OFFSET(TH!C$1,SMALL(Dong5,ROWS($1:6)),))</f>
        <v>42388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42388</v>
      </c>
      <c r="D20" s="238" t="str">
        <f ca="1">IF(ROWS($1:6)&gt;COUNT(Dong5),"",OFFSET(TH!F$1,SMALL(Dong5,ROWS($1:6)),))</f>
        <v>Phí chuyển tiền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20000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141715370</v>
      </c>
    </row>
    <row r="21" spans="1:9" s="18" customFormat="1" ht="18" customHeight="1">
      <c r="A21" s="197">
        <f ca="1">IF(ROWS($1:7)&gt;COUNT(Dong5),"",OFFSET(TH!C$1,SMALL(Dong5,ROWS($1:7)),))</f>
        <v>42394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42394</v>
      </c>
      <c r="D21" s="238" t="str">
        <f ca="1">IF(ROWS($1:7)&gt;COUNT(Dong5),"",OFFSET(TH!F$1,SMALL(Dong5,ROWS($1:7)),))</f>
        <v>Phí quản lý tài khoản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10000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141705370</v>
      </c>
    </row>
    <row r="22" spans="1:9" s="18" customFormat="1" ht="18" customHeight="1">
      <c r="A22" s="197">
        <f ca="1">IF(ROWS($1:8)&gt;COUNT(Dong5),"",OFFSET(TH!C$1,SMALL(Dong5,ROWS($1:8)),))</f>
        <v>42394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42394</v>
      </c>
      <c r="D22" s="238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20000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141685370</v>
      </c>
    </row>
    <row r="23" spans="1:9" s="18" customFormat="1" ht="18" customHeight="1">
      <c r="A23" s="197">
        <f ca="1">IF(ROWS($1:9)&gt;COUNT(Dong5),"",OFFSET(TH!C$1,SMALL(Dong5,ROWS($1:9)),))</f>
        <v>42395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42395</v>
      </c>
      <c r="D23" s="238" t="str">
        <f ca="1">IF(ROWS($1:9)&gt;COUNT(Dong5),"",OFFSET(TH!F$1,SMALL(Dong5,ROWS($1:9)),))</f>
        <v>Phí ngân hàng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22000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141663370</v>
      </c>
    </row>
    <row r="24" spans="1:9" s="18" customFormat="1" ht="18" customHeight="1">
      <c r="A24" s="197">
        <f ca="1">IF(ROWS($1:10)&gt;COUNT(Dong5),"",OFFSET(TH!C$1,SMALL(Dong5,ROWS($1:10)),))</f>
        <v>42395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42395</v>
      </c>
      <c r="D24" s="238" t="str">
        <f ca="1">IF(ROWS($1:10)&gt;COUNT(Dong5),"",OFFSET(TH!F$1,SMALL(Dong5,ROWS($1:10)),))</f>
        <v>Phí ngân hàng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22000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141641370</v>
      </c>
    </row>
    <row r="25" spans="1:9" s="18" customFormat="1" ht="18" customHeight="1">
      <c r="A25" s="197">
        <f ca="1">IF(ROWS($1:11)&gt;COUNT(Dong5),"",OFFSET(TH!C$1,SMALL(Dong5,ROWS($1:11)),))</f>
        <v>42395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42395</v>
      </c>
      <c r="D25" s="238" t="str">
        <f ca="1">IF(ROWS($1:11)&gt;COUNT(Dong5),"",OFFSET(TH!F$1,SMALL(Dong5,ROWS($1:11)),))</f>
        <v>Phí chuyển tiền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150251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141491119</v>
      </c>
    </row>
    <row r="26" spans="1:9" s="18" customFormat="1" ht="18" customHeight="1">
      <c r="A26" s="197">
        <f ca="1">IF(ROWS($1:12)&gt;COUNT(Dong5),"",OFFSET(TH!C$1,SMALL(Dong5,ROWS($1:12)),))</f>
        <v>42397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42397</v>
      </c>
      <c r="D26" s="238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20000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141471119</v>
      </c>
    </row>
    <row r="27" spans="1:9" s="18" customFormat="1" ht="18" customHeight="1">
      <c r="A27" s="197">
        <f ca="1">IF(ROWS($1:13)&gt;COUNT(Dong5),"",OFFSET(TH!C$1,SMALL(Dong5,ROWS($1:13)),))</f>
        <v>42406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42406</v>
      </c>
      <c r="D27" s="238" t="str">
        <f ca="1">IF(ROWS($1:13)&gt;COUNT(Dong5),"",OFFSET(TH!F$1,SMALL(Dong5,ROWS($1:13)),))</f>
        <v>Phí dịch vụ SMS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50000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141421119</v>
      </c>
    </row>
    <row r="28" spans="1:9" s="18" customFormat="1" ht="18" customHeight="1">
      <c r="A28" s="197">
        <f ca="1">IF(ROWS($1:14)&gt;COUNT(Dong5),"",OFFSET(TH!C$1,SMALL(Dong5,ROWS($1:14)),))</f>
        <v>42424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42424</v>
      </c>
      <c r="D28" s="238" t="str">
        <f ca="1">IF(ROWS($1:14)&gt;COUNT(Dong5),"",OFFSET(TH!F$1,SMALL(Dong5,ROWS($1:14)),))</f>
        <v>Phí chuyển tiền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20000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141401119</v>
      </c>
    </row>
    <row r="29" spans="1:9" s="18" customFormat="1" ht="18" customHeight="1">
      <c r="A29" s="197">
        <f ca="1">IF(ROWS($1:15)&gt;COUNT(Dong5),"",OFFSET(TH!C$1,SMALL(Dong5,ROWS($1:15)),))</f>
        <v>42425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42425</v>
      </c>
      <c r="D29" s="238" t="str">
        <f ca="1">IF(ROWS($1:15)&gt;COUNT(Dong5),"",OFFSET(TH!F$1,SMALL(Dong5,ROWS($1:15)),))</f>
        <v>Phí quản lý tài khoản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10000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141391119</v>
      </c>
    </row>
    <row r="30" spans="1:9" s="18" customFormat="1" ht="18" customHeight="1">
      <c r="A30" s="197">
        <f ca="1">IF(ROWS($1:16)&gt;COUNT(Dong5),"",OFFSET(TH!C$1,SMALL(Dong5,ROWS($1:16)),))</f>
        <v>42433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42433</v>
      </c>
      <c r="D30" s="238" t="str">
        <f ca="1">IF(ROWS($1:16)&gt;COUNT(Dong5),"",OFFSET(TH!F$1,SMALL(Dong5,ROWS($1:16)),))</f>
        <v>Phí chuyển tiền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20000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141371119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465251</v>
      </c>
      <c r="G32" s="241">
        <f ca="1">SUM(G15:G31)</f>
        <v>141836370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141371119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2016</v>
      </c>
      <c r="E36" s="207"/>
    </row>
    <row r="37" spans="1:9" s="18" customFormat="1" ht="13.5" customHeight="1">
      <c r="A37" s="207"/>
      <c r="B37" s="207"/>
      <c r="C37" s="207"/>
      <c r="E37" s="982" t="str">
        <f ca="1">"Ngày 31 tháng  12  năm  "&amp;YEAR($A$15)</f>
        <v>Ngày 31 tháng  12  năm  2016</v>
      </c>
      <c r="F37" s="982"/>
      <c r="G37" s="982"/>
      <c r="H37" s="982"/>
      <c r="I37" s="982"/>
    </row>
    <row r="38" spans="1:9" s="18" customFormat="1" ht="12.75">
      <c r="A38" s="982" t="s">
        <v>11</v>
      </c>
      <c r="B38" s="982"/>
      <c r="C38" s="982"/>
      <c r="D38" s="982"/>
      <c r="E38" s="982" t="s">
        <v>12</v>
      </c>
      <c r="F38" s="982"/>
      <c r="G38" s="982"/>
      <c r="H38" s="982"/>
      <c r="I38" s="982"/>
    </row>
    <row r="39" spans="1:9" s="18" customFormat="1" ht="12.75">
      <c r="A39" s="982" t="s">
        <v>13</v>
      </c>
      <c r="B39" s="982"/>
      <c r="C39" s="982"/>
      <c r="D39" s="982"/>
      <c r="E39" s="982" t="s">
        <v>13</v>
      </c>
      <c r="F39" s="982"/>
      <c r="G39" s="982"/>
      <c r="H39" s="982"/>
      <c r="I39" s="982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95"/>
      <c r="B46" s="995"/>
      <c r="C46" s="995"/>
      <c r="D46" s="995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85" t="s">
        <v>119</v>
      </c>
      <c r="H1" s="985"/>
      <c r="I1" s="985"/>
      <c r="J1" s="985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86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86"/>
      <c r="I2" s="986"/>
      <c r="J2" s="986"/>
    </row>
    <row r="3" spans="1:15" s="3" customFormat="1" ht="16.5" customHeight="1">
      <c r="A3" s="4"/>
      <c r="B3" s="16"/>
      <c r="C3" s="108"/>
      <c r="D3" s="108"/>
      <c r="E3" s="16"/>
      <c r="G3" s="986"/>
      <c r="H3" s="986"/>
      <c r="I3" s="986"/>
      <c r="J3" s="986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96" t="s">
        <v>120</v>
      </c>
      <c r="B5" s="996"/>
      <c r="C5" s="996"/>
      <c r="D5" s="996"/>
      <c r="E5" s="996"/>
      <c r="F5" s="996"/>
      <c r="G5" s="996"/>
      <c r="H5" s="996"/>
      <c r="I5" s="996"/>
      <c r="J5" s="996"/>
    </row>
    <row r="6" spans="1:15" ht="14.25" customHeight="1">
      <c r="A6" s="998" t="str">
        <f ca="1">$L$11&amp;" / "&amp;YEAR($A$14)</f>
        <v>Quý I / 2016</v>
      </c>
      <c r="B6" s="998"/>
      <c r="C6" s="998"/>
      <c r="D6" s="998"/>
      <c r="E6" s="998"/>
      <c r="F6" s="998"/>
      <c r="G6" s="998"/>
      <c r="H6" s="998"/>
      <c r="I6" s="998"/>
      <c r="J6" s="998"/>
    </row>
    <row r="7" spans="1:15">
      <c r="A7" s="997" t="s">
        <v>121</v>
      </c>
      <c r="B7" s="997"/>
      <c r="C7" s="997"/>
      <c r="D7" s="997"/>
      <c r="E7" s="997"/>
      <c r="F7" s="997"/>
      <c r="G7" s="997"/>
      <c r="H7" s="997"/>
      <c r="I7" s="997"/>
      <c r="J7" s="997"/>
    </row>
    <row r="8" spans="1:15">
      <c r="A8" s="997" t="s">
        <v>122</v>
      </c>
      <c r="B8" s="997"/>
      <c r="C8" s="997"/>
      <c r="D8" s="997"/>
      <c r="E8" s="997"/>
      <c r="F8" s="997"/>
      <c r="G8" s="997"/>
      <c r="H8" s="997"/>
      <c r="I8" s="997"/>
      <c r="J8" s="997"/>
    </row>
    <row r="9" spans="1:15">
      <c r="A9" s="111"/>
      <c r="I9" s="111" t="s">
        <v>123</v>
      </c>
    </row>
    <row r="10" spans="1:15" ht="33" customHeight="1" thickBot="1">
      <c r="A10" s="1000" t="s">
        <v>20</v>
      </c>
      <c r="B10" s="1000" t="s">
        <v>124</v>
      </c>
      <c r="C10" s="999" t="s">
        <v>125</v>
      </c>
      <c r="D10" s="999"/>
      <c r="E10" s="999" t="s">
        <v>0</v>
      </c>
      <c r="F10" s="1000" t="s">
        <v>14</v>
      </c>
      <c r="G10" s="999" t="s">
        <v>21</v>
      </c>
      <c r="H10" s="999"/>
      <c r="I10" s="999" t="s">
        <v>126</v>
      </c>
      <c r="J10" s="999" t="s">
        <v>127</v>
      </c>
      <c r="L10" s="592"/>
      <c r="N10" s="980" t="s">
        <v>318</v>
      </c>
      <c r="O10" s="980"/>
    </row>
    <row r="11" spans="1:15" ht="24" customHeight="1" thickBot="1">
      <c r="A11" s="1001"/>
      <c r="B11" s="1001"/>
      <c r="C11" s="112" t="s">
        <v>128</v>
      </c>
      <c r="D11" s="112" t="s">
        <v>129</v>
      </c>
      <c r="E11" s="999"/>
      <c r="F11" s="1001"/>
      <c r="G11" s="112" t="s">
        <v>22</v>
      </c>
      <c r="H11" s="112" t="s">
        <v>23</v>
      </c>
      <c r="I11" s="999"/>
      <c r="J11" s="999"/>
      <c r="L11" s="177" t="s">
        <v>420</v>
      </c>
      <c r="N11" s="613">
        <f>IF(L11="Quý I",1,IF(L11="Quý II",4,IF(L11="Quý III",7,IF(L11="Quý IV",10,""))))</f>
        <v>1</v>
      </c>
      <c r="O11" s="613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14"/>
      <c r="O12" s="614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2381323503</v>
      </c>
      <c r="J13" s="116"/>
      <c r="N13" s="615"/>
      <c r="O13" s="615"/>
    </row>
    <row r="14" spans="1:15" ht="21.75" customHeight="1">
      <c r="A14" s="119">
        <f ca="1">IF(ROWS($1:1)&gt;COUNT(Dong1),"",OFFSET(TH!C$1,SMALL(Dong1,ROWS($1:1)),))</f>
        <v>42380</v>
      </c>
      <c r="B14" s="119">
        <f ca="1">IF(ROWS($1:1)&gt;COUNT(Dong1),"",OFFSET(TH!E$1,SMALL(Dong1,ROWS($1:1)),))</f>
        <v>42380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2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10050000</v>
      </c>
      <c r="I14" s="120">
        <f ca="1">IF(E14&lt;&gt;"",I13+G14-H14,0)</f>
        <v>2371273503</v>
      </c>
      <c r="J14" s="125"/>
      <c r="N14" s="616"/>
      <c r="O14" s="616"/>
    </row>
    <row r="15" spans="1:15" ht="21.75" customHeight="1">
      <c r="A15" s="119">
        <f ca="1">IF(ROWS($1:2)&gt;COUNT(Dong1),"",OFFSET(TH!C$1,SMALL(Dong1,ROWS($1:2)),))</f>
        <v>42381</v>
      </c>
      <c r="B15" s="119">
        <f ca="1">IF(ROWS($1:2)&gt;COUNT(Dong1),"",OFFSET(TH!E$1,SMALL(Dong1,ROWS($1:2)),))</f>
        <v>42381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GBC</v>
      </c>
      <c r="E15" s="222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71000000</v>
      </c>
      <c r="I15" s="120">
        <f t="shared" ref="I15:I49" ca="1" si="0">IF(E15&lt;&gt;"",I14+G15-H15,0)</f>
        <v>2300273503</v>
      </c>
      <c r="J15" s="125"/>
      <c r="N15" s="616"/>
      <c r="O15" s="616"/>
    </row>
    <row r="16" spans="1:15" ht="21.75" customHeight="1">
      <c r="A16" s="119">
        <f ca="1">IF(ROWS($1:3)&gt;COUNT(Dong1),"",OFFSET(TH!C$1,SMALL(Dong1,ROWS($1:3)),))</f>
        <v>42381</v>
      </c>
      <c r="B16" s="119">
        <f ca="1">IF(ROWS($1:3)&gt;COUNT(Dong1),"",OFFSET(TH!E$1,SMALL(Dong1,ROWS($1:3)),))</f>
        <v>42381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21500000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2321773503</v>
      </c>
      <c r="J16" s="125"/>
      <c r="N16" s="616"/>
      <c r="O16" s="616"/>
    </row>
    <row r="17" spans="1:15" ht="21.75" customHeight="1">
      <c r="A17" s="119">
        <f ca="1">IF(ROWS($1:4)&gt;COUNT(Dong1),"",OFFSET(TH!C$1,SMALL(Dong1,ROWS($1:4)),))</f>
        <v>42383</v>
      </c>
      <c r="B17" s="119">
        <f ca="1">IF(ROWS($1:4)&gt;COUNT(Dong1),"",OFFSET(TH!E$1,SMALL(Dong1,ROWS($1:4)),))</f>
        <v>42383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155700000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2477473503</v>
      </c>
      <c r="J17" s="125"/>
      <c r="N17" s="616"/>
      <c r="O17" s="616"/>
    </row>
    <row r="18" spans="1:15" ht="21.75" customHeight="1">
      <c r="A18" s="119">
        <f ca="1">IF(ROWS($1:5)&gt;COUNT(Dong1),"",OFFSET(TH!C$1,SMALL(Dong1,ROWS($1:5)),))</f>
        <v>42387</v>
      </c>
      <c r="B18" s="119">
        <f ca="1">IF(ROWS($1:5)&gt;COUNT(Dong1),"",OFFSET(TH!E$1,SMALL(Dong1,ROWS($1:5)),))</f>
        <v>42387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82600000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2560073503</v>
      </c>
      <c r="J18" s="125"/>
      <c r="N18" s="616"/>
      <c r="O18" s="616"/>
    </row>
    <row r="19" spans="1:15" ht="21.75" customHeight="1">
      <c r="A19" s="119">
        <f ca="1">IF(ROWS($1:6)&gt;COUNT(Dong1),"",OFFSET(TH!C$1,SMALL(Dong1,ROWS($1:6)),))</f>
        <v>42388</v>
      </c>
      <c r="B19" s="119">
        <f ca="1">IF(ROWS($1:6)&gt;COUNT(Dong1),"",OFFSET(TH!E$1,SMALL(Dong1,ROWS($1:6)),))</f>
        <v>42388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40300000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2600373503</v>
      </c>
      <c r="J19" s="125"/>
      <c r="N19" s="616"/>
      <c r="O19" s="616"/>
    </row>
    <row r="20" spans="1:15" ht="21.75" customHeight="1">
      <c r="A20" s="119">
        <f ca="1">IF(ROWS($1:7)&gt;COUNT(Dong1),"",OFFSET(TH!C$1,SMALL(Dong1,ROWS($1:7)),))</f>
        <v>42394</v>
      </c>
      <c r="B20" s="119">
        <f ca="1">IF(ROWS($1:7)&gt;COUNT(Dong1),"",OFFSET(TH!E$1,SMALL(Dong1,ROWS($1:7)),))</f>
        <v>42394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2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20000000</v>
      </c>
      <c r="I20" s="120">
        <f t="shared" ca="1" si="0"/>
        <v>2580373503</v>
      </c>
      <c r="J20" s="125"/>
      <c r="N20" s="616"/>
      <c r="O20" s="616"/>
    </row>
    <row r="21" spans="1:15" ht="21.75" customHeight="1">
      <c r="A21" s="119">
        <f ca="1">IF(ROWS($1:8)&gt;COUNT(Dong1),"",OFFSET(TH!C$1,SMALL(Dong1,ROWS($1:8)),))</f>
        <v>42395</v>
      </c>
      <c r="B21" s="119">
        <f ca="1">IF(ROWS($1:8)&gt;COUNT(Dong1),"",OFFSET(TH!E$1,SMALL(Dong1,ROWS($1:8)),))</f>
        <v>42395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2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</v>
      </c>
      <c r="I21" s="120">
        <f t="shared" ca="1" si="0"/>
        <v>2580073503</v>
      </c>
      <c r="J21" s="125"/>
      <c r="N21" s="616"/>
      <c r="O21" s="616"/>
    </row>
    <row r="22" spans="1:15" ht="21.75" customHeight="1">
      <c r="A22" s="119">
        <f ca="1">IF(ROWS($1:9)&gt;COUNT(Dong1),"",OFFSET(TH!C$1,SMALL(Dong1,ROWS($1:9)),))</f>
        <v>42395</v>
      </c>
      <c r="B22" s="119">
        <f ca="1">IF(ROWS($1:9)&gt;COUNT(Dong1),"",OFFSET(TH!E$1,SMALL(Dong1,ROWS($1:9)),))</f>
        <v>42395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GBC</v>
      </c>
      <c r="E22" s="222" t="str">
        <f ca="1">IF(ROWS($1:9)&gt;COUNT(Dong1),"",OFFSET(TH!F$1,SMALL(Dong1,ROWS($1:9)),))</f>
        <v>Nộp tiền mặt vào tài khoản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500800000</v>
      </c>
      <c r="I22" s="120">
        <f t="shared" ca="1" si="0"/>
        <v>2079273503</v>
      </c>
      <c r="J22" s="125"/>
      <c r="N22" s="616"/>
      <c r="O22" s="616"/>
    </row>
    <row r="23" spans="1:15" ht="21.75" customHeight="1">
      <c r="A23" s="119">
        <f ca="1">IF(ROWS($1:10)&gt;COUNT(Dong1),"",OFFSET(TH!C$1,SMALL(Dong1,ROWS($1:10)),))</f>
        <v>42397</v>
      </c>
      <c r="B23" s="119">
        <f ca="1">IF(ROWS($1:10)&gt;COUNT(Dong1),"",OFFSET(TH!E$1,SMALL(Dong1,ROWS($1:10)),))</f>
        <v>42397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2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35000000</v>
      </c>
      <c r="I23" s="120">
        <f t="shared" ca="1" si="0"/>
        <v>2044273503</v>
      </c>
      <c r="J23" s="125"/>
      <c r="N23" s="616"/>
      <c r="O23" s="616"/>
    </row>
    <row r="24" spans="1:15" ht="21.75" customHeight="1">
      <c r="A24" s="119">
        <f ca="1">IF(ROWS($1:11)&gt;COUNT(Dong1),"",OFFSET(TH!C$1,SMALL(Dong1,ROWS($1:11)),))</f>
        <v>42391</v>
      </c>
      <c r="B24" s="119">
        <f ca="1">IF(ROWS($1:11)&gt;COUNT(Dong1),"",OFFSET(TH!E$1,SMALL(Dong1,ROWS($1:11)),))</f>
        <v>42391</v>
      </c>
      <c r="C24" s="120" t="str">
        <f ca="1">IF(ROWS($1:11)&gt;COUNT(Dong1),"",IF(OFFSET(TH!L$1,SMALL(Dong1,ROWS($1:11)),)="1111",OFFSET(TH!D$1,SMALL(Dong1,ROWS($1:11)),),""))</f>
        <v>GBN</v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16500000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2060773503</v>
      </c>
      <c r="J24" s="125"/>
      <c r="N24" s="616"/>
      <c r="O24" s="616"/>
    </row>
    <row r="25" spans="1:15" ht="21.75" customHeight="1">
      <c r="A25" s="119">
        <f ca="1">IF(ROWS($1:12)&gt;COUNT(Dong1),"",OFFSET(TH!C$1,SMALL(Dong1,ROWS($1:12)),))</f>
        <v>42395</v>
      </c>
      <c r="B25" s="119">
        <f ca="1">IF(ROWS($1:12)&gt;COUNT(Dong1),"",OFFSET(TH!E$1,SMALL(Dong1,ROWS($1:12)),))</f>
        <v>42395</v>
      </c>
      <c r="C25" s="120" t="str">
        <f ca="1">IF(ROWS($1:12)&gt;COUNT(Dong1),"",IF(OFFSET(TH!L$1,SMALL(Dong1,ROWS($1:12)),)="1111",OFFSET(TH!D$1,SMALL(Dong1,ROWS($1:12)),),""))</f>
        <v>GBN</v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>Rút sec nhập quỹ tiền mặt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182127000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2242900503</v>
      </c>
      <c r="J25" s="125"/>
      <c r="N25" s="616"/>
      <c r="O25" s="616"/>
    </row>
    <row r="26" spans="1:15" ht="21.75" customHeight="1">
      <c r="A26" s="119">
        <f ca="1">IF(ROWS($1:13)&gt;COUNT(Dong1),"",OFFSET(TH!C$1,SMALL(Dong1,ROWS($1:13)),))</f>
        <v>42395</v>
      </c>
      <c r="B26" s="119">
        <f ca="1">IF(ROWS($1:13)&gt;COUNT(Dong1),"",OFFSET(TH!E$1,SMALL(Dong1,ROWS($1:13)),))</f>
        <v>42395</v>
      </c>
      <c r="C26" s="120" t="str">
        <f ca="1">IF(ROWS($1:13)&gt;COUNT(Dong1),"",IF(OFFSET(TH!L$1,SMALL(Dong1,ROWS($1:13)),)="1111",OFFSET(TH!D$1,SMALL(Dong1,ROWS($1:13)),),""))</f>
        <v>GBN</v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>Rút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6900000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2249800503</v>
      </c>
      <c r="J26" s="125"/>
      <c r="N26" s="616"/>
      <c r="O26" s="616"/>
    </row>
    <row r="27" spans="1:15" ht="21.75" customHeight="1">
      <c r="A27" s="119">
        <f ca="1">IF(ROWS($1:14)&gt;COUNT(Dong1),"",OFFSET(TH!C$1,SMALL(Dong1,ROWS($1:14)),))</f>
        <v>42398</v>
      </c>
      <c r="B27" s="119">
        <f ca="1">IF(ROWS($1:14)&gt;COUNT(Dong1),"",OFFSET(TH!E$1,SMALL(Dong1,ROWS($1:14)),))</f>
        <v>42398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9500000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2259300503</v>
      </c>
      <c r="J27" s="125"/>
      <c r="N27" s="616"/>
      <c r="O27" s="616"/>
    </row>
    <row r="28" spans="1:15" ht="21.75" customHeight="1">
      <c r="A28" s="119">
        <f ca="1">IF(ROWS($1:15)&gt;COUNT(Dong1),"",OFFSET(TH!C$1,SMALL(Dong1,ROWS($1:15)),))</f>
        <v>42424</v>
      </c>
      <c r="B28" s="119">
        <f ca="1">IF(ROWS($1:15)&gt;COUNT(Dong1),"",OFFSET(TH!E$1,SMALL(Dong1,ROWS($1:15)),))</f>
        <v>42424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2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25000000</v>
      </c>
      <c r="I28" s="120">
        <f t="shared" ca="1" si="0"/>
        <v>2234300503</v>
      </c>
      <c r="J28" s="125"/>
      <c r="N28" s="616"/>
      <c r="O28" s="616"/>
    </row>
    <row r="29" spans="1:15" ht="21.75" customHeight="1">
      <c r="A29" s="119">
        <f ca="1">IF(ROWS($1:16)&gt;COUNT(Dong1),"",OFFSET(TH!C$1,SMALL(Dong1,ROWS($1:16)),))</f>
        <v>42424</v>
      </c>
      <c r="B29" s="119">
        <f ca="1">IF(ROWS($1:16)&gt;COUNT(Dong1),"",OFFSET(TH!E$1,SMALL(Dong1,ROWS($1:16)),))</f>
        <v>42424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2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50000</v>
      </c>
      <c r="I29" s="120">
        <f t="shared" ca="1" si="0"/>
        <v>2234250503</v>
      </c>
      <c r="J29" s="125"/>
      <c r="N29" s="616"/>
      <c r="O29" s="616"/>
    </row>
    <row r="30" spans="1:15" ht="21.75" customHeight="1">
      <c r="A30" s="119">
        <f ca="1">IF(ROWS($1:17)&gt;COUNT(Dong1),"",OFFSET(TH!C$1,SMALL(Dong1,ROWS($1:17)),))</f>
        <v>42425</v>
      </c>
      <c r="B30" s="119">
        <f ca="1">IF(ROWS($1:17)&gt;COUNT(Dong1),"",OFFSET(TH!E$1,SMALL(Dong1,ROWS($1:17)),))</f>
        <v>42425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2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5100000</v>
      </c>
      <c r="I30" s="120">
        <f t="shared" ca="1" si="0"/>
        <v>2229150503</v>
      </c>
      <c r="J30" s="125"/>
      <c r="N30" s="616"/>
      <c r="O30" s="616"/>
    </row>
    <row r="31" spans="1:15" ht="21.75" customHeight="1">
      <c r="A31" s="119">
        <f ca="1">IF(ROWS($1:18)&gt;COUNT(Dong1),"",OFFSET(TH!C$1,SMALL(Dong1,ROWS($1:18)),))</f>
        <v>42406</v>
      </c>
      <c r="B31" s="119">
        <f ca="1">IF(ROWS($1:18)&gt;COUNT(Dong1),"",OFFSET(TH!E$1,SMALL(Dong1,ROWS($1:18)),))</f>
        <v>42406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7300000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2236450503</v>
      </c>
      <c r="J31" s="125"/>
      <c r="N31" s="616"/>
      <c r="O31" s="616"/>
    </row>
    <row r="32" spans="1:15" ht="21.75" customHeight="1">
      <c r="A32" s="119">
        <f ca="1">IF(ROWS($1:19)&gt;COUNT(Dong1),"",OFFSET(TH!C$1,SMALL(Dong1,ROWS($1:19)),))</f>
        <v>42425</v>
      </c>
      <c r="B32" s="119">
        <f ca="1">IF(ROWS($1:19)&gt;COUNT(Dong1),"",OFFSET(TH!E$1,SMALL(Dong1,ROWS($1:19)),))</f>
        <v>42425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6900000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2243350503</v>
      </c>
      <c r="J32" s="125"/>
      <c r="N32" s="616"/>
      <c r="O32" s="616"/>
    </row>
    <row r="33" spans="1:15" ht="21.75" customHeight="1">
      <c r="A33" s="119">
        <f ca="1">IF(ROWS($1:20)&gt;COUNT(Dong1),"",OFFSET(TH!C$1,SMALL(Dong1,ROWS($1:20)),))</f>
        <v>42429</v>
      </c>
      <c r="B33" s="119">
        <f ca="1">IF(ROWS($1:20)&gt;COUNT(Dong1),"",OFFSET(TH!E$1,SMALL(Dong1,ROWS($1:20)),))</f>
        <v>42429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8800000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2252150503</v>
      </c>
      <c r="J33" s="125"/>
      <c r="N33" s="616"/>
      <c r="O33" s="616"/>
    </row>
    <row r="34" spans="1:15" ht="21.75" customHeight="1">
      <c r="A34" s="119">
        <f ca="1">IF(ROWS($1:21)&gt;COUNT(Dong1),"",OFFSET(TH!C$1,SMALL(Dong1,ROWS($1:21)),))</f>
        <v>42433</v>
      </c>
      <c r="B34" s="119">
        <f ca="1">IF(ROWS($1:21)&gt;COUNT(Dong1),"",OFFSET(TH!E$1,SMALL(Dong1,ROWS($1:21)),))</f>
        <v>42433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GBC</v>
      </c>
      <c r="E34" s="222" t="str">
        <f ca="1">IF(ROWS($1:21)&gt;COUNT(Dong1),"",OFFSET(TH!F$1,SMALL(Dong1,ROWS($1:21)),))</f>
        <v>Nộp tiền mặt vào tài khoản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23500000</v>
      </c>
      <c r="I34" s="120">
        <f t="shared" ca="1" si="0"/>
        <v>2228650503</v>
      </c>
      <c r="J34" s="125"/>
      <c r="N34" s="616"/>
      <c r="O34" s="616"/>
    </row>
    <row r="35" spans="1:15" ht="21.75" customHeight="1">
      <c r="A35" s="119">
        <f ca="1">IF(ROWS($1:22)&gt;COUNT(Dong1),"",OFFSET(TH!C$1,SMALL(Dong1,ROWS($1:22)),))</f>
        <v>42439</v>
      </c>
      <c r="B35" s="119">
        <f ca="1">IF(ROWS($1:22)&gt;COUNT(Dong1),"",OFFSET(TH!E$1,SMALL(Dong1,ROWS($1:22)),))</f>
        <v>42439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2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40000000</v>
      </c>
      <c r="I35" s="120">
        <f t="shared" ca="1" si="0"/>
        <v>2188650503</v>
      </c>
      <c r="J35" s="125"/>
      <c r="N35" s="616"/>
      <c r="O35" s="616"/>
    </row>
    <row r="36" spans="1:15" ht="21.75" customHeight="1">
      <c r="A36" s="119">
        <f ca="1">IF(ROWS($1:23)&gt;COUNT(Dong1),"",OFFSET(TH!C$1,SMALL(Dong1,ROWS($1:23)),))</f>
        <v>42458</v>
      </c>
      <c r="B36" s="119">
        <f ca="1">IF(ROWS($1:23)&gt;COUNT(Dong1),"",OFFSET(TH!E$1,SMALL(Dong1,ROWS($1:23)),))</f>
        <v>42458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2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20000000</v>
      </c>
      <c r="I36" s="120">
        <f t="shared" ca="1" si="0"/>
        <v>2168650503</v>
      </c>
      <c r="J36" s="125"/>
      <c r="N36" s="616"/>
      <c r="O36" s="616"/>
    </row>
    <row r="37" spans="1:15" ht="21.75" customHeight="1">
      <c r="A37" s="119">
        <f ca="1">IF(ROWS($1:24)&gt;COUNT(Dong1),"",OFFSET(TH!C$1,SMALL(Dong1,ROWS($1:24)),))</f>
        <v>42430</v>
      </c>
      <c r="B37" s="119">
        <f ca="1">IF(ROWS($1:24)&gt;COUNT(Dong1),"",OFFSET(TH!E$1,SMALL(Dong1,ROWS($1:24)),))</f>
        <v>42430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9600000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2178250503</v>
      </c>
      <c r="J37" s="125"/>
      <c r="N37" s="616"/>
      <c r="O37" s="616"/>
    </row>
    <row r="38" spans="1:15" ht="21.75" customHeight="1">
      <c r="A38" s="119">
        <f ca="1">IF(ROWS($1:25)&gt;COUNT(Dong1),"",OFFSET(TH!C$1,SMALL(Dong1,ROWS($1:25)),))</f>
        <v>42450</v>
      </c>
      <c r="B38" s="119">
        <f ca="1">IF(ROWS($1:25)&gt;COUNT(Dong1),"",OFFSET(TH!E$1,SMALL(Dong1,ROWS($1:25)),))</f>
        <v>42450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27000000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2205250503</v>
      </c>
      <c r="J38" s="125"/>
      <c r="N38" s="616"/>
      <c r="O38" s="616"/>
    </row>
    <row r="39" spans="1:15" ht="21.75" customHeight="1">
      <c r="A39" s="119">
        <f ca="1">IF(ROWS($1:26)&gt;COUNT(Dong1),"",OFFSET(TH!C$1,SMALL(Dong1,ROWS($1:26)),))</f>
        <v>42451</v>
      </c>
      <c r="B39" s="119">
        <f ca="1">IF(ROWS($1:26)&gt;COUNT(Dong1),"",OFFSET(TH!E$1,SMALL(Dong1,ROWS($1:26)),))</f>
        <v>42451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3000000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2208250503</v>
      </c>
      <c r="J39" s="125"/>
      <c r="N39" s="616"/>
      <c r="O39" s="616"/>
    </row>
    <row r="40" spans="1:15" ht="21.75" customHeight="1">
      <c r="A40" s="119">
        <f ca="1">IF(ROWS($1:27)&gt;COUNT(Dong1),"",OFFSET(TH!C$1,SMALL(Dong1,ROWS($1:27)),))</f>
        <v>42451</v>
      </c>
      <c r="B40" s="119">
        <f ca="1">IF(ROWS($1:27)&gt;COUNT(Dong1),"",OFFSET(TH!E$1,SMALL(Dong1,ROWS($1:27)),))</f>
        <v>42451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>Rút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163900000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2372150503</v>
      </c>
      <c r="J40" s="125"/>
      <c r="N40" s="616"/>
      <c r="O40" s="616"/>
    </row>
    <row r="41" spans="1:15" ht="21.75" customHeight="1">
      <c r="A41" s="119">
        <f ca="1">IF(ROWS($1:28)&gt;COUNT(Dong1),"",OFFSET(TH!C$1,SMALL(Dong1,ROWS($1:28)),))</f>
        <v>42453</v>
      </c>
      <c r="B41" s="119">
        <f ca="1">IF(ROWS($1:28)&gt;COUNT(Dong1),"",OFFSET(TH!E$1,SMALL(Dong1,ROWS($1:28)),))</f>
        <v>42453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1000000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2373150503</v>
      </c>
      <c r="J41" s="125"/>
      <c r="N41" s="616"/>
      <c r="O41" s="616"/>
    </row>
    <row r="42" spans="1:15" ht="21.75" customHeight="1">
      <c r="A42" s="119">
        <f ca="1">IF(ROWS($1:29)&gt;COUNT(Dong1),"",OFFSET(TH!C$1,SMALL(Dong1,ROWS($1:29)),))</f>
        <v>42458</v>
      </c>
      <c r="B42" s="119">
        <f ca="1">IF(ROWS($1:29)&gt;COUNT(Dong1),"",OFFSET(TH!E$1,SMALL(Dong1,ROWS($1:29)),))</f>
        <v>42458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GBC</v>
      </c>
      <c r="E42" s="222" t="str">
        <f ca="1">IF(ROWS($1:29)&gt;COUNT(Dong1),"",OFFSET(TH!F$1,SMALL(Dong1,ROWS($1:29)),))</f>
        <v>Nộp tiền mặt vào tài khoản</v>
      </c>
      <c r="F42" s="123" t="str">
        <f ca="1">IF(ROWS($1:29)&gt;COUNT(Dong1),"",IF(OFFSET(TH!M$1,SMALL(Dong1,ROWS($1:29)),)="1111",OFFSET(TH!L$1,SMALL(Dong1,ROWS($1:29)),),OFFSET(TH!M$1,SMALL(Dong1,ROWS($1:29)),)))</f>
        <v>1121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265028000</v>
      </c>
      <c r="I42" s="120">
        <f t="shared" ca="1" si="0"/>
        <v>2108122503</v>
      </c>
      <c r="J42" s="125"/>
      <c r="N42" s="616"/>
      <c r="O42" s="616"/>
    </row>
    <row r="43" spans="1:15" ht="21.75" customHeight="1">
      <c r="A43" s="119">
        <f ca="1">IF(ROWS($1:30)&gt;COUNT(Dong1),"",OFFSET(TH!C$1,SMALL(Dong1,ROWS($1:30)),))</f>
        <v>42400</v>
      </c>
      <c r="B43" s="119">
        <f ca="1">IF(ROWS($1:30)&gt;COUNT(Dong1),"",OFFSET(TH!E$1,SMALL(Dong1,ROWS($1:30)),))</f>
        <v>42400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C05</v>
      </c>
      <c r="E43" s="222" t="str">
        <f ca="1">IF(ROWS($1:30)&gt;COUNT(Dong1),"",OFFSET(TH!F$1,SMALL(Dong1,ROWS($1:30)),))</f>
        <v>Thanh toán lương T01/2016</v>
      </c>
      <c r="F43" s="123" t="str">
        <f ca="1">IF(ROWS($1:30)&gt;COUNT(Dong1),"",IF(OFFSET(TH!M$1,SMALL(Dong1,ROWS($1:30)),)="1111",OFFSET(TH!L$1,SMALL(Dong1,ROWS($1:30)),),OFFSET(TH!M$1,SMALL(Dong1,ROWS($1:30)),)))</f>
        <v>3341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14500000</v>
      </c>
      <c r="I43" s="120">
        <f t="shared" ca="1" si="0"/>
        <v>2093622503</v>
      </c>
      <c r="J43" s="125"/>
      <c r="N43" s="616"/>
      <c r="O43" s="616"/>
    </row>
    <row r="44" spans="1:15" ht="21.75" customHeight="1">
      <c r="A44" s="119">
        <f ca="1">IF(ROWS($1:31)&gt;COUNT(Dong1),"",OFFSET(TH!C$1,SMALL(Dong1,ROWS($1:31)),))</f>
        <v>42428</v>
      </c>
      <c r="B44" s="119">
        <f ca="1">IF(ROWS($1:31)&gt;COUNT(Dong1),"",OFFSET(TH!E$1,SMALL(Dong1,ROWS($1:31)),))</f>
        <v>42428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C05</v>
      </c>
      <c r="E44" s="222" t="str">
        <f ca="1">IF(ROWS($1:31)&gt;COUNT(Dong1),"",OFFSET(TH!F$1,SMALL(Dong1,ROWS($1:31)),))</f>
        <v>Thanh toán lương T02/2016</v>
      </c>
      <c r="F44" s="123" t="str">
        <f ca="1">IF(ROWS($1:31)&gt;COUNT(Dong1),"",IF(OFFSET(TH!M$1,SMALL(Dong1,ROWS($1:31)),)="1111",OFFSET(TH!L$1,SMALL(Dong1,ROWS($1:31)),),OFFSET(TH!M$1,SMALL(Dong1,ROWS($1:31)),)))</f>
        <v>3341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14500000</v>
      </c>
      <c r="I44" s="120">
        <f t="shared" ca="1" si="0"/>
        <v>2079122503</v>
      </c>
      <c r="J44" s="125"/>
      <c r="N44" s="616"/>
      <c r="O44" s="616"/>
    </row>
    <row r="45" spans="1:15" ht="21.75" customHeight="1">
      <c r="A45" s="119">
        <f ca="1">IF(ROWS($1:32)&gt;COUNT(Dong1),"",OFFSET(TH!C$1,SMALL(Dong1,ROWS($1:32)),))</f>
        <v>42460</v>
      </c>
      <c r="B45" s="119">
        <f ca="1">IF(ROWS($1:32)&gt;COUNT(Dong1),"",OFFSET(TH!E$1,SMALL(Dong1,ROWS($1:32)),))</f>
        <v>42460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C05</v>
      </c>
      <c r="E45" s="222" t="str">
        <f ca="1">IF(ROWS($1:32)&gt;COUNT(Dong1),"",OFFSET(TH!F$1,SMALL(Dong1,ROWS($1:32)),))</f>
        <v>Thanh toán lương T03/2016</v>
      </c>
      <c r="F45" s="123" t="str">
        <f ca="1">IF(ROWS($1:32)&gt;COUNT(Dong1),"",IF(OFFSET(TH!M$1,SMALL(Dong1,ROWS($1:32)),)="1111",OFFSET(TH!L$1,SMALL(Dong1,ROWS($1:32)),),OFFSET(TH!M$1,SMALL(Dong1,ROWS($1:32)),)))</f>
        <v>3341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14500000</v>
      </c>
      <c r="I45" s="120">
        <f t="shared" ca="1" si="0"/>
        <v>2064622503</v>
      </c>
      <c r="J45" s="125"/>
      <c r="N45" s="616"/>
      <c r="O45" s="616"/>
    </row>
    <row r="46" spans="1:15" ht="21.75" customHeight="1">
      <c r="A46" s="119">
        <f ca="1">IF(ROWS($1:33)&gt;COUNT(Dong1),"",OFFSET(TH!C$1,SMALL(Dong1,ROWS($1:33)),))</f>
        <v>42403</v>
      </c>
      <c r="B46" s="119">
        <f ca="1">IF(ROWS($1:33)&gt;COUNT(Dong1),"",OFFSET(TH!E$1,SMALL(Dong1,ROWS($1:33)),))</f>
        <v>42403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2" t="str">
        <f ca="1">IF(ROWS($1:33)&gt;COUNT(Dong1),"",OFFSET(TH!F$1,SMALL(Dong1,ROWS($1:33)),))</f>
        <v>Chi phí tiếp khách</v>
      </c>
      <c r="F46" s="123" t="str">
        <f ca="1">IF(ROWS($1:33)&gt;COUNT(Dong1),"",IF(OFFSET(TH!M$1,SMALL(Dong1,ROWS($1:33)),)="1111",OFFSET(TH!L$1,SMALL(Dong1,ROWS($1:33)),),OFFSET(TH!M$1,SMALL(Dong1,ROWS($1:33)),)))</f>
        <v>642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420000</v>
      </c>
      <c r="I46" s="120">
        <f t="shared" ca="1" si="0"/>
        <v>2064202503</v>
      </c>
      <c r="J46" s="125"/>
      <c r="N46" s="616"/>
      <c r="O46" s="616"/>
    </row>
    <row r="47" spans="1:15" ht="21.75" customHeight="1">
      <c r="A47" s="119">
        <f ca="1">IF(ROWS($1:34)&gt;COUNT(Dong1),"",OFFSET(TH!C$1,SMALL(Dong1,ROWS($1:34)),))</f>
        <v>42403</v>
      </c>
      <c r="B47" s="119">
        <f ca="1">IF(ROWS($1:34)&gt;COUNT(Dong1),"",OFFSET(TH!E$1,SMALL(Dong1,ROWS($1:34)),))</f>
        <v>42403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2" t="str">
        <f ca="1">IF(ROWS($1:34)&gt;COUNT(Dong1),"",OFFSET(TH!F$1,SMALL(Dong1,ROWS($1:34)),))</f>
        <v>VAT Chi phí tiếp khách</v>
      </c>
      <c r="F47" s="123" t="str">
        <f ca="1">IF(ROWS($1:34)&gt;COUNT(Dong1),"",IF(OFFSET(TH!M$1,SMALL(Dong1,ROWS($1:34)),)="1111",OFFSET(TH!L$1,SMALL(Dong1,ROWS($1:34)),),OFFSET(TH!M$1,SMALL(Dong1,ROWS($1:34)),)))</f>
        <v>1331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42000</v>
      </c>
      <c r="I47" s="120">
        <f t="shared" ca="1" si="0"/>
        <v>2064160503</v>
      </c>
      <c r="J47" s="125"/>
      <c r="N47" s="616"/>
      <c r="O47" s="616"/>
    </row>
    <row r="48" spans="1:15" ht="21.75" customHeight="1">
      <c r="A48" s="119">
        <f ca="1">IF(ROWS($1:35)&gt;COUNT(Dong1),"",OFFSET(TH!C$1,SMALL(Dong1,ROWS($1:35)),))</f>
        <v>42391</v>
      </c>
      <c r="B48" s="119">
        <f ca="1">IF(ROWS($1:35)&gt;COUNT(Dong1),"",OFFSET(TH!E$1,SMALL(Dong1,ROWS($1:35)),))</f>
        <v>42391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2" t="str">
        <f ca="1">IF(ROWS($1:35)&gt;COUNT(Dong1),"",OFFSET(TH!F$1,SMALL(Dong1,ROWS($1:35)),))</f>
        <v>Chi phí tiếp khách</v>
      </c>
      <c r="F48" s="123" t="str">
        <f ca="1">IF(ROWS($1:35)&gt;COUNT(Dong1),"",IF(OFFSET(TH!M$1,SMALL(Dong1,ROWS($1:35)),)="1111",OFFSET(TH!L$1,SMALL(Dong1,ROWS($1:35)),),OFFSET(TH!M$1,SMALL(Dong1,ROWS($1:35)),)))</f>
        <v>642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619000</v>
      </c>
      <c r="I48" s="120">
        <f t="shared" ca="1" si="0"/>
        <v>2063541503</v>
      </c>
      <c r="J48" s="125"/>
      <c r="N48" s="616"/>
      <c r="O48" s="616"/>
    </row>
    <row r="49" spans="1:15" ht="21.75" customHeight="1">
      <c r="A49" s="119">
        <f ca="1">IF(ROWS($1:36)&gt;COUNT(Dong1),"",OFFSET(TH!C$1,SMALL(Dong1,ROWS($1:36)),))</f>
        <v>42391</v>
      </c>
      <c r="B49" s="119">
        <f ca="1">IF(ROWS($1:36)&gt;COUNT(Dong1),"",OFFSET(TH!E$1,SMALL(Dong1,ROWS($1:36)),))</f>
        <v>42391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2" t="str">
        <f ca="1">IF(ROWS($1:36)&gt;COUNT(Dong1),"",OFFSET(TH!F$1,SMALL(Dong1,ROWS($1:36)),))</f>
        <v>VAT Chi phí tiếp khách</v>
      </c>
      <c r="F49" s="123" t="str">
        <f ca="1">IF(ROWS($1:36)&gt;COUNT(Dong1),"",IF(OFFSET(TH!M$1,SMALL(Dong1,ROWS($1:36)),)="1111",OFFSET(TH!L$1,SMALL(Dong1,ROWS($1:36)),),OFFSET(TH!M$1,SMALL(Dong1,ROWS($1:36)),)))</f>
        <v>1331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61900</v>
      </c>
      <c r="I49" s="120">
        <f t="shared" ca="1" si="0"/>
        <v>2063479603</v>
      </c>
      <c r="J49" s="125"/>
      <c r="N49" s="616"/>
      <c r="O49" s="616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742627000</v>
      </c>
      <c r="H51" s="128">
        <f ca="1">SUM(H14:H50)</f>
        <v>1060470900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2063479603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11/1/ 2016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1002" t="str">
        <f>TH!A2</f>
        <v>Địa chỉ: Thửa đất số 144, tờ bản đồ số 12TĐH.1, tổ 1, khu phố Đông Tác, Phường Tân Đông Hiệp, Thị Xã Dĩ An, Tỉnh Bình Dương, Việt Nam</v>
      </c>
      <c r="C2" s="1002"/>
      <c r="D2" s="1002"/>
      <c r="E2" s="1002"/>
      <c r="F2" s="1002"/>
      <c r="G2" s="1002"/>
      <c r="H2" s="1002"/>
      <c r="I2" s="100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1002"/>
      <c r="C3" s="1002"/>
      <c r="D3" s="1002"/>
      <c r="E3" s="1002"/>
      <c r="F3" s="1002"/>
      <c r="G3" s="1002"/>
      <c r="H3" s="1002"/>
      <c r="I3" s="1002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70"/>
      <c r="R3" s="194"/>
      <c r="S3" s="195" t="s">
        <v>322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71"/>
      <c r="R4" s="80"/>
      <c r="S4" s="597">
        <v>1</v>
      </c>
      <c r="T4" s="80"/>
      <c r="U4" s="472" t="s">
        <v>4</v>
      </c>
      <c r="V4" s="106"/>
      <c r="W4" s="473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70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8"/>
  <sheetViews>
    <sheetView topLeftCell="A6" workbookViewId="0">
      <pane ySplit="6" topLeftCell="A12" activePane="bottomLeft" state="frozen"/>
      <selection activeCell="A6" sqref="A6"/>
      <selection pane="bottomLeft" activeCell="E98" sqref="E98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28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78"/>
      <c r="I1" s="224"/>
      <c r="K1" s="787"/>
      <c r="L1" s="787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1013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1013"/>
      <c r="H2" s="1013"/>
      <c r="I2" s="225"/>
      <c r="K2" s="788"/>
      <c r="L2" s="788"/>
    </row>
    <row r="3" spans="1:20" s="139" customFormat="1" ht="16.5" customHeight="1">
      <c r="A3" s="176"/>
      <c r="B3" s="176"/>
      <c r="C3" s="176"/>
      <c r="D3" s="176"/>
      <c r="F3" s="1013"/>
      <c r="G3" s="1013"/>
      <c r="H3" s="1013"/>
      <c r="I3" s="225"/>
    </row>
    <row r="4" spans="1:20" s="139" customFormat="1" ht="19.5" customHeight="1">
      <c r="A4" s="1016" t="s">
        <v>137</v>
      </c>
      <c r="B4" s="1016"/>
      <c r="C4" s="1016"/>
      <c r="D4" s="1016"/>
      <c r="E4" s="1016"/>
      <c r="F4" s="1016"/>
      <c r="G4" s="1016"/>
      <c r="H4" s="1016"/>
      <c r="I4" s="1016"/>
    </row>
    <row r="5" spans="1:20" s="139" customFormat="1" ht="15">
      <c r="A5" s="100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05"/>
      <c r="C5" s="1005"/>
      <c r="D5" s="1005"/>
      <c r="E5" s="1005"/>
      <c r="F5" s="1005"/>
      <c r="G5" s="1005"/>
      <c r="H5" s="1005"/>
      <c r="I5" s="1005"/>
    </row>
    <row r="6" spans="1:20" s="139" customFormat="1" ht="15">
      <c r="D6" s="257" t="s">
        <v>158</v>
      </c>
      <c r="E6" s="1005" t="str">
        <f>IF($M$9="ACB","100983119","1004 148 5104 6511")</f>
        <v>1004 148 5104 6511</v>
      </c>
      <c r="F6" s="1005"/>
      <c r="G6" s="1005"/>
      <c r="H6" s="579" t="s">
        <v>108</v>
      </c>
      <c r="I6" s="258" t="str">
        <f>IF(H6="VNĐ","1121",IF(H6="USD","1122",""))</f>
        <v>1121</v>
      </c>
      <c r="N6" s="997" t="s">
        <v>318</v>
      </c>
      <c r="O6" s="997"/>
      <c r="Q6" s="1014" t="s">
        <v>260</v>
      </c>
      <c r="R6" s="1014" t="s">
        <v>836</v>
      </c>
      <c r="S6" s="1014" t="s">
        <v>319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80"/>
      <c r="I7" s="143"/>
      <c r="Q7" s="1015"/>
      <c r="R7" s="1015"/>
      <c r="S7" s="1015"/>
    </row>
    <row r="8" spans="1:20" s="144" customFormat="1" ht="22.5" customHeight="1" thickBot="1">
      <c r="A8" s="1006" t="s">
        <v>138</v>
      </c>
      <c r="B8" s="1008" t="s">
        <v>1</v>
      </c>
      <c r="C8" s="1009"/>
      <c r="D8" s="1003" t="s">
        <v>0</v>
      </c>
      <c r="E8" s="1010" t="s">
        <v>14</v>
      </c>
      <c r="F8" s="1012" t="s">
        <v>139</v>
      </c>
      <c r="G8" s="1012"/>
      <c r="H8" s="1009"/>
      <c r="I8" s="1003" t="s">
        <v>127</v>
      </c>
      <c r="K8" s="137"/>
      <c r="L8" s="139"/>
      <c r="N8" s="586">
        <f>IF(K9="Quý I",1,IF(K9="Quý II",4,IF(K9="Quý III",7,IF(K9="Quý IV",10,""))))</f>
        <v>1</v>
      </c>
      <c r="O8" s="587">
        <f>IF(K9="Quý I",3,IF(K9="Quý II",6,IF(K9="Quý III",9,IF(K9="Quý IV",12,""))))</f>
        <v>3</v>
      </c>
      <c r="Q8" s="456" t="s">
        <v>261</v>
      </c>
      <c r="R8" s="457">
        <v>1087724</v>
      </c>
      <c r="S8" s="457"/>
      <c r="T8" s="458">
        <f>SUM(R8:S8)</f>
        <v>1087724</v>
      </c>
    </row>
    <row r="9" spans="1:20" s="144" customFormat="1" ht="22.5" customHeight="1" thickBot="1">
      <c r="A9" s="1007"/>
      <c r="B9" s="145" t="s">
        <v>15</v>
      </c>
      <c r="C9" s="146" t="s">
        <v>140</v>
      </c>
      <c r="D9" s="1004"/>
      <c r="E9" s="1011"/>
      <c r="F9" s="250" t="s">
        <v>141</v>
      </c>
      <c r="G9" s="147" t="s">
        <v>142</v>
      </c>
      <c r="H9" s="581" t="s">
        <v>143</v>
      </c>
      <c r="I9" s="1004"/>
      <c r="K9" s="177" t="s">
        <v>420</v>
      </c>
      <c r="L9" s="139"/>
      <c r="M9" s="455" t="s">
        <v>836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62"/>
      <c r="G11" s="462"/>
      <c r="H11" s="462">
        <f>IF($M$9="VCB",$R$8,$S$8)+SUMIF(_N112,"x",TH)-SUMIF(_C112,"x",TH)</f>
        <v>1087724</v>
      </c>
      <c r="I11" s="459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42380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42380</v>
      </c>
      <c r="D12" s="228" t="str">
        <f ca="1">IF(ROWS($1:1)&gt;COUNT(Dong2),"",OFFSET(TH!F$1,SMALL(Dong2,ROWS($1:1)),))</f>
        <v>Nộp tiền mặt vào tài khoản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63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10050000</v>
      </c>
      <c r="G12" s="463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88">
        <f ca="1">IF(A12&lt;&gt;"",H11+F12-G12,0)</f>
        <v>11137724</v>
      </c>
      <c r="I12" s="460"/>
      <c r="L12" s="139"/>
    </row>
    <row r="13" spans="1:20" s="144" customFormat="1" ht="18.75" customHeight="1">
      <c r="A13" s="155">
        <f ca="1">IF(ROWS($1:2)&gt;COUNT(Dong2),"",OFFSET(TH!C$1,SMALL(Dong2,ROWS($1:2)),))</f>
        <v>42380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42380</v>
      </c>
      <c r="D13" s="228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63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15000000</v>
      </c>
      <c r="G13" s="463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88">
        <f t="shared" ref="H13:H40" ca="1" si="0">IF(A13&lt;&gt;"",H12+F13-G13,0)</f>
        <v>26137724</v>
      </c>
      <c r="I13" s="460"/>
      <c r="L13" s="139"/>
    </row>
    <row r="14" spans="1:20" s="144" customFormat="1" ht="18.75" customHeight="1">
      <c r="A14" s="155">
        <f ca="1">IF(ROWS($1:3)&gt;COUNT(Dong2),"",OFFSET(TH!C$1,SMALL(Dong2,ROWS($1:3)),))</f>
        <v>42380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42380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63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18000000</v>
      </c>
      <c r="G14" s="463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88">
        <f t="shared" ca="1" si="0"/>
        <v>44137724</v>
      </c>
      <c r="I14" s="460"/>
      <c r="L14" s="139"/>
    </row>
    <row r="15" spans="1:20" s="144" customFormat="1" ht="18.75" customHeight="1">
      <c r="A15" s="155">
        <f ca="1">IF(ROWS($1:4)&gt;COUNT(Dong2),"",OFFSET(TH!C$1,SMALL(Dong2,ROWS($1:4)),))</f>
        <v>42381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42381</v>
      </c>
      <c r="D15" s="228" t="str">
        <f ca="1">IF(ROWS($1:4)&gt;COUNT(Dong2),"",OFFSET(TH!F$1,SMALL(Dong2,ROWS($1:4)),))</f>
        <v>Nộp tiền mặt vào tài khoản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63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71000000</v>
      </c>
      <c r="G15" s="463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88">
        <f t="shared" ca="1" si="0"/>
        <v>115137724</v>
      </c>
      <c r="I15" s="460"/>
      <c r="L15" s="139"/>
    </row>
    <row r="16" spans="1:20" s="144" customFormat="1" ht="18.75" customHeight="1">
      <c r="A16" s="155">
        <f ca="1">IF(ROWS($1:5)&gt;COUNT(Dong2),"",OFFSET(TH!C$1,SMALL(Dong2,ROWS($1:5)),))</f>
        <v>42381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42381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63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3587760</v>
      </c>
      <c r="G16" s="463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88">
        <f t="shared" ca="1" si="0"/>
        <v>118725484</v>
      </c>
      <c r="I16" s="460"/>
      <c r="L16" s="139"/>
    </row>
    <row r="17" spans="1:17" s="144" customFormat="1" ht="18.75" customHeight="1">
      <c r="A17" s="155">
        <f ca="1">IF(ROWS($1:6)&gt;COUNT(Dong2),"",OFFSET(TH!C$1,SMALL(Dong2,ROWS($1:6)),))</f>
        <v>42382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42382</v>
      </c>
      <c r="D17" s="228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63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155727000</v>
      </c>
      <c r="G17" s="463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88">
        <f t="shared" ca="1" si="0"/>
        <v>274452484</v>
      </c>
      <c r="I17" s="460"/>
      <c r="L17" s="139"/>
    </row>
    <row r="18" spans="1:17" s="144" customFormat="1" ht="18.75" customHeight="1">
      <c r="A18" s="155">
        <f ca="1">IF(ROWS($1:7)&gt;COUNT(Dong2),"",OFFSET(TH!C$1,SMALL(Dong2,ROWS($1:7)),))</f>
        <v>42387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42387</v>
      </c>
      <c r="D18" s="228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63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82622870</v>
      </c>
      <c r="G18" s="463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88">
        <f t="shared" ca="1" si="0"/>
        <v>357075354</v>
      </c>
      <c r="I18" s="460"/>
      <c r="L18" s="139"/>
    </row>
    <row r="19" spans="1:17" s="144" customFormat="1" ht="18.75" customHeight="1">
      <c r="A19" s="155">
        <f ca="1">IF(ROWS($1:8)&gt;COUNT(Dong2),"",OFFSET(TH!C$1,SMALL(Dong2,ROWS($1:8)),))</f>
        <v>42388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42388</v>
      </c>
      <c r="D19" s="228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63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90264697</v>
      </c>
      <c r="G19" s="463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88">
        <f t="shared" ca="1" si="0"/>
        <v>447340051</v>
      </c>
      <c r="I19" s="460"/>
      <c r="L19" s="139"/>
    </row>
    <row r="20" spans="1:17" s="144" customFormat="1" ht="18.75" customHeight="1">
      <c r="A20" s="155">
        <f ca="1">IF(ROWS($1:9)&gt;COUNT(Dong2),"",OFFSET(TH!C$1,SMALL(Dong2,ROWS($1:9)),))</f>
        <v>42378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42378</v>
      </c>
      <c r="D20" s="228" t="str">
        <f ca="1">IF(ROWS($1:9)&gt;COUNT(Dong2),"",OFFSET(TH!F$1,SMALL(Dong2,ROWS($1:9)),))</f>
        <v>Phí dịch vụ SMS</v>
      </c>
      <c r="E20" s="155" t="str">
        <f ca="1">IF(ROWS($1:9)&gt;COUNT(Dong2),"",IF(OFFSET(TH!M$1,SMALL(Dong2,ROWS($1:9)),)=$I$6,OFFSET(TH!L$1,SMALL(Dong2,ROWS($1:9)),),OFFSET(TH!M$1,SMALL(Dong2,ROWS($1:9)),)))</f>
        <v>642</v>
      </c>
      <c r="F20" s="463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63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</v>
      </c>
      <c r="H20" s="588">
        <f t="shared" ca="1" si="0"/>
        <v>447290051</v>
      </c>
      <c r="I20" s="460"/>
      <c r="L20" s="139"/>
    </row>
    <row r="21" spans="1:17" s="144" customFormat="1" ht="18.75" customHeight="1">
      <c r="A21" s="155">
        <f ca="1">IF(ROWS($1:10)&gt;COUNT(Dong2),"",OFFSET(TH!C$1,SMALL(Dong2,ROWS($1:10)),))</f>
        <v>42378</v>
      </c>
      <c r="B21" s="155" t="str">
        <f ca="1">IF(ROWS($1:10)&gt;COUNT(Dong2),"",OFFSET(TH!D$1,SMALL(Dong2,ROWS($1:10)),))</f>
        <v>GBN</v>
      </c>
      <c r="C21" s="155">
        <f ca="1">IF(ROWS($1:10)&gt;COUNT(Dong2),"",OFFSET(TH!E$1,SMALL(Dong2,ROWS($1:10)),))</f>
        <v>42378</v>
      </c>
      <c r="D21" s="228" t="str">
        <f ca="1">IF(ROWS($1:10)&gt;COUNT(Dong2),"",OFFSET(TH!F$1,SMALL(Dong2,ROWS($1:10)),))</f>
        <v>VAT Phí dịch vụ SMS</v>
      </c>
      <c r="E21" s="155" t="str">
        <f ca="1">IF(ROWS($1:10)&gt;COUNT(Dong2),"",IF(OFFSET(TH!M$1,SMALL(Dong2,ROWS($1:10)),)=$I$6,OFFSET(TH!L$1,SMALL(Dong2,ROWS($1:10)),),OFFSET(TH!M$1,SMALL(Dong2,ROWS($1:10)),)))</f>
        <v>1331</v>
      </c>
      <c r="F21" s="463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3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5000</v>
      </c>
      <c r="H21" s="588">
        <f t="shared" ca="1" si="0"/>
        <v>447285051</v>
      </c>
      <c r="I21" s="460"/>
      <c r="L21" s="139"/>
      <c r="Q21" s="458"/>
    </row>
    <row r="22" spans="1:17" s="144" customFormat="1" ht="18.75" customHeight="1">
      <c r="A22" s="155">
        <f ca="1">IF(ROWS($1:11)&gt;COUNT(Dong2),"",OFFSET(TH!C$1,SMALL(Dong2,ROWS($1:11)),))</f>
        <v>42380</v>
      </c>
      <c r="B22" s="155" t="str">
        <f ca="1">IF(ROWS($1:11)&gt;COUNT(Dong2),"",OFFSET(TH!D$1,SMALL(Dong2,ROWS($1:11)),))</f>
        <v>GBN</v>
      </c>
      <c r="C22" s="155">
        <f ca="1">IF(ROWS($1:11)&gt;COUNT(Dong2),"",OFFSET(TH!E$1,SMALL(Dong2,ROWS($1:11)),))</f>
        <v>42380</v>
      </c>
      <c r="D22" s="228" t="str">
        <f ca="1">IF(ROWS($1:11)&gt;COUNT(Dong2),"",OFFSET(TH!F$1,SMALL(Dong2,ROWS($1:11)),))</f>
        <v>Thanh toán tiền hàng</v>
      </c>
      <c r="E22" s="155" t="str">
        <f ca="1">IF(ROWS($1:11)&gt;COUNT(Dong2),"",IF(OFFSET(TH!M$1,SMALL(Dong2,ROWS($1:11)),)=$I$6,OFFSET(TH!L$1,SMALL(Dong2,ROWS($1:11)),),OFFSET(TH!M$1,SMALL(Dong2,ROWS($1:11)),)))</f>
        <v>331</v>
      </c>
      <c r="F22" s="463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63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25022000</v>
      </c>
      <c r="H22" s="588">
        <f t="shared" ca="1" si="0"/>
        <v>422263051</v>
      </c>
      <c r="I22" s="460"/>
      <c r="L22" s="139"/>
    </row>
    <row r="23" spans="1:17" s="144" customFormat="1" ht="18.75" customHeight="1">
      <c r="A23" s="155">
        <f ca="1">IF(ROWS($1:12)&gt;COUNT(Dong2),"",OFFSET(TH!C$1,SMALL(Dong2,ROWS($1:12)),))</f>
        <v>42380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42380</v>
      </c>
      <c r="D23" s="228" t="str">
        <f ca="1">IF(ROWS($1:12)&gt;COUNT(Dong2),"",OFFSET(TH!F$1,SMALL(Dong2,ROWS($1:12)),))</f>
        <v>Phí chuyển tiền</v>
      </c>
      <c r="E23" s="155" t="str">
        <f ca="1">IF(ROWS($1:12)&gt;COUNT(Dong2),"",IF(OFFSET(TH!M$1,SMALL(Dong2,ROWS($1:12)),)=$I$6,OFFSET(TH!L$1,SMALL(Dong2,ROWS($1:12)),),OFFSET(TH!M$1,SMALL(Dong2,ROWS($1:12)),)))</f>
        <v>642</v>
      </c>
      <c r="F23" s="463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63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20000</v>
      </c>
      <c r="H23" s="588">
        <f t="shared" ca="1" si="0"/>
        <v>422243051</v>
      </c>
      <c r="I23" s="460"/>
      <c r="L23" s="139"/>
      <c r="Q23" s="577"/>
    </row>
    <row r="24" spans="1:17" s="144" customFormat="1" ht="18.75" customHeight="1">
      <c r="A24" s="155">
        <f ca="1">IF(ROWS($1:13)&gt;COUNT(Dong2),"",OFFSET(TH!C$1,SMALL(Dong2,ROWS($1:13)),))</f>
        <v>42380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42380</v>
      </c>
      <c r="D24" s="228" t="str">
        <f ca="1">IF(ROWS($1:13)&gt;COUNT(Dong2),"",OFFSET(TH!F$1,SMALL(Dong2,ROWS($1:13)),))</f>
        <v>VAT Phí chuyển tiền</v>
      </c>
      <c r="E24" s="155" t="str">
        <f ca="1">IF(ROWS($1:13)&gt;COUNT(Dong2),"",IF(OFFSET(TH!M$1,SMALL(Dong2,ROWS($1:13)),)=$I$6,OFFSET(TH!L$1,SMALL(Dong2,ROWS($1:13)),),OFFSET(TH!M$1,SMALL(Dong2,ROWS($1:13)),)))</f>
        <v>1331</v>
      </c>
      <c r="F24" s="463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63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</v>
      </c>
      <c r="H24" s="588">
        <f t="shared" ca="1" si="0"/>
        <v>422241051</v>
      </c>
      <c r="I24" s="460"/>
      <c r="L24" s="139"/>
    </row>
    <row r="25" spans="1:17" s="144" customFormat="1" ht="18.75" customHeight="1">
      <c r="A25" s="155">
        <f ca="1">IF(ROWS($1:14)&gt;COUNT(Dong2),"",OFFSET(TH!C$1,SMALL(Dong2,ROWS($1:14)),))</f>
        <v>42381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42381</v>
      </c>
      <c r="D25" s="228" t="str">
        <f ca="1">IF(ROWS($1:14)&gt;COUNT(Dong2),"",OFFSET(TH!F$1,SMALL(Dong2,ROWS($1:14)),))</f>
        <v>Thanh toán tiền hàng</v>
      </c>
      <c r="E25" s="155" t="str">
        <f ca="1">IF(ROWS($1:14)&gt;COUNT(Dong2),"",IF(OFFSET(TH!M$1,SMALL(Dong2,ROWS($1:14)),)=$I$6,OFFSET(TH!L$1,SMALL(Dong2,ROWS($1:14)),),OFFSET(TH!M$1,SMALL(Dong2,ROWS($1:14)),)))</f>
        <v>331</v>
      </c>
      <c r="F25" s="463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63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71006528</v>
      </c>
      <c r="H25" s="588">
        <f t="shared" ca="1" si="0"/>
        <v>351234523</v>
      </c>
      <c r="I25" s="460"/>
      <c r="L25" s="139"/>
    </row>
    <row r="26" spans="1:17" s="144" customFormat="1" ht="18.75" customHeight="1">
      <c r="A26" s="155">
        <f ca="1">IF(ROWS($1:15)&gt;COUNT(Dong2),"",OFFSET(TH!C$1,SMALL(Dong2,ROWS($1:15)),))</f>
        <v>42381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42381</v>
      </c>
      <c r="D26" s="228" t="str">
        <f ca="1">IF(ROWS($1:15)&gt;COUNT(Dong2),"",OFFSET(TH!F$1,SMALL(Dong2,ROWS($1:15)),))</f>
        <v>Phí chuyển tiền</v>
      </c>
      <c r="E26" s="155" t="str">
        <f ca="1">IF(ROWS($1:15)&gt;COUNT(Dong2),"",IF(OFFSET(TH!M$1,SMALL(Dong2,ROWS($1:15)),)=$I$6,OFFSET(TH!L$1,SMALL(Dong2,ROWS($1:15)),),OFFSET(TH!M$1,SMALL(Dong2,ROWS($1:15)),)))</f>
        <v>642</v>
      </c>
      <c r="F26" s="463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63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11000</v>
      </c>
      <c r="H26" s="588">
        <f t="shared" ca="1" si="0"/>
        <v>351223523</v>
      </c>
      <c r="I26" s="460"/>
      <c r="L26" s="139"/>
    </row>
    <row r="27" spans="1:17" s="144" customFormat="1" ht="18.75" customHeight="1">
      <c r="A27" s="155">
        <f ca="1">IF(ROWS($1:16)&gt;COUNT(Dong2),"",OFFSET(TH!C$1,SMALL(Dong2,ROWS($1:16)),))</f>
        <v>42381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42381</v>
      </c>
      <c r="D27" s="228" t="str">
        <f ca="1">IF(ROWS($1:16)&gt;COUNT(Dong2),"",OFFSET(TH!F$1,SMALL(Dong2,ROWS($1:16)),))</f>
        <v>Phí chuyển tiền</v>
      </c>
      <c r="E27" s="155" t="str">
        <f ca="1">IF(ROWS($1:16)&gt;COUNT(Dong2),"",IF(OFFSET(TH!M$1,SMALL(Dong2,ROWS($1:16)),)=$I$6,OFFSET(TH!L$1,SMALL(Dong2,ROWS($1:16)),),OFFSET(TH!M$1,SMALL(Dong2,ROWS($1:16)),)))</f>
        <v>642</v>
      </c>
      <c r="F27" s="463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3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20000</v>
      </c>
      <c r="H27" s="588">
        <f t="shared" ca="1" si="0"/>
        <v>351203523</v>
      </c>
      <c r="I27" s="460"/>
      <c r="L27" s="139"/>
    </row>
    <row r="28" spans="1:17" s="144" customFormat="1" ht="18.75" customHeight="1">
      <c r="A28" s="155">
        <f ca="1">IF(ROWS($1:17)&gt;COUNT(Dong2),"",OFFSET(TH!C$1,SMALL(Dong2,ROWS($1:17)),))</f>
        <v>42381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42381</v>
      </c>
      <c r="D28" s="228" t="str">
        <f ca="1">IF(ROWS($1:17)&gt;COUNT(Dong2),"",OFFSET(TH!F$1,SMALL(Dong2,ROWS($1:17)),))</f>
        <v>VAT Phí chuyển tiền</v>
      </c>
      <c r="E28" s="155" t="str">
        <f ca="1">IF(ROWS($1:17)&gt;COUNT(Dong2),"",IF(OFFSET(TH!M$1,SMALL(Dong2,ROWS($1:17)),)=$I$6,OFFSET(TH!L$1,SMALL(Dong2,ROWS($1:17)),),OFFSET(TH!M$1,SMALL(Dong2,ROWS($1:17)),)))</f>
        <v>1331</v>
      </c>
      <c r="F28" s="463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63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2000</v>
      </c>
      <c r="H28" s="588">
        <f t="shared" ca="1" si="0"/>
        <v>351201523</v>
      </c>
      <c r="I28" s="460"/>
      <c r="L28" s="139"/>
    </row>
    <row r="29" spans="1:17" s="144" customFormat="1" ht="18.75" customHeight="1">
      <c r="A29" s="155">
        <f ca="1">IF(ROWS($1:18)&gt;COUNT(Dong2),"",OFFSET(TH!C$1,SMALL(Dong2,ROWS($1:18)),))</f>
        <v>42381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42381</v>
      </c>
      <c r="D29" s="228" t="str">
        <f ca="1">IF(ROWS($1:18)&gt;COUNT(Dong2),"",OFFSET(TH!F$1,SMALL(Dong2,ROWS($1:18)),))</f>
        <v>Rút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63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63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21500000</v>
      </c>
      <c r="H29" s="588">
        <f t="shared" ca="1" si="0"/>
        <v>329701523</v>
      </c>
      <c r="I29" s="460"/>
      <c r="L29" s="139"/>
    </row>
    <row r="30" spans="1:17" s="144" customFormat="1" ht="18.75" customHeight="1">
      <c r="A30" s="155">
        <f ca="1">IF(ROWS($1:19)&gt;COUNT(Dong2),"",OFFSET(TH!C$1,SMALL(Dong2,ROWS($1:19)),))</f>
        <v>42383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42383</v>
      </c>
      <c r="D30" s="228" t="str">
        <f ca="1">IF(ROWS($1:19)&gt;COUNT(Dong2),"",OFFSET(TH!F$1,SMALL(Dong2,ROWS($1:19)),))</f>
        <v>Rút sec nhập quỹ tiền mặt</v>
      </c>
      <c r="E30" s="155" t="str">
        <f ca="1">IF(ROWS($1:19)&gt;COUNT(Dong2),"",IF(OFFSET(TH!M$1,SMALL(Dong2,ROWS($1:19)),)=$I$6,OFFSET(TH!L$1,SMALL(Dong2,ROWS($1:19)),),OFFSET(TH!M$1,SMALL(Dong2,ROWS($1:19)),)))</f>
        <v>1111</v>
      </c>
      <c r="F30" s="463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3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155700000</v>
      </c>
      <c r="H30" s="588">
        <f t="shared" ca="1" si="0"/>
        <v>174001523</v>
      </c>
      <c r="I30" s="460"/>
      <c r="L30" s="139"/>
    </row>
    <row r="31" spans="1:17" s="144" customFormat="1" ht="18.75" customHeight="1">
      <c r="A31" s="155">
        <f ca="1">IF(ROWS($1:20)&gt;COUNT(Dong2),"",OFFSET(TH!C$1,SMALL(Dong2,ROWS($1:20)),))</f>
        <v>42387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42387</v>
      </c>
      <c r="D31" s="228" t="str">
        <f ca="1">IF(ROWS($1:20)&gt;COUNT(Dong2),"",OFFSET(TH!F$1,SMALL(Dong2,ROWS($1:20)),))</f>
        <v>Rút sec nhập quỹ tiền mặt</v>
      </c>
      <c r="E31" s="155" t="str">
        <f ca="1">IF(ROWS($1:20)&gt;COUNT(Dong2),"",IF(OFFSET(TH!M$1,SMALL(Dong2,ROWS($1:20)),)=$I$6,OFFSET(TH!L$1,SMALL(Dong2,ROWS($1:20)),),OFFSET(TH!M$1,SMALL(Dong2,ROWS($1:20)),)))</f>
        <v>1111</v>
      </c>
      <c r="F31" s="463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63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82600000</v>
      </c>
      <c r="H31" s="588">
        <f t="shared" ca="1" si="0"/>
        <v>91401523</v>
      </c>
      <c r="I31" s="460"/>
      <c r="L31" s="139"/>
    </row>
    <row r="32" spans="1:17" s="144" customFormat="1" ht="18.75" customHeight="1">
      <c r="A32" s="155">
        <f ca="1">IF(ROWS($1:21)&gt;COUNT(Dong2),"",OFFSET(TH!C$1,SMALL(Dong2,ROWS($1:21)),))</f>
        <v>42388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42388</v>
      </c>
      <c r="D32" s="228" t="str">
        <f ca="1">IF(ROWS($1:21)&gt;COUNT(Dong2),"",OFFSET(TH!F$1,SMALL(Dong2,ROWS($1:21)),))</f>
        <v>Rút sec nhập quỹ tiền mặt</v>
      </c>
      <c r="E32" s="155" t="str">
        <f ca="1">IF(ROWS($1:21)&gt;COUNT(Dong2),"",IF(OFFSET(TH!M$1,SMALL(Dong2,ROWS($1:21)),)=$I$6,OFFSET(TH!L$1,SMALL(Dong2,ROWS($1:21)),),OFFSET(TH!M$1,SMALL(Dong2,ROWS($1:21)),)))</f>
        <v>1111</v>
      </c>
      <c r="F32" s="463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63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40300000</v>
      </c>
      <c r="H32" s="588">
        <f t="shared" ca="1" si="0"/>
        <v>51101523</v>
      </c>
      <c r="I32" s="460"/>
      <c r="L32" s="139"/>
    </row>
    <row r="33" spans="1:12" s="144" customFormat="1" ht="18.75" customHeight="1">
      <c r="A33" s="155">
        <f ca="1">IF(ROWS($1:22)&gt;COUNT(Dong2),"",OFFSET(TH!C$1,SMALL(Dong2,ROWS($1:22)),))</f>
        <v>42388</v>
      </c>
      <c r="B33" s="155" t="str">
        <f ca="1">IF(ROWS($1:22)&gt;COUNT(Dong2),"",OFFSET(TH!D$1,SMALL(Dong2,ROWS($1:22)),))</f>
        <v>GBN</v>
      </c>
      <c r="C33" s="155">
        <f ca="1">IF(ROWS($1:22)&gt;COUNT(Dong2),"",OFFSET(TH!E$1,SMALL(Dong2,ROWS($1:22)),))</f>
        <v>42388</v>
      </c>
      <c r="D33" s="228" t="str">
        <f ca="1">IF(ROWS($1:22)&gt;COUNT(Dong2),"",OFFSET(TH!F$1,SMALL(Dong2,ROWS($1:22)),))</f>
        <v>Thanh toán tiền hàng</v>
      </c>
      <c r="E33" s="155" t="str">
        <f ca="1">IF(ROWS($1:22)&gt;COUNT(Dong2),"",IF(OFFSET(TH!M$1,SMALL(Dong2,ROWS($1:22)),)=$I$6,OFFSET(TH!L$1,SMALL(Dong2,ROWS($1:22)),),OFFSET(TH!M$1,SMALL(Dong2,ROWS($1:22)),)))</f>
        <v>331</v>
      </c>
      <c r="F33" s="463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63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50022000</v>
      </c>
      <c r="H33" s="588">
        <f t="shared" ca="1" si="0"/>
        <v>1079523</v>
      </c>
      <c r="I33" s="460"/>
      <c r="L33" s="139"/>
    </row>
    <row r="34" spans="1:12" s="144" customFormat="1" ht="18.75" customHeight="1">
      <c r="A34" s="155">
        <f ca="1">IF(ROWS($1:23)&gt;COUNT(Dong2),"",OFFSET(TH!C$1,SMALL(Dong2,ROWS($1:23)),))</f>
        <v>42388</v>
      </c>
      <c r="B34" s="155" t="str">
        <f ca="1">IF(ROWS($1:23)&gt;COUNT(Dong2),"",OFFSET(TH!D$1,SMALL(Dong2,ROWS($1:23)),))</f>
        <v>GBN</v>
      </c>
      <c r="C34" s="155">
        <f ca="1">IF(ROWS($1:23)&gt;COUNT(Dong2),"",OFFSET(TH!E$1,SMALL(Dong2,ROWS($1:23)),))</f>
        <v>42388</v>
      </c>
      <c r="D34" s="228" t="str">
        <f ca="1">IF(ROWS($1:23)&gt;COUNT(Dong2),"",OFFSET(TH!F$1,SMALL(Dong2,ROWS($1:23)),))</f>
        <v>Phí chuyển tiền</v>
      </c>
      <c r="E34" s="155" t="str">
        <f ca="1">IF(ROWS($1:23)&gt;COUNT(Dong2),"",IF(OFFSET(TH!M$1,SMALL(Dong2,ROWS($1:23)),)=$I$6,OFFSET(TH!L$1,SMALL(Dong2,ROWS($1:23)),),OFFSET(TH!M$1,SMALL(Dong2,ROWS($1:23)),)))</f>
        <v>642</v>
      </c>
      <c r="F34" s="463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63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20000</v>
      </c>
      <c r="H34" s="588">
        <f t="shared" ca="1" si="0"/>
        <v>1059523</v>
      </c>
      <c r="I34" s="460"/>
      <c r="L34" s="139"/>
    </row>
    <row r="35" spans="1:12" s="144" customFormat="1" ht="18.75" customHeight="1">
      <c r="A35" s="155">
        <f ca="1">IF(ROWS($1:24)&gt;COUNT(Dong2),"",OFFSET(TH!C$1,SMALL(Dong2,ROWS($1:24)),))</f>
        <v>42388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42388</v>
      </c>
      <c r="D35" s="228" t="str">
        <f ca="1">IF(ROWS($1:24)&gt;COUNT(Dong2),"",OFFSET(TH!F$1,SMALL(Dong2,ROWS($1:24)),))</f>
        <v>VAT Phí chuyển tiền</v>
      </c>
      <c r="E35" s="155" t="str">
        <f ca="1">IF(ROWS($1:24)&gt;COUNT(Dong2),"",IF(OFFSET(TH!M$1,SMALL(Dong2,ROWS($1:24)),)=$I$6,OFFSET(TH!L$1,SMALL(Dong2,ROWS($1:24)),),OFFSET(TH!M$1,SMALL(Dong2,ROWS($1:24)),)))</f>
        <v>1331</v>
      </c>
      <c r="F35" s="463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63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2000</v>
      </c>
      <c r="H35" s="588">
        <f t="shared" ca="1" si="0"/>
        <v>1057523</v>
      </c>
      <c r="I35" s="460"/>
      <c r="L35" s="139"/>
    </row>
    <row r="36" spans="1:12" s="144" customFormat="1" ht="18.75" customHeight="1">
      <c r="A36" s="155">
        <f ca="1">IF(ROWS($1:25)&gt;COUNT(Dong2),"",OFFSET(TH!C$1,SMALL(Dong2,ROWS($1:25)),))</f>
        <v>42391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42391</v>
      </c>
      <c r="D36" s="228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63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16588800</v>
      </c>
      <c r="G36" s="463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88">
        <f t="shared" ca="1" si="0"/>
        <v>17646323</v>
      </c>
      <c r="I36" s="460"/>
      <c r="L36" s="139"/>
    </row>
    <row r="37" spans="1:12" s="144" customFormat="1" ht="18.75" customHeight="1">
      <c r="A37" s="155">
        <f ca="1">IF(ROWS($1:26)&gt;COUNT(Dong2),"",OFFSET(TH!C$1,SMALL(Dong2,ROWS($1:26)),))</f>
        <v>42394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42394</v>
      </c>
      <c r="D37" s="228" t="str">
        <f ca="1">IF(ROWS($1:26)&gt;COUNT(Dong2),"",OFFSET(TH!F$1,SMALL(Dong2,ROWS($1:26)),))</f>
        <v>Lãi tiền gửi</v>
      </c>
      <c r="E37" s="155" t="str">
        <f ca="1">IF(ROWS($1:26)&gt;COUNT(Dong2),"",IF(OFFSET(TH!M$1,SMALL(Dong2,ROWS($1:26)),)=$I$6,OFFSET(TH!L$1,SMALL(Dong2,ROWS($1:26)),),OFFSET(TH!M$1,SMALL(Dong2,ROWS($1:26)),)))</f>
        <v>515</v>
      </c>
      <c r="F37" s="463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3193</v>
      </c>
      <c r="G37" s="463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88">
        <f t="shared" ca="1" si="0"/>
        <v>17649516</v>
      </c>
      <c r="I37" s="460"/>
      <c r="L37" s="139"/>
    </row>
    <row r="38" spans="1:12" s="144" customFormat="1" ht="18.75" customHeight="1">
      <c r="A38" s="155">
        <f ca="1">IF(ROWS($1:27)&gt;COUNT(Dong2),"",OFFSET(TH!C$1,SMALL(Dong2,ROWS($1:27)),))</f>
        <v>42394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42394</v>
      </c>
      <c r="D38" s="228" t="str">
        <f ca="1">IF(ROWS($1:27)&gt;COUNT(Dong2),"",OFFSET(TH!F$1,SMALL(Dong2,ROWS($1:27)),))</f>
        <v>Nộp tiền mặt vào tài khoản</v>
      </c>
      <c r="E38" s="155" t="str">
        <f ca="1">IF(ROWS($1:27)&gt;COUNT(Dong2),"",IF(OFFSET(TH!M$1,SMALL(Dong2,ROWS($1:27)),)=$I$6,OFFSET(TH!L$1,SMALL(Dong2,ROWS($1:27)),),OFFSET(TH!M$1,SMALL(Dong2,ROWS($1:27)),)))</f>
        <v>1111</v>
      </c>
      <c r="F38" s="463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20000000</v>
      </c>
      <c r="G38" s="463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88">
        <f t="shared" ca="1" si="0"/>
        <v>37649516</v>
      </c>
      <c r="I38" s="460"/>
      <c r="L38" s="139"/>
    </row>
    <row r="39" spans="1:12" s="144" customFormat="1" ht="18.75" customHeight="1">
      <c r="A39" s="155">
        <f ca="1">IF(ROWS($1:28)&gt;COUNT(Dong2),"",OFFSET(TH!C$1,SMALL(Dong2,ROWS($1:28)),))</f>
        <v>42394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42394</v>
      </c>
      <c r="D39" s="228" t="str">
        <f ca="1">IF(ROWS($1:28)&gt;COUNT(Dong2),"",OFFSET(TH!F$1,SMALL(Dong2,ROWS($1:28)),))</f>
        <v>Thu tiền hàng</v>
      </c>
      <c r="E39" s="155" t="str">
        <f ca="1">IF(ROWS($1:28)&gt;COUNT(Dong2),"",IF(OFFSET(TH!M$1,SMALL(Dong2,ROWS($1:28)),)=$I$6,OFFSET(TH!L$1,SMALL(Dong2,ROWS($1:28)),),OFFSET(TH!M$1,SMALL(Dong2,ROWS($1:28)),)))</f>
        <v>131</v>
      </c>
      <c r="F39" s="463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182127000</v>
      </c>
      <c r="G39" s="463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88">
        <f t="shared" ca="1" si="0"/>
        <v>219776516</v>
      </c>
      <c r="I39" s="460"/>
      <c r="L39" s="139"/>
    </row>
    <row r="40" spans="1:12" s="144" customFormat="1" ht="18.75" customHeight="1">
      <c r="A40" s="155">
        <f ca="1">IF(ROWS($1:29)&gt;COUNT(Dong2),"",OFFSET(TH!C$1,SMALL(Dong2,ROWS($1:29)),))</f>
        <v>42395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42395</v>
      </c>
      <c r="D40" s="228" t="str">
        <f ca="1">IF(ROWS($1:29)&gt;COUNT(Dong2),"",OFFSET(TH!F$1,SMALL(Dong2,ROWS($1:29)),))</f>
        <v>Nộp tiền mặt vào tài khoản</v>
      </c>
      <c r="E40" s="155" t="str">
        <f ca="1">IF(ROWS($1:29)&gt;COUNT(Dong2),"",IF(OFFSET(TH!M$1,SMALL(Dong2,ROWS($1:29)),)=$I$6,OFFSET(TH!L$1,SMALL(Dong2,ROWS($1:29)),),OFFSET(TH!M$1,SMALL(Dong2,ROWS($1:29)),)))</f>
        <v>1111</v>
      </c>
      <c r="F40" s="463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</v>
      </c>
      <c r="G40" s="463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588">
        <f t="shared" ca="1" si="0"/>
        <v>220076516</v>
      </c>
      <c r="I40" s="460"/>
    </row>
    <row r="41" spans="1:12" s="144" customFormat="1" ht="18.75" customHeight="1">
      <c r="A41" s="155">
        <f ca="1">IF(ROWS($1:30)&gt;COUNT(Dong2),"",OFFSET(TH!C$1,SMALL(Dong2,ROWS($1:30)),))</f>
        <v>42395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42395</v>
      </c>
      <c r="D41" s="228" t="str">
        <f ca="1">IF(ROWS($1:30)&gt;COUNT(Dong2),"",OFFSET(TH!F$1,SMALL(Dong2,ROWS($1:30)),))</f>
        <v>Nộp tiền mặt vào tài khoản</v>
      </c>
      <c r="E41" s="155" t="str">
        <f ca="1">IF(ROWS($1:30)&gt;COUNT(Dong2),"",IF(OFFSET(TH!M$1,SMALL(Dong2,ROWS($1:30)),)=$I$6,OFFSET(TH!L$1,SMALL(Dong2,ROWS($1:30)),),OFFSET(TH!M$1,SMALL(Dong2,ROWS($1:30)),)))</f>
        <v>1111</v>
      </c>
      <c r="F41" s="463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500800000</v>
      </c>
      <c r="G41" s="463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88">
        <f t="shared" ref="H41:H43" ca="1" si="1">IF(A41&lt;&gt;"",H40+F41-G41,0)</f>
        <v>720876516</v>
      </c>
      <c r="I41" s="460"/>
    </row>
    <row r="42" spans="1:12" s="144" customFormat="1" ht="18.75" customHeight="1">
      <c r="A42" s="155">
        <f ca="1">IF(ROWS($1:31)&gt;COUNT(Dong2),"",OFFSET(TH!C$1,SMALL(Dong2,ROWS($1:31)),))</f>
        <v>42395</v>
      </c>
      <c r="B42" s="155" t="str">
        <f ca="1">IF(ROWS($1:31)&gt;COUNT(Dong2),"",OFFSET(TH!D$1,SMALL(Dong2,ROWS($1:31)),))</f>
        <v>GBC</v>
      </c>
      <c r="C42" s="155">
        <f ca="1">IF(ROWS($1:31)&gt;COUNT(Dong2),"",OFFSET(TH!E$1,SMALL(Dong2,ROWS($1:31)),))</f>
        <v>42395</v>
      </c>
      <c r="D42" s="228" t="str">
        <f ca="1">IF(ROWS($1:31)&gt;COUNT(Dong2),"",OFFSET(TH!F$1,SMALL(Dong2,ROWS($1:31)),))</f>
        <v>Thu tiền hàng</v>
      </c>
      <c r="E42" s="155" t="str">
        <f ca="1">IF(ROWS($1:31)&gt;COUNT(Dong2),"",IF(OFFSET(TH!M$1,SMALL(Dong2,ROWS($1:31)),)=$I$6,OFFSET(TH!L$1,SMALL(Dong2,ROWS($1:31)),),OFFSET(TH!M$1,SMALL(Dong2,ROWS($1:31)),)))</f>
        <v>131</v>
      </c>
      <c r="F42" s="463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6830004</v>
      </c>
      <c r="G42" s="463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588">
        <f t="shared" ca="1" si="1"/>
        <v>727706520</v>
      </c>
      <c r="I42" s="460"/>
    </row>
    <row r="43" spans="1:12" s="144" customFormat="1" ht="18.75" customHeight="1">
      <c r="A43" s="155">
        <f ca="1">IF(ROWS($1:32)&gt;COUNT(Dong2),"",OFFSET(TH!C$1,SMALL(Dong2,ROWS($1:32)),))</f>
        <v>42397</v>
      </c>
      <c r="B43" s="155" t="str">
        <f ca="1">IF(ROWS($1:32)&gt;COUNT(Dong2),"",OFFSET(TH!D$1,SMALL(Dong2,ROWS($1:32)),))</f>
        <v>GBC</v>
      </c>
      <c r="C43" s="155">
        <f ca="1">IF(ROWS($1:32)&gt;COUNT(Dong2),"",OFFSET(TH!E$1,SMALL(Dong2,ROWS($1:32)),))</f>
        <v>42397</v>
      </c>
      <c r="D43" s="228" t="str">
        <f ca="1">IF(ROWS($1:32)&gt;COUNT(Dong2),"",OFFSET(TH!F$1,SMALL(Dong2,ROWS($1:32)),))</f>
        <v>Nộp tiền mặt vào tài khoản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63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35000000</v>
      </c>
      <c r="G43" s="463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88">
        <f t="shared" ca="1" si="1"/>
        <v>762706520</v>
      </c>
      <c r="I43" s="460"/>
    </row>
    <row r="44" spans="1:12" s="144" customFormat="1" ht="18.75" customHeight="1">
      <c r="A44" s="155">
        <f ca="1">IF(ROWS($1:33)&gt;COUNT(Dong2),"",OFFSET(TH!C$1,SMALL(Dong2,ROWS($1:33)),))</f>
        <v>42397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42397</v>
      </c>
      <c r="D44" s="228" t="str">
        <f ca="1">IF(ROWS($1:33)&gt;COUNT(Dong2),"",OFFSET(TH!F$1,SMALL(Dong2,ROWS($1:33)),))</f>
        <v>Thu tiền hàng</v>
      </c>
      <c r="E44" s="155" t="str">
        <f ca="1">IF(ROWS($1:33)&gt;COUNT(Dong2),"",IF(OFFSET(TH!M$1,SMALL(Dong2,ROWS($1:33)),)=$I$6,OFFSET(TH!L$1,SMALL(Dong2,ROWS($1:33)),),OFFSET(TH!M$1,SMALL(Dong2,ROWS($1:33)),)))</f>
        <v>131</v>
      </c>
      <c r="F44" s="463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9570000</v>
      </c>
      <c r="G44" s="463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588">
        <f t="shared" ref="H44" ca="1" si="2">IF(A44&lt;&gt;"",H43+F44-G44,0)</f>
        <v>772276520</v>
      </c>
      <c r="I44" s="460"/>
    </row>
    <row r="45" spans="1:12" s="144" customFormat="1" ht="18.75" customHeight="1">
      <c r="A45" s="155">
        <f ca="1">IF(ROWS($1:34)&gt;COUNT(Dong2),"",OFFSET(TH!C$1,SMALL(Dong2,ROWS($1:34)),))</f>
        <v>42391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42391</v>
      </c>
      <c r="D45" s="228" t="str">
        <f ca="1">IF(ROWS($1:34)&gt;COUNT(Dong2),"",OFFSET(TH!F$1,SMALL(Dong2,ROWS($1:34)),))</f>
        <v>Rút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63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63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16500000</v>
      </c>
      <c r="H45" s="588">
        <f t="shared" ref="H45:H86" ca="1" si="3">IF(A45&lt;&gt;"",H44+F45-G45,0)</f>
        <v>755776520</v>
      </c>
      <c r="I45" s="460"/>
    </row>
    <row r="46" spans="1:12" s="144" customFormat="1" ht="18.75" customHeight="1">
      <c r="A46" s="155">
        <f ca="1">IF(ROWS($1:35)&gt;COUNT(Dong2),"",OFFSET(TH!C$1,SMALL(Dong2,ROWS($1:35)),))</f>
        <v>42394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42394</v>
      </c>
      <c r="D46" s="228" t="str">
        <f ca="1">IF(ROWS($1:35)&gt;COUNT(Dong2),"",OFFSET(TH!F$1,SMALL(Dong2,ROWS($1:35)),))</f>
        <v>Phí quản lý tài khoản</v>
      </c>
      <c r="E46" s="155" t="str">
        <f ca="1">IF(ROWS($1:35)&gt;COUNT(Dong2),"",IF(OFFSET(TH!M$1,SMALL(Dong2,ROWS($1:35)),)=$I$6,OFFSET(TH!L$1,SMALL(Dong2,ROWS($1:35)),),OFFSET(TH!M$1,SMALL(Dong2,ROWS($1:35)),)))</f>
        <v>642</v>
      </c>
      <c r="F46" s="463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63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10000</v>
      </c>
      <c r="H46" s="588">
        <f t="shared" ca="1" si="3"/>
        <v>755766520</v>
      </c>
      <c r="I46" s="460"/>
    </row>
    <row r="47" spans="1:12" s="144" customFormat="1" ht="18.75" customHeight="1">
      <c r="A47" s="155">
        <f ca="1">IF(ROWS($1:36)&gt;COUNT(Dong2),"",OFFSET(TH!C$1,SMALL(Dong2,ROWS($1:36)),))</f>
        <v>42394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42394</v>
      </c>
      <c r="D47" s="228" t="str">
        <f ca="1">IF(ROWS($1:36)&gt;COUNT(Dong2),"",OFFSET(TH!F$1,SMALL(Dong2,ROWS($1:36)),))</f>
        <v>VAT Phí quản lý tài khoản</v>
      </c>
      <c r="E47" s="155" t="str">
        <f ca="1">IF(ROWS($1:36)&gt;COUNT(Dong2),"",IF(OFFSET(TH!M$1,SMALL(Dong2,ROWS($1:36)),)=$I$6,OFFSET(TH!L$1,SMALL(Dong2,ROWS($1:36)),),OFFSET(TH!M$1,SMALL(Dong2,ROWS($1:36)),)))</f>
        <v>1331</v>
      </c>
      <c r="F47" s="463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63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1000</v>
      </c>
      <c r="H47" s="588">
        <f t="shared" ca="1" si="3"/>
        <v>755765520</v>
      </c>
      <c r="I47" s="460"/>
    </row>
    <row r="48" spans="1:12" s="144" customFormat="1" ht="18.75" customHeight="1">
      <c r="A48" s="155">
        <f ca="1">IF(ROWS($1:37)&gt;COUNT(Dong2),"",OFFSET(TH!C$1,SMALL(Dong2,ROWS($1:37)),))</f>
        <v>42394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42394</v>
      </c>
      <c r="D48" s="228" t="str">
        <f ca="1">IF(ROWS($1:37)&gt;COUNT(Dong2),"",OFFSET(TH!F$1,SMALL(Dong2,ROWS($1:37)),))</f>
        <v>Phí chuyển tiền</v>
      </c>
      <c r="E48" s="155" t="str">
        <f ca="1">IF(ROWS($1:37)&gt;COUNT(Dong2),"",IF(OFFSET(TH!M$1,SMALL(Dong2,ROWS($1:37)),)=$I$6,OFFSET(TH!L$1,SMALL(Dong2,ROWS($1:37)),),OFFSET(TH!M$1,SMALL(Dong2,ROWS($1:37)),)))</f>
        <v>642</v>
      </c>
      <c r="F48" s="463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63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588">
        <f t="shared" ca="1" si="3"/>
        <v>755745520</v>
      </c>
      <c r="I48" s="460"/>
    </row>
    <row r="49" spans="1:9" s="144" customFormat="1" ht="18.75" customHeight="1">
      <c r="A49" s="155">
        <f ca="1">IF(ROWS($1:38)&gt;COUNT(Dong2),"",OFFSET(TH!C$1,SMALL(Dong2,ROWS($1:38)),))</f>
        <v>42394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42394</v>
      </c>
      <c r="D49" s="228" t="str">
        <f ca="1">IF(ROWS($1:38)&gt;COUNT(Dong2),"",OFFSET(TH!F$1,SMALL(Dong2,ROWS($1:38)),))</f>
        <v>VAT Phí chuyển tiền</v>
      </c>
      <c r="E49" s="155" t="str">
        <f ca="1">IF(ROWS($1:38)&gt;COUNT(Dong2),"",IF(OFFSET(TH!M$1,SMALL(Dong2,ROWS($1:38)),)=$I$6,OFFSET(TH!L$1,SMALL(Dong2,ROWS($1:38)),),OFFSET(TH!M$1,SMALL(Dong2,ROWS($1:38)),)))</f>
        <v>1331</v>
      </c>
      <c r="F49" s="463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63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2000</v>
      </c>
      <c r="H49" s="588">
        <f t="shared" ca="1" si="3"/>
        <v>755743520</v>
      </c>
      <c r="I49" s="460"/>
    </row>
    <row r="50" spans="1:9" s="144" customFormat="1" ht="18.75" customHeight="1">
      <c r="A50" s="155">
        <f ca="1">IF(ROWS($1:39)&gt;COUNT(Dong2),"",OFFSET(TH!C$1,SMALL(Dong2,ROWS($1:39)),))</f>
        <v>42394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42394</v>
      </c>
      <c r="D50" s="228" t="str">
        <f ca="1">IF(ROWS($1:39)&gt;COUNT(Dong2),"",OFFSET(TH!F$1,SMALL(Dong2,ROWS($1:39)),))</f>
        <v>Thanh toán tiền hàng</v>
      </c>
      <c r="E50" s="155" t="str">
        <f ca="1">IF(ROWS($1:39)&gt;COUNT(Dong2),"",IF(OFFSET(TH!M$1,SMALL(Dong2,ROWS($1:39)),)=$I$6,OFFSET(TH!L$1,SMALL(Dong2,ROWS($1:39)),),OFFSET(TH!M$1,SMALL(Dong2,ROWS($1:39)),)))</f>
        <v>331</v>
      </c>
      <c r="F50" s="463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63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20022000</v>
      </c>
      <c r="H50" s="588">
        <f t="shared" ca="1" si="3"/>
        <v>735721520</v>
      </c>
      <c r="I50" s="460"/>
    </row>
    <row r="51" spans="1:9" s="144" customFormat="1" ht="18.75" customHeight="1">
      <c r="A51" s="155">
        <f ca="1">IF(ROWS($1:40)&gt;COUNT(Dong2),"",OFFSET(TH!C$1,SMALL(Dong2,ROWS($1:40)),))</f>
        <v>42395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42395</v>
      </c>
      <c r="D51" s="228" t="str">
        <f ca="1">IF(ROWS($1:40)&gt;COUNT(Dong2),"",OFFSET(TH!F$1,SMALL(Dong2,ROWS($1:40)),))</f>
        <v>Rút sec nhập quỹ tiền mặt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63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63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182127000</v>
      </c>
      <c r="H51" s="588">
        <f t="shared" ca="1" si="3"/>
        <v>553594520</v>
      </c>
      <c r="I51" s="460"/>
    </row>
    <row r="52" spans="1:9" s="144" customFormat="1" ht="18.75" customHeight="1">
      <c r="A52" s="155">
        <f ca="1">IF(ROWS($1:41)&gt;COUNT(Dong2),"",OFFSET(TH!C$1,SMALL(Dong2,ROWS($1:41)),))</f>
        <v>42395</v>
      </c>
      <c r="B52" s="155" t="str">
        <f ca="1">IF(ROWS($1:41)&gt;COUNT(Dong2),"",OFFSET(TH!D$1,SMALL(Dong2,ROWS($1:41)),))</f>
        <v>GBN</v>
      </c>
      <c r="C52" s="155">
        <f ca="1">IF(ROWS($1:41)&gt;COUNT(Dong2),"",OFFSET(TH!E$1,SMALL(Dong2,ROWS($1:41)),))</f>
        <v>42395</v>
      </c>
      <c r="D52" s="228" t="str">
        <f ca="1">IF(ROWS($1:41)&gt;COUNT(Dong2),"",OFFSET(TH!F$1,SMALL(Dong2,ROWS($1:41)),))</f>
        <v>Thanh toán tiền hàng</v>
      </c>
      <c r="E52" s="155" t="str">
        <f ca="1">IF(ROWS($1:41)&gt;COUNT(Dong2),"",IF(OFFSET(TH!M$1,SMALL(Dong2,ROWS($1:41)),)=$I$6,OFFSET(TH!L$1,SMALL(Dong2,ROWS($1:41)),),OFFSET(TH!M$1,SMALL(Dong2,ROWS($1:41)),)))</f>
        <v>331</v>
      </c>
      <c r="F52" s="463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63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240581220</v>
      </c>
      <c r="H52" s="588">
        <f t="shared" ca="1" si="3"/>
        <v>313013300</v>
      </c>
      <c r="I52" s="460"/>
    </row>
    <row r="53" spans="1:9" s="144" customFormat="1" ht="18.75" customHeight="1">
      <c r="A53" s="155">
        <f ca="1">IF(ROWS($1:42)&gt;COUNT(Dong2),"",OFFSET(TH!C$1,SMALL(Dong2,ROWS($1:42)),))</f>
        <v>42395</v>
      </c>
      <c r="B53" s="155" t="str">
        <f ca="1">IF(ROWS($1:42)&gt;COUNT(Dong2),"",OFFSET(TH!D$1,SMALL(Dong2,ROWS($1:42)),))</f>
        <v>GBN</v>
      </c>
      <c r="C53" s="155">
        <f ca="1">IF(ROWS($1:42)&gt;COUNT(Dong2),"",OFFSET(TH!E$1,SMALL(Dong2,ROWS($1:42)),))</f>
        <v>42395</v>
      </c>
      <c r="D53" s="228" t="str">
        <f ca="1">IF(ROWS($1:42)&gt;COUNT(Dong2),"",OFFSET(TH!F$1,SMALL(Dong2,ROWS($1:42)),))</f>
        <v>Thanh toán tiền hàng</v>
      </c>
      <c r="E53" s="155" t="str">
        <f ca="1">IF(ROWS($1:42)&gt;COUNT(Dong2),"",IF(OFFSET(TH!M$1,SMALL(Dong2,ROWS($1:42)),)=$I$6,OFFSET(TH!L$1,SMALL(Dong2,ROWS($1:42)),),OFFSET(TH!M$1,SMALL(Dong2,ROWS($1:42)),)))</f>
        <v>331</v>
      </c>
      <c r="F53" s="463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63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162637223</v>
      </c>
      <c r="H53" s="588">
        <f t="shared" ca="1" si="3"/>
        <v>150376077</v>
      </c>
      <c r="I53" s="460"/>
    </row>
    <row r="54" spans="1:9" s="144" customFormat="1" ht="18.75" customHeight="1">
      <c r="A54" s="155">
        <f ca="1">IF(ROWS($1:43)&gt;COUNT(Dong2),"",OFFSET(TH!C$1,SMALL(Dong2,ROWS($1:43)),))</f>
        <v>42395</v>
      </c>
      <c r="B54" s="155" t="str">
        <f ca="1">IF(ROWS($1:43)&gt;COUNT(Dong2),"",OFFSET(TH!D$1,SMALL(Dong2,ROWS($1:43)),))</f>
        <v>GBN</v>
      </c>
      <c r="C54" s="155">
        <f ca="1">IF(ROWS($1:43)&gt;COUNT(Dong2),"",OFFSET(TH!E$1,SMALL(Dong2,ROWS($1:43)),))</f>
        <v>42395</v>
      </c>
      <c r="D54" s="228" t="str">
        <f ca="1">IF(ROWS($1:43)&gt;COUNT(Dong2),"",OFFSET(TH!F$1,SMALL(Dong2,ROWS($1:43)),))</f>
        <v>Phí ngân hàng</v>
      </c>
      <c r="E54" s="155" t="str">
        <f ca="1">IF(ROWS($1:43)&gt;COUNT(Dong2),"",IF(OFFSET(TH!M$1,SMALL(Dong2,ROWS($1:43)),)=$I$6,OFFSET(TH!L$1,SMALL(Dong2,ROWS($1:43)),),OFFSET(TH!M$1,SMALL(Dong2,ROWS($1:43)),)))</f>
        <v>642</v>
      </c>
      <c r="F54" s="463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63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22000</v>
      </c>
      <c r="H54" s="588">
        <f t="shared" ca="1" si="3"/>
        <v>150354077</v>
      </c>
      <c r="I54" s="460"/>
    </row>
    <row r="55" spans="1:9" s="144" customFormat="1" ht="18.75" customHeight="1">
      <c r="A55" s="155">
        <f ca="1">IF(ROWS($1:44)&gt;COUNT(Dong2),"",OFFSET(TH!C$1,SMALL(Dong2,ROWS($1:44)),))</f>
        <v>42395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42395</v>
      </c>
      <c r="D55" s="228" t="str">
        <f ca="1">IF(ROWS($1:44)&gt;COUNT(Dong2),"",OFFSET(TH!F$1,SMALL(Dong2,ROWS($1:44)),))</f>
        <v>Thanh toán tiền hàng</v>
      </c>
      <c r="E55" s="155" t="str">
        <f ca="1">IF(ROWS($1:44)&gt;COUNT(Dong2),"",IF(OFFSET(TH!M$1,SMALL(Dong2,ROWS($1:44)),)=$I$6,OFFSET(TH!L$1,SMALL(Dong2,ROWS($1:44)),),OFFSET(TH!M$1,SMALL(Dong2,ROWS($1:44)),)))</f>
        <v>331</v>
      </c>
      <c r="F55" s="463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63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97640136</v>
      </c>
      <c r="H55" s="588">
        <f t="shared" ca="1" si="3"/>
        <v>52713941</v>
      </c>
      <c r="I55" s="460"/>
    </row>
    <row r="56" spans="1:9" s="144" customFormat="1" ht="18.75" customHeight="1">
      <c r="A56" s="155">
        <f ca="1">IF(ROWS($1:45)&gt;COUNT(Dong2),"",OFFSET(TH!C$1,SMALL(Dong2,ROWS($1:45)),))</f>
        <v>42395</v>
      </c>
      <c r="B56" s="155" t="str">
        <f ca="1">IF(ROWS($1:45)&gt;COUNT(Dong2),"",OFFSET(TH!D$1,SMALL(Dong2,ROWS($1:45)),))</f>
        <v>GBN</v>
      </c>
      <c r="C56" s="155">
        <f ca="1">IF(ROWS($1:45)&gt;COUNT(Dong2),"",OFFSET(TH!E$1,SMALL(Dong2,ROWS($1:45)),))</f>
        <v>42395</v>
      </c>
      <c r="D56" s="228" t="str">
        <f ca="1">IF(ROWS($1:45)&gt;COUNT(Dong2),"",OFFSET(TH!F$1,SMALL(Dong2,ROWS($1:45)),))</f>
        <v>Phí ngân hàng</v>
      </c>
      <c r="E56" s="155" t="str">
        <f ca="1">IF(ROWS($1:45)&gt;COUNT(Dong2),"",IF(OFFSET(TH!M$1,SMALL(Dong2,ROWS($1:45)),)=$I$6,OFFSET(TH!L$1,SMALL(Dong2,ROWS($1:45)),),OFFSET(TH!M$1,SMALL(Dong2,ROWS($1:45)),)))</f>
        <v>642</v>
      </c>
      <c r="F56" s="463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63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22000</v>
      </c>
      <c r="H56" s="588">
        <f t="shared" ca="1" si="3"/>
        <v>52691941</v>
      </c>
      <c r="I56" s="460"/>
    </row>
    <row r="57" spans="1:9" s="144" customFormat="1" ht="18.75" customHeight="1">
      <c r="A57" s="155">
        <f ca="1">IF(ROWS($1:46)&gt;COUNT(Dong2),"",OFFSET(TH!C$1,SMALL(Dong2,ROWS($1:46)),))</f>
        <v>42395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42395</v>
      </c>
      <c r="D57" s="228" t="str">
        <f ca="1">IF(ROWS($1:46)&gt;COUNT(Dong2),"",OFFSET(TH!F$1,SMALL(Dong2,ROWS($1:46)),))</f>
        <v>Phí chuyển tiền</v>
      </c>
      <c r="E57" s="155" t="str">
        <f ca="1">IF(ROWS($1:46)&gt;COUNT(Dong2),"",IF(OFFSET(TH!M$1,SMALL(Dong2,ROWS($1:46)),)=$I$6,OFFSET(TH!L$1,SMALL(Dong2,ROWS($1:46)),),OFFSET(TH!M$1,SMALL(Dong2,ROWS($1:46)),)))</f>
        <v>642</v>
      </c>
      <c r="F57" s="463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63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150251</v>
      </c>
      <c r="H57" s="588">
        <f t="shared" ca="1" si="3"/>
        <v>52541690</v>
      </c>
      <c r="I57" s="460"/>
    </row>
    <row r="58" spans="1:9" s="144" customFormat="1" ht="18.75" customHeight="1">
      <c r="A58" s="155">
        <f ca="1">IF(ROWS($1:47)&gt;COUNT(Dong2),"",OFFSET(TH!C$1,SMALL(Dong2,ROWS($1:47)),))</f>
        <v>42395</v>
      </c>
      <c r="B58" s="155" t="str">
        <f ca="1">IF(ROWS($1:47)&gt;COUNT(Dong2),"",OFFSET(TH!D$1,SMALL(Dong2,ROWS($1:47)),))</f>
        <v>GBN</v>
      </c>
      <c r="C58" s="155">
        <f ca="1">IF(ROWS($1:47)&gt;COUNT(Dong2),"",OFFSET(TH!E$1,SMALL(Dong2,ROWS($1:47)),))</f>
        <v>42395</v>
      </c>
      <c r="D58" s="228" t="str">
        <f ca="1">IF(ROWS($1:47)&gt;COUNT(Dong2),"",OFFSET(TH!F$1,SMALL(Dong2,ROWS($1:47)),))</f>
        <v>VAT Phí chuyển tiền</v>
      </c>
      <c r="E58" s="155" t="str">
        <f ca="1">IF(ROWS($1:47)&gt;COUNT(Dong2),"",IF(OFFSET(TH!M$1,SMALL(Dong2,ROWS($1:47)),)=$I$6,OFFSET(TH!L$1,SMALL(Dong2,ROWS($1:47)),),OFFSET(TH!M$1,SMALL(Dong2,ROWS($1:47)),)))</f>
        <v>1331</v>
      </c>
      <c r="F58" s="463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63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15025</v>
      </c>
      <c r="H58" s="588">
        <f t="shared" ca="1" si="3"/>
        <v>52526665</v>
      </c>
      <c r="I58" s="460"/>
    </row>
    <row r="59" spans="1:9" s="144" customFormat="1" ht="18.75" customHeight="1">
      <c r="A59" s="155">
        <f ca="1">IF(ROWS($1:48)&gt;COUNT(Dong2),"",OFFSET(TH!C$1,SMALL(Dong2,ROWS($1:48)),))</f>
        <v>42395</v>
      </c>
      <c r="B59" s="155" t="str">
        <f ca="1">IF(ROWS($1:48)&gt;COUNT(Dong2),"",OFFSET(TH!D$1,SMALL(Dong2,ROWS($1:48)),))</f>
        <v>GBN</v>
      </c>
      <c r="C59" s="155">
        <f ca="1">IF(ROWS($1:48)&gt;COUNT(Dong2),"",OFFSET(TH!E$1,SMALL(Dong2,ROWS($1:48)),))</f>
        <v>42395</v>
      </c>
      <c r="D59" s="228" t="str">
        <f ca="1">IF(ROWS($1:48)&gt;COUNT(Dong2),"",OFFSET(TH!F$1,SMALL(Dong2,ROWS($1:48)),))</f>
        <v>Rút sec nhập quỹ tiền mặt</v>
      </c>
      <c r="E59" s="155" t="str">
        <f ca="1">IF(ROWS($1:48)&gt;COUNT(Dong2),"",IF(OFFSET(TH!M$1,SMALL(Dong2,ROWS($1:48)),)=$I$6,OFFSET(TH!L$1,SMALL(Dong2,ROWS($1:48)),),OFFSET(TH!M$1,SMALL(Dong2,ROWS($1:48)),)))</f>
        <v>1111</v>
      </c>
      <c r="F59" s="463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63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6900000</v>
      </c>
      <c r="H59" s="588">
        <f t="shared" ca="1" si="3"/>
        <v>45626665</v>
      </c>
      <c r="I59" s="460"/>
    </row>
    <row r="60" spans="1:9" s="144" customFormat="1" ht="18.75" customHeight="1">
      <c r="A60" s="155">
        <f ca="1">IF(ROWS($1:49)&gt;COUNT(Dong2),"",OFFSET(TH!C$1,SMALL(Dong2,ROWS($1:49)),))</f>
        <v>42397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42397</v>
      </c>
      <c r="D60" s="228" t="str">
        <f ca="1">IF(ROWS($1:49)&gt;COUNT(Dong2),"",OFFSET(TH!F$1,SMALL(Dong2,ROWS($1:49)),))</f>
        <v>Thanh toán tiền hàng</v>
      </c>
      <c r="E60" s="155" t="str">
        <f ca="1">IF(ROWS($1:49)&gt;COUNT(Dong2),"",IF(OFFSET(TH!M$1,SMALL(Dong2,ROWS($1:49)),)=$I$6,OFFSET(TH!L$1,SMALL(Dong2,ROWS($1:49)),),OFFSET(TH!M$1,SMALL(Dong2,ROWS($1:49)),)))</f>
        <v>331</v>
      </c>
      <c r="F60" s="463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63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35022000</v>
      </c>
      <c r="H60" s="588">
        <f t="shared" ca="1" si="3"/>
        <v>10604665</v>
      </c>
      <c r="I60" s="460"/>
    </row>
    <row r="61" spans="1:9" s="144" customFormat="1" ht="18.75" customHeight="1">
      <c r="A61" s="155">
        <f ca="1">IF(ROWS($1:50)&gt;COUNT(Dong2),"",OFFSET(TH!C$1,SMALL(Dong2,ROWS($1:50)),))</f>
        <v>42397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42397</v>
      </c>
      <c r="D61" s="228" t="str">
        <f ca="1">IF(ROWS($1:50)&gt;COUNT(Dong2),"",OFFSET(TH!F$1,SMALL(Dong2,ROWS($1:50)),))</f>
        <v>Phí chuyển tiền</v>
      </c>
      <c r="E61" s="155" t="str">
        <f ca="1">IF(ROWS($1:50)&gt;COUNT(Dong2),"",IF(OFFSET(TH!M$1,SMALL(Dong2,ROWS($1:50)),)=$I$6,OFFSET(TH!L$1,SMALL(Dong2,ROWS($1:50)),),OFFSET(TH!M$1,SMALL(Dong2,ROWS($1:50)),)))</f>
        <v>642</v>
      </c>
      <c r="F61" s="463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63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20000</v>
      </c>
      <c r="H61" s="588">
        <f t="shared" ca="1" si="3"/>
        <v>10584665</v>
      </c>
      <c r="I61" s="460"/>
    </row>
    <row r="62" spans="1:9" s="144" customFormat="1" ht="18.75" customHeight="1">
      <c r="A62" s="155">
        <f ca="1">IF(ROWS($1:51)&gt;COUNT(Dong2),"",OFFSET(TH!C$1,SMALL(Dong2,ROWS($1:51)),))</f>
        <v>42397</v>
      </c>
      <c r="B62" s="155" t="str">
        <f ca="1">IF(ROWS($1:51)&gt;COUNT(Dong2),"",OFFSET(TH!D$1,SMALL(Dong2,ROWS($1:51)),))</f>
        <v>GBN</v>
      </c>
      <c r="C62" s="155">
        <f ca="1">IF(ROWS($1:51)&gt;COUNT(Dong2),"",OFFSET(TH!E$1,SMALL(Dong2,ROWS($1:51)),))</f>
        <v>42397</v>
      </c>
      <c r="D62" s="228" t="str">
        <f ca="1">IF(ROWS($1:51)&gt;COUNT(Dong2),"",OFFSET(TH!F$1,SMALL(Dong2,ROWS($1:51)),))</f>
        <v>VAT Phí chuyển tiền</v>
      </c>
      <c r="E62" s="155" t="str">
        <f ca="1">IF(ROWS($1:51)&gt;COUNT(Dong2),"",IF(OFFSET(TH!M$1,SMALL(Dong2,ROWS($1:51)),)=$I$6,OFFSET(TH!L$1,SMALL(Dong2,ROWS($1:51)),),OFFSET(TH!M$1,SMALL(Dong2,ROWS($1:51)),)))</f>
        <v>1331</v>
      </c>
      <c r="F62" s="463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63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2000</v>
      </c>
      <c r="H62" s="588">
        <f t="shared" ca="1" si="3"/>
        <v>10582665</v>
      </c>
      <c r="I62" s="460"/>
    </row>
    <row r="63" spans="1:9" s="144" customFormat="1" ht="18.75" customHeight="1">
      <c r="A63" s="155">
        <f ca="1">IF(ROWS($1:52)&gt;COUNT(Dong2),"",OFFSET(TH!C$1,SMALL(Dong2,ROWS($1:52)),))</f>
        <v>42398</v>
      </c>
      <c r="B63" s="155" t="str">
        <f ca="1">IF(ROWS($1:52)&gt;COUNT(Dong2),"",OFFSET(TH!D$1,SMALL(Dong2,ROWS($1:52)),))</f>
        <v>GBN</v>
      </c>
      <c r="C63" s="155">
        <f ca="1">IF(ROWS($1:52)&gt;COUNT(Dong2),"",OFFSET(TH!E$1,SMALL(Dong2,ROWS($1:52)),))</f>
        <v>42398</v>
      </c>
      <c r="D63" s="228" t="str">
        <f ca="1">IF(ROWS($1:52)&gt;COUNT(Dong2),"",OFFSET(TH!F$1,SMALL(Dong2,ROWS($1:52)),))</f>
        <v>Rút sec nhập quỹ tiền mặt</v>
      </c>
      <c r="E63" s="155" t="str">
        <f ca="1">IF(ROWS($1:52)&gt;COUNT(Dong2),"",IF(OFFSET(TH!M$1,SMALL(Dong2,ROWS($1:52)),)=$I$6,OFFSET(TH!L$1,SMALL(Dong2,ROWS($1:52)),),OFFSET(TH!M$1,SMALL(Dong2,ROWS($1:52)),)))</f>
        <v>1111</v>
      </c>
      <c r="F63" s="463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63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9500000</v>
      </c>
      <c r="H63" s="588">
        <f t="shared" ca="1" si="3"/>
        <v>1082665</v>
      </c>
      <c r="I63" s="460"/>
    </row>
    <row r="64" spans="1:9" s="144" customFormat="1" ht="18.75" customHeight="1">
      <c r="A64" s="155">
        <f ca="1">IF(ROWS($1:53)&gt;COUNT(Dong2),"",OFFSET(TH!C$1,SMALL(Dong2,ROWS($1:53)),))</f>
        <v>42403</v>
      </c>
      <c r="B64" s="155" t="str">
        <f ca="1">IF(ROWS($1:53)&gt;COUNT(Dong2),"",OFFSET(TH!D$1,SMALL(Dong2,ROWS($1:53)),))</f>
        <v>GBC</v>
      </c>
      <c r="C64" s="155">
        <f ca="1">IF(ROWS($1:53)&gt;COUNT(Dong2),"",OFFSET(TH!E$1,SMALL(Dong2,ROWS($1:53)),))</f>
        <v>42403</v>
      </c>
      <c r="D64" s="228" t="str">
        <f ca="1">IF(ROWS($1:53)&gt;COUNT(Dong2),"",OFFSET(TH!F$1,SMALL(Dong2,ROWS($1:53)),))</f>
        <v>Thu tiền hàng</v>
      </c>
      <c r="E64" s="155" t="str">
        <f ca="1">IF(ROWS($1:53)&gt;COUNT(Dong2),"",IF(OFFSET(TH!M$1,SMALL(Dong2,ROWS($1:53)),)=$I$6,OFFSET(TH!L$1,SMALL(Dong2,ROWS($1:53)),),OFFSET(TH!M$1,SMALL(Dong2,ROWS($1:53)),)))</f>
        <v>131</v>
      </c>
      <c r="F64" s="463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7315000</v>
      </c>
      <c r="G64" s="463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588">
        <f t="shared" ca="1" si="3"/>
        <v>8397665</v>
      </c>
      <c r="I64" s="460"/>
    </row>
    <row r="65" spans="1:9" s="144" customFormat="1" ht="18.75" customHeight="1">
      <c r="A65" s="155">
        <f ca="1">IF(ROWS($1:54)&gt;COUNT(Dong2),"",OFFSET(TH!C$1,SMALL(Dong2,ROWS($1:54)),))</f>
        <v>42424</v>
      </c>
      <c r="B65" s="155" t="str">
        <f ca="1">IF(ROWS($1:54)&gt;COUNT(Dong2),"",OFFSET(TH!D$1,SMALL(Dong2,ROWS($1:54)),))</f>
        <v>GBC</v>
      </c>
      <c r="C65" s="155">
        <f ca="1">IF(ROWS($1:54)&gt;COUNT(Dong2),"",OFFSET(TH!E$1,SMALL(Dong2,ROWS($1:54)),))</f>
        <v>42424</v>
      </c>
      <c r="D65" s="228" t="str">
        <f ca="1">IF(ROWS($1:54)&gt;COUNT(Dong2),"",OFFSET(TH!F$1,SMALL(Dong2,ROWS($1:54)),))</f>
        <v>Nộp tiền mặt vào tài khoản</v>
      </c>
      <c r="E65" s="155" t="str">
        <f ca="1">IF(ROWS($1:54)&gt;COUNT(Dong2),"",IF(OFFSET(TH!M$1,SMALL(Dong2,ROWS($1:54)),)=$I$6,OFFSET(TH!L$1,SMALL(Dong2,ROWS($1:54)),),OFFSET(TH!M$1,SMALL(Dong2,ROWS($1:54)),)))</f>
        <v>1111</v>
      </c>
      <c r="F65" s="463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25000000</v>
      </c>
      <c r="G65" s="463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588">
        <f t="shared" ca="1" si="3"/>
        <v>33397665</v>
      </c>
      <c r="I65" s="460"/>
    </row>
    <row r="66" spans="1:9" s="144" customFormat="1" ht="18.75" customHeight="1">
      <c r="A66" s="155">
        <f ca="1">IF(ROWS($1:55)&gt;COUNT(Dong2),"",OFFSET(TH!C$1,SMALL(Dong2,ROWS($1:55)),))</f>
        <v>42424</v>
      </c>
      <c r="B66" s="155" t="str">
        <f ca="1">IF(ROWS($1:55)&gt;COUNT(Dong2),"",OFFSET(TH!D$1,SMALL(Dong2,ROWS($1:55)),))</f>
        <v>GBC</v>
      </c>
      <c r="C66" s="155">
        <f ca="1">IF(ROWS($1:55)&gt;COUNT(Dong2),"",OFFSET(TH!E$1,SMALL(Dong2,ROWS($1:55)),))</f>
        <v>42424</v>
      </c>
      <c r="D66" s="228" t="str">
        <f ca="1">IF(ROWS($1:55)&gt;COUNT(Dong2),"",OFFSET(TH!F$1,SMALL(Dong2,ROWS($1:55)),))</f>
        <v>Nộp tiền mặt vào tài khoản</v>
      </c>
      <c r="E66" s="155" t="str">
        <f ca="1">IF(ROWS($1:55)&gt;COUNT(Dong2),"",IF(OFFSET(TH!M$1,SMALL(Dong2,ROWS($1:55)),)=$I$6,OFFSET(TH!L$1,SMALL(Dong2,ROWS($1:55)),),OFFSET(TH!M$1,SMALL(Dong2,ROWS($1:55)),)))</f>
        <v>1111</v>
      </c>
      <c r="F66" s="463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50000</v>
      </c>
      <c r="G66" s="463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88">
        <f t="shared" ca="1" si="3"/>
        <v>33447665</v>
      </c>
      <c r="I66" s="460"/>
    </row>
    <row r="67" spans="1:9" s="144" customFormat="1" ht="18.75" customHeight="1">
      <c r="A67" s="155">
        <f ca="1">IF(ROWS($1:56)&gt;COUNT(Dong2),"",OFFSET(TH!C$1,SMALL(Dong2,ROWS($1:56)),))</f>
        <v>42424</v>
      </c>
      <c r="B67" s="155" t="str">
        <f ca="1">IF(ROWS($1:56)&gt;COUNT(Dong2),"",OFFSET(TH!D$1,SMALL(Dong2,ROWS($1:56)),))</f>
        <v>GBC</v>
      </c>
      <c r="C67" s="155">
        <f ca="1">IF(ROWS($1:56)&gt;COUNT(Dong2),"",OFFSET(TH!E$1,SMALL(Dong2,ROWS($1:56)),))</f>
        <v>42424</v>
      </c>
      <c r="D67" s="228" t="str">
        <f ca="1">IF(ROWS($1:56)&gt;COUNT(Dong2),"",OFFSET(TH!F$1,SMALL(Dong2,ROWS($1:56)),))</f>
        <v>Thu tiền hàng</v>
      </c>
      <c r="E67" s="155" t="str">
        <f ca="1">IF(ROWS($1:56)&gt;COUNT(Dong2),"",IF(OFFSET(TH!M$1,SMALL(Dong2,ROWS($1:56)),)=$I$6,OFFSET(TH!L$1,SMALL(Dong2,ROWS($1:56)),),OFFSET(TH!M$1,SMALL(Dong2,ROWS($1:56)),)))</f>
        <v>131</v>
      </c>
      <c r="F67" s="463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21965374</v>
      </c>
      <c r="G67" s="463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588">
        <f t="shared" ca="1" si="3"/>
        <v>55413039</v>
      </c>
      <c r="I67" s="460"/>
    </row>
    <row r="68" spans="1:9" s="144" customFormat="1" ht="18.75" customHeight="1">
      <c r="A68" s="155">
        <f ca="1">IF(ROWS($1:57)&gt;COUNT(Dong2),"",OFFSET(TH!C$1,SMALL(Dong2,ROWS($1:57)),))</f>
        <v>42425</v>
      </c>
      <c r="B68" s="155" t="str">
        <f ca="1">IF(ROWS($1:57)&gt;COUNT(Dong2),"",OFFSET(TH!D$1,SMALL(Dong2,ROWS($1:57)),))</f>
        <v>GBC</v>
      </c>
      <c r="C68" s="155">
        <f ca="1">IF(ROWS($1:57)&gt;COUNT(Dong2),"",OFFSET(TH!E$1,SMALL(Dong2,ROWS($1:57)),))</f>
        <v>42425</v>
      </c>
      <c r="D68" s="228" t="str">
        <f ca="1">IF(ROWS($1:57)&gt;COUNT(Dong2),"",OFFSET(TH!F$1,SMALL(Dong2,ROWS($1:57)),))</f>
        <v>Nộp tiền mặt vào tài khoản</v>
      </c>
      <c r="E68" s="155" t="str">
        <f ca="1">IF(ROWS($1:57)&gt;COUNT(Dong2),"",IF(OFFSET(TH!M$1,SMALL(Dong2,ROWS($1:57)),)=$I$6,OFFSET(TH!L$1,SMALL(Dong2,ROWS($1:57)),),OFFSET(TH!M$1,SMALL(Dong2,ROWS($1:57)),)))</f>
        <v>1111</v>
      </c>
      <c r="F68" s="463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5100000</v>
      </c>
      <c r="G68" s="463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88">
        <f t="shared" ca="1" si="3"/>
        <v>60513039</v>
      </c>
      <c r="I68" s="460"/>
    </row>
    <row r="69" spans="1:9" s="144" customFormat="1" ht="18.75" customHeight="1">
      <c r="A69" s="155">
        <f ca="1">IF(ROWS($1:58)&gt;COUNT(Dong2),"",OFFSET(TH!C$1,SMALL(Dong2,ROWS($1:58)),))</f>
        <v>42429</v>
      </c>
      <c r="B69" s="155" t="str">
        <f ca="1">IF(ROWS($1:58)&gt;COUNT(Dong2),"",OFFSET(TH!D$1,SMALL(Dong2,ROWS($1:58)),))</f>
        <v>GBC</v>
      </c>
      <c r="C69" s="155">
        <f ca="1">IF(ROWS($1:58)&gt;COUNT(Dong2),"",OFFSET(TH!E$1,SMALL(Dong2,ROWS($1:58)),))</f>
        <v>42429</v>
      </c>
      <c r="D69" s="228" t="str">
        <f ca="1">IF(ROWS($1:58)&gt;COUNT(Dong2),"",OFFSET(TH!F$1,SMALL(Dong2,ROWS($1:58)),))</f>
        <v>Thu tiền hàng</v>
      </c>
      <c r="E69" s="155" t="str">
        <f ca="1">IF(ROWS($1:58)&gt;COUNT(Dong2),"",IF(OFFSET(TH!M$1,SMALL(Dong2,ROWS($1:58)),)=$I$6,OFFSET(TH!L$1,SMALL(Dong2,ROWS($1:58)),),OFFSET(TH!M$1,SMALL(Dong2,ROWS($1:58)),)))</f>
        <v>131</v>
      </c>
      <c r="F69" s="463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8724628</v>
      </c>
      <c r="G69" s="463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88">
        <f t="shared" ca="1" si="3"/>
        <v>69237667</v>
      </c>
      <c r="I69" s="460"/>
    </row>
    <row r="70" spans="1:9" s="144" customFormat="1" ht="18.75" customHeight="1">
      <c r="A70" s="155">
        <f ca="1">IF(ROWS($1:59)&gt;COUNT(Dong2),"",OFFSET(TH!C$1,SMALL(Dong2,ROWS($1:59)),))</f>
        <v>42406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42406</v>
      </c>
      <c r="D70" s="228" t="str">
        <f ca="1">IF(ROWS($1:59)&gt;COUNT(Dong2),"",OFFSET(TH!F$1,SMALL(Dong2,ROWS($1:59)),))</f>
        <v>Rút sec nhập quỹ tiền mặt</v>
      </c>
      <c r="E70" s="155" t="str">
        <f ca="1">IF(ROWS($1:59)&gt;COUNT(Dong2),"",IF(OFFSET(TH!M$1,SMALL(Dong2,ROWS($1:59)),)=$I$6,OFFSET(TH!L$1,SMALL(Dong2,ROWS($1:59)),),OFFSET(TH!M$1,SMALL(Dong2,ROWS($1:59)),)))</f>
        <v>1111</v>
      </c>
      <c r="F70" s="463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63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7300000</v>
      </c>
      <c r="H70" s="588">
        <f t="shared" ca="1" si="3"/>
        <v>61937667</v>
      </c>
      <c r="I70" s="460"/>
    </row>
    <row r="71" spans="1:9" s="144" customFormat="1" ht="18.75" customHeight="1">
      <c r="A71" s="155">
        <f ca="1">IF(ROWS($1:60)&gt;COUNT(Dong2),"",OFFSET(TH!C$1,SMALL(Dong2,ROWS($1:60)),))</f>
        <v>42406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42406</v>
      </c>
      <c r="D71" s="228" t="str">
        <f ca="1">IF(ROWS($1:60)&gt;COUNT(Dong2),"",OFFSET(TH!F$1,SMALL(Dong2,ROWS($1:60)),))</f>
        <v>Phí dịch vụ SMS</v>
      </c>
      <c r="E71" s="155" t="str">
        <f ca="1">IF(ROWS($1:60)&gt;COUNT(Dong2),"",IF(OFFSET(TH!M$1,SMALL(Dong2,ROWS($1:60)),)=$I$6,OFFSET(TH!L$1,SMALL(Dong2,ROWS($1:60)),),OFFSET(TH!M$1,SMALL(Dong2,ROWS($1:60)),)))</f>
        <v>642</v>
      </c>
      <c r="F71" s="463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63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50000</v>
      </c>
      <c r="H71" s="588">
        <f t="shared" ca="1" si="3"/>
        <v>61887667</v>
      </c>
      <c r="I71" s="460"/>
    </row>
    <row r="72" spans="1:9" s="144" customFormat="1" ht="18.75" customHeight="1">
      <c r="A72" s="155">
        <f ca="1">IF(ROWS($1:61)&gt;COUNT(Dong2),"",OFFSET(TH!C$1,SMALL(Dong2,ROWS($1:61)),))</f>
        <v>42406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42406</v>
      </c>
      <c r="D72" s="228" t="str">
        <f ca="1">IF(ROWS($1:61)&gt;COUNT(Dong2),"",OFFSET(TH!F$1,SMALL(Dong2,ROWS($1:61)),))</f>
        <v>VAT Phí dịch vụ SMS</v>
      </c>
      <c r="E72" s="155" t="str">
        <f ca="1">IF(ROWS($1:61)&gt;COUNT(Dong2),"",IF(OFFSET(TH!M$1,SMALL(Dong2,ROWS($1:61)),)=$I$6,OFFSET(TH!L$1,SMALL(Dong2,ROWS($1:61)),),OFFSET(TH!M$1,SMALL(Dong2,ROWS($1:61)),)))</f>
        <v>1331</v>
      </c>
      <c r="F72" s="463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63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5000</v>
      </c>
      <c r="H72" s="588">
        <f t="shared" ca="1" si="3"/>
        <v>61882667</v>
      </c>
      <c r="I72" s="460"/>
    </row>
    <row r="73" spans="1:9" s="144" customFormat="1" ht="18.75" customHeight="1">
      <c r="A73" s="155">
        <f ca="1">IF(ROWS($1:62)&gt;COUNT(Dong2),"",OFFSET(TH!C$1,SMALL(Dong2,ROWS($1:62)),))</f>
        <v>42424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42424</v>
      </c>
      <c r="D73" s="228" t="str">
        <f ca="1">IF(ROWS($1:62)&gt;COUNT(Dong2),"",OFFSET(TH!F$1,SMALL(Dong2,ROWS($1:62)),))</f>
        <v>Rút sec nhập quỹ tiền mặt</v>
      </c>
      <c r="E73" s="155" t="str">
        <f ca="1">IF(ROWS($1:62)&gt;COUNT(Dong2),"",IF(OFFSET(TH!M$1,SMALL(Dong2,ROWS($1:62)),)=$I$6,OFFSET(TH!L$1,SMALL(Dong2,ROWS($1:62)),),OFFSET(TH!M$1,SMALL(Dong2,ROWS($1:62)),)))</f>
        <v>331</v>
      </c>
      <c r="F73" s="463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63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25022000</v>
      </c>
      <c r="H73" s="588">
        <f t="shared" ca="1" si="3"/>
        <v>36860667</v>
      </c>
      <c r="I73" s="460"/>
    </row>
    <row r="74" spans="1:9" s="144" customFormat="1" ht="18.75" customHeight="1">
      <c r="A74" s="155">
        <f ca="1">IF(ROWS($1:63)&gt;COUNT(Dong2),"",OFFSET(TH!C$1,SMALL(Dong2,ROWS($1:63)),))</f>
        <v>42424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42424</v>
      </c>
      <c r="D74" s="228" t="str">
        <f ca="1">IF(ROWS($1:63)&gt;COUNT(Dong2),"",OFFSET(TH!F$1,SMALL(Dong2,ROWS($1:63)),))</f>
        <v>Phí chuyển tiền</v>
      </c>
      <c r="E74" s="155" t="str">
        <f ca="1">IF(ROWS($1:63)&gt;COUNT(Dong2),"",IF(OFFSET(TH!M$1,SMALL(Dong2,ROWS($1:63)),)=$I$6,OFFSET(TH!L$1,SMALL(Dong2,ROWS($1:63)),),OFFSET(TH!M$1,SMALL(Dong2,ROWS($1:63)),)))</f>
        <v>642</v>
      </c>
      <c r="F74" s="463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63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20000</v>
      </c>
      <c r="H74" s="588">
        <f t="shared" ca="1" si="3"/>
        <v>36840667</v>
      </c>
      <c r="I74" s="460"/>
    </row>
    <row r="75" spans="1:9" s="144" customFormat="1" ht="18.75" customHeight="1">
      <c r="A75" s="155">
        <f ca="1">IF(ROWS($1:64)&gt;COUNT(Dong2),"",OFFSET(TH!C$1,SMALL(Dong2,ROWS($1:64)),))</f>
        <v>42424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42424</v>
      </c>
      <c r="D75" s="228" t="str">
        <f ca="1">IF(ROWS($1:64)&gt;COUNT(Dong2),"",OFFSET(TH!F$1,SMALL(Dong2,ROWS($1:64)),))</f>
        <v>VAT Phí chuyển tiền</v>
      </c>
      <c r="E75" s="155" t="str">
        <f ca="1">IF(ROWS($1:64)&gt;COUNT(Dong2),"",IF(OFFSET(TH!M$1,SMALL(Dong2,ROWS($1:64)),)=$I$6,OFFSET(TH!L$1,SMALL(Dong2,ROWS($1:64)),),OFFSET(TH!M$1,SMALL(Dong2,ROWS($1:64)),)))</f>
        <v>1331</v>
      </c>
      <c r="F75" s="463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63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</v>
      </c>
      <c r="H75" s="588">
        <f t="shared" ca="1" si="3"/>
        <v>36838667</v>
      </c>
      <c r="I75" s="460"/>
    </row>
    <row r="76" spans="1:9" s="144" customFormat="1" ht="18.75" customHeight="1">
      <c r="A76" s="155">
        <f ca="1">IF(ROWS($1:65)&gt;COUNT(Dong2),"",OFFSET(TH!C$1,SMALL(Dong2,ROWS($1:65)),))</f>
        <v>42425</v>
      </c>
      <c r="B76" s="155" t="str">
        <f ca="1">IF(ROWS($1:65)&gt;COUNT(Dong2),"",OFFSET(TH!D$1,SMALL(Dong2,ROWS($1:65)),))</f>
        <v>GBN</v>
      </c>
      <c r="C76" s="155">
        <f ca="1">IF(ROWS($1:65)&gt;COUNT(Dong2),"",OFFSET(TH!E$1,SMALL(Dong2,ROWS($1:65)),))</f>
        <v>42425</v>
      </c>
      <c r="D76" s="228" t="str">
        <f ca="1">IF(ROWS($1:65)&gt;COUNT(Dong2),"",OFFSET(TH!F$1,SMALL(Dong2,ROWS($1:65)),))</f>
        <v>Phí quản lý tài khoản</v>
      </c>
      <c r="E76" s="155" t="str">
        <f ca="1">IF(ROWS($1:65)&gt;COUNT(Dong2),"",IF(OFFSET(TH!M$1,SMALL(Dong2,ROWS($1:65)),)=$I$6,OFFSET(TH!L$1,SMALL(Dong2,ROWS($1:65)),),OFFSET(TH!M$1,SMALL(Dong2,ROWS($1:65)),)))</f>
        <v>642</v>
      </c>
      <c r="F76" s="463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63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10000</v>
      </c>
      <c r="H76" s="588">
        <f t="shared" ca="1" si="3"/>
        <v>36828667</v>
      </c>
      <c r="I76" s="460"/>
    </row>
    <row r="77" spans="1:9" s="144" customFormat="1" ht="18.75" customHeight="1">
      <c r="A77" s="155">
        <f ca="1">IF(ROWS($1:66)&gt;COUNT(Dong2),"",OFFSET(TH!C$1,SMALL(Dong2,ROWS($1:66)),))</f>
        <v>42425</v>
      </c>
      <c r="B77" s="155" t="str">
        <f ca="1">IF(ROWS($1:66)&gt;COUNT(Dong2),"",OFFSET(TH!D$1,SMALL(Dong2,ROWS($1:66)),))</f>
        <v>GBN</v>
      </c>
      <c r="C77" s="155">
        <f ca="1">IF(ROWS($1:66)&gt;COUNT(Dong2),"",OFFSET(TH!E$1,SMALL(Dong2,ROWS($1:66)),))</f>
        <v>42425</v>
      </c>
      <c r="D77" s="228" t="str">
        <f ca="1">IF(ROWS($1:66)&gt;COUNT(Dong2),"",OFFSET(TH!F$1,SMALL(Dong2,ROWS($1:66)),))</f>
        <v>VAT Phí quản lý tài khoản</v>
      </c>
      <c r="E77" s="155" t="str">
        <f ca="1">IF(ROWS($1:66)&gt;COUNT(Dong2),"",IF(OFFSET(TH!M$1,SMALL(Dong2,ROWS($1:66)),)=$I$6,OFFSET(TH!L$1,SMALL(Dong2,ROWS($1:66)),),OFFSET(TH!M$1,SMALL(Dong2,ROWS($1:66)),)))</f>
        <v>1331</v>
      </c>
      <c r="F77" s="463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63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1000</v>
      </c>
      <c r="H77" s="588">
        <f t="shared" ca="1" si="3"/>
        <v>36827667</v>
      </c>
      <c r="I77" s="460"/>
    </row>
    <row r="78" spans="1:9" s="144" customFormat="1" ht="18.75" customHeight="1">
      <c r="A78" s="155">
        <f ca="1">IF(ROWS($1:67)&gt;COUNT(Dong2),"",OFFSET(TH!C$1,SMALL(Dong2,ROWS($1:67)),))</f>
        <v>42425</v>
      </c>
      <c r="B78" s="155" t="str">
        <f ca="1">IF(ROWS($1:67)&gt;COUNT(Dong2),"",OFFSET(TH!D$1,SMALL(Dong2,ROWS($1:67)),))</f>
        <v>GBN</v>
      </c>
      <c r="C78" s="155">
        <f ca="1">IF(ROWS($1:67)&gt;COUNT(Dong2),"",OFFSET(TH!E$1,SMALL(Dong2,ROWS($1:67)),))</f>
        <v>42425</v>
      </c>
      <c r="D78" s="228" t="str">
        <f ca="1">IF(ROWS($1:67)&gt;COUNT(Dong2),"",OFFSET(TH!F$1,SMALL(Dong2,ROWS($1:67)),))</f>
        <v>Rút sec nhập quỹ tiền mặt</v>
      </c>
      <c r="E78" s="155" t="str">
        <f ca="1">IF(ROWS($1:67)&gt;COUNT(Dong2),"",IF(OFFSET(TH!M$1,SMALL(Dong2,ROWS($1:67)),)=$I$6,OFFSET(TH!L$1,SMALL(Dong2,ROWS($1:67)),),OFFSET(TH!M$1,SMALL(Dong2,ROWS($1:67)),)))</f>
        <v>1111</v>
      </c>
      <c r="F78" s="463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63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6900000</v>
      </c>
      <c r="H78" s="588">
        <f t="shared" ca="1" si="3"/>
        <v>29927667</v>
      </c>
      <c r="I78" s="460"/>
    </row>
    <row r="79" spans="1:9" s="144" customFormat="1" ht="18.75" customHeight="1">
      <c r="A79" s="155">
        <f ca="1">IF(ROWS($1:68)&gt;COUNT(Dong2),"",OFFSET(TH!C$1,SMALL(Dong2,ROWS($1:68)),))</f>
        <v>42425</v>
      </c>
      <c r="B79" s="155" t="str">
        <f ca="1">IF(ROWS($1:68)&gt;COUNT(Dong2),"",OFFSET(TH!D$1,SMALL(Dong2,ROWS($1:68)),))</f>
        <v>GBN</v>
      </c>
      <c r="C79" s="155">
        <f ca="1">IF(ROWS($1:68)&gt;COUNT(Dong2),"",OFFSET(TH!E$1,SMALL(Dong2,ROWS($1:68)),))</f>
        <v>42425</v>
      </c>
      <c r="D79" s="228" t="str">
        <f ca="1">IF(ROWS($1:68)&gt;COUNT(Dong2),"",OFFSET(TH!F$1,SMALL(Dong2,ROWS($1:68)),))</f>
        <v>Rút sec nhập quỹ tiền mặt</v>
      </c>
      <c r="E79" s="155" t="str">
        <f ca="1">IF(ROWS($1:68)&gt;COUNT(Dong2),"",IF(OFFSET(TH!M$1,SMALL(Dong2,ROWS($1:68)),)=$I$6,OFFSET(TH!L$1,SMALL(Dong2,ROWS($1:68)),),OFFSET(TH!M$1,SMALL(Dong2,ROWS($1:68)),)))</f>
        <v>331</v>
      </c>
      <c r="F79" s="463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63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20022000</v>
      </c>
      <c r="H79" s="588">
        <f t="shared" ca="1" si="3"/>
        <v>9905667</v>
      </c>
      <c r="I79" s="460"/>
    </row>
    <row r="80" spans="1:9" s="144" customFormat="1" ht="18.75" customHeight="1">
      <c r="A80" s="155">
        <f ca="1">IF(ROWS($1:69)&gt;COUNT(Dong2),"",OFFSET(TH!C$1,SMALL(Dong2,ROWS($1:69)),))</f>
        <v>42429</v>
      </c>
      <c r="B80" s="155" t="str">
        <f ca="1">IF(ROWS($1:69)&gt;COUNT(Dong2),"",OFFSET(TH!D$1,SMALL(Dong2,ROWS($1:69)),))</f>
        <v>GBN</v>
      </c>
      <c r="C80" s="155">
        <f ca="1">IF(ROWS($1:69)&gt;COUNT(Dong2),"",OFFSET(TH!E$1,SMALL(Dong2,ROWS($1:69)),))</f>
        <v>42429</v>
      </c>
      <c r="D80" s="228" t="str">
        <f ca="1">IF(ROWS($1:69)&gt;COUNT(Dong2),"",OFFSET(TH!F$1,SMALL(Dong2,ROWS($1:69)),))</f>
        <v>Rút sec nhập quỹ tiền mặt</v>
      </c>
      <c r="E80" s="155" t="str">
        <f ca="1">IF(ROWS($1:69)&gt;COUNT(Dong2),"",IF(OFFSET(TH!M$1,SMALL(Dong2,ROWS($1:69)),)=$I$6,OFFSET(TH!L$1,SMALL(Dong2,ROWS($1:69)),),OFFSET(TH!M$1,SMALL(Dong2,ROWS($1:69)),)))</f>
        <v>1111</v>
      </c>
      <c r="F80" s="463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63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8800000</v>
      </c>
      <c r="H80" s="588">
        <f t="shared" ca="1" si="3"/>
        <v>1105667</v>
      </c>
      <c r="I80" s="460"/>
    </row>
    <row r="81" spans="1:20" s="144" customFormat="1" ht="18.75" customHeight="1">
      <c r="A81" s="155">
        <f ca="1">IF(ROWS($1:70)&gt;COUNT(Dong2),"",OFFSET(TH!C$1,SMALL(Dong2,ROWS($1:70)),))</f>
        <v>42430</v>
      </c>
      <c r="B81" s="155" t="str">
        <f ca="1">IF(ROWS($1:70)&gt;COUNT(Dong2),"",OFFSET(TH!D$1,SMALL(Dong2,ROWS($1:70)),))</f>
        <v>GBC</v>
      </c>
      <c r="C81" s="155">
        <f ca="1">IF(ROWS($1:70)&gt;COUNT(Dong2),"",OFFSET(TH!E$1,SMALL(Dong2,ROWS($1:70)),))</f>
        <v>42430</v>
      </c>
      <c r="D81" s="228" t="str">
        <f ca="1">IF(ROWS($1:70)&gt;COUNT(Dong2),"",OFFSET(TH!F$1,SMALL(Dong2,ROWS($1:70)),))</f>
        <v>Thu tiền hàng</v>
      </c>
      <c r="E81" s="155" t="str">
        <f ca="1">IF(ROWS($1:70)&gt;COUNT(Dong2),"",IF(OFFSET(TH!M$1,SMALL(Dong2,ROWS($1:70)),)=$I$6,OFFSET(TH!L$1,SMALL(Dong2,ROWS($1:70)),),OFFSET(TH!M$1,SMALL(Dong2,ROWS($1:70)),)))</f>
        <v>131</v>
      </c>
      <c r="F81" s="463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9570000</v>
      </c>
      <c r="G81" s="463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588">
        <f t="shared" ca="1" si="3"/>
        <v>10675667</v>
      </c>
      <c r="I81" s="460"/>
    </row>
    <row r="82" spans="1:20" s="144" customFormat="1" ht="18.75" customHeight="1">
      <c r="A82" s="155">
        <f ca="1">IF(ROWS($1:71)&gt;COUNT(Dong2),"",OFFSET(TH!C$1,SMALL(Dong2,ROWS($1:71)),))</f>
        <v>42433</v>
      </c>
      <c r="B82" s="155" t="str">
        <f ca="1">IF(ROWS($1:71)&gt;COUNT(Dong2),"",OFFSET(TH!D$1,SMALL(Dong2,ROWS($1:71)),))</f>
        <v>GBC</v>
      </c>
      <c r="C82" s="155">
        <f ca="1">IF(ROWS($1:71)&gt;COUNT(Dong2),"",OFFSET(TH!E$1,SMALL(Dong2,ROWS($1:71)),))</f>
        <v>42433</v>
      </c>
      <c r="D82" s="228" t="str">
        <f ca="1">IF(ROWS($1:71)&gt;COUNT(Dong2),"",OFFSET(TH!F$1,SMALL(Dong2,ROWS($1:71)),))</f>
        <v>Nộp tiền mặt vào tài khoản</v>
      </c>
      <c r="E82" s="155" t="str">
        <f ca="1">IF(ROWS($1:71)&gt;COUNT(Dong2),"",IF(OFFSET(TH!M$1,SMALL(Dong2,ROWS($1:71)),)=$I$6,OFFSET(TH!L$1,SMALL(Dong2,ROWS($1:71)),),OFFSET(TH!M$1,SMALL(Dong2,ROWS($1:71)),)))</f>
        <v>1111</v>
      </c>
      <c r="F82" s="463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23500000</v>
      </c>
      <c r="G82" s="463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88">
        <f t="shared" ca="1" si="3"/>
        <v>34175667</v>
      </c>
      <c r="I82" s="460"/>
    </row>
    <row r="83" spans="1:20" s="144" customFormat="1" ht="18.75" customHeight="1">
      <c r="A83" s="155">
        <f ca="1">IF(ROWS($1:72)&gt;COUNT(Dong2),"",OFFSET(TH!C$1,SMALL(Dong2,ROWS($1:72)),))</f>
        <v>42439</v>
      </c>
      <c r="B83" s="155" t="str">
        <f ca="1">IF(ROWS($1:72)&gt;COUNT(Dong2),"",OFFSET(TH!D$1,SMALL(Dong2,ROWS($1:72)),))</f>
        <v>GBC</v>
      </c>
      <c r="C83" s="155">
        <f ca="1">IF(ROWS($1:72)&gt;COUNT(Dong2),"",OFFSET(TH!E$1,SMALL(Dong2,ROWS($1:72)),))</f>
        <v>42439</v>
      </c>
      <c r="D83" s="228" t="str">
        <f ca="1">IF(ROWS($1:72)&gt;COUNT(Dong2),"",OFFSET(TH!F$1,SMALL(Dong2,ROWS($1:72)),))</f>
        <v>Nộp tiền mặt vào tài khoản</v>
      </c>
      <c r="E83" s="155" t="str">
        <f ca="1">IF(ROWS($1:72)&gt;COUNT(Dong2),"",IF(OFFSET(TH!M$1,SMALL(Dong2,ROWS($1:72)),)=$I$6,OFFSET(TH!L$1,SMALL(Dong2,ROWS($1:72)),),OFFSET(TH!M$1,SMALL(Dong2,ROWS($1:72)),)))</f>
        <v>1111</v>
      </c>
      <c r="F83" s="463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40000000</v>
      </c>
      <c r="G83" s="463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588">
        <f t="shared" ca="1" si="3"/>
        <v>74175667</v>
      </c>
      <c r="I83" s="460"/>
    </row>
    <row r="84" spans="1:20" s="144" customFormat="1" ht="18.75" customHeight="1">
      <c r="A84" s="155">
        <f ca="1">IF(ROWS($1:73)&gt;COUNT(Dong2),"",OFFSET(TH!C$1,SMALL(Dong2,ROWS($1:73)),))</f>
        <v>42450</v>
      </c>
      <c r="B84" s="155" t="str">
        <f ca="1">IF(ROWS($1:73)&gt;COUNT(Dong2),"",OFFSET(TH!D$1,SMALL(Dong2,ROWS($1:73)),))</f>
        <v>GBC</v>
      </c>
      <c r="C84" s="155">
        <f ca="1">IF(ROWS($1:73)&gt;COUNT(Dong2),"",OFFSET(TH!E$1,SMALL(Dong2,ROWS($1:73)),))</f>
        <v>42450</v>
      </c>
      <c r="D84" s="228" t="str">
        <f ca="1">IF(ROWS($1:73)&gt;COUNT(Dong2),"",OFFSET(TH!F$1,SMALL(Dong2,ROWS($1:73)),))</f>
        <v>Thu tiền hàng</v>
      </c>
      <c r="E84" s="155" t="str">
        <f ca="1">IF(ROWS($1:73)&gt;COUNT(Dong2),"",IF(OFFSET(TH!M$1,SMALL(Dong2,ROWS($1:73)),)=$I$6,OFFSET(TH!L$1,SMALL(Dong2,ROWS($1:73)),),OFFSET(TH!M$1,SMALL(Dong2,ROWS($1:73)),)))</f>
        <v>131</v>
      </c>
      <c r="F84" s="463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38801382</v>
      </c>
      <c r="G84" s="463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588">
        <f t="shared" ca="1" si="3"/>
        <v>112977049</v>
      </c>
      <c r="I84" s="460"/>
    </row>
    <row r="85" spans="1:20" s="144" customFormat="1" ht="18.75" customHeight="1">
      <c r="A85" s="155">
        <f ca="1">IF(ROWS($1:74)&gt;COUNT(Dong2),"",OFFSET(TH!C$1,SMALL(Dong2,ROWS($1:74)),))</f>
        <v>42451</v>
      </c>
      <c r="B85" s="155" t="str">
        <f ca="1">IF(ROWS($1:74)&gt;COUNT(Dong2),"",OFFSET(TH!D$1,SMALL(Dong2,ROWS($1:74)),))</f>
        <v>GBC</v>
      </c>
      <c r="C85" s="155">
        <f ca="1">IF(ROWS($1:74)&gt;COUNT(Dong2),"",OFFSET(TH!E$1,SMALL(Dong2,ROWS($1:74)),))</f>
        <v>42451</v>
      </c>
      <c r="D85" s="228" t="str">
        <f ca="1">IF(ROWS($1:74)&gt;COUNT(Dong2),"",OFFSET(TH!F$1,SMALL(Dong2,ROWS($1:74)),))</f>
        <v>Thu tiền hàng</v>
      </c>
      <c r="E85" s="155" t="str">
        <f ca="1">IF(ROWS($1:74)&gt;COUNT(Dong2),"",IF(OFFSET(TH!M$1,SMALL(Dong2,ROWS($1:74)),)=$I$6,OFFSET(TH!L$1,SMALL(Dong2,ROWS($1:74)),),OFFSET(TH!M$1,SMALL(Dong2,ROWS($1:74)),)))</f>
        <v>131</v>
      </c>
      <c r="F85" s="463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163977000</v>
      </c>
      <c r="G85" s="463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0</v>
      </c>
      <c r="H85" s="588">
        <f t="shared" ca="1" si="3"/>
        <v>276954049</v>
      </c>
      <c r="I85" s="460"/>
    </row>
    <row r="86" spans="1:20" s="144" customFormat="1" ht="18.75" customHeight="1">
      <c r="A86" s="155">
        <f ca="1">IF(ROWS($1:75)&gt;COUNT(Dong2),"",OFFSET(TH!C$1,SMALL(Dong2,ROWS($1:75)),))</f>
        <v>42453</v>
      </c>
      <c r="B86" s="155" t="str">
        <f ca="1">IF(ROWS($1:75)&gt;COUNT(Dong2),"",OFFSET(TH!D$1,SMALL(Dong2,ROWS($1:75)),))</f>
        <v>GBC</v>
      </c>
      <c r="C86" s="155">
        <f ca="1">IF(ROWS($1:75)&gt;COUNT(Dong2),"",OFFSET(TH!E$1,SMALL(Dong2,ROWS($1:75)),))</f>
        <v>42453</v>
      </c>
      <c r="D86" s="228" t="str">
        <f ca="1">IF(ROWS($1:75)&gt;COUNT(Dong2),"",OFFSET(TH!F$1,SMALL(Dong2,ROWS($1:75)),))</f>
        <v>Thu tiền hàng</v>
      </c>
      <c r="E86" s="155" t="str">
        <f ca="1">IF(ROWS($1:75)&gt;COUNT(Dong2),"",IF(OFFSET(TH!M$1,SMALL(Dong2,ROWS($1:75)),)=$I$6,OFFSET(TH!L$1,SMALL(Dong2,ROWS($1:75)),),OFFSET(TH!M$1,SMALL(Dong2,ROWS($1:75)),)))</f>
        <v>131</v>
      </c>
      <c r="F86" s="463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20000000</v>
      </c>
      <c r="G86" s="463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0</v>
      </c>
      <c r="H86" s="588">
        <f t="shared" ca="1" si="3"/>
        <v>296954049</v>
      </c>
      <c r="I86" s="460"/>
    </row>
    <row r="87" spans="1:20" s="144" customFormat="1" ht="18.75" customHeight="1">
      <c r="A87" s="155">
        <f ca="1">IF(ROWS($1:76)&gt;COUNT(Dong2),"",OFFSET(TH!C$1,SMALL(Dong2,ROWS($1:76)),))</f>
        <v>42458</v>
      </c>
      <c r="B87" s="155" t="str">
        <f ca="1">IF(ROWS($1:76)&gt;COUNT(Dong2),"",OFFSET(TH!D$1,SMALL(Dong2,ROWS($1:76)),))</f>
        <v>GBC</v>
      </c>
      <c r="C87" s="155">
        <f ca="1">IF(ROWS($1:76)&gt;COUNT(Dong2),"",OFFSET(TH!E$1,SMALL(Dong2,ROWS($1:76)),))</f>
        <v>42458</v>
      </c>
      <c r="D87" s="228" t="str">
        <f ca="1">IF(ROWS($1:76)&gt;COUNT(Dong2),"",OFFSET(TH!F$1,SMALL(Dong2,ROWS($1:76)),))</f>
        <v>Nộp tiền mặt vào tài khoản</v>
      </c>
      <c r="E87" s="155" t="str">
        <f ca="1">IF(ROWS($1:76)&gt;COUNT(Dong2),"",IF(OFFSET(TH!M$1,SMALL(Dong2,ROWS($1:76)),)=$I$6,OFFSET(TH!L$1,SMALL(Dong2,ROWS($1:76)),),OFFSET(TH!M$1,SMALL(Dong2,ROWS($1:76)),)))</f>
        <v>1111</v>
      </c>
      <c r="F87" s="463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20000000</v>
      </c>
      <c r="G87" s="463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0</v>
      </c>
      <c r="H87" s="588">
        <f t="shared" ref="H87:H90" ca="1" si="4">IF(A87&lt;&gt;"",H86+F87-G87,0)</f>
        <v>316954049</v>
      </c>
      <c r="I87" s="460"/>
    </row>
    <row r="88" spans="1:20" s="144" customFormat="1" ht="18.75" customHeight="1">
      <c r="A88" s="155">
        <f ca="1">IF(ROWS($1:77)&gt;COUNT(Dong2),"",OFFSET(TH!C$1,SMALL(Dong2,ROWS($1:77)),))</f>
        <v>42430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42430</v>
      </c>
      <c r="D88" s="228" t="str">
        <f ca="1">IF(ROWS($1:77)&gt;COUNT(Dong2),"",OFFSET(TH!F$1,SMALL(Dong2,ROWS($1:77)),))</f>
        <v>Rút sec nhập quỹ tiền mặt</v>
      </c>
      <c r="E88" s="155" t="str">
        <f ca="1">IF(ROWS($1:77)&gt;COUNT(Dong2),"",IF(OFFSET(TH!M$1,SMALL(Dong2,ROWS($1:77)),)=$I$6,OFFSET(TH!L$1,SMALL(Dong2,ROWS($1:77)),),OFFSET(TH!M$1,SMALL(Dong2,ROWS($1:77)),)))</f>
        <v>1111</v>
      </c>
      <c r="F88" s="463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63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9600000</v>
      </c>
      <c r="H88" s="588">
        <f t="shared" ca="1" si="4"/>
        <v>307354049</v>
      </c>
      <c r="I88" s="460"/>
    </row>
    <row r="89" spans="1:20" s="144" customFormat="1" ht="18.75" customHeight="1">
      <c r="A89" s="155">
        <f ca="1">IF(ROWS($1:78)&gt;COUNT(Dong2),"",OFFSET(TH!C$1,SMALL(Dong2,ROWS($1:78)),))</f>
        <v>42433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42433</v>
      </c>
      <c r="D89" s="228" t="str">
        <f ca="1">IF(ROWS($1:78)&gt;COUNT(Dong2),"",OFFSET(TH!F$1,SMALL(Dong2,ROWS($1:78)),))</f>
        <v>Thanh toán tiền hàng</v>
      </c>
      <c r="E89" s="155" t="str">
        <f ca="1">IF(ROWS($1:78)&gt;COUNT(Dong2),"",IF(OFFSET(TH!M$1,SMALL(Dong2,ROWS($1:78)),)=$I$6,OFFSET(TH!L$1,SMALL(Dong2,ROWS($1:78)),),OFFSET(TH!M$1,SMALL(Dong2,ROWS($1:78)),)))</f>
        <v>331</v>
      </c>
      <c r="F89" s="463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63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23522000</v>
      </c>
      <c r="H89" s="588">
        <f t="shared" ca="1" si="4"/>
        <v>283832049</v>
      </c>
      <c r="I89" s="460"/>
    </row>
    <row r="90" spans="1:20" s="144" customFormat="1" ht="18.75" customHeight="1">
      <c r="A90" s="155">
        <f ca="1">IF(ROWS($1:79)&gt;COUNT(Dong2),"",OFFSET(TH!C$1,SMALL(Dong2,ROWS($1:79)),))</f>
        <v>42433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42433</v>
      </c>
      <c r="D90" s="228" t="str">
        <f ca="1">IF(ROWS($1:79)&gt;COUNT(Dong2),"",OFFSET(TH!F$1,SMALL(Dong2,ROWS($1:79)),))</f>
        <v>Phí chuyển tiền</v>
      </c>
      <c r="E90" s="155" t="str">
        <f ca="1">IF(ROWS($1:79)&gt;COUNT(Dong2),"",IF(OFFSET(TH!M$1,SMALL(Dong2,ROWS($1:79)),)=$I$6,OFFSET(TH!L$1,SMALL(Dong2,ROWS($1:79)),),OFFSET(TH!M$1,SMALL(Dong2,ROWS($1:79)),)))</f>
        <v>642</v>
      </c>
      <c r="F90" s="463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63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20000</v>
      </c>
      <c r="H90" s="588">
        <f t="shared" ca="1" si="4"/>
        <v>283812049</v>
      </c>
      <c r="I90" s="460"/>
    </row>
    <row r="91" spans="1:20" s="144" customFormat="1" ht="18.75" customHeight="1">
      <c r="A91" s="155"/>
      <c r="B91" s="155"/>
      <c r="C91" s="155"/>
      <c r="D91" s="228"/>
      <c r="E91" s="155"/>
      <c r="F91" s="463"/>
      <c r="G91" s="463"/>
      <c r="H91" s="588"/>
      <c r="I91" s="460"/>
      <c r="Q91" s="154"/>
      <c r="R91" s="154"/>
      <c r="S91" s="154"/>
      <c r="T91" s="154"/>
    </row>
    <row r="92" spans="1:20" s="154" customFormat="1" ht="18.75" customHeight="1">
      <c r="A92" s="156"/>
      <c r="B92" s="157"/>
      <c r="C92" s="156"/>
      <c r="D92" s="153" t="s">
        <v>133</v>
      </c>
      <c r="E92" s="158"/>
      <c r="F92" s="462">
        <f ca="1">SUM(F12:F91)</f>
        <v>1601474708</v>
      </c>
      <c r="G92" s="462">
        <f ca="1">SUM(G12:G91)</f>
        <v>1318750383</v>
      </c>
      <c r="H92" s="462">
        <f ca="1">H11+F92-G92</f>
        <v>283812049</v>
      </c>
      <c r="I92" s="461"/>
    </row>
    <row r="93" spans="1:20" s="154" customFormat="1" ht="18.75" customHeight="1">
      <c r="A93" s="156"/>
      <c r="B93" s="157"/>
      <c r="C93" s="156"/>
      <c r="D93" s="153" t="s">
        <v>10</v>
      </c>
      <c r="E93" s="158"/>
      <c r="F93" s="159"/>
      <c r="G93" s="159"/>
      <c r="H93" s="462">
        <f ca="1">H92</f>
        <v>283812049</v>
      </c>
      <c r="I93" s="158"/>
    </row>
    <row r="94" spans="1:20" s="154" customFormat="1" ht="22.5" customHeight="1">
      <c r="A94" s="245" t="s">
        <v>155</v>
      </c>
      <c r="B94" s="160"/>
      <c r="F94" s="161"/>
      <c r="H94" s="582"/>
      <c r="I94" s="162"/>
    </row>
    <row r="95" spans="1:20" s="154" customFormat="1" ht="12.75">
      <c r="A95" s="179" t="str">
        <f ca="1">"- Ngày mở sổ: "&amp;DAY($A$12)&amp;"/"&amp;MONTH($A$12)&amp;"/ " &amp;YEAR($A$12)</f>
        <v>- Ngày mở sổ: 11/1/ 2016</v>
      </c>
      <c r="B95" s="163"/>
      <c r="F95" s="161"/>
      <c r="H95" s="582"/>
      <c r="I95" s="162"/>
    </row>
    <row r="96" spans="1:20" s="154" customFormat="1" ht="12.75">
      <c r="A96" s="164"/>
      <c r="B96" s="165"/>
      <c r="C96" s="166"/>
      <c r="F96" s="161"/>
      <c r="G96" s="189" t="str">
        <f ca="1">"Ngày "&amp;IF(OR($K$9=4,$K$9=6,$K$9=9,$K$9=11),"30",IF($K$9=2,"28","31"))&amp;"  tháng  "&amp;$O$8&amp;"  năm   "&amp;YEAR($A$12)</f>
        <v>Ngày 31  tháng  3  năm   2016</v>
      </c>
      <c r="H96" s="582"/>
    </row>
    <row r="97" spans="2:20" s="154" customFormat="1" ht="17.25" customHeight="1">
      <c r="B97" s="167" t="s">
        <v>11</v>
      </c>
      <c r="D97" s="167" t="s">
        <v>12</v>
      </c>
      <c r="F97" s="168"/>
      <c r="G97" s="210" t="s">
        <v>109</v>
      </c>
      <c r="H97" s="583"/>
      <c r="I97" s="229"/>
      <c r="J97" s="169"/>
      <c r="K97" s="164"/>
      <c r="L97" s="164"/>
    </row>
    <row r="98" spans="2:20" s="154" customFormat="1">
      <c r="B98" s="211" t="s">
        <v>13</v>
      </c>
      <c r="D98" s="170" t="s">
        <v>13</v>
      </c>
      <c r="F98" s="171"/>
      <c r="G98" s="212" t="s">
        <v>136</v>
      </c>
      <c r="H98" s="582"/>
      <c r="K98" s="172"/>
      <c r="L98" s="172"/>
      <c r="Q98" s="173"/>
      <c r="R98" s="173"/>
      <c r="S98" s="173"/>
      <c r="T98" s="173"/>
    </row>
  </sheetData>
  <autoFilter ref="A10:K95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6"/>
  <sheetViews>
    <sheetView showZeros="0" topLeftCell="A3" workbookViewId="0">
      <pane ySplit="3" topLeftCell="A9" activePane="bottomLeft" state="frozen"/>
      <selection activeCell="A3" sqref="A3"/>
      <selection pane="bottomLeft" activeCell="B9" sqref="B9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12" t="str">
        <f>TH!$A$1</f>
        <v>Đơn vị: CÔNG TY TNHH MỘT THÀNH VIÊN KHỞI NGUYÊN AN</v>
      </c>
    </row>
    <row r="2" spans="1:9">
      <c r="A2" s="813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18" t="s">
        <v>321</v>
      </c>
      <c r="B3" s="1018"/>
      <c r="C3" s="1018"/>
      <c r="D3" s="1018"/>
      <c r="E3" s="1018"/>
      <c r="F3" s="1018"/>
      <c r="G3" s="1018"/>
      <c r="H3" s="1018"/>
    </row>
    <row r="4" spans="1:9" s="10" customFormat="1" ht="14.25" customHeight="1">
      <c r="A4" s="1019" t="s">
        <v>35</v>
      </c>
      <c r="B4" s="1021" t="s">
        <v>36</v>
      </c>
      <c r="C4" s="1023" t="s">
        <v>37</v>
      </c>
      <c r="D4" s="1024"/>
      <c r="E4" s="1023" t="s">
        <v>38</v>
      </c>
      <c r="F4" s="1024"/>
      <c r="G4" s="1023" t="s">
        <v>41</v>
      </c>
      <c r="H4" s="1024"/>
    </row>
    <row r="5" spans="1:9" s="10" customFormat="1" ht="14.25" customHeight="1">
      <c r="A5" s="1020"/>
      <c r="B5" s="1022"/>
      <c r="C5" s="594" t="s">
        <v>42</v>
      </c>
      <c r="D5" s="594" t="s">
        <v>43</v>
      </c>
      <c r="E5" s="594" t="s">
        <v>42</v>
      </c>
      <c r="F5" s="594" t="s">
        <v>43</v>
      </c>
      <c r="G5" s="594" t="s">
        <v>42</v>
      </c>
      <c r="H5" s="594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739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26" si="1">ROUND(MAX(C6+E6-D6-F6,0),2)</f>
        <v>1804000</v>
      </c>
      <c r="H6" s="55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633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630</v>
      </c>
      <c r="C8" s="8"/>
      <c r="D8" s="8"/>
      <c r="E8" s="8">
        <f t="array" ref="E8">SUM(IF("131"&amp;B8=KHN&amp;KH,TH))</f>
        <v>93948186</v>
      </c>
      <c r="F8" s="8">
        <f t="array" ref="F8">SUM(IF("131"&amp;B8=KHC&amp;KH,TH))</f>
        <v>17182000</v>
      </c>
      <c r="G8" s="55">
        <f t="shared" si="1"/>
        <v>76766186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764" t="s">
        <v>639</v>
      </c>
      <c r="C9" s="8"/>
      <c r="D9" s="8"/>
      <c r="E9" s="8">
        <f t="array" ref="E9">SUM(IF("131"&amp;B9=KHN&amp;KH,TH))</f>
        <v>14927770</v>
      </c>
      <c r="F9" s="8">
        <f t="array" ref="F9">SUM(IF("131"&amp;B9=KHC&amp;KH,TH))</f>
        <v>2649900</v>
      </c>
      <c r="G9" s="55">
        <f t="shared" si="1"/>
        <v>12277870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7" t="s">
        <v>743</v>
      </c>
      <c r="C10" s="8"/>
      <c r="D10" s="8"/>
      <c r="E10" s="8">
        <f t="array" ref="E10">SUM(IF("131"&amp;B10=KHN&amp;KH,TH))</f>
        <v>57145759</v>
      </c>
      <c r="F10" s="8">
        <f t="array" ref="F10">SUM(IF("131"&amp;B10=KHC&amp;KH,TH))</f>
        <v>0</v>
      </c>
      <c r="G10" s="55">
        <f t="shared" si="1"/>
        <v>57145759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192" t="s">
        <v>651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5">
        <f t="shared" si="1"/>
        <v>6693500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7" t="s">
        <v>800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758">
        <f t="shared" si="1"/>
        <v>1540000</v>
      </c>
      <c r="H12" s="758">
        <f t="shared" si="2"/>
        <v>0</v>
      </c>
      <c r="I12" s="10" t="str">
        <f>IF(ISNA(VLOOKUP(B12,'[5]131'!$B$4:$B$26,1,0)),"","x")</f>
        <v/>
      </c>
    </row>
    <row r="13" spans="1:9" s="10" customFormat="1" ht="16.5" customHeight="1">
      <c r="A13" s="6">
        <f t="shared" si="0"/>
        <v>8</v>
      </c>
      <c r="B13" s="192" t="s">
        <v>678</v>
      </c>
      <c r="C13" s="8">
        <v>90264697</v>
      </c>
      <c r="D13" s="8"/>
      <c r="E13" s="8">
        <f t="array" ref="E13">SUM(IF("131"&amp;B13=KHN&amp;KH,TH))</f>
        <v>850847930.5</v>
      </c>
      <c r="F13" s="8">
        <f t="array" ref="F13">SUM(IF("131"&amp;B13=KHC&amp;KH,TH))</f>
        <v>782230182</v>
      </c>
      <c r="G13" s="758">
        <f t="shared" si="1"/>
        <v>158882445.5</v>
      </c>
      <c r="H13" s="758">
        <f t="shared" si="2"/>
        <v>0</v>
      </c>
    </row>
    <row r="14" spans="1:9" s="10" customFormat="1" ht="16.5" customHeight="1">
      <c r="A14" s="6">
        <f t="shared" si="0"/>
        <v>9</v>
      </c>
      <c r="B14" s="192" t="s">
        <v>662</v>
      </c>
      <c r="C14" s="8">
        <v>338089620</v>
      </c>
      <c r="D14" s="8"/>
      <c r="E14" s="8">
        <f t="array" ref="E14">SUM(IF("131"&amp;B14=KHN&amp;KH,TH))</f>
        <v>2008143500</v>
      </c>
      <c r="F14" s="8">
        <f t="array" ref="F14">SUM(IF("131"&amp;B14=KHC&amp;KH,TH))</f>
        <v>1773337500</v>
      </c>
      <c r="G14" s="758">
        <f t="shared" si="1"/>
        <v>572895620</v>
      </c>
      <c r="H14" s="758">
        <f t="shared" si="2"/>
        <v>0</v>
      </c>
      <c r="I14" s="10" t="str">
        <f>IF(ISNA(VLOOKUP(B14,'[5]131'!$B$4:$B$26,1,0)),"","x")</f>
        <v/>
      </c>
    </row>
    <row r="15" spans="1:9" s="10" customFormat="1" ht="16.5" customHeight="1">
      <c r="A15" s="6">
        <f t="shared" si="0"/>
        <v>10</v>
      </c>
      <c r="B15" s="192" t="s">
        <v>689</v>
      </c>
      <c r="C15" s="8"/>
      <c r="D15" s="8"/>
      <c r="E15" s="8">
        <f t="array" ref="E15">SUM(IF("131"&amp;B15=KHN&amp;KH,TH))</f>
        <v>2640000</v>
      </c>
      <c r="F15" s="8">
        <f t="array" ref="F15">SUM(IF("131"&amp;B15=KHC&amp;KH,TH))</f>
        <v>0</v>
      </c>
      <c r="G15" s="758">
        <f t="shared" si="1"/>
        <v>2640000</v>
      </c>
      <c r="H15" s="758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636</v>
      </c>
      <c r="C16" s="8"/>
      <c r="D16" s="8"/>
      <c r="E16" s="8">
        <f t="array" ref="E16">SUM(IF("131"&amp;B16=KHN&amp;KH,TH))</f>
        <v>119301861</v>
      </c>
      <c r="F16" s="8">
        <f t="array" ref="F16">SUM(IF("131"&amp;B16=KHC&amp;KH,TH))</f>
        <v>20172469</v>
      </c>
      <c r="G16" s="758">
        <f t="shared" si="1"/>
        <v>99129392</v>
      </c>
      <c r="H16" s="758">
        <f t="shared" si="2"/>
        <v>0</v>
      </c>
    </row>
    <row r="17" spans="1:9" s="10" customFormat="1" ht="16.5" customHeight="1">
      <c r="A17" s="6">
        <f t="shared" si="0"/>
        <v>12</v>
      </c>
      <c r="B17" s="7" t="s">
        <v>753</v>
      </c>
      <c r="C17" s="8">
        <v>82622870</v>
      </c>
      <c r="D17" s="8"/>
      <c r="E17" s="8">
        <f t="array" ref="E17">SUM(IF("131"&amp;B17=KHN&amp;KH,TH))</f>
        <v>365723224</v>
      </c>
      <c r="F17" s="8">
        <f t="array" ref="F17">SUM(IF("131"&amp;B17=KHC&amp;KH,TH))</f>
        <v>82622870</v>
      </c>
      <c r="G17" s="758">
        <f t="shared" si="1"/>
        <v>365723224</v>
      </c>
      <c r="H17" s="758">
        <f t="shared" si="2"/>
        <v>0</v>
      </c>
    </row>
    <row r="18" spans="1:9" s="10" customFormat="1" ht="16.5" customHeight="1">
      <c r="A18" s="6">
        <f t="shared" si="0"/>
        <v>13</v>
      </c>
      <c r="B18" s="7" t="s">
        <v>734</v>
      </c>
      <c r="C18" s="8"/>
      <c r="D18" s="8"/>
      <c r="E18" s="8">
        <f t="array" ref="E18">SUM(IF("131"&amp;B18=KHN&amp;KH,TH))</f>
        <v>97674005</v>
      </c>
      <c r="F18" s="8">
        <f t="array" ref="F18">SUM(IF("131"&amp;B18=KHC&amp;KH,TH))</f>
        <v>0</v>
      </c>
      <c r="G18" s="758">
        <f t="shared" si="1"/>
        <v>97674005</v>
      </c>
      <c r="H18" s="758">
        <f t="shared" si="2"/>
        <v>0</v>
      </c>
    </row>
    <row r="19" spans="1:9" s="10" customFormat="1" ht="16.5" customHeight="1">
      <c r="A19" s="6">
        <f t="shared" si="0"/>
        <v>14</v>
      </c>
      <c r="B19" s="7" t="s">
        <v>785</v>
      </c>
      <c r="C19" s="8"/>
      <c r="D19" s="8"/>
      <c r="E19" s="8">
        <f t="array" ref="E19">SUM(IF("131"&amp;B19=KHN&amp;KH,TH))</f>
        <v>135687884</v>
      </c>
      <c r="F19" s="8">
        <f t="array" ref="F19">SUM(IF("131"&amp;B19=KHC&amp;KH,TH))</f>
        <v>184356889</v>
      </c>
      <c r="G19" s="758">
        <f t="shared" si="1"/>
        <v>0</v>
      </c>
      <c r="H19" s="758">
        <f t="shared" si="2"/>
        <v>48669005</v>
      </c>
    </row>
    <row r="20" spans="1:9" s="10" customFormat="1" ht="16.5" customHeight="1">
      <c r="A20" s="6">
        <f t="shared" si="0"/>
        <v>15</v>
      </c>
      <c r="B20" s="192" t="s">
        <v>658</v>
      </c>
      <c r="C20" s="8"/>
      <c r="D20" s="8"/>
      <c r="E20" s="8">
        <f t="array" ref="E20">SUM(IF("131"&amp;B20=KHN&amp;KH,TH))</f>
        <v>79556400</v>
      </c>
      <c r="F20" s="8">
        <f t="array" ref="F20">SUM(IF("131"&amp;B20=KHC&amp;KH,TH))</f>
        <v>0</v>
      </c>
      <c r="G20" s="758">
        <f t="shared" si="1"/>
        <v>79556400</v>
      </c>
      <c r="H20" s="758">
        <f t="shared" si="2"/>
        <v>0</v>
      </c>
    </row>
    <row r="21" spans="1:9" s="10" customFormat="1" ht="16.5" customHeight="1">
      <c r="A21" s="6">
        <f t="shared" si="0"/>
        <v>16</v>
      </c>
      <c r="B21" s="7" t="s">
        <v>783</v>
      </c>
      <c r="C21" s="8"/>
      <c r="D21" s="8"/>
      <c r="E21" s="8">
        <f t="array" ref="E21">SUM(IF("131"&amp;B21=KHN&amp;KH,TH))</f>
        <v>11550000</v>
      </c>
      <c r="F21" s="8">
        <f t="array" ref="F21">SUM(IF("131"&amp;B21=KHC&amp;KH,TH))</f>
        <v>11550000</v>
      </c>
      <c r="G21" s="758">
        <f t="shared" si="1"/>
        <v>0</v>
      </c>
      <c r="H21" s="758">
        <f t="shared" si="2"/>
        <v>0</v>
      </c>
      <c r="I21" s="10" t="str">
        <f>IF(ISNA(VLOOKUP(B21,'[5]131'!$B$4:$B$26,1,0)),"","x")</f>
        <v/>
      </c>
    </row>
    <row r="22" spans="1:9" s="10" customFormat="1" ht="16.5" customHeight="1">
      <c r="A22" s="6">
        <f t="shared" si="0"/>
        <v>17</v>
      </c>
      <c r="B22" s="7" t="s">
        <v>796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758">
        <f t="shared" si="1"/>
        <v>1161600</v>
      </c>
      <c r="H22" s="758">
        <f t="shared" si="2"/>
        <v>0</v>
      </c>
      <c r="I22" s="10" t="str">
        <f>IF(ISNA(VLOOKUP(B22,'[5]131'!$B$4:$B$26,1,0)),"","x")</f>
        <v/>
      </c>
    </row>
    <row r="23" spans="1:9" s="10" customFormat="1" ht="16.5" customHeight="1">
      <c r="A23" s="6">
        <f t="shared" si="0"/>
        <v>18</v>
      </c>
      <c r="B23" s="192" t="s">
        <v>695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758">
        <f t="shared" si="1"/>
        <v>13457400</v>
      </c>
      <c r="H23" s="758">
        <f t="shared" si="2"/>
        <v>0</v>
      </c>
    </row>
    <row r="24" spans="1:9" s="10" customFormat="1" ht="16.5" customHeight="1">
      <c r="A24" s="6">
        <f t="shared" si="0"/>
        <v>19</v>
      </c>
      <c r="B24" s="7" t="s">
        <v>727</v>
      </c>
      <c r="C24" s="8"/>
      <c r="D24" s="8"/>
      <c r="E24" s="8">
        <f t="array" ref="E24">SUM(IF("131"&amp;B24=KHN&amp;KH,TH))</f>
        <v>29732340</v>
      </c>
      <c r="F24" s="8">
        <f t="array" ref="F24">SUM(IF("131"&amp;B24=KHC&amp;KH,TH))</f>
        <v>14803140</v>
      </c>
      <c r="G24" s="758">
        <f t="shared" si="1"/>
        <v>14929200</v>
      </c>
      <c r="H24" s="758">
        <f t="shared" si="2"/>
        <v>0</v>
      </c>
    </row>
    <row r="25" spans="1:9" s="10" customFormat="1" ht="16.5" customHeight="1">
      <c r="A25" s="6">
        <f t="shared" si="0"/>
        <v>20</v>
      </c>
      <c r="B25" s="192" t="s">
        <v>1046</v>
      </c>
      <c r="C25" s="8"/>
      <c r="D25" s="8"/>
      <c r="E25" s="8">
        <f t="array" ref="E25">SUM(IF("131"&amp;B25=KHN&amp;KH,TH))</f>
        <v>8800000</v>
      </c>
      <c r="F25" s="8">
        <f t="array" ref="F25">SUM(IF("131"&amp;B25=KHC&amp;KH,TH))</f>
        <v>8800000</v>
      </c>
      <c r="G25" s="758">
        <f t="shared" si="1"/>
        <v>0</v>
      </c>
      <c r="H25" s="758">
        <f t="shared" si="2"/>
        <v>0</v>
      </c>
    </row>
    <row r="26" spans="1:9" s="10" customFormat="1" ht="16.5" customHeight="1">
      <c r="A26" s="6">
        <f t="shared" si="0"/>
        <v>21</v>
      </c>
      <c r="B26" s="7" t="s">
        <v>841</v>
      </c>
      <c r="C26" s="8"/>
      <c r="D26" s="8"/>
      <c r="E26" s="8">
        <f t="array" ref="E26">SUM(IF("131"&amp;B26=KHN&amp;KH,TH))</f>
        <v>28710000</v>
      </c>
      <c r="F26" s="8">
        <f t="array" ref="F26">SUM(IF("131"&amp;B26=KHC&amp;KH,TH))</f>
        <v>28710000</v>
      </c>
      <c r="G26" s="758">
        <f t="shared" si="1"/>
        <v>0</v>
      </c>
      <c r="H26" s="758">
        <f t="shared" si="2"/>
        <v>0</v>
      </c>
    </row>
    <row r="27" spans="1:9" s="10" customFormat="1" ht="16.5" customHeight="1">
      <c r="A27" s="6">
        <f t="shared" ref="A27:A49" si="3">IF(B27&lt;&gt;"",ROW()-5,"")</f>
        <v>22</v>
      </c>
      <c r="B27" s="7" t="s">
        <v>890</v>
      </c>
      <c r="C27" s="8"/>
      <c r="D27" s="8"/>
      <c r="E27" s="8">
        <f t="array" ref="E27">SUM(IF("131"&amp;B27=KHN&amp;KH,TH))</f>
        <v>53255638</v>
      </c>
      <c r="F27" s="8">
        <f t="array" ref="F27">SUM(IF("131"&amp;B27=KHC&amp;KH,TH))</f>
        <v>63313428</v>
      </c>
      <c r="G27" s="758">
        <f t="shared" ref="G27:G37" si="4">ROUND(MAX(C27+E27-D27-F27,0),2)</f>
        <v>0</v>
      </c>
      <c r="H27" s="758">
        <f t="shared" ref="H27:H37" si="5">ROUND(MAX(D27+F27-C27-E27,0),2)</f>
        <v>10057790</v>
      </c>
    </row>
    <row r="28" spans="1:9" s="10" customFormat="1" ht="16.5" customHeight="1">
      <c r="A28" s="6">
        <f t="shared" si="3"/>
        <v>23</v>
      </c>
      <c r="B28" s="7" t="s">
        <v>889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758">
        <f t="shared" si="4"/>
        <v>25869505</v>
      </c>
      <c r="H28" s="758">
        <f t="shared" si="5"/>
        <v>0</v>
      </c>
    </row>
    <row r="29" spans="1:9" s="10" customFormat="1" ht="16.5" customHeight="1">
      <c r="A29" s="6">
        <f t="shared" si="3"/>
        <v>24</v>
      </c>
      <c r="B29" s="204" t="s">
        <v>893</v>
      </c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758">
        <f t="shared" si="4"/>
        <v>0</v>
      </c>
      <c r="H29" s="758">
        <f t="shared" si="5"/>
        <v>6830004</v>
      </c>
    </row>
    <row r="30" spans="1:9" s="10" customFormat="1" ht="16.5" customHeight="1">
      <c r="A30" s="6">
        <f t="shared" si="3"/>
        <v>25</v>
      </c>
      <c r="B30" s="192" t="s">
        <v>894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758">
        <f t="shared" si="4"/>
        <v>0</v>
      </c>
      <c r="H30" s="758">
        <f t="shared" si="5"/>
        <v>7315000</v>
      </c>
    </row>
    <row r="31" spans="1:9" s="10" customFormat="1" ht="16.5" customHeight="1">
      <c r="A31" s="6">
        <f t="shared" si="3"/>
        <v>26</v>
      </c>
      <c r="B31" s="7" t="s">
        <v>1023</v>
      </c>
      <c r="C31" s="8"/>
      <c r="D31" s="8"/>
      <c r="E31" s="8">
        <f t="array" ref="E31">SUM(IF("131"&amp;B31=KHN&amp;KH,TH))</f>
        <v>15096400</v>
      </c>
      <c r="F31" s="8">
        <f t="array" ref="F31">SUM(IF("131"&amp;B31=KHC&amp;KH,TH))</f>
        <v>0</v>
      </c>
      <c r="G31" s="758">
        <f t="shared" si="4"/>
        <v>15096400</v>
      </c>
      <c r="H31" s="758">
        <f t="shared" si="5"/>
        <v>0</v>
      </c>
    </row>
    <row r="32" spans="1:9" s="10" customFormat="1" ht="16.5" customHeight="1">
      <c r="A32" s="6">
        <f t="shared" si="3"/>
        <v>27</v>
      </c>
      <c r="B32" s="7" t="s">
        <v>1034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758">
        <f t="shared" si="4"/>
        <v>2564100</v>
      </c>
      <c r="H32" s="758">
        <f t="shared" si="5"/>
        <v>0</v>
      </c>
    </row>
    <row r="33" spans="1:8" s="10" customFormat="1" ht="16.5" customHeight="1">
      <c r="A33" s="6">
        <f t="shared" si="3"/>
        <v>28</v>
      </c>
      <c r="B33" s="192" t="s">
        <v>1050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758">
        <f t="shared" si="4"/>
        <v>13277000</v>
      </c>
      <c r="H33" s="758">
        <f t="shared" si="5"/>
        <v>0</v>
      </c>
    </row>
    <row r="34" spans="1:8" s="10" customFormat="1" ht="16.5" customHeight="1">
      <c r="A34" s="6">
        <f t="shared" si="3"/>
        <v>29</v>
      </c>
      <c r="B34" s="192" t="s">
        <v>1052</v>
      </c>
      <c r="C34" s="8"/>
      <c r="D34" s="8"/>
      <c r="E34" s="8">
        <f t="array" ref="E34">SUM(IF("131"&amp;B34=KHN&amp;KH,TH))</f>
        <v>5467000</v>
      </c>
      <c r="F34" s="8">
        <f t="array" ref="F34">SUM(IF("131"&amp;B34=KHC&amp;KH,TH))</f>
        <v>0</v>
      </c>
      <c r="G34" s="758">
        <f t="shared" si="4"/>
        <v>5467000</v>
      </c>
      <c r="H34" s="758">
        <f t="shared" si="5"/>
        <v>0</v>
      </c>
    </row>
    <row r="35" spans="1:8" s="10" customFormat="1" ht="16.5" customHeight="1">
      <c r="A35" s="6">
        <f t="shared" si="3"/>
        <v>30</v>
      </c>
      <c r="B35" s="7" t="s">
        <v>1061</v>
      </c>
      <c r="C35" s="8"/>
      <c r="D35" s="8"/>
      <c r="E35" s="8">
        <f t="array" ref="E35">SUM(IF("131"&amp;B35=KHN&amp;KH,TH))</f>
        <v>28600000</v>
      </c>
      <c r="F35" s="8">
        <f t="array" ref="F35">SUM(IF("131"&amp;B35=KHC&amp;KH,TH))</f>
        <v>0</v>
      </c>
      <c r="G35" s="758">
        <f t="shared" si="4"/>
        <v>28600000</v>
      </c>
      <c r="H35" s="758">
        <f t="shared" si="5"/>
        <v>0</v>
      </c>
    </row>
    <row r="36" spans="1:8" s="10" customFormat="1" ht="16.5" customHeight="1">
      <c r="A36" s="6">
        <f t="shared" si="3"/>
        <v>31</v>
      </c>
      <c r="B36" s="7" t="s">
        <v>1069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758">
        <f t="shared" si="4"/>
        <v>6600000</v>
      </c>
      <c r="H36" s="758">
        <f t="shared" si="5"/>
        <v>0</v>
      </c>
    </row>
    <row r="37" spans="1:8" s="10" customFormat="1" ht="16.5" customHeight="1">
      <c r="A37" s="6">
        <f t="shared" si="3"/>
        <v>32</v>
      </c>
      <c r="B37" s="192" t="s">
        <v>1437</v>
      </c>
      <c r="C37" s="8"/>
      <c r="D37" s="8"/>
      <c r="E37" s="8">
        <f t="array" ref="E37">SUM(IF("131"&amp;B37=KHN&amp;KH,TH))</f>
        <v>32902561</v>
      </c>
      <c r="F37" s="8">
        <f t="array" ref="F37">SUM(IF("131"&amp;B37=KHC&amp;KH,TH))</f>
        <v>12418590</v>
      </c>
      <c r="G37" s="758">
        <f t="shared" si="4"/>
        <v>20483971</v>
      </c>
      <c r="H37" s="758">
        <f t="shared" si="5"/>
        <v>0</v>
      </c>
    </row>
    <row r="38" spans="1:8" s="10" customFormat="1" ht="16.5" customHeight="1">
      <c r="A38" s="6">
        <f t="shared" si="3"/>
        <v>33</v>
      </c>
      <c r="B38" s="192" t="s">
        <v>1449</v>
      </c>
      <c r="C38" s="8"/>
      <c r="D38" s="8"/>
      <c r="E38" s="8">
        <f t="array" ref="E38">SUM(IF("131"&amp;B38=KHN&amp;KH,TH))</f>
        <v>16461500</v>
      </c>
      <c r="F38" s="8">
        <f t="array" ref="F38">SUM(IF("131"&amp;B38=KHC&amp;KH,TH))</f>
        <v>0</v>
      </c>
      <c r="G38" s="758">
        <f t="shared" ref="G38:G42" si="6">ROUND(MAX(C38+E38-D38-F38,0),2)</f>
        <v>16461500</v>
      </c>
      <c r="H38" s="758">
        <f t="shared" ref="H38:H42" si="7">ROUND(MAX(D38+F38-C38-E38,0),2)</f>
        <v>0</v>
      </c>
    </row>
    <row r="39" spans="1:8" s="10" customFormat="1" ht="16.5" customHeight="1">
      <c r="A39" s="6">
        <f t="shared" si="3"/>
        <v>34</v>
      </c>
      <c r="B39" s="192" t="s">
        <v>1515</v>
      </c>
      <c r="C39" s="8"/>
      <c r="D39" s="8"/>
      <c r="E39" s="8">
        <f t="array" ref="E39">SUM(IF("131"&amp;B39=KHN&amp;KH,TH))</f>
        <v>5132050</v>
      </c>
      <c r="F39" s="8">
        <f t="array" ref="F39">SUM(IF("131"&amp;B39=KHC&amp;KH,TH))</f>
        <v>0</v>
      </c>
      <c r="G39" s="758">
        <f t="shared" si="6"/>
        <v>5132050</v>
      </c>
      <c r="H39" s="758">
        <f t="shared" si="7"/>
        <v>0</v>
      </c>
    </row>
    <row r="40" spans="1:8" s="10" customFormat="1" ht="16.5" customHeight="1">
      <c r="A40" s="6">
        <f t="shared" si="3"/>
        <v>35</v>
      </c>
      <c r="B40" s="192" t="s">
        <v>1523</v>
      </c>
      <c r="C40" s="8"/>
      <c r="D40" s="8"/>
      <c r="E40" s="8">
        <f t="array" ref="E40">SUM(IF("131"&amp;B40=KHN&amp;KH,TH))</f>
        <v>54725000</v>
      </c>
      <c r="F40" s="8">
        <f t="array" ref="F40">SUM(IF("131"&amp;B40=KHC&amp;KH,TH))</f>
        <v>54725000</v>
      </c>
      <c r="G40" s="758">
        <f t="shared" si="6"/>
        <v>0</v>
      </c>
      <c r="H40" s="758">
        <f t="shared" si="7"/>
        <v>0</v>
      </c>
    </row>
    <row r="41" spans="1:8" s="10" customFormat="1" ht="16.5" customHeight="1">
      <c r="A41" s="6">
        <f t="shared" si="3"/>
        <v>36</v>
      </c>
      <c r="B41" s="192" t="s">
        <v>1528</v>
      </c>
      <c r="C41" s="8"/>
      <c r="D41" s="8"/>
      <c r="E41" s="8">
        <f t="array" ref="E41">SUM(IF("131"&amp;B41=KHN&amp;KH,TH))</f>
        <v>3630000</v>
      </c>
      <c r="F41" s="8">
        <f t="array" ref="F41">SUM(IF("131"&amp;B41=KHC&amp;KH,TH))</f>
        <v>0</v>
      </c>
      <c r="G41" s="758">
        <f t="shared" si="6"/>
        <v>3630000</v>
      </c>
      <c r="H41" s="758">
        <f t="shared" si="7"/>
        <v>0</v>
      </c>
    </row>
    <row r="42" spans="1:8" s="10" customFormat="1" ht="16.5" customHeight="1">
      <c r="A42" s="6">
        <f t="shared" si="3"/>
        <v>37</v>
      </c>
      <c r="B42" s="192" t="s">
        <v>1531</v>
      </c>
      <c r="C42" s="8"/>
      <c r="D42" s="8"/>
      <c r="E42" s="8">
        <f t="array" ref="E42">SUM(IF("131"&amp;B42=KHN&amp;KH,TH))</f>
        <v>569118</v>
      </c>
      <c r="F42" s="8">
        <f t="array" ref="F42">SUM(IF("131"&amp;B42=KHC&amp;KH,TH))</f>
        <v>0</v>
      </c>
      <c r="G42" s="758">
        <f t="shared" si="6"/>
        <v>569118</v>
      </c>
      <c r="H42" s="758">
        <f t="shared" si="7"/>
        <v>0</v>
      </c>
    </row>
    <row r="43" spans="1:8" s="10" customFormat="1" ht="16.5" customHeight="1">
      <c r="A43" s="6" t="str">
        <f t="shared" si="3"/>
        <v/>
      </c>
      <c r="B43" s="192"/>
      <c r="C43" s="758"/>
      <c r="D43" s="8"/>
      <c r="E43" s="8">
        <f t="array" ref="E43">SUM(IF("131"&amp;B43=KHN&amp;KH,TH))</f>
        <v>0</v>
      </c>
      <c r="F43" s="8">
        <f t="array" ref="F43">SUM(IF("131"&amp;B43=KHC&amp;KH,TH))</f>
        <v>10043000</v>
      </c>
      <c r="G43" s="758">
        <f t="shared" ref="G43:G48" si="8">ROUND(MAX(C43+E43-D43-F43,0),2)</f>
        <v>0</v>
      </c>
      <c r="H43" s="758">
        <f t="shared" ref="H43:H48" si="9">ROUND(MAX(D43+F43-C43-E43,0),2)</f>
        <v>10043000</v>
      </c>
    </row>
    <row r="44" spans="1:8" s="10" customFormat="1" ht="16.5" customHeight="1">
      <c r="A44" s="6" t="str">
        <f t="shared" si="3"/>
        <v/>
      </c>
      <c r="B44" s="192"/>
      <c r="C44" s="8"/>
      <c r="D44" s="8"/>
      <c r="E44" s="8">
        <f t="array" ref="E44">SUM(IF("131"&amp;B44=KHN&amp;KH,TH))</f>
        <v>0</v>
      </c>
      <c r="F44" s="8">
        <f t="array" ref="F44">SUM(IF("131"&amp;B44=KHC&amp;KH,TH))</f>
        <v>10043000</v>
      </c>
      <c r="G44" s="758">
        <f t="shared" si="8"/>
        <v>0</v>
      </c>
      <c r="H44" s="758">
        <f t="shared" si="9"/>
        <v>10043000</v>
      </c>
    </row>
    <row r="45" spans="1:8" s="10" customFormat="1" ht="16.5" customHeight="1">
      <c r="A45" s="6" t="str">
        <f t="shared" si="3"/>
        <v/>
      </c>
      <c r="B45" s="192"/>
      <c r="C45" s="8"/>
      <c r="D45" s="8"/>
      <c r="E45" s="8">
        <f t="array" ref="E45">SUM(IF("131"&amp;B45=KHN&amp;KH,TH))</f>
        <v>0</v>
      </c>
      <c r="F45" s="8">
        <f t="array" ref="F45">SUM(IF("131"&amp;B45=KHC&amp;KH,TH))</f>
        <v>10043000</v>
      </c>
      <c r="G45" s="758">
        <f t="shared" si="8"/>
        <v>0</v>
      </c>
      <c r="H45" s="758">
        <f t="shared" si="9"/>
        <v>10043000</v>
      </c>
    </row>
    <row r="46" spans="1:8" s="10" customFormat="1" ht="16.5" customHeight="1">
      <c r="A46" s="6" t="str">
        <f t="shared" si="3"/>
        <v/>
      </c>
      <c r="B46" s="192"/>
      <c r="C46" s="8"/>
      <c r="D46" s="8"/>
      <c r="E46" s="8">
        <f t="array" ref="E46">SUM(IF("131"&amp;B46=KHN&amp;KH,TH))</f>
        <v>0</v>
      </c>
      <c r="F46" s="8">
        <f t="array" ref="F46">SUM(IF("131"&amp;B46=KHC&amp;KH,TH))</f>
        <v>10043000</v>
      </c>
      <c r="G46" s="758">
        <f t="shared" si="8"/>
        <v>0</v>
      </c>
      <c r="H46" s="758">
        <f t="shared" si="9"/>
        <v>10043000</v>
      </c>
    </row>
    <row r="47" spans="1:8" s="10" customFormat="1" ht="16.5" customHeight="1">
      <c r="A47" s="6" t="str">
        <f t="shared" si="3"/>
        <v/>
      </c>
      <c r="B47" s="192"/>
      <c r="C47" s="8"/>
      <c r="D47" s="8"/>
      <c r="E47" s="8">
        <f t="array" ref="E47">SUM(IF("131"&amp;B47=KHN&amp;KH,TH))</f>
        <v>0</v>
      </c>
      <c r="F47" s="8">
        <f t="array" ref="F47">SUM(IF("131"&amp;B47=KHC&amp;KH,TH))</f>
        <v>10043000</v>
      </c>
      <c r="G47" s="758">
        <f t="shared" si="8"/>
        <v>0</v>
      </c>
      <c r="H47" s="758">
        <f t="shared" si="9"/>
        <v>10043000</v>
      </c>
    </row>
    <row r="48" spans="1:8" s="10" customFormat="1" ht="16.5" customHeight="1">
      <c r="A48" s="6" t="str">
        <f t="shared" si="3"/>
        <v/>
      </c>
      <c r="B48" s="192"/>
      <c r="C48" s="8"/>
      <c r="D48" s="8"/>
      <c r="E48" s="8">
        <f t="array" ref="E48">SUM(IF("131"&amp;B48=KHN&amp;KH,TH))</f>
        <v>0</v>
      </c>
      <c r="F48" s="8">
        <f t="array" ref="F48">SUM(IF("131"&amp;B48=KHC&amp;KH,TH))</f>
        <v>10043000</v>
      </c>
      <c r="G48" s="758">
        <f t="shared" si="8"/>
        <v>0</v>
      </c>
      <c r="H48" s="758">
        <f t="shared" si="9"/>
        <v>10043000</v>
      </c>
    </row>
    <row r="49" spans="1:9" s="10" customFormat="1" ht="16.5" customHeight="1">
      <c r="A49" s="6" t="str">
        <f t="shared" si="3"/>
        <v/>
      </c>
      <c r="B49" s="44"/>
      <c r="C49" s="8"/>
      <c r="D49" s="8"/>
      <c r="E49" s="8"/>
      <c r="F49" s="8"/>
      <c r="G49" s="55"/>
      <c r="H49" s="55"/>
      <c r="I49" s="10" t="str">
        <f>IF(ISNA(VLOOKUP(B49,'[5]131'!$B$4:$B$26,1,0)),"","x")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10">SUM(C6:C49)</f>
        <v>510977187</v>
      </c>
      <c r="D50" s="13">
        <f t="shared" si="10"/>
        <v>0</v>
      </c>
      <c r="E50" s="13">
        <f>SUM(E6:E49)</f>
        <v>4254494231.5</v>
      </c>
      <c r="F50" s="13">
        <f>SUM(F6:F49)</f>
        <v>3146274972</v>
      </c>
      <c r="G50" s="13">
        <f t="shared" si="10"/>
        <v>1752326245.5</v>
      </c>
      <c r="H50" s="13">
        <f t="shared" si="10"/>
        <v>133129799</v>
      </c>
    </row>
    <row r="51" spans="1:9">
      <c r="E51" s="15">
        <f>E50-CDPS!E14</f>
        <v>-490674514</v>
      </c>
      <c r="F51" s="15">
        <f>F50-CDPS!F14</f>
        <v>50215000</v>
      </c>
    </row>
    <row r="52" spans="1:9">
      <c r="E52" s="15"/>
      <c r="F52" s="15"/>
    </row>
    <row r="54" spans="1:9">
      <c r="E54" s="15"/>
      <c r="F54" s="1017" t="s">
        <v>404</v>
      </c>
      <c r="G54" s="1017"/>
      <c r="H54" s="1017"/>
    </row>
    <row r="55" spans="1:9">
      <c r="F55" s="1017" t="s">
        <v>109</v>
      </c>
      <c r="G55" s="1017"/>
      <c r="H55" s="1017"/>
    </row>
    <row r="56" spans="1:9">
      <c r="E56" s="182"/>
      <c r="F56" s="1017" t="s">
        <v>136</v>
      </c>
      <c r="G56" s="1017"/>
      <c r="H56" s="1017"/>
    </row>
  </sheetData>
  <sortState ref="A6:I31">
    <sortCondition ref="B6:B31"/>
  </sortState>
  <mergeCells count="9">
    <mergeCell ref="F54:H54"/>
    <mergeCell ref="F55:H55"/>
    <mergeCell ref="F56:H56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2" customFormat="1" ht="14.25" customHeight="1">
      <c r="A1" s="599" t="str">
        <f>TH!A1</f>
        <v>Đơn vị: CÔNG TY TNHH MỘT THÀNH VIÊN KHỞI NGUYÊN AN</v>
      </c>
      <c r="B1" s="591"/>
      <c r="C1" s="591"/>
      <c r="G1" s="2"/>
      <c r="H1" s="1026" t="s">
        <v>46</v>
      </c>
      <c r="I1" s="1026"/>
      <c r="J1" s="1026"/>
    </row>
    <row r="2" spans="1:10" s="452" customFormat="1" ht="14.25" customHeight="1">
      <c r="A2" s="598" t="str">
        <f>TH!A2</f>
        <v>Địa chỉ: Thửa đất số 144, tờ bản đồ số 12TĐH.1, tổ 1, khu phố Đông Tác, Phường Tân Đông Hiệp, Thị Xã Dĩ An, Tỉnh Bình Dương, Việt Nam</v>
      </c>
      <c r="B2" s="591"/>
      <c r="C2" s="591"/>
      <c r="G2" s="17"/>
      <c r="H2" s="1027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27"/>
      <c r="J2" s="1027"/>
    </row>
    <row r="3" spans="1:10" s="452" customFormat="1" ht="14.25" customHeight="1">
      <c r="A3" s="593"/>
      <c r="B3" s="591"/>
      <c r="C3" s="591"/>
      <c r="G3" s="17"/>
      <c r="H3" s="1027"/>
      <c r="I3" s="1027"/>
      <c r="J3" s="1027"/>
    </row>
    <row r="4" spans="1:10" s="5" customFormat="1" ht="28.5" customHeight="1">
      <c r="A4" s="1028" t="s">
        <v>26</v>
      </c>
      <c r="B4" s="1028"/>
      <c r="C4" s="1028"/>
      <c r="D4" s="1028"/>
      <c r="E4" s="1028"/>
      <c r="F4" s="1028"/>
      <c r="G4" s="1028"/>
      <c r="H4" s="1028"/>
      <c r="I4" s="1028"/>
      <c r="J4" s="1028"/>
    </row>
    <row r="5" spans="1:10" s="18" customFormat="1" ht="14.25" customHeight="1">
      <c r="E5" s="589" t="s">
        <v>27</v>
      </c>
    </row>
    <row r="6" spans="1:10" s="18" customFormat="1" ht="14.25" customHeight="1">
      <c r="E6" s="589" t="s">
        <v>324</v>
      </c>
    </row>
    <row r="7" spans="1:10" s="18" customFormat="1" ht="14.25" customHeight="1">
      <c r="D7" s="20" t="s">
        <v>45</v>
      </c>
      <c r="E7" s="1029" t="s">
        <v>630</v>
      </c>
      <c r="F7" s="1029"/>
      <c r="G7" s="1029"/>
      <c r="H7" s="1029"/>
    </row>
    <row r="8" spans="1:10" s="18" customFormat="1" ht="14.25" customHeight="1">
      <c r="E8" s="589" t="s">
        <v>29</v>
      </c>
    </row>
    <row r="9" spans="1:10" s="18" customFormat="1" ht="6.75" customHeight="1">
      <c r="B9" s="589"/>
      <c r="C9" s="1030"/>
      <c r="D9" s="1030"/>
      <c r="E9" s="1030"/>
      <c r="F9" s="1030"/>
      <c r="G9" s="1030"/>
      <c r="H9" s="1030"/>
      <c r="I9" s="1030"/>
      <c r="J9" s="1030"/>
    </row>
    <row r="10" spans="1:10" s="18" customFormat="1" ht="14.25" customHeight="1">
      <c r="A10" s="993" t="s">
        <v>20</v>
      </c>
      <c r="B10" s="1025" t="s">
        <v>1</v>
      </c>
      <c r="C10" s="1025"/>
      <c r="D10" s="993" t="s">
        <v>0</v>
      </c>
      <c r="E10" s="993" t="s">
        <v>14</v>
      </c>
      <c r="F10" s="993" t="s">
        <v>30</v>
      </c>
      <c r="G10" s="1031" t="s">
        <v>21</v>
      </c>
      <c r="H10" s="1032"/>
      <c r="I10" s="1031" t="s">
        <v>31</v>
      </c>
      <c r="J10" s="1032"/>
    </row>
    <row r="11" spans="1:10" s="18" customFormat="1" ht="24.75" customHeight="1">
      <c r="A11" s="993"/>
      <c r="B11" s="30" t="s">
        <v>15</v>
      </c>
      <c r="C11" s="30" t="s">
        <v>32</v>
      </c>
      <c r="D11" s="993"/>
      <c r="E11" s="993"/>
      <c r="F11" s="99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95" t="s">
        <v>2</v>
      </c>
      <c r="B12" s="596" t="s">
        <v>3</v>
      </c>
      <c r="C12" s="595" t="s">
        <v>4</v>
      </c>
      <c r="D12" s="595" t="s">
        <v>5</v>
      </c>
      <c r="E12" s="595" t="s">
        <v>6</v>
      </c>
      <c r="F12" s="595">
        <v>1</v>
      </c>
      <c r="G12" s="595">
        <v>2</v>
      </c>
      <c r="H12" s="595">
        <v>3</v>
      </c>
      <c r="I12" s="595">
        <v>4</v>
      </c>
      <c r="J12" s="595">
        <v>5</v>
      </c>
    </row>
    <row r="13" spans="1:10" s="18" customFormat="1" ht="18" customHeight="1">
      <c r="A13" s="595"/>
      <c r="B13" s="595"/>
      <c r="C13" s="595"/>
      <c r="D13" s="23" t="s">
        <v>7</v>
      </c>
      <c r="E13" s="595"/>
      <c r="F13" s="24"/>
      <c r="G13" s="24"/>
      <c r="H13" s="24"/>
      <c r="I13" s="47">
        <f>VLOOKUP($E$7,'131'!$B$6:$H$49,2,0)</f>
        <v>0</v>
      </c>
      <c r="J13" s="47">
        <f>VLOOKUP($E$7,'131'!$B$6:$H$49,3,0)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595"/>
      <c r="C32" s="26"/>
      <c r="D32" s="23" t="s">
        <v>33</v>
      </c>
      <c r="E32" s="595" t="s">
        <v>19</v>
      </c>
      <c r="F32" s="595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95"/>
      <c r="C33" s="595"/>
      <c r="D33" s="23" t="s">
        <v>10</v>
      </c>
      <c r="E33" s="595" t="s">
        <v>19</v>
      </c>
      <c r="F33" s="595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589"/>
      <c r="C34" s="589"/>
      <c r="E34" s="589"/>
    </row>
    <row r="35" spans="1:11" s="18" customFormat="1" ht="14.25" customHeight="1">
      <c r="A35" s="28" t="s">
        <v>152</v>
      </c>
      <c r="B35" s="589"/>
      <c r="C35" s="589"/>
      <c r="E35" s="589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89"/>
      <c r="C36" s="589"/>
      <c r="E36" s="589"/>
      <c r="K36" s="28" t="s">
        <v>34</v>
      </c>
    </row>
    <row r="37" spans="1:11" s="18" customFormat="1" ht="14.25" customHeight="1">
      <c r="B37" s="589"/>
      <c r="C37" s="589"/>
      <c r="E37" s="982" t="e">
        <f ca="1">"Ngày 31 tháng  12  năm  "&amp;YEAR($A$14)</f>
        <v>#VALUE!</v>
      </c>
      <c r="F37" s="982"/>
      <c r="G37" s="982"/>
      <c r="H37" s="982"/>
      <c r="I37" s="982"/>
      <c r="J37" s="982"/>
    </row>
    <row r="38" spans="1:11" s="18" customFormat="1" ht="14.25" customHeight="1">
      <c r="C38" s="589" t="s">
        <v>11</v>
      </c>
      <c r="E38" s="982" t="s">
        <v>12</v>
      </c>
      <c r="F38" s="982"/>
      <c r="G38" s="982"/>
      <c r="H38" s="982"/>
      <c r="I38" s="982"/>
      <c r="J38" s="982"/>
    </row>
    <row r="39" spans="1:11" s="18" customFormat="1" ht="14.25" customHeight="1">
      <c r="C39" s="589" t="s">
        <v>13</v>
      </c>
      <c r="E39" s="982" t="s">
        <v>13</v>
      </c>
      <c r="F39" s="982"/>
      <c r="G39" s="982"/>
      <c r="H39" s="982"/>
      <c r="I39" s="982"/>
      <c r="J39" s="982"/>
    </row>
    <row r="40" spans="1:11" s="29" customFormat="1"/>
    <row r="46" spans="1:11" ht="15">
      <c r="C46" s="590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D22" sqref="D22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12" t="str">
        <f>TH!$A$1</f>
        <v>Đơn vị: CÔNG TY TNHH MỘT THÀNH VIÊN KHỞI NGUYÊN AN</v>
      </c>
    </row>
    <row r="2" spans="1:9">
      <c r="A2" s="813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18" t="s">
        <v>102</v>
      </c>
      <c r="B3" s="1018"/>
      <c r="C3" s="1018"/>
      <c r="D3" s="1018"/>
      <c r="E3" s="1018"/>
      <c r="F3" s="1018"/>
      <c r="G3" s="1018"/>
      <c r="H3" s="1018"/>
    </row>
    <row r="4" spans="1:9" s="10" customFormat="1" ht="14.25" customHeight="1">
      <c r="A4" s="1019" t="s">
        <v>35</v>
      </c>
      <c r="B4" s="1021" t="s">
        <v>36</v>
      </c>
      <c r="C4" s="1023" t="s">
        <v>37</v>
      </c>
      <c r="D4" s="1024"/>
      <c r="E4" s="1023" t="s">
        <v>38</v>
      </c>
      <c r="F4" s="1024"/>
      <c r="G4" s="1023" t="s">
        <v>41</v>
      </c>
      <c r="H4" s="1024"/>
    </row>
    <row r="5" spans="1:9" s="10" customFormat="1" ht="14.25" customHeight="1">
      <c r="A5" s="1020"/>
      <c r="B5" s="1022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 t="shared" ref="A6:A13" si="0">IF(B6&lt;&gt;"",ROW()-5,"")</f>
        <v>1</v>
      </c>
      <c r="B6" s="192" t="s">
        <v>428</v>
      </c>
      <c r="C6" s="8"/>
      <c r="D6" s="8">
        <v>219398840</v>
      </c>
      <c r="E6" s="8">
        <f t="array" ref="E6">SUM(IF("331"&amp;B6=KHN&amp;KH,TH))</f>
        <v>436308000</v>
      </c>
      <c r="F6" s="8">
        <f t="array" ref="F6">SUM(IF("331"&amp;B6=KHC&amp;KH,TH))</f>
        <v>553863730</v>
      </c>
      <c r="G6" s="55">
        <f t="shared" ref="G6:G13" si="1">ROUND(MAX(C6+E6-D6-F6,0),2)</f>
        <v>0</v>
      </c>
      <c r="H6" s="55">
        <f t="shared" ref="H6:H13" si="2">ROUND(MAX(D6+F6-C6-E6,0),2)</f>
        <v>336954570</v>
      </c>
      <c r="I6" s="10" t="str">
        <f>IF(ISNA(VLOOKUP(B6,'[5]331'!$B$4:$B$15,1,0)),"","x")</f>
        <v/>
      </c>
    </row>
    <row r="7" spans="1:9" s="10" customFormat="1" ht="16.5" customHeight="1">
      <c r="A7" s="6">
        <f t="shared" si="0"/>
        <v>2</v>
      </c>
      <c r="B7" s="192" t="s">
        <v>435</v>
      </c>
      <c r="C7" s="8"/>
      <c r="D7" s="8"/>
      <c r="E7" s="8">
        <f t="array" ref="E7">SUM(IF("331"&amp;B7=KHN&amp;KH,TH))</f>
        <v>68391228</v>
      </c>
      <c r="F7" s="8">
        <f t="array" ref="F7">SUM(IF("331"&amp;B7=KHC&amp;KH,TH))</f>
        <v>62995952</v>
      </c>
      <c r="G7" s="55">
        <f t="shared" si="1"/>
        <v>5395276</v>
      </c>
      <c r="H7" s="55">
        <f t="shared" si="2"/>
        <v>0</v>
      </c>
      <c r="I7" s="10" t="str">
        <f>IF(ISNA(VLOOKUP(B7,'[5]331'!$B$4:$B$15,1,0)),"","x")</f>
        <v/>
      </c>
    </row>
    <row r="8" spans="1:9" s="10" customFormat="1" ht="16.5" customHeight="1">
      <c r="A8" s="6">
        <f t="shared" si="0"/>
        <v>3</v>
      </c>
      <c r="B8" s="7" t="s">
        <v>1111</v>
      </c>
      <c r="C8" s="8"/>
      <c r="D8" s="8">
        <v>162637223</v>
      </c>
      <c r="E8" s="8">
        <f t="array" ref="E8">SUM(IF("331"&amp;B8=KHN&amp;KH,TH))</f>
        <v>162637223</v>
      </c>
      <c r="F8" s="8">
        <f t="array" ref="F8">SUM(IF("331"&amp;B8=KHC&amp;KH,TH))</f>
        <v>100119316</v>
      </c>
      <c r="G8" s="55">
        <f t="shared" si="1"/>
        <v>0</v>
      </c>
      <c r="H8" s="55">
        <f t="shared" si="2"/>
        <v>100119316</v>
      </c>
      <c r="I8" s="10" t="str">
        <f>IF(ISNA(VLOOKUP(B8,'[5]331'!$B$4:$B$15,1,0)),"","x")</f>
        <v/>
      </c>
    </row>
    <row r="9" spans="1:9" s="10" customFormat="1" ht="16.5" customHeight="1">
      <c r="A9" s="6">
        <f t="shared" si="0"/>
        <v>4</v>
      </c>
      <c r="B9" s="192" t="s">
        <v>445</v>
      </c>
      <c r="C9" s="8"/>
      <c r="D9" s="8">
        <v>240559220</v>
      </c>
      <c r="E9" s="8">
        <f t="array" ref="E9">SUM(IF("331"&amp;B9=KHN&amp;KH,TH))</f>
        <v>1322626352</v>
      </c>
      <c r="F9" s="8">
        <f t="array" ref="F9">SUM(IF("331"&amp;B9=KHC&amp;KH,TH))</f>
        <v>3787250013</v>
      </c>
      <c r="G9" s="55">
        <f t="shared" si="1"/>
        <v>0</v>
      </c>
      <c r="H9" s="55">
        <f t="shared" si="2"/>
        <v>2705182881</v>
      </c>
      <c r="I9" s="10" t="str">
        <f>IF(ISNA(VLOOKUP(B9,'[5]331'!$B$4:$B$15,1,0)),"","x")</f>
        <v/>
      </c>
    </row>
    <row r="10" spans="1:9" s="10" customFormat="1" ht="16.5" customHeight="1">
      <c r="A10" s="6">
        <f t="shared" si="0"/>
        <v>5</v>
      </c>
      <c r="B10" s="7" t="s">
        <v>1110</v>
      </c>
      <c r="C10" s="8"/>
      <c r="D10" s="8">
        <v>97640136</v>
      </c>
      <c r="E10" s="8">
        <f t="array" ref="E10">SUM(IF("331"&amp;B10=KHN&amp;KH,TH))</f>
        <v>97640136</v>
      </c>
      <c r="F10" s="8">
        <f t="array" ref="F10">SUM(IF("331"&amp;B10=KHC&amp;KH,TH))</f>
        <v>0</v>
      </c>
      <c r="G10" s="55">
        <f t="shared" si="1"/>
        <v>0</v>
      </c>
      <c r="H10" s="55">
        <f t="shared" si="2"/>
        <v>0</v>
      </c>
      <c r="I10" s="10" t="str">
        <f>IF(ISNA(VLOOKUP(B10,'[5]331'!$B$4:$B$15,1,0)),"","x")</f>
        <v/>
      </c>
    </row>
    <row r="11" spans="1:9" s="10" customFormat="1" ht="16.5" customHeight="1">
      <c r="A11" s="6">
        <f t="shared" si="0"/>
        <v>6</v>
      </c>
      <c r="B11" s="7" t="s">
        <v>1109</v>
      </c>
      <c r="C11" s="8"/>
      <c r="D11" s="8">
        <v>71006528</v>
      </c>
      <c r="E11" s="8">
        <f t="array" ref="E11">SUM(IF("331"&amp;B11=KHN&amp;KH,TH))</f>
        <v>71006528</v>
      </c>
      <c r="F11" s="8">
        <f t="array" ref="F11">SUM(IF("331"&amp;B11=KHC&amp;KH,TH))</f>
        <v>0</v>
      </c>
      <c r="G11" s="55">
        <f t="shared" si="1"/>
        <v>0</v>
      </c>
      <c r="H11" s="55">
        <f t="shared" si="2"/>
        <v>0</v>
      </c>
      <c r="I11" s="10" t="str">
        <f>IF(ISNA(VLOOKUP(B11,'[5]331'!$B$4:$B$15,1,0)),"","x")</f>
        <v/>
      </c>
    </row>
    <row r="12" spans="1:9" s="10" customFormat="1" ht="16.5" customHeight="1">
      <c r="A12" s="6">
        <f t="shared" si="0"/>
        <v>7</v>
      </c>
      <c r="B12" s="192" t="s">
        <v>1400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142047173</v>
      </c>
      <c r="G12" s="55">
        <f t="shared" si="1"/>
        <v>0</v>
      </c>
      <c r="H12" s="55">
        <f t="shared" si="2"/>
        <v>142047173</v>
      </c>
      <c r="I12" s="10" t="str">
        <f>IF(ISNA(VLOOKUP(B12,'[5]331'!$B$4:$B$15,1,0)),"","x")</f>
        <v/>
      </c>
    </row>
    <row r="13" spans="1:9" s="10" customFormat="1" ht="16.5" customHeight="1">
      <c r="A13" s="6" t="str">
        <f t="shared" si="0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si="1"/>
        <v>0</v>
      </c>
      <c r="H13" s="55">
        <f t="shared" si="2"/>
        <v>0</v>
      </c>
      <c r="I13" s="10" t="str">
        <f>IF(ISNA(VLOOKUP(B13,'[5]331'!$B$4:$B$15,1,0)),"","x")</f>
        <v/>
      </c>
    </row>
    <row r="14" spans="1:9" s="10" customFormat="1" ht="16.5" customHeight="1">
      <c r="A14" s="6" t="str">
        <f t="shared" ref="A14" si="3">IF(B14&lt;&gt;"",ROW()-5,"")</f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ref="G14" si="4">ROUND(MAX(C14+E14-D14-F14,0),2)</f>
        <v>0</v>
      </c>
      <c r="H14" s="55">
        <f t="shared" ref="H14" si="5">ROUND(MAX(D14+F14-C14-E14,0),2)</f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67"/>
      <c r="F15" s="467"/>
      <c r="G15" s="468"/>
      <c r="H15" s="468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6">SUM(C6:C15)</f>
        <v>0</v>
      </c>
      <c r="D16" s="13">
        <f t="shared" si="6"/>
        <v>791241947</v>
      </c>
      <c r="E16" s="13">
        <f t="shared" si="6"/>
        <v>2158609467</v>
      </c>
      <c r="F16" s="13">
        <f t="shared" si="6"/>
        <v>4646276184</v>
      </c>
      <c r="G16" s="13">
        <f t="shared" si="6"/>
        <v>5395276</v>
      </c>
      <c r="H16" s="13">
        <f t="shared" si="6"/>
        <v>3284303940</v>
      </c>
    </row>
    <row r="17" spans="5:8">
      <c r="E17" s="15"/>
      <c r="F17" s="15"/>
    </row>
    <row r="18" spans="5:8">
      <c r="E18" s="15">
        <f>E16-CDPS!E21</f>
        <v>0</v>
      </c>
      <c r="F18" s="15">
        <f>F16-CDPS!F21</f>
        <v>0</v>
      </c>
    </row>
    <row r="20" spans="5:8">
      <c r="E20" s="15"/>
      <c r="F20" s="1017" t="s">
        <v>404</v>
      </c>
      <c r="G20" s="1017"/>
      <c r="H20" s="1017"/>
    </row>
    <row r="21" spans="5:8">
      <c r="F21" s="1017" t="s">
        <v>109</v>
      </c>
      <c r="G21" s="1017"/>
      <c r="H21" s="1017"/>
    </row>
    <row r="22" spans="5:8">
      <c r="E22" s="182"/>
      <c r="F22" s="1017" t="s">
        <v>136</v>
      </c>
      <c r="G22" s="1017"/>
      <c r="H22" s="1017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99" t="str">
        <f>TH!A1</f>
        <v>Đơn vị: CÔNG TY TNHH MỘT THÀNH VIÊN KHỞI NGUYÊN AN</v>
      </c>
      <c r="B1" s="16"/>
      <c r="C1" s="16"/>
      <c r="G1" s="2"/>
      <c r="H1" s="1026" t="s">
        <v>46</v>
      </c>
      <c r="I1" s="1026"/>
      <c r="J1" s="1026"/>
    </row>
    <row r="2" spans="1:10" s="3" customFormat="1" ht="14.25" customHeight="1">
      <c r="A2" s="598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1027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27"/>
      <c r="J2" s="1027"/>
    </row>
    <row r="3" spans="1:10" s="3" customFormat="1" ht="14.25" customHeight="1">
      <c r="A3" s="4"/>
      <c r="B3" s="16"/>
      <c r="C3" s="16"/>
      <c r="G3" s="17"/>
      <c r="H3" s="1027"/>
      <c r="I3" s="1027"/>
      <c r="J3" s="1027"/>
    </row>
    <row r="4" spans="1:10" s="5" customFormat="1" ht="28.5" customHeight="1">
      <c r="A4" s="1028" t="s">
        <v>26</v>
      </c>
      <c r="B4" s="1028"/>
      <c r="C4" s="1028"/>
      <c r="D4" s="1028"/>
      <c r="E4" s="1028"/>
      <c r="F4" s="1028"/>
      <c r="G4" s="1028"/>
      <c r="H4" s="1028"/>
      <c r="I4" s="1028"/>
      <c r="J4" s="102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9" t="s">
        <v>423</v>
      </c>
      <c r="F7" s="1029"/>
      <c r="G7" s="1029"/>
      <c r="H7" s="102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0"/>
      <c r="D9" s="1030"/>
      <c r="E9" s="1030"/>
      <c r="F9" s="1030"/>
      <c r="G9" s="1030"/>
      <c r="H9" s="1030"/>
      <c r="I9" s="1030"/>
      <c r="J9" s="1030"/>
    </row>
    <row r="10" spans="1:10" s="18" customFormat="1" ht="14.25" customHeight="1">
      <c r="A10" s="993" t="s">
        <v>20</v>
      </c>
      <c r="B10" s="1025" t="s">
        <v>1</v>
      </c>
      <c r="C10" s="1025"/>
      <c r="D10" s="993" t="s">
        <v>0</v>
      </c>
      <c r="E10" s="993" t="s">
        <v>14</v>
      </c>
      <c r="F10" s="993" t="s">
        <v>30</v>
      </c>
      <c r="G10" s="1031" t="s">
        <v>21</v>
      </c>
      <c r="H10" s="1032"/>
      <c r="I10" s="1031" t="s">
        <v>31</v>
      </c>
      <c r="J10" s="1032"/>
    </row>
    <row r="11" spans="1:10" s="18" customFormat="1" ht="24.75" customHeight="1">
      <c r="A11" s="993"/>
      <c r="B11" s="30" t="s">
        <v>15</v>
      </c>
      <c r="C11" s="30" t="s">
        <v>32</v>
      </c>
      <c r="D11" s="993"/>
      <c r="E11" s="993"/>
      <c r="F11" s="99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VLOOKUP($E$7,'331'!$B$6:$H$15,2,0)</f>
        <v>#N/A</v>
      </c>
      <c r="J13" s="47" t="e">
        <f>VLOOKUP($E$7,'331'!$B$6:$H$15,3,0)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2" t="e">
        <f ca="1">"Ngày 31 tháng  12  năm  "&amp;YEAR($A$14)</f>
        <v>#VALUE!</v>
      </c>
      <c r="F56" s="982"/>
      <c r="G56" s="982"/>
      <c r="H56" s="982"/>
      <c r="I56" s="982"/>
      <c r="J56" s="982"/>
    </row>
    <row r="57" spans="1:11" s="18" customFormat="1" ht="14.25" customHeight="1">
      <c r="C57" s="207" t="s">
        <v>11</v>
      </c>
      <c r="E57" s="982" t="s">
        <v>12</v>
      </c>
      <c r="F57" s="982"/>
      <c r="G57" s="982"/>
      <c r="H57" s="982"/>
      <c r="I57" s="982"/>
      <c r="J57" s="982"/>
    </row>
    <row r="58" spans="1:11" s="18" customFormat="1" ht="14.25" customHeight="1">
      <c r="C58" s="207" t="s">
        <v>13</v>
      </c>
      <c r="E58" s="982" t="s">
        <v>13</v>
      </c>
      <c r="F58" s="982"/>
      <c r="G58" s="982"/>
      <c r="H58" s="982"/>
      <c r="I58" s="982"/>
      <c r="J58" s="982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12" t="str">
        <f>TH!$A$1</f>
        <v>Đơn vị: CÔNG TY TNHH MỘT THÀNH VIÊN KHỞI NGUYÊN AN</v>
      </c>
      <c r="C2" s="261"/>
      <c r="F2" s="262"/>
      <c r="G2" s="262"/>
      <c r="H2" s="262"/>
      <c r="I2" s="262"/>
      <c r="J2" s="1035" t="s">
        <v>167</v>
      </c>
      <c r="K2" s="1035"/>
      <c r="L2" s="1035"/>
      <c r="M2" s="1035"/>
      <c r="N2" s="262"/>
    </row>
    <row r="3" spans="1:14">
      <c r="A3" s="813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1043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43"/>
      <c r="L3" s="1043"/>
      <c r="M3" s="1043"/>
      <c r="N3" s="263"/>
    </row>
    <row r="4" spans="1:14">
      <c r="F4" s="263"/>
      <c r="G4" s="263"/>
      <c r="H4" s="263"/>
      <c r="I4" s="263"/>
      <c r="J4" s="1043"/>
      <c r="K4" s="1043"/>
      <c r="L4" s="1043"/>
      <c r="M4" s="1043"/>
      <c r="N4" s="263"/>
    </row>
    <row r="5" spans="1:14" s="264" customFormat="1" ht="23.25" customHeight="1">
      <c r="A5" s="1034" t="s">
        <v>168</v>
      </c>
      <c r="B5" s="1034"/>
      <c r="C5" s="1034"/>
      <c r="D5" s="1034"/>
      <c r="E5" s="1034"/>
      <c r="F5" s="1034"/>
      <c r="G5" s="1034"/>
      <c r="H5" s="1034"/>
      <c r="I5" s="1034"/>
      <c r="J5" s="1034"/>
      <c r="K5" s="1034"/>
      <c r="L5" s="1034"/>
      <c r="M5" s="1034"/>
      <c r="N5" s="1034"/>
    </row>
    <row r="6" spans="1:14">
      <c r="A6" s="1035" t="s">
        <v>405</v>
      </c>
      <c r="B6" s="1035" t="s">
        <v>169</v>
      </c>
      <c r="C6" s="1035"/>
      <c r="D6" s="1035"/>
      <c r="E6" s="1035"/>
      <c r="F6" s="1035"/>
      <c r="G6" s="1035"/>
      <c r="H6" s="1035"/>
      <c r="I6" s="1035"/>
      <c r="J6" s="1035"/>
      <c r="K6" s="1035"/>
      <c r="L6" s="1035"/>
      <c r="M6" s="1035"/>
      <c r="N6" s="1035"/>
    </row>
    <row r="7" spans="1:14">
      <c r="C7" s="1036"/>
      <c r="D7" s="1036"/>
      <c r="E7" s="1036"/>
      <c r="F7" s="1036"/>
      <c r="G7" s="1036"/>
      <c r="H7" s="1036"/>
      <c r="I7" s="1036"/>
      <c r="J7" s="1036"/>
      <c r="K7" s="1036"/>
      <c r="L7" s="1036"/>
      <c r="M7" s="1036"/>
      <c r="N7" s="1036"/>
    </row>
    <row r="8" spans="1:14" ht="15.75" customHeight="1">
      <c r="A8" s="1037" t="s">
        <v>20</v>
      </c>
      <c r="B8" s="1038" t="s">
        <v>1</v>
      </c>
      <c r="C8" s="1039"/>
      <c r="D8" s="1037" t="s">
        <v>0</v>
      </c>
      <c r="E8" s="1037" t="s">
        <v>14</v>
      </c>
      <c r="F8" s="1042" t="s">
        <v>21</v>
      </c>
      <c r="G8" s="1042"/>
      <c r="H8" s="1042"/>
      <c r="I8" s="1042"/>
      <c r="J8" s="1042"/>
      <c r="K8" s="1042"/>
      <c r="L8" s="1042" t="s">
        <v>31</v>
      </c>
      <c r="M8" s="1042"/>
      <c r="N8" s="1042"/>
    </row>
    <row r="9" spans="1:14" ht="15.75" customHeight="1">
      <c r="A9" s="1037"/>
      <c r="B9" s="1040"/>
      <c r="C9" s="1041"/>
      <c r="D9" s="1037"/>
      <c r="E9" s="1037"/>
      <c r="F9" s="1042" t="s">
        <v>170</v>
      </c>
      <c r="G9" s="1042"/>
      <c r="H9" s="1042"/>
      <c r="I9" s="1042" t="s">
        <v>171</v>
      </c>
      <c r="J9" s="1042"/>
      <c r="K9" s="1042"/>
      <c r="L9" s="1037" t="s">
        <v>172</v>
      </c>
      <c r="M9" s="1037" t="s">
        <v>173</v>
      </c>
      <c r="N9" s="1037" t="s">
        <v>174</v>
      </c>
    </row>
    <row r="10" spans="1:14" ht="15.75" customHeight="1">
      <c r="A10" s="1037"/>
      <c r="B10" s="1045" t="s">
        <v>15</v>
      </c>
      <c r="C10" s="1045" t="s">
        <v>32</v>
      </c>
      <c r="D10" s="1037"/>
      <c r="E10" s="1037"/>
      <c r="F10" s="1047" t="s">
        <v>172</v>
      </c>
      <c r="G10" s="1047" t="s">
        <v>173</v>
      </c>
      <c r="H10" s="1047" t="s">
        <v>174</v>
      </c>
      <c r="I10" s="1047" t="s">
        <v>172</v>
      </c>
      <c r="J10" s="1047" t="s">
        <v>173</v>
      </c>
      <c r="K10" s="1047" t="s">
        <v>174</v>
      </c>
      <c r="L10" s="1044"/>
      <c r="M10" s="1044"/>
      <c r="N10" s="1044"/>
    </row>
    <row r="11" spans="1:14">
      <c r="A11" s="1037"/>
      <c r="B11" s="1046"/>
      <c r="C11" s="1046"/>
      <c r="D11" s="1037"/>
      <c r="E11" s="1037"/>
      <c r="F11" s="1048"/>
      <c r="G11" s="1048"/>
      <c r="H11" s="1048"/>
      <c r="I11" s="1048"/>
      <c r="J11" s="1048"/>
      <c r="K11" s="1048"/>
      <c r="L11" s="1044"/>
      <c r="M11" s="1044"/>
      <c r="N11" s="1044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17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CDPS!$D$36</f>
        <v>2500000000</v>
      </c>
      <c r="M13" s="267"/>
      <c r="N13" s="267"/>
    </row>
    <row r="14" spans="1:14">
      <c r="A14" s="816">
        <v>40634</v>
      </c>
      <c r="B14" s="709" t="s">
        <v>341</v>
      </c>
      <c r="C14" s="816">
        <v>40634</v>
      </c>
      <c r="D14" s="270" t="s">
        <v>390</v>
      </c>
      <c r="E14" s="709" t="s">
        <v>47</v>
      </c>
      <c r="F14" s="270"/>
      <c r="G14" s="270"/>
      <c r="H14" s="270"/>
      <c r="I14" s="337">
        <v>1700000000</v>
      </c>
      <c r="J14" s="270"/>
      <c r="K14" s="270"/>
      <c r="L14" s="712">
        <f>L13+I14-G14</f>
        <v>4200000000</v>
      </c>
      <c r="M14" s="270"/>
      <c r="N14" s="270"/>
    </row>
    <row r="15" spans="1:14">
      <c r="A15" s="816">
        <v>40634</v>
      </c>
      <c r="B15" s="709" t="s">
        <v>342</v>
      </c>
      <c r="C15" s="816">
        <v>40634</v>
      </c>
      <c r="D15" s="271" t="s">
        <v>391</v>
      </c>
      <c r="E15" s="710" t="s">
        <v>47</v>
      </c>
      <c r="F15" s="271"/>
      <c r="G15" s="271"/>
      <c r="H15" s="271"/>
      <c r="I15" s="352">
        <v>100000000</v>
      </c>
      <c r="J15" s="271"/>
      <c r="K15" s="271"/>
      <c r="L15" s="712">
        <f t="shared" ref="L15:L16" si="0">L14+I15-G15</f>
        <v>4300000000</v>
      </c>
      <c r="M15" s="271"/>
      <c r="N15" s="271"/>
    </row>
    <row r="16" spans="1:14">
      <c r="A16" s="816">
        <v>40634</v>
      </c>
      <c r="B16" s="709" t="s">
        <v>346</v>
      </c>
      <c r="C16" s="816">
        <v>40634</v>
      </c>
      <c r="D16" s="271" t="s">
        <v>392</v>
      </c>
      <c r="E16" s="710" t="s">
        <v>47</v>
      </c>
      <c r="F16" s="271"/>
      <c r="G16" s="271"/>
      <c r="H16" s="271"/>
      <c r="I16" s="352">
        <v>100000000</v>
      </c>
      <c r="J16" s="271"/>
      <c r="K16" s="271"/>
      <c r="L16" s="712">
        <f t="shared" si="0"/>
        <v>4400000000</v>
      </c>
      <c r="M16" s="271"/>
      <c r="N16" s="271"/>
    </row>
    <row r="17" spans="1:14">
      <c r="A17" s="709"/>
      <c r="B17" s="270"/>
      <c r="C17" s="709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09"/>
      <c r="B18" s="270"/>
      <c r="C18" s="709"/>
      <c r="D18" s="272" t="s">
        <v>133</v>
      </c>
      <c r="E18" s="474" t="s">
        <v>19</v>
      </c>
      <c r="F18" s="273"/>
      <c r="G18" s="273"/>
      <c r="H18" s="273"/>
      <c r="I18" s="711">
        <f>SUM(I13:I17)</f>
        <v>1900000000</v>
      </c>
      <c r="J18" s="273"/>
      <c r="K18" s="273"/>
      <c r="L18" s="713">
        <f>L13+I18-F18</f>
        <v>4400000000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75" t="s">
        <v>19</v>
      </c>
      <c r="F19" s="274"/>
      <c r="G19" s="274"/>
      <c r="H19" s="274"/>
      <c r="I19" s="274"/>
      <c r="J19" s="274"/>
      <c r="K19" s="274"/>
      <c r="L19" s="276">
        <f>L13+L18</f>
        <v>6900000000</v>
      </c>
      <c r="M19" s="274"/>
      <c r="N19" s="274"/>
    </row>
    <row r="21" spans="1:14">
      <c r="C21" s="277" t="s">
        <v>175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1033" t="str">
        <f>"Ngày 31 tháng  12  năm  "&amp;YEAR($A$14)</f>
        <v>Ngày 31 tháng  12  năm  2011</v>
      </c>
      <c r="F23" s="1033"/>
      <c r="G23" s="1033"/>
      <c r="H23" s="1033"/>
      <c r="I23" s="1033"/>
      <c r="J23" s="1033"/>
      <c r="K23" s="1033"/>
      <c r="L23" s="1033"/>
      <c r="M23" s="1033"/>
      <c r="N23" s="1033"/>
    </row>
    <row r="24" spans="1:14">
      <c r="A24" s="1033" t="s">
        <v>11</v>
      </c>
      <c r="B24" s="1033"/>
      <c r="C24" s="1033"/>
      <c r="D24" s="1033"/>
      <c r="E24" s="1033" t="s">
        <v>12</v>
      </c>
      <c r="F24" s="1033"/>
      <c r="G24" s="1033"/>
      <c r="H24" s="1033"/>
      <c r="I24" s="1033"/>
      <c r="J24" s="1033"/>
      <c r="K24" s="1033"/>
      <c r="L24" s="1033"/>
      <c r="M24" s="1033"/>
      <c r="N24" s="1033"/>
    </row>
    <row r="25" spans="1:14">
      <c r="A25" s="1033" t="s">
        <v>13</v>
      </c>
      <c r="B25" s="1033"/>
      <c r="C25" s="1033"/>
      <c r="D25" s="1033"/>
      <c r="E25" s="1033" t="s">
        <v>13</v>
      </c>
      <c r="F25" s="1033"/>
      <c r="G25" s="1033"/>
      <c r="H25" s="1033"/>
      <c r="I25" s="1033"/>
      <c r="J25" s="1033"/>
      <c r="K25" s="1033"/>
      <c r="L25" s="1033"/>
      <c r="M25" s="1033"/>
      <c r="N25" s="1033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819"/>
  <sheetViews>
    <sheetView topLeftCell="A8" workbookViewId="0">
      <pane ySplit="4" topLeftCell="A771" activePane="bottomLeft" state="frozen"/>
      <selection activeCell="A8" sqref="A8"/>
      <selection pane="bottomLeft" activeCell="M163" activeCellId="1" sqref="K163 M163"/>
    </sheetView>
  </sheetViews>
  <sheetFormatPr defaultRowHeight="12.75"/>
  <cols>
    <col min="1" max="1" width="3.7109375" style="284" customWidth="1"/>
    <col min="2" max="2" width="3.42578125" style="284" customWidth="1"/>
    <col min="3" max="3" width="29" style="284" customWidth="1"/>
    <col min="4" max="4" width="7.7109375" style="287" hidden="1" customWidth="1"/>
    <col min="5" max="5" width="6.7109375" style="296" customWidth="1"/>
    <col min="6" max="6" width="11.140625" style="296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6" s="259" customFormat="1" ht="14.25" customHeight="1">
      <c r="B1" s="812" t="str">
        <f>TH!$A$1</f>
        <v>Đơn vị: CÔNG TY TNHH MỘT THÀNH VIÊN KHỞI NGUYÊN AN</v>
      </c>
      <c r="C1" s="279"/>
      <c r="D1" s="279"/>
      <c r="E1" s="279"/>
      <c r="F1" s="280"/>
      <c r="G1" s="280"/>
      <c r="H1" s="1026" t="s">
        <v>176</v>
      </c>
      <c r="I1" s="1026"/>
      <c r="J1" s="1026"/>
      <c r="K1" s="1026"/>
      <c r="L1" s="1026"/>
      <c r="M1" s="714"/>
      <c r="N1" s="715"/>
    </row>
    <row r="2" spans="1:16" s="259" customFormat="1" ht="14.25" customHeight="1">
      <c r="B2" s="813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1027" t="str">
        <f ca="1">IF(YEAR('152-CT'!$C$50)&gt;=2015,"(Ban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27"/>
      <c r="J2" s="1027"/>
      <c r="K2" s="1027"/>
      <c r="L2" s="1027"/>
      <c r="M2" s="719"/>
      <c r="N2" s="715"/>
    </row>
    <row r="3" spans="1:16" s="259" customFormat="1" ht="14.25" customHeight="1">
      <c r="B3" s="281"/>
      <c r="C3" s="281"/>
      <c r="D3" s="281"/>
      <c r="E3" s="281"/>
      <c r="F3" s="281"/>
      <c r="G3" s="281"/>
      <c r="H3" s="1027"/>
      <c r="I3" s="1027"/>
      <c r="J3" s="1027"/>
      <c r="K3" s="1027"/>
      <c r="L3" s="1027"/>
      <c r="M3" s="720"/>
      <c r="N3" s="715"/>
    </row>
    <row r="4" spans="1:16" s="282" customFormat="1" ht="27.75" customHeight="1">
      <c r="B4" s="1057" t="s">
        <v>177</v>
      </c>
      <c r="C4" s="1057"/>
      <c r="D4" s="1057"/>
      <c r="E4" s="1057"/>
      <c r="F4" s="1057"/>
      <c r="G4" s="1057"/>
      <c r="H4" s="1057"/>
      <c r="I4" s="1057"/>
      <c r="J4" s="1057"/>
      <c r="K4" s="1057"/>
      <c r="L4" s="1057"/>
      <c r="N4" s="716"/>
    </row>
    <row r="5" spans="1:16" s="282" customFormat="1" ht="15" customHeight="1">
      <c r="B5" s="1056" t="s">
        <v>178</v>
      </c>
      <c r="C5" s="1056"/>
      <c r="D5" s="1056"/>
      <c r="E5" s="1056"/>
      <c r="F5" s="1056"/>
      <c r="G5" s="1056"/>
      <c r="H5" s="1056"/>
      <c r="I5" s="1056"/>
      <c r="J5" s="1056"/>
      <c r="K5" s="1056"/>
      <c r="L5" s="1056"/>
      <c r="N5" s="716"/>
    </row>
    <row r="6" spans="1:16" s="282" customFormat="1" ht="12.75" hidden="1" customHeight="1">
      <c r="B6" s="1056" t="s">
        <v>179</v>
      </c>
      <c r="C6" s="1056"/>
      <c r="D6" s="1056"/>
      <c r="E6" s="1056"/>
      <c r="F6" s="1056"/>
      <c r="G6" s="1056"/>
      <c r="H6" s="1056"/>
      <c r="I6" s="1056"/>
      <c r="J6" s="1056"/>
      <c r="K6" s="1056"/>
      <c r="L6" s="1056"/>
      <c r="N6" s="716"/>
    </row>
    <row r="7" spans="1:16" s="283" customFormat="1" ht="24" hidden="1" customHeight="1">
      <c r="C7" s="1049" t="s">
        <v>180</v>
      </c>
      <c r="D7" s="1049"/>
      <c r="E7" s="1049"/>
      <c r="F7" s="1049"/>
      <c r="G7" s="1049"/>
      <c r="H7" s="1049"/>
      <c r="I7" s="1049"/>
      <c r="J7" s="1049"/>
      <c r="K7" s="1049"/>
      <c r="L7" s="1049"/>
      <c r="N7" s="717"/>
    </row>
    <row r="8" spans="1:16" ht="20.25" customHeight="1">
      <c r="B8" s="1050" t="s">
        <v>35</v>
      </c>
      <c r="C8" s="1051" t="s">
        <v>181</v>
      </c>
      <c r="D8" s="1052" t="s">
        <v>182</v>
      </c>
      <c r="E8" s="1054" t="s">
        <v>139</v>
      </c>
      <c r="F8" s="1054"/>
      <c r="G8" s="1054"/>
      <c r="H8" s="1054"/>
      <c r="I8" s="1054"/>
      <c r="J8" s="1054"/>
      <c r="K8" s="1054"/>
      <c r="L8" s="1054"/>
    </row>
    <row r="9" spans="1:16" ht="20.25" customHeight="1">
      <c r="B9" s="1050"/>
      <c r="C9" s="1051"/>
      <c r="D9" s="1053"/>
      <c r="E9" s="1054" t="s">
        <v>183</v>
      </c>
      <c r="F9" s="1054"/>
      <c r="G9" s="1055" t="s">
        <v>184</v>
      </c>
      <c r="H9" s="1055"/>
      <c r="I9" s="1055" t="s">
        <v>185</v>
      </c>
      <c r="J9" s="1055"/>
      <c r="K9" s="1055" t="s">
        <v>186</v>
      </c>
      <c r="L9" s="1055"/>
    </row>
    <row r="10" spans="1:16" ht="20.25" hidden="1" customHeight="1">
      <c r="B10" s="1050"/>
      <c r="C10" s="1051"/>
      <c r="D10" s="285"/>
      <c r="E10" s="286" t="s">
        <v>187</v>
      </c>
      <c r="F10" s="286" t="s">
        <v>188</v>
      </c>
      <c r="G10" s="286" t="s">
        <v>187</v>
      </c>
      <c r="H10" s="286" t="s">
        <v>188</v>
      </c>
      <c r="I10" s="286" t="s">
        <v>187</v>
      </c>
      <c r="J10" s="286" t="s">
        <v>188</v>
      </c>
      <c r="K10" s="286" t="s">
        <v>187</v>
      </c>
      <c r="L10" s="286" t="s">
        <v>188</v>
      </c>
    </row>
    <row r="11" spans="1:16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18"/>
    </row>
    <row r="12" spans="1:16" ht="18.75" customHeight="1">
      <c r="A12" s="289" t="str">
        <f t="shared" ref="A12:A75" si="0">IF(B12&lt;&gt;"","NL","")</f>
        <v>NL</v>
      </c>
      <c r="B12" s="753">
        <f t="shared" ref="B12:B75" si="1">IF(C12&lt;&gt;"",ROW()-11,"")</f>
        <v>1</v>
      </c>
      <c r="C12" s="290" t="s">
        <v>451</v>
      </c>
      <c r="D12" s="291" t="s">
        <v>339</v>
      </c>
      <c r="E12" s="25">
        <v>3500</v>
      </c>
      <c r="F12" s="25">
        <v>49875000</v>
      </c>
      <c r="G12" s="25">
        <f t="array" ref="G12">SUM(IF("156"&amp;C12=KHN&amp;MH,SL))</f>
        <v>39369</v>
      </c>
      <c r="H12" s="25">
        <f t="array" ref="H12">SUM(IF("156"&amp;C12=KHN&amp;MH,TH))</f>
        <v>594799374</v>
      </c>
      <c r="I12" s="25">
        <f t="array" ref="I12">SUM(IF("156"&amp;C12=KHC&amp;MH,SL))</f>
        <v>42869</v>
      </c>
      <c r="J12" s="25">
        <f t="array" ref="J12">SUM(IF("156"&amp;C12=KHC&amp;MH,TH))</f>
        <v>644674374</v>
      </c>
      <c r="K12" s="25">
        <f t="shared" ref="K12:K75" si="2">E12+G12-I12</f>
        <v>0</v>
      </c>
      <c r="L12" s="25">
        <f t="shared" ref="L12:L75" si="3">F12+H12-J12</f>
        <v>0</v>
      </c>
      <c r="M12" s="289" t="e">
        <f t="shared" ref="M12:M75" si="4">L12/K12</f>
        <v>#DIV/0!</v>
      </c>
      <c r="O12" s="927"/>
      <c r="P12" s="927"/>
    </row>
    <row r="13" spans="1:16" ht="18.75" customHeight="1">
      <c r="A13" s="289" t="str">
        <f t="shared" si="0"/>
        <v>NL</v>
      </c>
      <c r="B13" s="753">
        <f t="shared" si="1"/>
        <v>2</v>
      </c>
      <c r="C13" s="290" t="s">
        <v>450</v>
      </c>
      <c r="D13" s="291" t="s">
        <v>339</v>
      </c>
      <c r="E13" s="25">
        <v>1000</v>
      </c>
      <c r="F13" s="25">
        <v>15675000</v>
      </c>
      <c r="G13" s="25">
        <f t="array" ref="G13">SUM(IF("156"&amp;C13=KHN&amp;MH,SL))</f>
        <v>30700</v>
      </c>
      <c r="H13" s="25">
        <f t="array" ref="H13">SUM(IF("156"&amp;C13=KHN&amp;MH,TH))</f>
        <v>512102750</v>
      </c>
      <c r="I13" s="25">
        <f t="array" ref="I13">SUM(IF("156"&amp;C13=KHC&amp;MH,SL))</f>
        <v>31600</v>
      </c>
      <c r="J13" s="25">
        <f t="array" ref="J13">SUM(IF("156"&amp;C13=KHC&amp;MH,TH))</f>
        <v>526210250</v>
      </c>
      <c r="K13" s="25">
        <f t="shared" si="2"/>
        <v>100</v>
      </c>
      <c r="L13" s="25">
        <f t="shared" si="3"/>
        <v>1567500</v>
      </c>
      <c r="M13" s="289">
        <f t="shared" si="4"/>
        <v>15675</v>
      </c>
    </row>
    <row r="14" spans="1:16" ht="18.75" customHeight="1">
      <c r="A14" s="289" t="str">
        <f t="shared" si="0"/>
        <v>NL</v>
      </c>
      <c r="B14" s="753">
        <f t="shared" si="1"/>
        <v>3</v>
      </c>
      <c r="C14" s="290" t="s">
        <v>1455</v>
      </c>
      <c r="D14" s="291" t="s">
        <v>339</v>
      </c>
      <c r="E14" s="25"/>
      <c r="F14" s="25"/>
      <c r="G14" s="25">
        <f t="array" ref="G14">SUM(IF("156"&amp;C14=KHN&amp;MH,SL))</f>
        <v>4100</v>
      </c>
      <c r="H14" s="25">
        <f t="array" ref="H14">SUM(IF("156"&amp;C14=KHN&amp;MH,TH))</f>
        <v>33456000</v>
      </c>
      <c r="I14" s="25">
        <f t="array" ref="I14">SUM(IF("156"&amp;C14=KHC&amp;MH,SL))</f>
        <v>4100</v>
      </c>
      <c r="J14" s="25">
        <f t="array" ref="J14">SUM(IF("156"&amp;C14=KHC&amp;MH,TH))</f>
        <v>33456000</v>
      </c>
      <c r="K14" s="25">
        <f t="shared" si="2"/>
        <v>0</v>
      </c>
      <c r="L14" s="25">
        <f t="shared" si="3"/>
        <v>0</v>
      </c>
      <c r="M14" s="289" t="e">
        <f t="shared" si="4"/>
        <v>#DIV/0!</v>
      </c>
      <c r="O14" s="927"/>
      <c r="P14" s="927"/>
    </row>
    <row r="15" spans="1:16" ht="18.75" customHeight="1">
      <c r="A15" s="289" t="str">
        <f t="shared" si="0"/>
        <v>NL</v>
      </c>
      <c r="B15" s="753">
        <f t="shared" si="1"/>
        <v>4</v>
      </c>
      <c r="C15" s="783" t="s">
        <v>1728</v>
      </c>
      <c r="D15" s="291"/>
      <c r="E15" s="25"/>
      <c r="F15" s="25"/>
      <c r="G15" s="25">
        <f t="array" ref="G15">SUM(IF("156"&amp;C15=KHN&amp;MH,SL))</f>
        <v>38250</v>
      </c>
      <c r="H15" s="25">
        <f t="array" ref="H15">SUM(IF("156"&amp;C15=KHN&amp;MH,TH))</f>
        <v>277312500</v>
      </c>
      <c r="I15" s="25">
        <f t="array" ref="I15">SUM(IF("156"&amp;C15=KHC&amp;MH,SL))</f>
        <v>38250</v>
      </c>
      <c r="J15" s="25">
        <f t="array" ref="J15">SUM(IF("156"&amp;C15=KHC&amp;MH,TH))</f>
        <v>277312500</v>
      </c>
      <c r="K15" s="25">
        <f t="shared" si="2"/>
        <v>0</v>
      </c>
      <c r="L15" s="25">
        <f t="shared" si="3"/>
        <v>0</v>
      </c>
      <c r="M15" s="289" t="e">
        <f t="shared" si="4"/>
        <v>#DIV/0!</v>
      </c>
    </row>
    <row r="16" spans="1:16" ht="18.75" customHeight="1">
      <c r="A16" s="289" t="str">
        <f t="shared" si="0"/>
        <v>NL</v>
      </c>
      <c r="B16" s="753">
        <f t="shared" si="1"/>
        <v>5</v>
      </c>
      <c r="C16" s="290" t="s">
        <v>1108</v>
      </c>
      <c r="D16" s="291" t="s">
        <v>339</v>
      </c>
      <c r="E16" s="25">
        <v>170</v>
      </c>
      <c r="F16" s="25">
        <v>1615000</v>
      </c>
      <c r="G16" s="25">
        <f t="array" ref="G16">SUM(IF("156"&amp;C16=KHN&amp;MH,SL))</f>
        <v>0</v>
      </c>
      <c r="H16" s="25">
        <f t="array" ref="H16">SUM(IF("156"&amp;C16=KHN&amp;MH,TH))</f>
        <v>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170</v>
      </c>
      <c r="L16" s="25">
        <f t="shared" si="3"/>
        <v>1615000</v>
      </c>
      <c r="M16" s="289">
        <f t="shared" si="4"/>
        <v>9500</v>
      </c>
    </row>
    <row r="17" spans="1:13" ht="18.75" customHeight="1">
      <c r="A17" s="289" t="str">
        <f t="shared" si="0"/>
        <v>NL</v>
      </c>
      <c r="B17" s="753">
        <f t="shared" si="1"/>
        <v>6</v>
      </c>
      <c r="C17" s="290" t="s">
        <v>1701</v>
      </c>
      <c r="D17" s="291"/>
      <c r="E17" s="25"/>
      <c r="F17" s="25"/>
      <c r="G17" s="25">
        <f t="array" ref="G17">SUM(IF("156"&amp;C17=KHN&amp;MH,SL))</f>
        <v>1600</v>
      </c>
      <c r="H17" s="25">
        <f t="array" ref="H17">SUM(IF("156"&amp;C17=KHN&amp;MH,TH))</f>
        <v>8240000</v>
      </c>
      <c r="I17" s="25">
        <f t="array" ref="I17">SUM(IF("156"&amp;C17=KHC&amp;MH,SL))</f>
        <v>1600</v>
      </c>
      <c r="J17" s="25">
        <f t="array" ref="J17">SUM(IF("156"&amp;C17=KHC&amp;MH,TH))</f>
        <v>8240000</v>
      </c>
      <c r="K17" s="25">
        <f t="shared" si="2"/>
        <v>0</v>
      </c>
      <c r="L17" s="25">
        <f t="shared" si="3"/>
        <v>0</v>
      </c>
      <c r="M17" s="289" t="e">
        <f t="shared" si="4"/>
        <v>#DIV/0!</v>
      </c>
    </row>
    <row r="18" spans="1:13" ht="18.75" customHeight="1">
      <c r="A18" s="289" t="str">
        <f t="shared" si="0"/>
        <v>NL</v>
      </c>
      <c r="B18" s="753">
        <f t="shared" si="1"/>
        <v>7</v>
      </c>
      <c r="C18" s="786" t="s">
        <v>1300</v>
      </c>
      <c r="D18" s="291" t="s">
        <v>339</v>
      </c>
      <c r="E18" s="25"/>
      <c r="F18" s="25"/>
      <c r="G18" s="25">
        <f t="array" ref="G18">SUM(IF("156"&amp;C18=KHN&amp;MH,SL))</f>
        <v>164</v>
      </c>
      <c r="H18" s="25">
        <f t="array" ref="H18">SUM(IF("156"&amp;C18=KHN&amp;MH,TH))</f>
        <v>7916362</v>
      </c>
      <c r="I18" s="25">
        <f t="array" ref="I18">SUM(IF("156"&amp;C18=KHC&amp;MH,SL))</f>
        <v>164</v>
      </c>
      <c r="J18" s="25">
        <f t="array" ref="J18">SUM(IF("156"&amp;C18=KHC&amp;MH,TH))</f>
        <v>7916362</v>
      </c>
      <c r="K18" s="25">
        <f t="shared" si="2"/>
        <v>0</v>
      </c>
      <c r="L18" s="25">
        <f t="shared" si="3"/>
        <v>0</v>
      </c>
      <c r="M18" s="289" t="e">
        <f t="shared" si="4"/>
        <v>#DIV/0!</v>
      </c>
    </row>
    <row r="19" spans="1:13" ht="18.75" customHeight="1">
      <c r="A19" s="289" t="str">
        <f t="shared" si="0"/>
        <v>NL</v>
      </c>
      <c r="B19" s="753">
        <f t="shared" si="1"/>
        <v>8</v>
      </c>
      <c r="C19" s="783" t="s">
        <v>802</v>
      </c>
      <c r="D19" s="291" t="s">
        <v>339</v>
      </c>
      <c r="E19" s="25"/>
      <c r="F19" s="25"/>
      <c r="G19" s="25">
        <f t="array" ref="G19">SUM(IF("156"&amp;C19=KHN&amp;MH,SL))</f>
        <v>1000</v>
      </c>
      <c r="H19" s="25">
        <f t="array" ref="H19">SUM(IF("156"&amp;C19=KHN&amp;MH,TH))</f>
        <v>1369592</v>
      </c>
      <c r="I19" s="25">
        <f t="array" ref="I19">SUM(IF("156"&amp;C19=KHC&amp;MH,SL))</f>
        <v>1000</v>
      </c>
      <c r="J19" s="25">
        <f t="array" ref="J19">SUM(IF("156"&amp;C19=KHC&amp;MH,TH))</f>
        <v>1369592</v>
      </c>
      <c r="K19" s="25">
        <f t="shared" si="2"/>
        <v>0</v>
      </c>
      <c r="L19" s="25">
        <f t="shared" si="3"/>
        <v>0</v>
      </c>
      <c r="M19" s="289" t="e">
        <f t="shared" si="4"/>
        <v>#DIV/0!</v>
      </c>
    </row>
    <row r="20" spans="1:13" ht="18.75" customHeight="1">
      <c r="A20" s="289" t="str">
        <f t="shared" si="0"/>
        <v>NL</v>
      </c>
      <c r="B20" s="753">
        <f t="shared" si="1"/>
        <v>9</v>
      </c>
      <c r="C20" s="786" t="s">
        <v>1428</v>
      </c>
      <c r="D20" s="291" t="s">
        <v>339</v>
      </c>
      <c r="E20" s="25"/>
      <c r="F20" s="25"/>
      <c r="G20" s="25">
        <f t="array" ref="G20">SUM(IF("156"&amp;C20=KHN&amp;MH,SL))</f>
        <v>259</v>
      </c>
      <c r="H20" s="25">
        <f t="array" ref="H20">SUM(IF("156"&amp;C20=KHN&amp;MH,TH))</f>
        <v>2195802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259</v>
      </c>
      <c r="L20" s="25">
        <f t="shared" si="3"/>
        <v>2195802</v>
      </c>
      <c r="M20" s="289">
        <f t="shared" si="4"/>
        <v>8478</v>
      </c>
    </row>
    <row r="21" spans="1:13" ht="18.75" customHeight="1">
      <c r="A21" s="289" t="str">
        <f t="shared" si="0"/>
        <v>NL</v>
      </c>
      <c r="B21" s="753">
        <f t="shared" si="1"/>
        <v>10</v>
      </c>
      <c r="C21" s="786" t="s">
        <v>1427</v>
      </c>
      <c r="D21" s="291" t="s">
        <v>339</v>
      </c>
      <c r="E21" s="25"/>
      <c r="F21" s="25"/>
      <c r="G21" s="25">
        <f t="array" ref="G21">SUM(IF("156"&amp;C21=KHN&amp;MH,SL))</f>
        <v>139</v>
      </c>
      <c r="H21" s="25">
        <f t="array" ref="H21">SUM(IF("156"&amp;C21=KHN&amp;MH,TH))</f>
        <v>1233486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139</v>
      </c>
      <c r="L21" s="25">
        <f t="shared" si="3"/>
        <v>1233486</v>
      </c>
      <c r="M21" s="289">
        <f t="shared" si="4"/>
        <v>8874</v>
      </c>
    </row>
    <row r="22" spans="1:13" ht="18.75" customHeight="1">
      <c r="A22" s="289" t="str">
        <f t="shared" si="0"/>
        <v>NL</v>
      </c>
      <c r="B22" s="753">
        <f t="shared" si="1"/>
        <v>11</v>
      </c>
      <c r="C22" s="786" t="s">
        <v>1422</v>
      </c>
      <c r="D22" s="291" t="s">
        <v>339</v>
      </c>
      <c r="E22" s="25"/>
      <c r="F22" s="25"/>
      <c r="G22" s="25">
        <f t="array" ref="G22">SUM(IF("156"&amp;C22=KHN&amp;MH,SL))</f>
        <v>154</v>
      </c>
      <c r="H22" s="25">
        <f t="array" ref="H22">SUM(IF("156"&amp;C22=KHN&amp;MH,TH))</f>
        <v>2124738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154</v>
      </c>
      <c r="L22" s="25">
        <f t="shared" si="3"/>
        <v>2124738</v>
      </c>
      <c r="M22" s="289">
        <f t="shared" si="4"/>
        <v>13797</v>
      </c>
    </row>
    <row r="23" spans="1:13" ht="18.75" customHeight="1">
      <c r="A23" s="289" t="str">
        <f t="shared" si="0"/>
        <v>NL</v>
      </c>
      <c r="B23" s="753">
        <f t="shared" si="1"/>
        <v>12</v>
      </c>
      <c r="C23" s="786" t="s">
        <v>1401</v>
      </c>
      <c r="D23" s="291" t="s">
        <v>339</v>
      </c>
      <c r="E23" s="25"/>
      <c r="F23" s="25"/>
      <c r="G23" s="25">
        <f t="array" ref="G23">SUM(IF("156"&amp;C23=KHN&amp;MH,SL))</f>
        <v>151</v>
      </c>
      <c r="H23" s="25">
        <f t="array" ref="H23">SUM(IF("156"&amp;C23=KHN&amp;MH,TH))</f>
        <v>2568510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151</v>
      </c>
      <c r="L23" s="25">
        <f t="shared" si="3"/>
        <v>2568510</v>
      </c>
      <c r="M23" s="289">
        <f t="shared" si="4"/>
        <v>17010</v>
      </c>
    </row>
    <row r="24" spans="1:13" ht="18.75" customHeight="1">
      <c r="A24" s="289" t="str">
        <f t="shared" si="0"/>
        <v>NL</v>
      </c>
      <c r="B24" s="753">
        <f t="shared" si="1"/>
        <v>13</v>
      </c>
      <c r="C24" s="786" t="s">
        <v>1406</v>
      </c>
      <c r="D24" s="291" t="s">
        <v>339</v>
      </c>
      <c r="E24" s="25"/>
      <c r="F24" s="25"/>
      <c r="G24" s="25">
        <f t="array" ref="G24">SUM(IF("156"&amp;C24=KHN&amp;MH,SL))</f>
        <v>350</v>
      </c>
      <c r="H24" s="25">
        <f t="array" ref="H24">SUM(IF("156"&amp;C24=KHN&amp;MH,TH))</f>
        <v>6979000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350</v>
      </c>
      <c r="L24" s="25">
        <f t="shared" si="3"/>
        <v>6979000</v>
      </c>
      <c r="M24" s="289">
        <f t="shared" si="4"/>
        <v>19940</v>
      </c>
    </row>
    <row r="25" spans="1:13" ht="18.75" customHeight="1">
      <c r="A25" s="289" t="str">
        <f t="shared" si="0"/>
        <v>NL</v>
      </c>
      <c r="B25" s="753">
        <f t="shared" si="1"/>
        <v>14</v>
      </c>
      <c r="C25" s="292" t="s">
        <v>1112</v>
      </c>
      <c r="D25" s="291" t="s">
        <v>339</v>
      </c>
      <c r="E25" s="25">
        <v>250</v>
      </c>
      <c r="F25" s="25">
        <v>2266250</v>
      </c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250</v>
      </c>
      <c r="L25" s="25">
        <f t="shared" si="3"/>
        <v>2266250</v>
      </c>
      <c r="M25" s="289">
        <f t="shared" si="4"/>
        <v>9065</v>
      </c>
    </row>
    <row r="26" spans="1:13" ht="18.75" customHeight="1">
      <c r="A26" s="289" t="str">
        <f t="shared" si="0"/>
        <v>NL</v>
      </c>
      <c r="B26" s="753">
        <f t="shared" si="1"/>
        <v>15</v>
      </c>
      <c r="C26" s="292" t="s">
        <v>1113</v>
      </c>
      <c r="D26" s="291" t="s">
        <v>339</v>
      </c>
      <c r="E26" s="25">
        <v>144</v>
      </c>
      <c r="F26" s="25">
        <v>1317744</v>
      </c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144</v>
      </c>
      <c r="L26" s="25">
        <f t="shared" si="3"/>
        <v>1317744</v>
      </c>
      <c r="M26" s="289">
        <f t="shared" si="4"/>
        <v>9151</v>
      </c>
    </row>
    <row r="27" spans="1:13" ht="18.75" customHeight="1">
      <c r="A27" s="289" t="str">
        <f t="shared" si="0"/>
        <v>NL</v>
      </c>
      <c r="B27" s="753">
        <f t="shared" si="1"/>
        <v>16</v>
      </c>
      <c r="C27" s="188" t="s">
        <v>1408</v>
      </c>
      <c r="D27" s="291" t="s">
        <v>339</v>
      </c>
      <c r="E27" s="25"/>
      <c r="F27" s="25"/>
      <c r="G27" s="25">
        <f t="array" ref="G27">SUM(IF("156"&amp;C27=KHN&amp;MH,SL))</f>
        <v>118</v>
      </c>
      <c r="H27" s="25">
        <f t="array" ref="H27">SUM(IF("156"&amp;C27=KHN&amp;MH,TH))</f>
        <v>1635480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118</v>
      </c>
      <c r="L27" s="25">
        <f t="shared" si="3"/>
        <v>1635480</v>
      </c>
      <c r="M27" s="289">
        <f t="shared" si="4"/>
        <v>13860</v>
      </c>
    </row>
    <row r="28" spans="1:13" ht="18.75" customHeight="1">
      <c r="A28" s="289" t="str">
        <f t="shared" si="0"/>
        <v>NL</v>
      </c>
      <c r="B28" s="753">
        <f t="shared" si="1"/>
        <v>17</v>
      </c>
      <c r="C28" s="188" t="s">
        <v>1409</v>
      </c>
      <c r="D28" s="291" t="s">
        <v>339</v>
      </c>
      <c r="E28" s="25"/>
      <c r="F28" s="25"/>
      <c r="G28" s="25">
        <f t="array" ref="G28">SUM(IF("156"&amp;C28=KHN&amp;MH,SL))</f>
        <v>124</v>
      </c>
      <c r="H28" s="25">
        <f t="array" ref="H28">SUM(IF("156"&amp;C28=KHN&amp;MH,TH))</f>
        <v>1890504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124</v>
      </c>
      <c r="L28" s="25">
        <f t="shared" si="3"/>
        <v>1890504</v>
      </c>
      <c r="M28" s="289">
        <f t="shared" si="4"/>
        <v>15246</v>
      </c>
    </row>
    <row r="29" spans="1:13" ht="18.75" customHeight="1">
      <c r="A29" s="289" t="str">
        <f t="shared" si="0"/>
        <v>NL</v>
      </c>
      <c r="B29" s="753">
        <f t="shared" si="1"/>
        <v>18</v>
      </c>
      <c r="C29" s="188" t="s">
        <v>1407</v>
      </c>
      <c r="D29" s="291" t="s">
        <v>339</v>
      </c>
      <c r="E29" s="25"/>
      <c r="F29" s="25"/>
      <c r="G29" s="25">
        <f t="array" ref="G29">SUM(IF("156"&amp;C29=KHN&amp;MH,SL))</f>
        <v>400</v>
      </c>
      <c r="H29" s="25">
        <f t="array" ref="H29">SUM(IF("156"&amp;C29=KHN&amp;MH,TH))</f>
        <v>7286400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400</v>
      </c>
      <c r="L29" s="25">
        <f t="shared" si="3"/>
        <v>7286400</v>
      </c>
      <c r="M29" s="289">
        <f t="shared" si="4"/>
        <v>18216</v>
      </c>
    </row>
    <row r="30" spans="1:13" ht="18.75" customHeight="1">
      <c r="A30" s="289" t="str">
        <f t="shared" si="0"/>
        <v>NL</v>
      </c>
      <c r="B30" s="753">
        <f t="shared" si="1"/>
        <v>19</v>
      </c>
      <c r="C30" s="188" t="s">
        <v>1417</v>
      </c>
      <c r="D30" s="291" t="s">
        <v>339</v>
      </c>
      <c r="E30" s="25"/>
      <c r="F30" s="25"/>
      <c r="G30" s="25">
        <f t="array" ref="G30">SUM(IF("156"&amp;C30=KHN&amp;MH,SL))</f>
        <v>100</v>
      </c>
      <c r="H30" s="25">
        <f t="array" ref="H30">SUM(IF("156"&amp;C30=KHN&amp;MH,TH))</f>
        <v>1861200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100</v>
      </c>
      <c r="L30" s="25">
        <f t="shared" si="3"/>
        <v>1861200</v>
      </c>
      <c r="M30" s="289">
        <f t="shared" si="4"/>
        <v>18612</v>
      </c>
    </row>
    <row r="31" spans="1:13" ht="18.75" customHeight="1">
      <c r="A31" s="289" t="str">
        <f t="shared" si="0"/>
        <v>NL</v>
      </c>
      <c r="B31" s="753">
        <f t="shared" si="1"/>
        <v>20</v>
      </c>
      <c r="C31" s="188" t="s">
        <v>1421</v>
      </c>
      <c r="D31" s="291" t="s">
        <v>339</v>
      </c>
      <c r="E31" s="25"/>
      <c r="F31" s="25"/>
      <c r="G31" s="25">
        <f t="array" ref="G31">SUM(IF("156"&amp;C31=KHN&amp;MH,SL))</f>
        <v>183</v>
      </c>
      <c r="H31" s="25">
        <f t="array" ref="H31">SUM(IF("156"&amp;C31=KHN&amp;MH,TH))</f>
        <v>5811165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183</v>
      </c>
      <c r="L31" s="25">
        <f t="shared" si="3"/>
        <v>5811165</v>
      </c>
      <c r="M31" s="289">
        <f t="shared" si="4"/>
        <v>31755</v>
      </c>
    </row>
    <row r="32" spans="1:13" ht="18.75" customHeight="1">
      <c r="A32" s="289" t="str">
        <f t="shared" si="0"/>
        <v>NL</v>
      </c>
      <c r="B32" s="753">
        <f t="shared" si="1"/>
        <v>21</v>
      </c>
      <c r="C32" s="188" t="s">
        <v>1424</v>
      </c>
      <c r="D32" s="291" t="s">
        <v>339</v>
      </c>
      <c r="E32" s="25"/>
      <c r="F32" s="25"/>
      <c r="G32" s="25">
        <f t="array" ref="G32">SUM(IF("156"&amp;C32=KHN&amp;MH,SL))</f>
        <v>123</v>
      </c>
      <c r="H32" s="25">
        <f t="array" ref="H32">SUM(IF("156"&amp;C32=KHN&amp;MH,TH))</f>
        <v>3092958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123</v>
      </c>
      <c r="L32" s="25">
        <f t="shared" si="3"/>
        <v>3092958</v>
      </c>
      <c r="M32" s="289">
        <f t="shared" si="4"/>
        <v>25146</v>
      </c>
    </row>
    <row r="33" spans="1:13" ht="18.75" customHeight="1">
      <c r="A33" s="289" t="str">
        <f t="shared" si="0"/>
        <v>NL</v>
      </c>
      <c r="B33" s="753">
        <f t="shared" si="1"/>
        <v>22</v>
      </c>
      <c r="C33" s="188" t="s">
        <v>448</v>
      </c>
      <c r="D33" s="291" t="s">
        <v>339</v>
      </c>
      <c r="E33" s="25"/>
      <c r="F33" s="25"/>
      <c r="G33" s="25">
        <f t="array" ref="G33">SUM(IF("156"&amp;C33=KHN&amp;MH,SL))</f>
        <v>3000</v>
      </c>
      <c r="H33" s="25">
        <f t="array" ref="H33">SUM(IF("156"&amp;C33=KHN&amp;MH,TH))</f>
        <v>24010944</v>
      </c>
      <c r="I33" s="25">
        <f t="array" ref="I33">SUM(IF("156"&amp;C33=KHC&amp;MH,SL))</f>
        <v>3000</v>
      </c>
      <c r="J33" s="25">
        <f t="array" ref="J33">SUM(IF("156"&amp;C33=KHC&amp;MH,TH))</f>
        <v>24010944</v>
      </c>
      <c r="K33" s="25">
        <f t="shared" si="2"/>
        <v>0</v>
      </c>
      <c r="L33" s="25">
        <f t="shared" si="3"/>
        <v>0</v>
      </c>
      <c r="M33" s="289" t="e">
        <f t="shared" si="4"/>
        <v>#DIV/0!</v>
      </c>
    </row>
    <row r="34" spans="1:13" ht="18.75" customHeight="1">
      <c r="A34" s="289" t="str">
        <f t="shared" si="0"/>
        <v>NL</v>
      </c>
      <c r="B34" s="753">
        <f t="shared" si="1"/>
        <v>23</v>
      </c>
      <c r="C34" s="292" t="s">
        <v>1114</v>
      </c>
      <c r="D34" s="291" t="s">
        <v>339</v>
      </c>
      <c r="E34" s="25">
        <v>200</v>
      </c>
      <c r="F34" s="25">
        <v>1983200</v>
      </c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200</v>
      </c>
      <c r="J34" s="25">
        <f t="array" ref="J34">SUM(IF("156"&amp;C34=KHC&amp;MH,TH))</f>
        <v>1983200</v>
      </c>
      <c r="K34" s="25">
        <f t="shared" si="2"/>
        <v>0</v>
      </c>
      <c r="L34" s="25">
        <f t="shared" si="3"/>
        <v>0</v>
      </c>
      <c r="M34" s="289" t="e">
        <f t="shared" si="4"/>
        <v>#DIV/0!</v>
      </c>
    </row>
    <row r="35" spans="1:13" ht="18.75" customHeight="1">
      <c r="A35" s="289" t="str">
        <f t="shared" si="0"/>
        <v>NL</v>
      </c>
      <c r="B35" s="753">
        <f t="shared" si="1"/>
        <v>24</v>
      </c>
      <c r="C35" s="292" t="s">
        <v>1115</v>
      </c>
      <c r="D35" s="291" t="s">
        <v>339</v>
      </c>
      <c r="E35" s="25">
        <v>180</v>
      </c>
      <c r="F35" s="25">
        <v>1907460</v>
      </c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180</v>
      </c>
      <c r="J35" s="25">
        <f t="array" ref="J35">SUM(IF("156"&amp;C35=KHC&amp;MH,TH))</f>
        <v>1907460</v>
      </c>
      <c r="K35" s="25">
        <f t="shared" si="2"/>
        <v>0</v>
      </c>
      <c r="L35" s="25">
        <f t="shared" si="3"/>
        <v>0</v>
      </c>
      <c r="M35" s="289" t="e">
        <f t="shared" si="4"/>
        <v>#DIV/0!</v>
      </c>
    </row>
    <row r="36" spans="1:13" ht="18.75" customHeight="1">
      <c r="A36" s="289" t="str">
        <f t="shared" si="0"/>
        <v>NL</v>
      </c>
      <c r="B36" s="753">
        <f t="shared" si="1"/>
        <v>25</v>
      </c>
      <c r="C36" s="292" t="s">
        <v>1116</v>
      </c>
      <c r="D36" s="291" t="s">
        <v>339</v>
      </c>
      <c r="E36" s="25">
        <v>40</v>
      </c>
      <c r="F36" s="25">
        <v>574560</v>
      </c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40</v>
      </c>
      <c r="J36" s="25">
        <f t="array" ref="J36">SUM(IF("156"&amp;C36=KHC&amp;MH,TH))</f>
        <v>574560</v>
      </c>
      <c r="K36" s="25">
        <f t="shared" si="2"/>
        <v>0</v>
      </c>
      <c r="L36" s="25">
        <f t="shared" si="3"/>
        <v>0</v>
      </c>
      <c r="M36" s="289" t="e">
        <f t="shared" si="4"/>
        <v>#DIV/0!</v>
      </c>
    </row>
    <row r="37" spans="1:13" ht="18.75" customHeight="1">
      <c r="A37" s="289" t="str">
        <f t="shared" si="0"/>
        <v>NL</v>
      </c>
      <c r="B37" s="753">
        <f t="shared" si="1"/>
        <v>26</v>
      </c>
      <c r="C37" s="191" t="s">
        <v>1117</v>
      </c>
      <c r="D37" s="291" t="s">
        <v>339</v>
      </c>
      <c r="E37" s="25">
        <v>28</v>
      </c>
      <c r="F37" s="25">
        <v>391664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28</v>
      </c>
      <c r="J37" s="25">
        <f t="array" ref="J37">SUM(IF("156"&amp;C37=KHC&amp;MH,TH))</f>
        <v>391664</v>
      </c>
      <c r="K37" s="25">
        <f t="shared" si="2"/>
        <v>0</v>
      </c>
      <c r="L37" s="25">
        <f t="shared" si="3"/>
        <v>0</v>
      </c>
      <c r="M37" s="289" t="e">
        <f t="shared" si="4"/>
        <v>#DIV/0!</v>
      </c>
    </row>
    <row r="38" spans="1:13" ht="18.75" customHeight="1">
      <c r="A38" s="289" t="str">
        <f t="shared" si="0"/>
        <v>NL</v>
      </c>
      <c r="B38" s="753">
        <f t="shared" si="1"/>
        <v>27</v>
      </c>
      <c r="C38" s="188" t="s">
        <v>1118</v>
      </c>
      <c r="D38" s="291" t="s">
        <v>339</v>
      </c>
      <c r="E38" s="25">
        <v>144</v>
      </c>
      <c r="F38" s="25">
        <v>1416240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2"/>
        <v>144</v>
      </c>
      <c r="L38" s="25">
        <f t="shared" si="3"/>
        <v>1416240</v>
      </c>
      <c r="M38" s="289">
        <f t="shared" si="4"/>
        <v>9835</v>
      </c>
    </row>
    <row r="39" spans="1:13" ht="18.75" customHeight="1">
      <c r="A39" s="289" t="str">
        <f t="shared" si="0"/>
        <v>NL</v>
      </c>
      <c r="B39" s="753">
        <f t="shared" si="1"/>
        <v>28</v>
      </c>
      <c r="C39" s="188" t="s">
        <v>1295</v>
      </c>
      <c r="D39" s="291" t="s">
        <v>339</v>
      </c>
      <c r="E39" s="25"/>
      <c r="F39" s="25"/>
      <c r="G39" s="25">
        <f t="array" ref="G39">SUM(IF("156"&amp;C39=KHN&amp;MH,SL))</f>
        <v>505</v>
      </c>
      <c r="H39" s="25">
        <f t="array" ref="H39">SUM(IF("156"&amp;C39=KHN&amp;MH,TH))</f>
        <v>9213725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505</v>
      </c>
      <c r="L39" s="25">
        <f t="shared" si="3"/>
        <v>9213725</v>
      </c>
      <c r="M39" s="289">
        <f t="shared" si="4"/>
        <v>18245</v>
      </c>
    </row>
    <row r="40" spans="1:13" ht="18.75" customHeight="1">
      <c r="A40" s="289" t="str">
        <f t="shared" si="0"/>
        <v>NL</v>
      </c>
      <c r="B40" s="753">
        <f t="shared" si="1"/>
        <v>29</v>
      </c>
      <c r="C40" s="292" t="s">
        <v>1119</v>
      </c>
      <c r="D40" s="291" t="s">
        <v>339</v>
      </c>
      <c r="E40" s="25">
        <v>2</v>
      </c>
      <c r="F40" s="25">
        <v>70876</v>
      </c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2</v>
      </c>
      <c r="J40" s="25">
        <f t="array" ref="J40">SUM(IF("156"&amp;C40=KHC&amp;MH,TH))</f>
        <v>70876</v>
      </c>
      <c r="K40" s="25">
        <f t="shared" si="2"/>
        <v>0</v>
      </c>
      <c r="L40" s="25">
        <f t="shared" si="3"/>
        <v>0</v>
      </c>
      <c r="M40" s="289" t="e">
        <f t="shared" si="4"/>
        <v>#DIV/0!</v>
      </c>
    </row>
    <row r="41" spans="1:13" ht="18.75" customHeight="1">
      <c r="A41" s="289" t="str">
        <f t="shared" si="0"/>
        <v>NL</v>
      </c>
      <c r="B41" s="753">
        <f t="shared" si="1"/>
        <v>30</v>
      </c>
      <c r="C41" s="188" t="s">
        <v>1405</v>
      </c>
      <c r="D41" s="291" t="s">
        <v>339</v>
      </c>
      <c r="E41" s="25"/>
      <c r="F41" s="25"/>
      <c r="G41" s="25">
        <f t="array" ref="G41">SUM(IF("156"&amp;C41=KHN&amp;MH,SL))</f>
        <v>49</v>
      </c>
      <c r="H41" s="25">
        <f t="array" ref="H41">SUM(IF("156"&amp;C41=KHN&amp;MH,TH))</f>
        <v>892584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49</v>
      </c>
      <c r="L41" s="25">
        <f t="shared" si="3"/>
        <v>892584</v>
      </c>
      <c r="M41" s="289">
        <f t="shared" si="4"/>
        <v>18216</v>
      </c>
    </row>
    <row r="42" spans="1:13" ht="18.75" customHeight="1">
      <c r="A42" s="289" t="str">
        <f t="shared" si="0"/>
        <v>NL</v>
      </c>
      <c r="B42" s="753">
        <f t="shared" si="1"/>
        <v>31</v>
      </c>
      <c r="C42" s="188" t="s">
        <v>1410</v>
      </c>
      <c r="D42" s="291" t="s">
        <v>339</v>
      </c>
      <c r="E42" s="25"/>
      <c r="F42" s="25"/>
      <c r="G42" s="25">
        <f t="array" ref="G42">SUM(IF("156"&amp;C42=KHN&amp;MH,SL))</f>
        <v>138</v>
      </c>
      <c r="H42" s="25">
        <f t="array" ref="H42">SUM(IF("156"&amp;C42=KHN&amp;MH,TH))</f>
        <v>2457642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138</v>
      </c>
      <c r="L42" s="25">
        <f t="shared" si="3"/>
        <v>2457642</v>
      </c>
      <c r="M42" s="289">
        <f t="shared" si="4"/>
        <v>17809</v>
      </c>
    </row>
    <row r="43" spans="1:13" ht="18.75" customHeight="1">
      <c r="A43" s="289" t="str">
        <f t="shared" si="0"/>
        <v>NL</v>
      </c>
      <c r="B43" s="753">
        <f t="shared" si="1"/>
        <v>32</v>
      </c>
      <c r="C43" s="188" t="s">
        <v>1402</v>
      </c>
      <c r="D43" s="291" t="s">
        <v>339</v>
      </c>
      <c r="E43" s="25"/>
      <c r="F43" s="25"/>
      <c r="G43" s="25">
        <f t="array" ref="G43">SUM(IF("156"&amp;C43=KHN&amp;MH,SL))</f>
        <v>200</v>
      </c>
      <c r="H43" s="25">
        <f t="array" ref="H43">SUM(IF("156"&amp;C43=KHN&amp;MH,TH))</f>
        <v>3850200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200</v>
      </c>
      <c r="L43" s="25">
        <f t="shared" si="3"/>
        <v>3850200</v>
      </c>
      <c r="M43" s="289">
        <f t="shared" si="4"/>
        <v>19251</v>
      </c>
    </row>
    <row r="44" spans="1:13" ht="18.75" customHeight="1">
      <c r="A44" s="289" t="str">
        <f t="shared" si="0"/>
        <v>NL</v>
      </c>
      <c r="B44" s="753">
        <f t="shared" si="1"/>
        <v>33</v>
      </c>
      <c r="C44" s="188" t="s">
        <v>1411</v>
      </c>
      <c r="D44" s="291" t="s">
        <v>339</v>
      </c>
      <c r="E44" s="25"/>
      <c r="F44" s="25"/>
      <c r="G44" s="25">
        <f t="array" ref="G44">SUM(IF("156"&amp;C44=KHN&amp;MH,SL))</f>
        <v>99</v>
      </c>
      <c r="H44" s="25">
        <f t="array" ref="H44">SUM(IF("156"&amp;C44=KHN&amp;MH,TH))</f>
        <v>1961190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99</v>
      </c>
      <c r="L44" s="25">
        <f t="shared" si="3"/>
        <v>1961190</v>
      </c>
      <c r="M44" s="289">
        <f t="shared" si="4"/>
        <v>19810</v>
      </c>
    </row>
    <row r="45" spans="1:13" ht="18.75" customHeight="1">
      <c r="A45" s="289" t="str">
        <f t="shared" si="0"/>
        <v>NL</v>
      </c>
      <c r="B45" s="753">
        <f t="shared" si="1"/>
        <v>34</v>
      </c>
      <c r="C45" s="188" t="s">
        <v>1430</v>
      </c>
      <c r="D45" s="291" t="s">
        <v>339</v>
      </c>
      <c r="E45" s="25"/>
      <c r="F45" s="25"/>
      <c r="G45" s="25">
        <f t="array" ref="G45">SUM(IF("156"&amp;C45=KHN&amp;MH,SL))</f>
        <v>140</v>
      </c>
      <c r="H45" s="25">
        <f t="array" ref="H45">SUM(IF("156"&amp;C45=KHN&amp;MH,TH))</f>
        <v>3071880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2"/>
        <v>140</v>
      </c>
      <c r="L45" s="25">
        <f t="shared" si="3"/>
        <v>3071880</v>
      </c>
      <c r="M45" s="289">
        <f t="shared" si="4"/>
        <v>21942</v>
      </c>
    </row>
    <row r="46" spans="1:13" ht="18.75" customHeight="1">
      <c r="A46" s="289" t="str">
        <f t="shared" si="0"/>
        <v>NL</v>
      </c>
      <c r="B46" s="753">
        <f t="shared" si="1"/>
        <v>35</v>
      </c>
      <c r="C46" s="191" t="s">
        <v>1120</v>
      </c>
      <c r="D46" s="291" t="s">
        <v>339</v>
      </c>
      <c r="E46" s="25">
        <v>16</v>
      </c>
      <c r="F46" s="25">
        <v>242420</v>
      </c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16</v>
      </c>
      <c r="J46" s="25">
        <f t="array" ref="J46">SUM(IF("156"&amp;C46=KHC&amp;MH,TH))</f>
        <v>242420</v>
      </c>
      <c r="K46" s="25">
        <f t="shared" si="2"/>
        <v>0</v>
      </c>
      <c r="L46" s="25">
        <f t="shared" si="3"/>
        <v>0</v>
      </c>
      <c r="M46" s="289" t="e">
        <f t="shared" si="4"/>
        <v>#DIV/0!</v>
      </c>
    </row>
    <row r="47" spans="1:13" ht="18.75" customHeight="1">
      <c r="A47" s="289" t="str">
        <f t="shared" si="0"/>
        <v>NL</v>
      </c>
      <c r="B47" s="753">
        <f t="shared" si="1"/>
        <v>36</v>
      </c>
      <c r="C47" s="188" t="s">
        <v>1121</v>
      </c>
      <c r="D47" s="291" t="s">
        <v>339</v>
      </c>
      <c r="E47" s="25">
        <v>10</v>
      </c>
      <c r="F47" s="25">
        <v>158355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10</v>
      </c>
      <c r="J47" s="25">
        <f t="array" ref="J47">SUM(IF("156"&amp;C47=KHC&amp;MH,TH))</f>
        <v>158355</v>
      </c>
      <c r="K47" s="25">
        <f t="shared" si="2"/>
        <v>0</v>
      </c>
      <c r="L47" s="25">
        <f t="shared" si="3"/>
        <v>0</v>
      </c>
      <c r="M47" s="289" t="e">
        <f t="shared" si="4"/>
        <v>#DIV/0!</v>
      </c>
    </row>
    <row r="48" spans="1:13" ht="18.75" customHeight="1">
      <c r="A48" s="289" t="str">
        <f t="shared" si="0"/>
        <v>NL</v>
      </c>
      <c r="B48" s="753">
        <f t="shared" si="1"/>
        <v>37</v>
      </c>
      <c r="C48" s="191" t="s">
        <v>1122</v>
      </c>
      <c r="D48" s="291" t="s">
        <v>339</v>
      </c>
      <c r="E48" s="25">
        <v>16</v>
      </c>
      <c r="F48" s="25">
        <v>287776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16</v>
      </c>
      <c r="J48" s="25">
        <f t="array" ref="J48">SUM(IF("156"&amp;C48=KHC&amp;MH,TH))</f>
        <v>287776</v>
      </c>
      <c r="K48" s="25">
        <f t="shared" si="2"/>
        <v>0</v>
      </c>
      <c r="L48" s="25">
        <f t="shared" si="3"/>
        <v>0</v>
      </c>
      <c r="M48" s="289" t="e">
        <f t="shared" si="4"/>
        <v>#DIV/0!</v>
      </c>
    </row>
    <row r="49" spans="1:13" ht="18.75" customHeight="1">
      <c r="A49" s="289" t="str">
        <f t="shared" si="0"/>
        <v>NL</v>
      </c>
      <c r="B49" s="753">
        <f t="shared" si="1"/>
        <v>38</v>
      </c>
      <c r="C49" s="191" t="s">
        <v>1123</v>
      </c>
      <c r="D49" s="291" t="s">
        <v>339</v>
      </c>
      <c r="E49" s="25">
        <v>40</v>
      </c>
      <c r="F49" s="25">
        <v>605520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40</v>
      </c>
      <c r="J49" s="25">
        <f t="array" ref="J49">SUM(IF("156"&amp;C49=KHC&amp;MH,TH))</f>
        <v>605520</v>
      </c>
      <c r="K49" s="25">
        <f t="shared" si="2"/>
        <v>0</v>
      </c>
      <c r="L49" s="25">
        <f t="shared" si="3"/>
        <v>0</v>
      </c>
      <c r="M49" s="289" t="e">
        <f t="shared" si="4"/>
        <v>#DIV/0!</v>
      </c>
    </row>
    <row r="50" spans="1:13" ht="18.75" customHeight="1">
      <c r="A50" s="289" t="str">
        <f t="shared" si="0"/>
        <v>NL</v>
      </c>
      <c r="B50" s="753">
        <f t="shared" si="1"/>
        <v>39</v>
      </c>
      <c r="C50" s="191" t="s">
        <v>1124</v>
      </c>
      <c r="D50" s="291" t="s">
        <v>339</v>
      </c>
      <c r="E50" s="25">
        <v>40</v>
      </c>
      <c r="F50" s="25">
        <v>496800</v>
      </c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40</v>
      </c>
      <c r="J50" s="25">
        <f t="array" ref="J50">SUM(IF("156"&amp;C50=KHC&amp;MH,TH))</f>
        <v>496800</v>
      </c>
      <c r="K50" s="25">
        <f t="shared" si="2"/>
        <v>0</v>
      </c>
      <c r="L50" s="25">
        <f t="shared" si="3"/>
        <v>0</v>
      </c>
      <c r="M50" s="289" t="e">
        <f t="shared" si="4"/>
        <v>#DIV/0!</v>
      </c>
    </row>
    <row r="51" spans="1:13" ht="18.75" customHeight="1">
      <c r="A51" s="289" t="str">
        <f t="shared" si="0"/>
        <v>NL</v>
      </c>
      <c r="B51" s="753">
        <f t="shared" si="1"/>
        <v>40</v>
      </c>
      <c r="C51" s="188" t="s">
        <v>1125</v>
      </c>
      <c r="D51" s="291" t="s">
        <v>339</v>
      </c>
      <c r="E51" s="25">
        <v>132</v>
      </c>
      <c r="F51" s="25">
        <v>1472460</v>
      </c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132</v>
      </c>
      <c r="J51" s="25">
        <f t="array" ref="J51">SUM(IF("156"&amp;C51=KHC&amp;MH,TH))</f>
        <v>1472460</v>
      </c>
      <c r="K51" s="25">
        <f t="shared" si="2"/>
        <v>0</v>
      </c>
      <c r="L51" s="25">
        <f t="shared" si="3"/>
        <v>0</v>
      </c>
      <c r="M51" s="289" t="e">
        <f t="shared" si="4"/>
        <v>#DIV/0!</v>
      </c>
    </row>
    <row r="52" spans="1:13" ht="18.75" customHeight="1">
      <c r="A52" s="289" t="str">
        <f t="shared" si="0"/>
        <v>NL</v>
      </c>
      <c r="B52" s="753">
        <f t="shared" si="1"/>
        <v>41</v>
      </c>
      <c r="C52" s="188" t="s">
        <v>1426</v>
      </c>
      <c r="D52" s="291" t="s">
        <v>339</v>
      </c>
      <c r="E52" s="25"/>
      <c r="F52" s="25"/>
      <c r="G52" s="25">
        <f t="array" ref="G52">SUM(IF("156"&amp;C52=KHN&amp;MH,SL))</f>
        <v>249</v>
      </c>
      <c r="H52" s="25">
        <f t="array" ref="H52">SUM(IF("156"&amp;C52=KHN&amp;MH,TH))</f>
        <v>5663505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2"/>
        <v>249</v>
      </c>
      <c r="L52" s="25">
        <f t="shared" si="3"/>
        <v>5663505</v>
      </c>
      <c r="M52" s="289">
        <f t="shared" si="4"/>
        <v>22745</v>
      </c>
    </row>
    <row r="53" spans="1:13" ht="18.75" customHeight="1">
      <c r="A53" s="289" t="str">
        <f t="shared" si="0"/>
        <v>NL</v>
      </c>
      <c r="B53" s="753">
        <f t="shared" si="1"/>
        <v>42</v>
      </c>
      <c r="C53" s="188" t="s">
        <v>1381</v>
      </c>
      <c r="D53" s="291" t="s">
        <v>339</v>
      </c>
      <c r="E53" s="25"/>
      <c r="F53" s="25"/>
      <c r="G53" s="25">
        <f t="array" ref="G53">SUM(IF("156"&amp;C53=KHN&amp;MH,SL))</f>
        <v>195</v>
      </c>
      <c r="H53" s="25">
        <f t="array" ref="H53">SUM(IF("156"&amp;C53=KHN&amp;MH,TH))</f>
        <v>4003740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195</v>
      </c>
      <c r="L53" s="25">
        <f t="shared" si="3"/>
        <v>4003740</v>
      </c>
      <c r="M53" s="289">
        <f t="shared" si="4"/>
        <v>20532</v>
      </c>
    </row>
    <row r="54" spans="1:13" ht="18.75" customHeight="1">
      <c r="A54" s="289" t="str">
        <f t="shared" si="0"/>
        <v>NL</v>
      </c>
      <c r="B54" s="753">
        <f t="shared" si="1"/>
        <v>43</v>
      </c>
      <c r="C54" s="191" t="s">
        <v>1126</v>
      </c>
      <c r="D54" s="291" t="s">
        <v>339</v>
      </c>
      <c r="E54" s="25">
        <v>10</v>
      </c>
      <c r="F54" s="25">
        <v>171120</v>
      </c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10</v>
      </c>
      <c r="J54" s="25">
        <f t="array" ref="J54">SUM(IF("156"&amp;C54=KHC&amp;MH,TH))</f>
        <v>171120</v>
      </c>
      <c r="K54" s="25">
        <f t="shared" si="2"/>
        <v>0</v>
      </c>
      <c r="L54" s="25">
        <f t="shared" si="3"/>
        <v>0</v>
      </c>
      <c r="M54" s="289" t="e">
        <f t="shared" si="4"/>
        <v>#DIV/0!</v>
      </c>
    </row>
    <row r="55" spans="1:13" ht="18.75" customHeight="1">
      <c r="A55" s="289" t="str">
        <f t="shared" si="0"/>
        <v>NL</v>
      </c>
      <c r="B55" s="753">
        <f t="shared" si="1"/>
        <v>44</v>
      </c>
      <c r="C55" s="191" t="s">
        <v>1127</v>
      </c>
      <c r="D55" s="291" t="s">
        <v>339</v>
      </c>
      <c r="E55" s="25">
        <v>72</v>
      </c>
      <c r="F55" s="25">
        <v>1247976</v>
      </c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72</v>
      </c>
      <c r="J55" s="25">
        <f t="array" ref="J55">SUM(IF("156"&amp;C55=KHC&amp;MH,TH))</f>
        <v>1247976</v>
      </c>
      <c r="K55" s="25">
        <f t="shared" si="2"/>
        <v>0</v>
      </c>
      <c r="L55" s="25">
        <f t="shared" si="3"/>
        <v>0</v>
      </c>
      <c r="M55" s="289" t="e">
        <f t="shared" si="4"/>
        <v>#DIV/0!</v>
      </c>
    </row>
    <row r="56" spans="1:13" ht="18.75" customHeight="1">
      <c r="A56" s="289" t="str">
        <f t="shared" si="0"/>
        <v>NL</v>
      </c>
      <c r="B56" s="753">
        <f t="shared" si="1"/>
        <v>45</v>
      </c>
      <c r="C56" s="292" t="s">
        <v>1128</v>
      </c>
      <c r="D56" s="291" t="s">
        <v>339</v>
      </c>
      <c r="E56" s="25">
        <v>33</v>
      </c>
      <c r="F56" s="25">
        <v>699501</v>
      </c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33</v>
      </c>
      <c r="J56" s="25">
        <f t="array" ref="J56">SUM(IF("156"&amp;C56=KHC&amp;MH,TH))</f>
        <v>699501</v>
      </c>
      <c r="K56" s="25">
        <f t="shared" si="2"/>
        <v>0</v>
      </c>
      <c r="L56" s="25">
        <f t="shared" si="3"/>
        <v>0</v>
      </c>
      <c r="M56" s="289" t="e">
        <f t="shared" si="4"/>
        <v>#DIV/0!</v>
      </c>
    </row>
    <row r="57" spans="1:13" ht="18.75" customHeight="1">
      <c r="A57" s="289" t="str">
        <f t="shared" si="0"/>
        <v>NL</v>
      </c>
      <c r="B57" s="753">
        <f t="shared" si="1"/>
        <v>46</v>
      </c>
      <c r="C57" s="191" t="s">
        <v>1129</v>
      </c>
      <c r="D57" s="291" t="s">
        <v>339</v>
      </c>
      <c r="E57" s="25">
        <v>6</v>
      </c>
      <c r="F57" s="25">
        <v>137118</v>
      </c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6</v>
      </c>
      <c r="J57" s="25">
        <f t="array" ref="J57">SUM(IF("156"&amp;C57=KHC&amp;MH,TH))</f>
        <v>137118</v>
      </c>
      <c r="K57" s="25">
        <f t="shared" si="2"/>
        <v>0</v>
      </c>
      <c r="L57" s="25">
        <f t="shared" si="3"/>
        <v>0</v>
      </c>
      <c r="M57" s="289" t="e">
        <f t="shared" si="4"/>
        <v>#DIV/0!</v>
      </c>
    </row>
    <row r="58" spans="1:13" ht="18.75" customHeight="1">
      <c r="A58" s="289" t="str">
        <f t="shared" si="0"/>
        <v>NL</v>
      </c>
      <c r="B58" s="753">
        <f t="shared" si="1"/>
        <v>47</v>
      </c>
      <c r="C58" s="188" t="s">
        <v>1130</v>
      </c>
      <c r="D58" s="291" t="s">
        <v>339</v>
      </c>
      <c r="E58" s="25">
        <v>17</v>
      </c>
      <c r="F58" s="25">
        <v>427907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17</v>
      </c>
      <c r="J58" s="25">
        <f t="array" ref="J58">SUM(IF("156"&amp;C58=KHC&amp;MH,TH))</f>
        <v>427907</v>
      </c>
      <c r="K58" s="25">
        <f t="shared" si="2"/>
        <v>0</v>
      </c>
      <c r="L58" s="25">
        <f t="shared" si="3"/>
        <v>0</v>
      </c>
      <c r="M58" s="289" t="e">
        <f t="shared" si="4"/>
        <v>#DIV/0!</v>
      </c>
    </row>
    <row r="59" spans="1:13" ht="18.75" customHeight="1">
      <c r="A59" s="289" t="str">
        <f t="shared" si="0"/>
        <v>NL</v>
      </c>
      <c r="B59" s="753">
        <f t="shared" si="1"/>
        <v>48</v>
      </c>
      <c r="C59" s="292" t="s">
        <v>1677</v>
      </c>
      <c r="D59" s="291"/>
      <c r="E59" s="25"/>
      <c r="F59" s="25"/>
      <c r="G59" s="25">
        <f t="array" ref="G59">SUM(IF("156"&amp;C59=KHN&amp;MH,SL))</f>
        <v>1000</v>
      </c>
      <c r="H59" s="25">
        <f t="array" ref="H59">SUM(IF("156"&amp;C59=KHN&amp;MH,TH))</f>
        <v>16806000</v>
      </c>
      <c r="I59" s="25">
        <f t="array" ref="I59">SUM(IF("156"&amp;C59=KHC&amp;MH,SL))</f>
        <v>1000</v>
      </c>
      <c r="J59" s="25">
        <f t="array" ref="J59">SUM(IF("156"&amp;C59=KHC&amp;MH,TH))</f>
        <v>16806000</v>
      </c>
      <c r="K59" s="25">
        <f t="shared" si="2"/>
        <v>0</v>
      </c>
      <c r="L59" s="25">
        <f t="shared" si="3"/>
        <v>0</v>
      </c>
      <c r="M59" s="289" t="e">
        <f t="shared" si="4"/>
        <v>#DIV/0!</v>
      </c>
    </row>
    <row r="60" spans="1:13" ht="18.75" customHeight="1">
      <c r="A60" s="289" t="str">
        <f t="shared" si="0"/>
        <v>NL</v>
      </c>
      <c r="B60" s="753">
        <f t="shared" si="1"/>
        <v>49</v>
      </c>
      <c r="C60" s="188" t="s">
        <v>1131</v>
      </c>
      <c r="D60" s="291" t="s">
        <v>339</v>
      </c>
      <c r="E60" s="25">
        <v>140</v>
      </c>
      <c r="F60" s="25">
        <v>1259720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140</v>
      </c>
      <c r="J60" s="25">
        <f t="array" ref="J60">SUM(IF("156"&amp;C60=KHC&amp;MH,TH))</f>
        <v>1259720</v>
      </c>
      <c r="K60" s="25">
        <f t="shared" si="2"/>
        <v>0</v>
      </c>
      <c r="L60" s="25">
        <f t="shared" si="3"/>
        <v>0</v>
      </c>
      <c r="M60" s="289" t="e">
        <f t="shared" si="4"/>
        <v>#DIV/0!</v>
      </c>
    </row>
    <row r="61" spans="1:13" ht="18.75" customHeight="1">
      <c r="A61" s="289" t="str">
        <f t="shared" si="0"/>
        <v>NL</v>
      </c>
      <c r="B61" s="753">
        <f t="shared" si="1"/>
        <v>50</v>
      </c>
      <c r="C61" s="188" t="s">
        <v>1132</v>
      </c>
      <c r="D61" s="291" t="s">
        <v>339</v>
      </c>
      <c r="E61" s="25">
        <v>240</v>
      </c>
      <c r="F61" s="25">
        <v>2715840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2"/>
        <v>240</v>
      </c>
      <c r="L61" s="25">
        <f t="shared" si="3"/>
        <v>2715840</v>
      </c>
      <c r="M61" s="289">
        <f t="shared" si="4"/>
        <v>11316</v>
      </c>
    </row>
    <row r="62" spans="1:13" ht="18.75" customHeight="1">
      <c r="A62" s="289" t="str">
        <f t="shared" si="0"/>
        <v>NL</v>
      </c>
      <c r="B62" s="753">
        <f t="shared" si="1"/>
        <v>51</v>
      </c>
      <c r="C62" s="188" t="s">
        <v>1133</v>
      </c>
      <c r="D62" s="291" t="s">
        <v>339</v>
      </c>
      <c r="E62" s="25">
        <v>170</v>
      </c>
      <c r="F62" s="25">
        <v>3542630</v>
      </c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2"/>
        <v>170</v>
      </c>
      <c r="L62" s="25">
        <f t="shared" si="3"/>
        <v>3542630</v>
      </c>
      <c r="M62" s="289">
        <f t="shared" si="4"/>
        <v>20839</v>
      </c>
    </row>
    <row r="63" spans="1:13" ht="18.75" customHeight="1">
      <c r="A63" s="289" t="str">
        <f t="shared" si="0"/>
        <v>NL</v>
      </c>
      <c r="B63" s="753">
        <f t="shared" si="1"/>
        <v>52</v>
      </c>
      <c r="C63" s="188" t="s">
        <v>1134</v>
      </c>
      <c r="D63" s="291" t="s">
        <v>339</v>
      </c>
      <c r="E63" s="25">
        <v>125</v>
      </c>
      <c r="F63" s="25">
        <v>2701375</v>
      </c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2"/>
        <v>125</v>
      </c>
      <c r="L63" s="25">
        <f t="shared" si="3"/>
        <v>2701375</v>
      </c>
      <c r="M63" s="289">
        <f t="shared" si="4"/>
        <v>21611</v>
      </c>
    </row>
    <row r="64" spans="1:13" ht="18.75" customHeight="1">
      <c r="A64" s="289" t="str">
        <f t="shared" si="0"/>
        <v>NL</v>
      </c>
      <c r="B64" s="753">
        <f t="shared" si="1"/>
        <v>53</v>
      </c>
      <c r="C64" s="188" t="s">
        <v>1135</v>
      </c>
      <c r="D64" s="291" t="s">
        <v>339</v>
      </c>
      <c r="E64" s="25">
        <v>200</v>
      </c>
      <c r="F64" s="25">
        <v>2195600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200</v>
      </c>
      <c r="L64" s="25">
        <f t="shared" si="3"/>
        <v>2195600</v>
      </c>
      <c r="M64" s="289">
        <f t="shared" si="4"/>
        <v>10978</v>
      </c>
    </row>
    <row r="65" spans="1:13" ht="18.75" customHeight="1">
      <c r="A65" s="289" t="str">
        <f t="shared" si="0"/>
        <v>NL</v>
      </c>
      <c r="B65" s="753">
        <f t="shared" si="1"/>
        <v>54</v>
      </c>
      <c r="C65" s="188" t="s">
        <v>1414</v>
      </c>
      <c r="D65" s="291" t="s">
        <v>339</v>
      </c>
      <c r="E65" s="25"/>
      <c r="F65" s="25"/>
      <c r="G65" s="25">
        <f t="array" ref="G65">SUM(IF("156"&amp;C65=KHN&amp;MH,SL))</f>
        <v>151</v>
      </c>
      <c r="H65" s="25">
        <f t="array" ref="H65">SUM(IF("156"&amp;C65=KHN&amp;MH,TH))</f>
        <v>2726003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151</v>
      </c>
      <c r="L65" s="25">
        <f t="shared" si="3"/>
        <v>2726003</v>
      </c>
      <c r="M65" s="289">
        <f t="shared" si="4"/>
        <v>18053</v>
      </c>
    </row>
    <row r="66" spans="1:13" ht="18.75" customHeight="1">
      <c r="A66" s="289" t="str">
        <f t="shared" si="0"/>
        <v>NL</v>
      </c>
      <c r="B66" s="753">
        <f t="shared" si="1"/>
        <v>55</v>
      </c>
      <c r="C66" s="188" t="s">
        <v>1416</v>
      </c>
      <c r="D66" s="291" t="s">
        <v>339</v>
      </c>
      <c r="E66" s="25"/>
      <c r="F66" s="25"/>
      <c r="G66" s="25">
        <f t="array" ref="G66">SUM(IF("156"&amp;C66=KHN&amp;MH,SL))</f>
        <v>250</v>
      </c>
      <c r="H66" s="25">
        <f t="array" ref="H66">SUM(IF("156"&amp;C66=KHN&amp;MH,TH))</f>
        <v>3179250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250</v>
      </c>
      <c r="L66" s="25">
        <f t="shared" si="3"/>
        <v>3179250</v>
      </c>
      <c r="M66" s="289">
        <f t="shared" si="4"/>
        <v>12717</v>
      </c>
    </row>
    <row r="67" spans="1:13" ht="18.75" customHeight="1">
      <c r="A67" s="289" t="str">
        <f t="shared" si="0"/>
        <v>NL</v>
      </c>
      <c r="B67" s="753">
        <f t="shared" si="1"/>
        <v>56</v>
      </c>
      <c r="C67" s="188" t="s">
        <v>1403</v>
      </c>
      <c r="D67" s="291" t="s">
        <v>339</v>
      </c>
      <c r="E67" s="25"/>
      <c r="F67" s="25"/>
      <c r="G67" s="25">
        <f t="array" ref="G67">SUM(IF("156"&amp;C67=KHN&amp;MH,SL))</f>
        <v>40</v>
      </c>
      <c r="H67" s="25">
        <f t="array" ref="H67">SUM(IF("156"&amp;C67=KHN&amp;MH,TH))</f>
        <v>855000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40</v>
      </c>
      <c r="L67" s="25">
        <f t="shared" si="3"/>
        <v>855000</v>
      </c>
      <c r="M67" s="289">
        <f t="shared" si="4"/>
        <v>21375</v>
      </c>
    </row>
    <row r="68" spans="1:13" ht="18.75" customHeight="1">
      <c r="A68" s="289" t="str">
        <f t="shared" si="0"/>
        <v>NL</v>
      </c>
      <c r="B68" s="753">
        <f t="shared" si="1"/>
        <v>57</v>
      </c>
      <c r="C68" s="188" t="s">
        <v>1404</v>
      </c>
      <c r="D68" s="291" t="s">
        <v>339</v>
      </c>
      <c r="E68" s="25"/>
      <c r="F68" s="25"/>
      <c r="G68" s="25">
        <f t="array" ref="G68">SUM(IF("156"&amp;C68=KHN&amp;MH,SL))</f>
        <v>18</v>
      </c>
      <c r="H68" s="25">
        <f t="array" ref="H68">SUM(IF("156"&amp;C68=KHN&amp;MH,TH))</f>
        <v>473850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2"/>
        <v>18</v>
      </c>
      <c r="L68" s="25">
        <f t="shared" si="3"/>
        <v>473850</v>
      </c>
      <c r="M68" s="289">
        <f t="shared" si="4"/>
        <v>26325</v>
      </c>
    </row>
    <row r="69" spans="1:13" ht="18.75" customHeight="1">
      <c r="A69" s="289" t="str">
        <f t="shared" si="0"/>
        <v>NL</v>
      </c>
      <c r="B69" s="753">
        <f t="shared" si="1"/>
        <v>58</v>
      </c>
      <c r="C69" s="188" t="s">
        <v>1136</v>
      </c>
      <c r="D69" s="291" t="s">
        <v>339</v>
      </c>
      <c r="E69" s="25">
        <v>140</v>
      </c>
      <c r="F69" s="25">
        <v>2173920</v>
      </c>
      <c r="G69" s="25">
        <f t="array" ref="G69">SUM(IF("156"&amp;C69=KHN&amp;MH,SL))</f>
        <v>0</v>
      </c>
      <c r="H69" s="25">
        <f t="array" ref="H69">SUM(IF("156"&amp;C69=KHN&amp;MH,TH))</f>
        <v>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140</v>
      </c>
      <c r="L69" s="25">
        <f t="shared" si="3"/>
        <v>2173920</v>
      </c>
      <c r="M69" s="289">
        <f t="shared" si="4"/>
        <v>15528</v>
      </c>
    </row>
    <row r="70" spans="1:13" ht="18.75" customHeight="1">
      <c r="A70" s="289" t="str">
        <f t="shared" si="0"/>
        <v>NL</v>
      </c>
      <c r="B70" s="753">
        <f t="shared" si="1"/>
        <v>59</v>
      </c>
      <c r="C70" s="191" t="s">
        <v>1137</v>
      </c>
      <c r="D70" s="291" t="s">
        <v>339</v>
      </c>
      <c r="E70" s="25">
        <v>200</v>
      </c>
      <c r="F70" s="25">
        <v>2284200</v>
      </c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200</v>
      </c>
      <c r="L70" s="25">
        <f t="shared" si="3"/>
        <v>2284200</v>
      </c>
      <c r="M70" s="289">
        <f t="shared" si="4"/>
        <v>11421</v>
      </c>
    </row>
    <row r="71" spans="1:13" ht="18.75" customHeight="1">
      <c r="A71" s="289" t="str">
        <f t="shared" si="0"/>
        <v>NL</v>
      </c>
      <c r="B71" s="753">
        <f t="shared" si="1"/>
        <v>60</v>
      </c>
      <c r="C71" s="188" t="s">
        <v>1429</v>
      </c>
      <c r="D71" s="291" t="s">
        <v>339</v>
      </c>
      <c r="E71" s="25"/>
      <c r="F71" s="25"/>
      <c r="G71" s="25">
        <f t="array" ref="G71">SUM(IF("156"&amp;C71=KHN&amp;MH,SL))</f>
        <v>123</v>
      </c>
      <c r="H71" s="25">
        <f t="array" ref="H71">SUM(IF("156"&amp;C71=KHN&amp;MH,TH))</f>
        <v>1717080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2"/>
        <v>123</v>
      </c>
      <c r="L71" s="25">
        <f t="shared" si="3"/>
        <v>1717080</v>
      </c>
      <c r="M71" s="289">
        <f t="shared" si="4"/>
        <v>13960</v>
      </c>
    </row>
    <row r="72" spans="1:13" ht="18.75" customHeight="1">
      <c r="A72" s="289" t="str">
        <f t="shared" si="0"/>
        <v>NL</v>
      </c>
      <c r="B72" s="753">
        <f t="shared" si="1"/>
        <v>61</v>
      </c>
      <c r="C72" s="188" t="s">
        <v>1412</v>
      </c>
      <c r="D72" s="291" t="s">
        <v>339</v>
      </c>
      <c r="E72" s="25"/>
      <c r="F72" s="25"/>
      <c r="G72" s="25">
        <f t="array" ref="G72">SUM(IF("156"&amp;C72=KHN&amp;MH,SL))</f>
        <v>275</v>
      </c>
      <c r="H72" s="25">
        <f t="array" ref="H72">SUM(IF("156"&amp;C72=KHN&amp;MH,TH))</f>
        <v>5746658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2"/>
        <v>275</v>
      </c>
      <c r="L72" s="25">
        <f t="shared" si="3"/>
        <v>5746658</v>
      </c>
      <c r="M72" s="289">
        <f t="shared" si="4"/>
        <v>20896.938181818183</v>
      </c>
    </row>
    <row r="73" spans="1:13" ht="18.75" customHeight="1">
      <c r="A73" s="289" t="str">
        <f t="shared" si="0"/>
        <v>NL</v>
      </c>
      <c r="B73" s="753">
        <f t="shared" si="1"/>
        <v>62</v>
      </c>
      <c r="C73" s="188" t="s">
        <v>1425</v>
      </c>
      <c r="D73" s="291" t="s">
        <v>339</v>
      </c>
      <c r="E73" s="25"/>
      <c r="F73" s="25"/>
      <c r="G73" s="25">
        <f t="array" ref="G73">SUM(IF("156"&amp;C73=KHN&amp;MH,SL))</f>
        <v>251</v>
      </c>
      <c r="H73" s="25">
        <f t="array" ref="H73">SUM(IF("156"&amp;C73=KHN&amp;MH,TH))</f>
        <v>6959979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251</v>
      </c>
      <c r="L73" s="25">
        <f t="shared" si="3"/>
        <v>6959979</v>
      </c>
      <c r="M73" s="289">
        <f t="shared" si="4"/>
        <v>27729</v>
      </c>
    </row>
    <row r="74" spans="1:13" ht="18.75" customHeight="1">
      <c r="A74" s="289" t="str">
        <f t="shared" si="0"/>
        <v>NL</v>
      </c>
      <c r="B74" s="753">
        <f t="shared" si="1"/>
        <v>63</v>
      </c>
      <c r="C74" s="292" t="s">
        <v>1138</v>
      </c>
      <c r="D74" s="291" t="s">
        <v>339</v>
      </c>
      <c r="E74" s="25">
        <v>2</v>
      </c>
      <c r="F74" s="25">
        <v>34697</v>
      </c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2</v>
      </c>
      <c r="J74" s="25">
        <f t="array" ref="J74">SUM(IF("156"&amp;C74=KHC&amp;MH,TH))</f>
        <v>34697</v>
      </c>
      <c r="K74" s="25">
        <f t="shared" si="2"/>
        <v>0</v>
      </c>
      <c r="L74" s="25">
        <f t="shared" si="3"/>
        <v>0</v>
      </c>
      <c r="M74" s="289" t="e">
        <f t="shared" si="4"/>
        <v>#DIV/0!</v>
      </c>
    </row>
    <row r="75" spans="1:13" ht="18.75" customHeight="1">
      <c r="A75" s="289" t="str">
        <f t="shared" si="0"/>
        <v>NL</v>
      </c>
      <c r="B75" s="753">
        <f t="shared" si="1"/>
        <v>64</v>
      </c>
      <c r="C75" s="188" t="s">
        <v>1139</v>
      </c>
      <c r="D75" s="291" t="s">
        <v>339</v>
      </c>
      <c r="E75" s="25">
        <v>16</v>
      </c>
      <c r="F75" s="25">
        <v>337688</v>
      </c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16</v>
      </c>
      <c r="J75" s="25">
        <f t="array" ref="J75">SUM(IF("156"&amp;C75=KHC&amp;MH,TH))</f>
        <v>337688</v>
      </c>
      <c r="K75" s="25">
        <f t="shared" si="2"/>
        <v>0</v>
      </c>
      <c r="L75" s="25">
        <f t="shared" si="3"/>
        <v>0</v>
      </c>
      <c r="M75" s="289" t="e">
        <f t="shared" si="4"/>
        <v>#DIV/0!</v>
      </c>
    </row>
    <row r="76" spans="1:13" ht="18.75" customHeight="1">
      <c r="A76" s="289" t="str">
        <f t="shared" ref="A76:A139" si="5">IF(B76&lt;&gt;"","NL","")</f>
        <v>NL</v>
      </c>
      <c r="B76" s="753">
        <f t="shared" ref="B76:B139" si="6">IF(C76&lt;&gt;"",ROW()-11,"")</f>
        <v>65</v>
      </c>
      <c r="C76" s="292" t="s">
        <v>1140</v>
      </c>
      <c r="D76" s="291" t="s">
        <v>339</v>
      </c>
      <c r="E76" s="25">
        <v>16</v>
      </c>
      <c r="F76" s="25">
        <v>344760</v>
      </c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16</v>
      </c>
      <c r="J76" s="25">
        <f t="array" ref="J76">SUM(IF("156"&amp;C76=KHC&amp;MH,TH))</f>
        <v>344760</v>
      </c>
      <c r="K76" s="25">
        <f t="shared" ref="K76:K139" si="7">E76+G76-I76</f>
        <v>0</v>
      </c>
      <c r="L76" s="25">
        <f t="shared" ref="L76:L139" si="8">F76+H76-J76</f>
        <v>0</v>
      </c>
      <c r="M76" s="289" t="e">
        <f t="shared" ref="M76:M139" si="9">L76/K76</f>
        <v>#DIV/0!</v>
      </c>
    </row>
    <row r="77" spans="1:13" ht="18.75" customHeight="1">
      <c r="A77" s="289" t="str">
        <f t="shared" si="5"/>
        <v>NL</v>
      </c>
      <c r="B77" s="753">
        <f t="shared" si="6"/>
        <v>66</v>
      </c>
      <c r="C77" s="40" t="s">
        <v>1141</v>
      </c>
      <c r="D77" s="291" t="s">
        <v>339</v>
      </c>
      <c r="E77" s="25">
        <v>10</v>
      </c>
      <c r="F77" s="25">
        <v>216580</v>
      </c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10</v>
      </c>
      <c r="J77" s="25">
        <f t="array" ref="J77">SUM(IF("156"&amp;C77=KHC&amp;MH,TH))</f>
        <v>216580</v>
      </c>
      <c r="K77" s="25">
        <f t="shared" si="7"/>
        <v>0</v>
      </c>
      <c r="L77" s="25">
        <f t="shared" si="8"/>
        <v>0</v>
      </c>
      <c r="M77" s="289" t="e">
        <f t="shared" si="9"/>
        <v>#DIV/0!</v>
      </c>
    </row>
    <row r="78" spans="1:13" ht="18.75" customHeight="1">
      <c r="A78" s="289" t="str">
        <f t="shared" si="5"/>
        <v>NL</v>
      </c>
      <c r="B78" s="753">
        <f t="shared" si="6"/>
        <v>67</v>
      </c>
      <c r="C78" s="188" t="s">
        <v>1142</v>
      </c>
      <c r="D78" s="291" t="s">
        <v>339</v>
      </c>
      <c r="E78" s="25">
        <v>2</v>
      </c>
      <c r="F78" s="25">
        <v>45747</v>
      </c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2</v>
      </c>
      <c r="J78" s="25">
        <f t="array" ref="J78">SUM(IF("156"&amp;C78=KHC&amp;MH,TH))</f>
        <v>45747</v>
      </c>
      <c r="K78" s="25">
        <f t="shared" si="7"/>
        <v>0</v>
      </c>
      <c r="L78" s="25">
        <f t="shared" si="8"/>
        <v>0</v>
      </c>
      <c r="M78" s="289" t="e">
        <f t="shared" si="9"/>
        <v>#DIV/0!</v>
      </c>
    </row>
    <row r="79" spans="1:13" ht="18.75" customHeight="1">
      <c r="A79" s="289" t="str">
        <f t="shared" si="5"/>
        <v>NL</v>
      </c>
      <c r="B79" s="753">
        <f t="shared" si="6"/>
        <v>68</v>
      </c>
      <c r="C79" s="191" t="s">
        <v>1143</v>
      </c>
      <c r="D79" s="291" t="s">
        <v>339</v>
      </c>
      <c r="E79" s="25">
        <v>112</v>
      </c>
      <c r="F79" s="25">
        <v>1099392</v>
      </c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112</v>
      </c>
      <c r="J79" s="25">
        <f t="array" ref="J79">SUM(IF("156"&amp;C79=KHC&amp;MH,TH))</f>
        <v>1099392</v>
      </c>
      <c r="K79" s="25">
        <f t="shared" si="7"/>
        <v>0</v>
      </c>
      <c r="L79" s="25">
        <f t="shared" si="8"/>
        <v>0</v>
      </c>
      <c r="M79" s="289" t="e">
        <f t="shared" si="9"/>
        <v>#DIV/0!</v>
      </c>
    </row>
    <row r="80" spans="1:13" ht="18.75" customHeight="1">
      <c r="A80" s="289" t="str">
        <f t="shared" si="5"/>
        <v>NL</v>
      </c>
      <c r="B80" s="753">
        <f t="shared" si="6"/>
        <v>69</v>
      </c>
      <c r="C80" s="188" t="s">
        <v>1144</v>
      </c>
      <c r="D80" s="291" t="s">
        <v>339</v>
      </c>
      <c r="E80" s="25">
        <v>96</v>
      </c>
      <c r="F80" s="25">
        <v>1445664</v>
      </c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96</v>
      </c>
      <c r="J80" s="25">
        <f t="array" ref="J80">SUM(IF("156"&amp;C80=KHC&amp;MH,TH))</f>
        <v>1445664</v>
      </c>
      <c r="K80" s="25">
        <f t="shared" si="7"/>
        <v>0</v>
      </c>
      <c r="L80" s="25">
        <f t="shared" si="8"/>
        <v>0</v>
      </c>
      <c r="M80" s="289" t="e">
        <f t="shared" si="9"/>
        <v>#DIV/0!</v>
      </c>
    </row>
    <row r="81" spans="1:13" ht="18.75" customHeight="1">
      <c r="A81" s="289" t="str">
        <f t="shared" si="5"/>
        <v>NL</v>
      </c>
      <c r="B81" s="753">
        <f t="shared" si="6"/>
        <v>70</v>
      </c>
      <c r="C81" s="188" t="s">
        <v>1415</v>
      </c>
      <c r="D81" s="291" t="s">
        <v>339</v>
      </c>
      <c r="E81" s="25"/>
      <c r="F81" s="25"/>
      <c r="G81" s="25">
        <f t="array" ref="G81">SUM(IF("156"&amp;C81=KHN&amp;MH,SL))</f>
        <v>30</v>
      </c>
      <c r="H81" s="25">
        <f t="array" ref="H81">SUM(IF("156"&amp;C81=KHN&amp;MH,TH))</f>
        <v>599010</v>
      </c>
      <c r="I81" s="25">
        <f t="array" ref="I81">SUM(IF("156"&amp;C81=KHC&amp;MH,SL))</f>
        <v>30</v>
      </c>
      <c r="J81" s="25">
        <f t="array" ref="J81">SUM(IF("156"&amp;C81=KHC&amp;MH,TH))</f>
        <v>599010</v>
      </c>
      <c r="K81" s="25">
        <f t="shared" si="7"/>
        <v>0</v>
      </c>
      <c r="L81" s="25">
        <f t="shared" si="8"/>
        <v>0</v>
      </c>
      <c r="M81" s="289" t="e">
        <f t="shared" si="9"/>
        <v>#DIV/0!</v>
      </c>
    </row>
    <row r="82" spans="1:13" ht="18.75" customHeight="1">
      <c r="A82" s="289" t="str">
        <f t="shared" si="5"/>
        <v>NL</v>
      </c>
      <c r="B82" s="753">
        <f t="shared" si="6"/>
        <v>71</v>
      </c>
      <c r="C82" s="188" t="s">
        <v>1420</v>
      </c>
      <c r="D82" s="291" t="s">
        <v>339</v>
      </c>
      <c r="E82" s="25"/>
      <c r="F82" s="25"/>
      <c r="G82" s="25">
        <f t="array" ref="G82">SUM(IF("156"&amp;C82=KHN&amp;MH,SL))</f>
        <v>800</v>
      </c>
      <c r="H82" s="25">
        <f t="array" ref="H82">SUM(IF("156"&amp;C82=KHN&amp;MH,TH))</f>
        <v>35587200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7"/>
        <v>800</v>
      </c>
      <c r="L82" s="25">
        <f t="shared" si="8"/>
        <v>35587200</v>
      </c>
      <c r="M82" s="289">
        <f t="shared" si="9"/>
        <v>44484</v>
      </c>
    </row>
    <row r="83" spans="1:13" ht="18.75" customHeight="1">
      <c r="A83" s="289" t="str">
        <f t="shared" si="5"/>
        <v>NL</v>
      </c>
      <c r="B83" s="753">
        <f t="shared" si="6"/>
        <v>72</v>
      </c>
      <c r="C83" s="188" t="s">
        <v>1419</v>
      </c>
      <c r="D83" s="291" t="s">
        <v>339</v>
      </c>
      <c r="E83" s="25"/>
      <c r="F83" s="25"/>
      <c r="G83" s="25">
        <f t="array" ref="G83">SUM(IF("156"&amp;C83=KHN&amp;MH,SL))</f>
        <v>136</v>
      </c>
      <c r="H83" s="25">
        <f t="array" ref="H83">SUM(IF("156"&amp;C83=KHN&amp;MH,TH))</f>
        <v>6799320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7"/>
        <v>136</v>
      </c>
      <c r="L83" s="25">
        <f t="shared" si="8"/>
        <v>6799320</v>
      </c>
      <c r="M83" s="289">
        <f t="shared" si="9"/>
        <v>49995</v>
      </c>
    </row>
    <row r="84" spans="1:13" ht="18.75" customHeight="1">
      <c r="A84" s="289" t="str">
        <f t="shared" si="5"/>
        <v>NL</v>
      </c>
      <c r="B84" s="753">
        <f t="shared" si="6"/>
        <v>73</v>
      </c>
      <c r="C84" s="191" t="s">
        <v>1145</v>
      </c>
      <c r="D84" s="291" t="s">
        <v>339</v>
      </c>
      <c r="E84" s="25">
        <v>500</v>
      </c>
      <c r="F84" s="25">
        <v>6119000</v>
      </c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7"/>
        <v>500</v>
      </c>
      <c r="L84" s="25">
        <f t="shared" si="8"/>
        <v>6119000</v>
      </c>
      <c r="M84" s="289">
        <f t="shared" si="9"/>
        <v>12238</v>
      </c>
    </row>
    <row r="85" spans="1:13" ht="18.75" customHeight="1">
      <c r="A85" s="289" t="str">
        <f t="shared" si="5"/>
        <v>NL</v>
      </c>
      <c r="B85" s="753">
        <f t="shared" si="6"/>
        <v>74</v>
      </c>
      <c r="C85" s="188" t="s">
        <v>1398</v>
      </c>
      <c r="D85" s="291" t="s">
        <v>339</v>
      </c>
      <c r="E85" s="25"/>
      <c r="F85" s="25"/>
      <c r="G85" s="25">
        <f t="array" ref="G85">SUM(IF("156"&amp;C85=KHN&amp;MH,SL))</f>
        <v>167</v>
      </c>
      <c r="H85" s="25">
        <f t="array" ref="H85">SUM(IF("156"&amp;C85=KHN&amp;MH,TH))</f>
        <v>2253331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7"/>
        <v>167</v>
      </c>
      <c r="L85" s="25">
        <f t="shared" si="8"/>
        <v>2253331</v>
      </c>
      <c r="M85" s="289">
        <f t="shared" si="9"/>
        <v>13493</v>
      </c>
    </row>
    <row r="86" spans="1:13" ht="18.75" customHeight="1">
      <c r="A86" s="289" t="str">
        <f t="shared" si="5"/>
        <v>NL</v>
      </c>
      <c r="B86" s="753">
        <f t="shared" si="6"/>
        <v>75</v>
      </c>
      <c r="C86" s="191" t="s">
        <v>1146</v>
      </c>
      <c r="D86" s="291" t="s">
        <v>339</v>
      </c>
      <c r="E86" s="25">
        <v>70</v>
      </c>
      <c r="F86" s="25">
        <v>1146600</v>
      </c>
      <c r="G86" s="25">
        <f t="array" ref="G86">SUM(IF("156"&amp;C86=KHN&amp;MH,SL))</f>
        <v>0</v>
      </c>
      <c r="H86" s="25">
        <f t="array" ref="H86">SUM(IF("156"&amp;C86=KHN&amp;MH,TH))</f>
        <v>0</v>
      </c>
      <c r="I86" s="25">
        <f t="array" ref="I86">SUM(IF("156"&amp;C86=KHC&amp;MH,SL))</f>
        <v>70</v>
      </c>
      <c r="J86" s="25">
        <f t="array" ref="J86">SUM(IF("156"&amp;C86=KHC&amp;MH,TH))</f>
        <v>1146600</v>
      </c>
      <c r="K86" s="25">
        <f t="shared" si="7"/>
        <v>0</v>
      </c>
      <c r="L86" s="25">
        <f t="shared" si="8"/>
        <v>0</v>
      </c>
      <c r="M86" s="289" t="e">
        <f t="shared" si="9"/>
        <v>#DIV/0!</v>
      </c>
    </row>
    <row r="87" spans="1:13" ht="18.75" customHeight="1">
      <c r="A87" s="289" t="str">
        <f t="shared" si="5"/>
        <v>NL</v>
      </c>
      <c r="B87" s="753">
        <f t="shared" si="6"/>
        <v>76</v>
      </c>
      <c r="C87" s="188" t="s">
        <v>1418</v>
      </c>
      <c r="D87" s="291" t="s">
        <v>339</v>
      </c>
      <c r="E87" s="25"/>
      <c r="F87" s="25"/>
      <c r="G87" s="25">
        <f t="array" ref="G87">SUM(IF("156"&amp;C87=KHN&amp;MH,SL))</f>
        <v>76</v>
      </c>
      <c r="H87" s="25">
        <f t="array" ref="H87">SUM(IF("156"&amp;C87=KHN&amp;MH,TH))</f>
        <v>2202860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7"/>
        <v>76</v>
      </c>
      <c r="L87" s="25">
        <f t="shared" si="8"/>
        <v>2202860</v>
      </c>
      <c r="M87" s="289">
        <f t="shared" si="9"/>
        <v>28985</v>
      </c>
    </row>
    <row r="88" spans="1:13" ht="18.75" customHeight="1">
      <c r="A88" s="289" t="str">
        <f t="shared" si="5"/>
        <v>NL</v>
      </c>
      <c r="B88" s="753">
        <f t="shared" si="6"/>
        <v>77</v>
      </c>
      <c r="C88" s="188" t="s">
        <v>1423</v>
      </c>
      <c r="D88" s="291" t="s">
        <v>339</v>
      </c>
      <c r="E88" s="25"/>
      <c r="F88" s="25"/>
      <c r="G88" s="25">
        <f t="array" ref="G88">SUM(IF("156"&amp;C88=KHN&amp;MH,SL))</f>
        <v>125</v>
      </c>
      <c r="H88" s="25">
        <f t="array" ref="H88">SUM(IF("156"&amp;C88=KHN&amp;MH,TH))</f>
        <v>3559500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7"/>
        <v>125</v>
      </c>
      <c r="L88" s="25">
        <f t="shared" si="8"/>
        <v>3559500</v>
      </c>
      <c r="M88" s="289">
        <f t="shared" si="9"/>
        <v>28476</v>
      </c>
    </row>
    <row r="89" spans="1:13" ht="18.75" customHeight="1">
      <c r="A89" s="289" t="str">
        <f t="shared" si="5"/>
        <v>NL</v>
      </c>
      <c r="B89" s="753">
        <f t="shared" si="6"/>
        <v>78</v>
      </c>
      <c r="C89" s="191" t="s">
        <v>1147</v>
      </c>
      <c r="D89" s="291" t="s">
        <v>339</v>
      </c>
      <c r="E89" s="25">
        <v>30</v>
      </c>
      <c r="F89" s="25">
        <v>606900</v>
      </c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30</v>
      </c>
      <c r="J89" s="25">
        <f t="array" ref="J89">SUM(IF("156"&amp;C89=KHC&amp;MH,TH))</f>
        <v>606900</v>
      </c>
      <c r="K89" s="25">
        <f t="shared" si="7"/>
        <v>0</v>
      </c>
      <c r="L89" s="25">
        <f t="shared" si="8"/>
        <v>0</v>
      </c>
      <c r="M89" s="289" t="e">
        <f t="shared" si="9"/>
        <v>#DIV/0!</v>
      </c>
    </row>
    <row r="90" spans="1:13" ht="18.75" customHeight="1">
      <c r="A90" s="289" t="str">
        <f t="shared" si="5"/>
        <v>NL</v>
      </c>
      <c r="B90" s="753">
        <f t="shared" si="6"/>
        <v>79</v>
      </c>
      <c r="C90" s="191" t="s">
        <v>1148</v>
      </c>
      <c r="D90" s="291" t="s">
        <v>339</v>
      </c>
      <c r="E90" s="25">
        <v>20</v>
      </c>
      <c r="F90" s="25">
        <v>280140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20</v>
      </c>
      <c r="J90" s="25">
        <f t="array" ref="J90">SUM(IF("156"&amp;C90=KHC&amp;MH,TH))</f>
        <v>280140</v>
      </c>
      <c r="K90" s="25">
        <f t="shared" si="7"/>
        <v>0</v>
      </c>
      <c r="L90" s="25">
        <f t="shared" si="8"/>
        <v>0</v>
      </c>
      <c r="M90" s="289" t="e">
        <f t="shared" si="9"/>
        <v>#DIV/0!</v>
      </c>
    </row>
    <row r="91" spans="1:13" ht="18.75" customHeight="1">
      <c r="A91" s="289" t="str">
        <f t="shared" si="5"/>
        <v>NL</v>
      </c>
      <c r="B91" s="753">
        <f t="shared" si="6"/>
        <v>80</v>
      </c>
      <c r="C91" s="191" t="s">
        <v>1149</v>
      </c>
      <c r="D91" s="291" t="s">
        <v>339</v>
      </c>
      <c r="E91" s="25">
        <v>52</v>
      </c>
      <c r="F91" s="25">
        <v>876408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52</v>
      </c>
      <c r="J91" s="25">
        <f t="array" ref="J91">SUM(IF("156"&amp;C91=KHC&amp;MH,TH))</f>
        <v>876408</v>
      </c>
      <c r="K91" s="25">
        <f t="shared" si="7"/>
        <v>0</v>
      </c>
      <c r="L91" s="25">
        <f t="shared" si="8"/>
        <v>0</v>
      </c>
      <c r="M91" s="289" t="e">
        <f t="shared" si="9"/>
        <v>#DIV/0!</v>
      </c>
    </row>
    <row r="92" spans="1:13" ht="18.75" customHeight="1">
      <c r="A92" s="289" t="str">
        <f t="shared" si="5"/>
        <v>NL</v>
      </c>
      <c r="B92" s="753">
        <f t="shared" si="6"/>
        <v>81</v>
      </c>
      <c r="C92" s="188" t="s">
        <v>1394</v>
      </c>
      <c r="D92" s="291" t="s">
        <v>339</v>
      </c>
      <c r="E92" s="25"/>
      <c r="F92" s="25"/>
      <c r="G92" s="25">
        <f t="array" ref="G92">SUM(IF("156"&amp;C92=KHN&amp;MH,SL))</f>
        <v>130</v>
      </c>
      <c r="H92" s="25">
        <f t="array" ref="H92">SUM(IF("156"&amp;C92=KHN&amp;MH,TH))</f>
        <v>1906060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7"/>
        <v>130</v>
      </c>
      <c r="L92" s="25">
        <f t="shared" si="8"/>
        <v>1906060</v>
      </c>
      <c r="M92" s="289">
        <f t="shared" si="9"/>
        <v>14662</v>
      </c>
    </row>
    <row r="93" spans="1:13" ht="18.75" customHeight="1">
      <c r="A93" s="289" t="str">
        <f t="shared" si="5"/>
        <v>NL</v>
      </c>
      <c r="B93" s="753">
        <f t="shared" si="6"/>
        <v>82</v>
      </c>
      <c r="C93" s="191" t="s">
        <v>916</v>
      </c>
      <c r="D93" s="291" t="s">
        <v>339</v>
      </c>
      <c r="E93" s="25"/>
      <c r="F93" s="25"/>
      <c r="G93" s="25">
        <f t="array" ref="G93">SUM(IF("156"&amp;C93=KHN&amp;MH,SL))</f>
        <v>200</v>
      </c>
      <c r="H93" s="25">
        <f t="array" ref="H93">SUM(IF("156"&amp;C93=KHN&amp;MH,TH))</f>
        <v>3479400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7"/>
        <v>200</v>
      </c>
      <c r="L93" s="25">
        <f t="shared" si="8"/>
        <v>3479400</v>
      </c>
      <c r="M93" s="289">
        <f t="shared" si="9"/>
        <v>17397</v>
      </c>
    </row>
    <row r="94" spans="1:13" ht="18.75" customHeight="1">
      <c r="A94" s="289" t="str">
        <f t="shared" si="5"/>
        <v>NL</v>
      </c>
      <c r="B94" s="753">
        <f t="shared" si="6"/>
        <v>83</v>
      </c>
      <c r="C94" s="188" t="s">
        <v>1150</v>
      </c>
      <c r="D94" s="291" t="s">
        <v>339</v>
      </c>
      <c r="E94" s="25">
        <v>5</v>
      </c>
      <c r="F94" s="25">
        <v>100050</v>
      </c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5</v>
      </c>
      <c r="J94" s="25">
        <f t="array" ref="J94">SUM(IF("156"&amp;C94=KHC&amp;MH,TH))</f>
        <v>100050</v>
      </c>
      <c r="K94" s="25">
        <f t="shared" si="7"/>
        <v>0</v>
      </c>
      <c r="L94" s="25">
        <f t="shared" si="8"/>
        <v>0</v>
      </c>
      <c r="M94" s="289" t="e">
        <f t="shared" si="9"/>
        <v>#DIV/0!</v>
      </c>
    </row>
    <row r="95" spans="1:13" ht="18.75" customHeight="1">
      <c r="A95" s="289" t="str">
        <f t="shared" si="5"/>
        <v>NL</v>
      </c>
      <c r="B95" s="753">
        <f t="shared" si="6"/>
        <v>84</v>
      </c>
      <c r="C95" s="191" t="s">
        <v>1151</v>
      </c>
      <c r="D95" s="291" t="s">
        <v>339</v>
      </c>
      <c r="E95" s="25">
        <v>5</v>
      </c>
      <c r="F95" s="25">
        <v>113390</v>
      </c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5</v>
      </c>
      <c r="J95" s="25">
        <f t="array" ref="J95">SUM(IF("156"&amp;C95=KHC&amp;MH,TH))</f>
        <v>113390</v>
      </c>
      <c r="K95" s="25">
        <f t="shared" si="7"/>
        <v>0</v>
      </c>
      <c r="L95" s="25">
        <f t="shared" si="8"/>
        <v>0</v>
      </c>
      <c r="M95" s="289" t="e">
        <f t="shared" si="9"/>
        <v>#DIV/0!</v>
      </c>
    </row>
    <row r="96" spans="1:13" ht="18.75" customHeight="1">
      <c r="A96" s="289" t="str">
        <f t="shared" si="5"/>
        <v>NL</v>
      </c>
      <c r="B96" s="753">
        <f t="shared" si="6"/>
        <v>85</v>
      </c>
      <c r="C96" s="191" t="s">
        <v>1152</v>
      </c>
      <c r="D96" s="291" t="s">
        <v>339</v>
      </c>
      <c r="E96" s="25">
        <v>17</v>
      </c>
      <c r="F96" s="25">
        <v>399126</v>
      </c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17</v>
      </c>
      <c r="J96" s="25">
        <f t="array" ref="J96">SUM(IF("156"&amp;C96=KHC&amp;MH,TH))</f>
        <v>399126</v>
      </c>
      <c r="K96" s="25">
        <f t="shared" si="7"/>
        <v>0</v>
      </c>
      <c r="L96" s="25">
        <f t="shared" si="8"/>
        <v>0</v>
      </c>
      <c r="M96" s="289" t="e">
        <f t="shared" si="9"/>
        <v>#DIV/0!</v>
      </c>
    </row>
    <row r="97" spans="1:13" ht="18.75" customHeight="1">
      <c r="A97" s="289" t="str">
        <f t="shared" si="5"/>
        <v>NL</v>
      </c>
      <c r="B97" s="753">
        <f t="shared" si="6"/>
        <v>86</v>
      </c>
      <c r="C97" s="191" t="s">
        <v>1153</v>
      </c>
      <c r="D97" s="291" t="s">
        <v>339</v>
      </c>
      <c r="E97" s="25">
        <v>5</v>
      </c>
      <c r="F97" s="25">
        <v>133400</v>
      </c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5</v>
      </c>
      <c r="J97" s="25">
        <f t="array" ref="J97">SUM(IF("156"&amp;C97=KHC&amp;MH,TH))</f>
        <v>133400</v>
      </c>
      <c r="K97" s="25">
        <f t="shared" si="7"/>
        <v>0</v>
      </c>
      <c r="L97" s="25">
        <f t="shared" si="8"/>
        <v>0</v>
      </c>
      <c r="M97" s="289" t="e">
        <f t="shared" si="9"/>
        <v>#DIV/0!</v>
      </c>
    </row>
    <row r="98" spans="1:13" ht="18.75" customHeight="1">
      <c r="A98" s="289" t="str">
        <f t="shared" si="5"/>
        <v>NL</v>
      </c>
      <c r="B98" s="753">
        <f t="shared" si="6"/>
        <v>87</v>
      </c>
      <c r="C98" s="191" t="s">
        <v>1154</v>
      </c>
      <c r="D98" s="291" t="s">
        <v>339</v>
      </c>
      <c r="E98" s="25">
        <v>34</v>
      </c>
      <c r="F98" s="25">
        <v>961554</v>
      </c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34</v>
      </c>
      <c r="J98" s="25">
        <f t="array" ref="J98">SUM(IF("156"&amp;C98=KHC&amp;MH,TH))</f>
        <v>961554</v>
      </c>
      <c r="K98" s="25">
        <f t="shared" si="7"/>
        <v>0</v>
      </c>
      <c r="L98" s="25">
        <f t="shared" si="8"/>
        <v>0</v>
      </c>
      <c r="M98" s="289" t="e">
        <f t="shared" si="9"/>
        <v>#DIV/0!</v>
      </c>
    </row>
    <row r="99" spans="1:13" ht="18.75" customHeight="1">
      <c r="A99" s="289" t="str">
        <f t="shared" si="5"/>
        <v>NL</v>
      </c>
      <c r="B99" s="753">
        <f t="shared" si="6"/>
        <v>88</v>
      </c>
      <c r="C99" s="292" t="s">
        <v>1450</v>
      </c>
      <c r="D99" s="291" t="s">
        <v>339</v>
      </c>
      <c r="E99" s="25"/>
      <c r="F99" s="25"/>
      <c r="G99" s="25">
        <f t="array" ref="G99">SUM(IF("156"&amp;C99=KHN&amp;MH,SL))</f>
        <v>500</v>
      </c>
      <c r="H99" s="25">
        <f t="array" ref="H99">SUM(IF("156"&amp;C99=KHN&amp;MH,TH))</f>
        <v>14216500</v>
      </c>
      <c r="I99" s="25">
        <f t="array" ref="I99">SUM(IF("156"&amp;C99=KHC&amp;MH,SL))</f>
        <v>500</v>
      </c>
      <c r="J99" s="25">
        <f t="array" ref="J99">SUM(IF("156"&amp;C99=KHC&amp;MH,TH))</f>
        <v>14216500</v>
      </c>
      <c r="K99" s="25">
        <f t="shared" si="7"/>
        <v>0</v>
      </c>
      <c r="L99" s="25">
        <f t="shared" si="8"/>
        <v>0</v>
      </c>
      <c r="M99" s="289" t="e">
        <f t="shared" si="9"/>
        <v>#DIV/0!</v>
      </c>
    </row>
    <row r="100" spans="1:13" ht="18.75" customHeight="1">
      <c r="A100" s="289" t="str">
        <f t="shared" si="5"/>
        <v>NL</v>
      </c>
      <c r="B100" s="753">
        <f t="shared" si="6"/>
        <v>89</v>
      </c>
      <c r="C100" s="188" t="s">
        <v>1155</v>
      </c>
      <c r="D100" s="291" t="s">
        <v>339</v>
      </c>
      <c r="E100" s="25">
        <v>15</v>
      </c>
      <c r="F100" s="25">
        <v>146070</v>
      </c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15</v>
      </c>
      <c r="J100" s="25">
        <f t="array" ref="J100">SUM(IF("156"&amp;C100=KHC&amp;MH,TH))</f>
        <v>146070</v>
      </c>
      <c r="K100" s="25">
        <f t="shared" si="7"/>
        <v>0</v>
      </c>
      <c r="L100" s="25">
        <f t="shared" si="8"/>
        <v>0</v>
      </c>
      <c r="M100" s="289" t="e">
        <f t="shared" si="9"/>
        <v>#DIV/0!</v>
      </c>
    </row>
    <row r="101" spans="1:13" ht="18.75" customHeight="1">
      <c r="A101" s="289" t="str">
        <f t="shared" si="5"/>
        <v>NL</v>
      </c>
      <c r="B101" s="753">
        <f t="shared" si="6"/>
        <v>90</v>
      </c>
      <c r="C101" s="191" t="s">
        <v>1156</v>
      </c>
      <c r="D101" s="291" t="s">
        <v>339</v>
      </c>
      <c r="E101" s="25">
        <v>128</v>
      </c>
      <c r="F101" s="25">
        <v>2098880</v>
      </c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 t="shared" si="7"/>
        <v>128</v>
      </c>
      <c r="L101" s="25">
        <f t="shared" si="8"/>
        <v>2098880</v>
      </c>
      <c r="M101" s="289">
        <f t="shared" si="9"/>
        <v>16397.5</v>
      </c>
    </row>
    <row r="102" spans="1:13" ht="18.75" customHeight="1">
      <c r="A102" s="289" t="str">
        <f t="shared" si="5"/>
        <v>NL</v>
      </c>
      <c r="B102" s="753">
        <f t="shared" si="6"/>
        <v>91</v>
      </c>
      <c r="C102" s="188" t="s">
        <v>1157</v>
      </c>
      <c r="D102" s="291" t="s">
        <v>339</v>
      </c>
      <c r="E102" s="25">
        <v>100</v>
      </c>
      <c r="F102" s="25">
        <v>1331800</v>
      </c>
      <c r="G102" s="25">
        <f t="array" ref="G102">SUM(IF("156"&amp;C102=KHN&amp;MH,SL))</f>
        <v>0</v>
      </c>
      <c r="H102" s="25">
        <f t="array" ref="H102">SUM(IF("156"&amp;C102=KHN&amp;MH,TH))</f>
        <v>0</v>
      </c>
      <c r="I102" s="25">
        <f t="array" ref="I102">SUM(IF("156"&amp;C102=KHC&amp;MH,SL))</f>
        <v>100</v>
      </c>
      <c r="J102" s="25">
        <f t="array" ref="J102">SUM(IF("156"&amp;C102=KHC&amp;MH,TH))</f>
        <v>1331800</v>
      </c>
      <c r="K102" s="25">
        <f t="shared" si="7"/>
        <v>0</v>
      </c>
      <c r="L102" s="25">
        <f t="shared" si="8"/>
        <v>0</v>
      </c>
      <c r="M102" s="289" t="e">
        <f t="shared" si="9"/>
        <v>#DIV/0!</v>
      </c>
    </row>
    <row r="103" spans="1:13" ht="18.75" customHeight="1">
      <c r="A103" s="289" t="str">
        <f t="shared" si="5"/>
        <v>NL</v>
      </c>
      <c r="B103" s="753">
        <f t="shared" si="6"/>
        <v>92</v>
      </c>
      <c r="C103" s="188" t="s">
        <v>1158</v>
      </c>
      <c r="D103" s="291" t="s">
        <v>339</v>
      </c>
      <c r="E103" s="25">
        <v>88</v>
      </c>
      <c r="F103" s="25">
        <v>981640</v>
      </c>
      <c r="G103" s="25">
        <f t="array" ref="G103">SUM(IF("156"&amp;C103=KHN&amp;MH,SL))</f>
        <v>0</v>
      </c>
      <c r="H103" s="25">
        <f t="array" ref="H103">SUM(IF("156"&amp;C103=KHN&amp;MH,TH))</f>
        <v>0</v>
      </c>
      <c r="I103" s="25">
        <f t="array" ref="I103">SUM(IF("156"&amp;C103=KHC&amp;MH,SL))</f>
        <v>88</v>
      </c>
      <c r="J103" s="25">
        <f t="array" ref="J103">SUM(IF("156"&amp;C103=KHC&amp;MH,TH))</f>
        <v>981640</v>
      </c>
      <c r="K103" s="25">
        <f t="shared" si="7"/>
        <v>0</v>
      </c>
      <c r="L103" s="25">
        <f t="shared" si="8"/>
        <v>0</v>
      </c>
      <c r="M103" s="289" t="e">
        <f t="shared" si="9"/>
        <v>#DIV/0!</v>
      </c>
    </row>
    <row r="104" spans="1:13" ht="18.75" customHeight="1">
      <c r="A104" s="289" t="str">
        <f t="shared" si="5"/>
        <v>NL</v>
      </c>
      <c r="B104" s="753">
        <f t="shared" si="6"/>
        <v>93</v>
      </c>
      <c r="C104" s="188" t="s">
        <v>1159</v>
      </c>
      <c r="D104" s="291" t="s">
        <v>339</v>
      </c>
      <c r="E104" s="25">
        <v>250</v>
      </c>
      <c r="F104" s="25">
        <v>2470500</v>
      </c>
      <c r="G104" s="25">
        <f t="array" ref="G104">SUM(IF("156"&amp;C104=KHN&amp;MH,SL))</f>
        <v>0</v>
      </c>
      <c r="H104" s="25">
        <f t="array" ref="H104">SUM(IF("156"&amp;C104=KHN&amp;MH,TH))</f>
        <v>0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 t="shared" si="7"/>
        <v>250</v>
      </c>
      <c r="L104" s="25">
        <f t="shared" si="8"/>
        <v>2470500</v>
      </c>
      <c r="M104" s="289">
        <f t="shared" si="9"/>
        <v>9882</v>
      </c>
    </row>
    <row r="105" spans="1:13" ht="18.75" customHeight="1">
      <c r="A105" s="289" t="str">
        <f t="shared" si="5"/>
        <v>NL</v>
      </c>
      <c r="B105" s="753">
        <f t="shared" si="6"/>
        <v>94</v>
      </c>
      <c r="C105" s="188" t="s">
        <v>1393</v>
      </c>
      <c r="D105" s="291" t="s">
        <v>339</v>
      </c>
      <c r="E105" s="25"/>
      <c r="F105" s="25"/>
      <c r="G105" s="25">
        <f t="array" ref="G105">SUM(IF("156"&amp;C105=KHN&amp;MH,SL))</f>
        <v>130</v>
      </c>
      <c r="H105" s="25">
        <f t="array" ref="H105">SUM(IF("156"&amp;C105=KHN&amp;MH,TH))</f>
        <v>1740830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7"/>
        <v>130</v>
      </c>
      <c r="L105" s="25">
        <f t="shared" si="8"/>
        <v>1740830</v>
      </c>
      <c r="M105" s="289">
        <f t="shared" si="9"/>
        <v>13391</v>
      </c>
    </row>
    <row r="106" spans="1:13" ht="18.75" customHeight="1">
      <c r="A106" s="289" t="str">
        <f t="shared" si="5"/>
        <v>NL</v>
      </c>
      <c r="B106" s="753">
        <f t="shared" si="6"/>
        <v>95</v>
      </c>
      <c r="C106" s="188" t="s">
        <v>1298</v>
      </c>
      <c r="D106" s="291" t="s">
        <v>339</v>
      </c>
      <c r="E106" s="25"/>
      <c r="F106" s="25"/>
      <c r="G106" s="25">
        <f t="array" ref="G106">SUM(IF("156"&amp;C106=KHN&amp;MH,SL))</f>
        <v>150</v>
      </c>
      <c r="H106" s="25">
        <f t="array" ref="H106">SUM(IF("156"&amp;C106=KHN&amp;MH,TH))</f>
        <v>3175200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 t="shared" si="7"/>
        <v>150</v>
      </c>
      <c r="L106" s="25">
        <f t="shared" si="8"/>
        <v>3175200</v>
      </c>
      <c r="M106" s="289">
        <f t="shared" si="9"/>
        <v>21168</v>
      </c>
    </row>
    <row r="107" spans="1:13" ht="18.75" customHeight="1">
      <c r="A107" s="289" t="str">
        <f t="shared" si="5"/>
        <v>NL</v>
      </c>
      <c r="B107" s="753">
        <f t="shared" si="6"/>
        <v>96</v>
      </c>
      <c r="C107" s="188" t="s">
        <v>1297</v>
      </c>
      <c r="D107" s="291" t="s">
        <v>339</v>
      </c>
      <c r="E107" s="25"/>
      <c r="F107" s="25"/>
      <c r="G107" s="25">
        <f t="array" ref="G107">SUM(IF("156"&amp;C107=KHN&amp;MH,SL))</f>
        <v>34</v>
      </c>
      <c r="H107" s="25">
        <f t="array" ref="H107">SUM(IF("156"&amp;C107=KHN&amp;MH,TH))</f>
        <v>1046520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 t="shared" si="7"/>
        <v>34</v>
      </c>
      <c r="L107" s="25">
        <f t="shared" si="8"/>
        <v>1046520</v>
      </c>
      <c r="M107" s="289">
        <f t="shared" si="9"/>
        <v>30780</v>
      </c>
    </row>
    <row r="108" spans="1:13" ht="18.75" customHeight="1">
      <c r="A108" s="289" t="str">
        <f t="shared" si="5"/>
        <v>NL</v>
      </c>
      <c r="B108" s="753">
        <f t="shared" si="6"/>
        <v>97</v>
      </c>
      <c r="C108" s="188" t="s">
        <v>1299</v>
      </c>
      <c r="D108" s="291" t="s">
        <v>339</v>
      </c>
      <c r="E108" s="25"/>
      <c r="F108" s="25"/>
      <c r="G108" s="25">
        <f t="array" ref="G108">SUM(IF("156"&amp;C108=KHN&amp;MH,SL))</f>
        <v>120</v>
      </c>
      <c r="H108" s="25">
        <f t="array" ref="H108">SUM(IF("156"&amp;C108=KHN&amp;MH,TH))</f>
        <v>3058560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 t="shared" si="7"/>
        <v>120</v>
      </c>
      <c r="L108" s="25">
        <f t="shared" si="8"/>
        <v>3058560</v>
      </c>
      <c r="M108" s="289">
        <f t="shared" si="9"/>
        <v>25488</v>
      </c>
    </row>
    <row r="109" spans="1:13" ht="18.75" customHeight="1">
      <c r="A109" s="289" t="str">
        <f t="shared" si="5"/>
        <v>NL</v>
      </c>
      <c r="B109" s="753">
        <f t="shared" si="6"/>
        <v>98</v>
      </c>
      <c r="C109" s="188" t="s">
        <v>1384</v>
      </c>
      <c r="D109" s="291" t="s">
        <v>339</v>
      </c>
      <c r="E109" s="25"/>
      <c r="F109" s="25"/>
      <c r="G109" s="25">
        <f t="array" ref="G109">SUM(IF("156"&amp;C109=KHN&amp;MH,SL))</f>
        <v>20</v>
      </c>
      <c r="H109" s="25">
        <f t="array" ref="H109">SUM(IF("156"&amp;C109=KHN&amp;MH,TH))</f>
        <v>952260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 t="shared" si="7"/>
        <v>20</v>
      </c>
      <c r="L109" s="25">
        <f t="shared" si="8"/>
        <v>952260</v>
      </c>
      <c r="M109" s="289">
        <f t="shared" si="9"/>
        <v>47613</v>
      </c>
    </row>
    <row r="110" spans="1:13" ht="18.75" customHeight="1">
      <c r="A110" s="289" t="str">
        <f t="shared" si="5"/>
        <v>NL</v>
      </c>
      <c r="B110" s="753">
        <f t="shared" si="6"/>
        <v>99</v>
      </c>
      <c r="C110" s="188" t="s">
        <v>1160</v>
      </c>
      <c r="D110" s="291" t="s">
        <v>339</v>
      </c>
      <c r="E110" s="25">
        <v>60</v>
      </c>
      <c r="F110" s="25">
        <v>1035000</v>
      </c>
      <c r="G110" s="25">
        <f t="array" ref="G110">SUM(IF("156"&amp;C110=KHN&amp;MH,SL))</f>
        <v>0</v>
      </c>
      <c r="H110" s="25">
        <f t="array" ref="H110">SUM(IF("156"&amp;C110=KHN&amp;MH,TH))</f>
        <v>0</v>
      </c>
      <c r="I110" s="25">
        <f t="array" ref="I110">SUM(IF("156"&amp;C110=KHC&amp;MH,SL))</f>
        <v>60</v>
      </c>
      <c r="J110" s="25">
        <f t="array" ref="J110">SUM(IF("156"&amp;C110=KHC&amp;MH,TH))</f>
        <v>1035000</v>
      </c>
      <c r="K110" s="25">
        <f t="shared" si="7"/>
        <v>0</v>
      </c>
      <c r="L110" s="25">
        <f t="shared" si="8"/>
        <v>0</v>
      </c>
      <c r="M110" s="289" t="e">
        <f t="shared" si="9"/>
        <v>#DIV/0!</v>
      </c>
    </row>
    <row r="111" spans="1:13" ht="18.75" customHeight="1">
      <c r="A111" s="289" t="str">
        <f t="shared" si="5"/>
        <v>NL</v>
      </c>
      <c r="B111" s="753">
        <f t="shared" si="6"/>
        <v>100</v>
      </c>
      <c r="C111" s="191" t="s">
        <v>1161</v>
      </c>
      <c r="D111" s="291" t="s">
        <v>339</v>
      </c>
      <c r="E111" s="25">
        <v>140</v>
      </c>
      <c r="F111" s="25">
        <v>2332680</v>
      </c>
      <c r="G111" s="25">
        <f t="array" ref="G111">SUM(IF("156"&amp;C111=KHN&amp;MH,SL))</f>
        <v>0</v>
      </c>
      <c r="H111" s="25">
        <f t="array" ref="H111">SUM(IF("156"&amp;C111=KHN&amp;MH,TH))</f>
        <v>0</v>
      </c>
      <c r="I111" s="25">
        <f t="array" ref="I111">SUM(IF("156"&amp;C111=KHC&amp;MH,SL))</f>
        <v>140</v>
      </c>
      <c r="J111" s="25">
        <f t="array" ref="J111">SUM(IF("156"&amp;C111=KHC&amp;MH,TH))</f>
        <v>2332680</v>
      </c>
      <c r="K111" s="25">
        <f t="shared" si="7"/>
        <v>0</v>
      </c>
      <c r="L111" s="25">
        <f t="shared" si="8"/>
        <v>0</v>
      </c>
      <c r="M111" s="289" t="e">
        <f t="shared" si="9"/>
        <v>#DIV/0!</v>
      </c>
    </row>
    <row r="112" spans="1:13" ht="18.75" customHeight="1">
      <c r="A112" s="289" t="str">
        <f t="shared" si="5"/>
        <v>NL</v>
      </c>
      <c r="B112" s="753">
        <f t="shared" si="6"/>
        <v>101</v>
      </c>
      <c r="C112" s="188" t="s">
        <v>1387</v>
      </c>
      <c r="D112" s="291" t="s">
        <v>339</v>
      </c>
      <c r="E112" s="25"/>
      <c r="F112" s="25"/>
      <c r="G112" s="25">
        <f t="array" ref="G112">SUM(IF("156"&amp;C112=KHN&amp;MH,SL))</f>
        <v>32</v>
      </c>
      <c r="H112" s="25">
        <f t="array" ref="H112">SUM(IF("156"&amp;C112=KHN&amp;MH,TH))</f>
        <v>907360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7"/>
        <v>32</v>
      </c>
      <c r="L112" s="25">
        <f t="shared" si="8"/>
        <v>907360</v>
      </c>
      <c r="M112" s="289">
        <f t="shared" si="9"/>
        <v>28355</v>
      </c>
    </row>
    <row r="113" spans="1:13" ht="18.75" customHeight="1">
      <c r="A113" s="289" t="str">
        <f t="shared" si="5"/>
        <v>NL</v>
      </c>
      <c r="B113" s="753">
        <f t="shared" si="6"/>
        <v>102</v>
      </c>
      <c r="C113" s="188" t="s">
        <v>1390</v>
      </c>
      <c r="D113" s="291" t="s">
        <v>339</v>
      </c>
      <c r="E113" s="25"/>
      <c r="F113" s="25"/>
      <c r="G113" s="25">
        <f t="array" ref="G113">SUM(IF("156"&amp;C113=KHN&amp;MH,SL))</f>
        <v>35</v>
      </c>
      <c r="H113" s="25">
        <f t="array" ref="H113">SUM(IF("156"&amp;C113=KHN&amp;MH,TH))</f>
        <v>1087205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7"/>
        <v>35</v>
      </c>
      <c r="L113" s="25">
        <f t="shared" si="8"/>
        <v>1087205</v>
      </c>
      <c r="M113" s="289">
        <f t="shared" si="9"/>
        <v>31063</v>
      </c>
    </row>
    <row r="114" spans="1:13" ht="18.75" customHeight="1">
      <c r="A114" s="289" t="str">
        <f t="shared" si="5"/>
        <v>NL</v>
      </c>
      <c r="B114" s="753">
        <f t="shared" si="6"/>
        <v>103</v>
      </c>
      <c r="C114" s="188" t="s">
        <v>1378</v>
      </c>
      <c r="D114" s="291" t="s">
        <v>339</v>
      </c>
      <c r="E114" s="25"/>
      <c r="F114" s="25"/>
      <c r="G114" s="25">
        <f t="array" ref="G114">SUM(IF("156"&amp;C114=KHN&amp;MH,SL))</f>
        <v>46</v>
      </c>
      <c r="H114" s="25">
        <f t="array" ref="H114">SUM(IF("156"&amp;C114=KHN&amp;MH,TH))</f>
        <v>2280312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 t="shared" si="7"/>
        <v>46</v>
      </c>
      <c r="L114" s="25">
        <f t="shared" si="8"/>
        <v>2280312</v>
      </c>
      <c r="M114" s="289">
        <f t="shared" si="9"/>
        <v>49572</v>
      </c>
    </row>
    <row r="115" spans="1:13" ht="18.75" customHeight="1">
      <c r="A115" s="289" t="str">
        <f t="shared" si="5"/>
        <v>NL</v>
      </c>
      <c r="B115" s="753">
        <f t="shared" si="6"/>
        <v>104</v>
      </c>
      <c r="C115" s="188" t="s">
        <v>1379</v>
      </c>
      <c r="D115" s="291" t="s">
        <v>339</v>
      </c>
      <c r="E115" s="25"/>
      <c r="F115" s="25"/>
      <c r="G115" s="25">
        <f t="array" ref="G115">SUM(IF("156"&amp;C115=KHN&amp;MH,SL))</f>
        <v>74</v>
      </c>
      <c r="H115" s="25">
        <f t="array" ref="H115">SUM(IF("156"&amp;C115=KHN&amp;MH,TH))</f>
        <v>3993114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 t="shared" si="7"/>
        <v>74</v>
      </c>
      <c r="L115" s="25">
        <f t="shared" si="8"/>
        <v>3993114</v>
      </c>
      <c r="M115" s="289">
        <f t="shared" si="9"/>
        <v>53961</v>
      </c>
    </row>
    <row r="116" spans="1:13" ht="18.75" customHeight="1">
      <c r="A116" s="289" t="str">
        <f t="shared" si="5"/>
        <v>NL</v>
      </c>
      <c r="B116" s="753">
        <f t="shared" si="6"/>
        <v>105</v>
      </c>
      <c r="C116" s="191" t="s">
        <v>1162</v>
      </c>
      <c r="D116" s="291" t="s">
        <v>339</v>
      </c>
      <c r="E116" s="25">
        <v>30</v>
      </c>
      <c r="F116" s="25">
        <v>607470</v>
      </c>
      <c r="G116" s="25">
        <f t="array" ref="G116">SUM(IF("156"&amp;C116=KHN&amp;MH,SL))</f>
        <v>0</v>
      </c>
      <c r="H116" s="25">
        <f t="array" ref="H116">SUM(IF("156"&amp;C116=KHN&amp;MH,TH))</f>
        <v>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 t="shared" si="7"/>
        <v>30</v>
      </c>
      <c r="L116" s="25">
        <f t="shared" si="8"/>
        <v>607470</v>
      </c>
      <c r="M116" s="289">
        <f t="shared" si="9"/>
        <v>20249</v>
      </c>
    </row>
    <row r="117" spans="1:13" ht="18.75" customHeight="1">
      <c r="A117" s="289" t="str">
        <f t="shared" si="5"/>
        <v>NL</v>
      </c>
      <c r="B117" s="753">
        <f t="shared" si="6"/>
        <v>106</v>
      </c>
      <c r="C117" s="191" t="s">
        <v>1163</v>
      </c>
      <c r="D117" s="291" t="s">
        <v>339</v>
      </c>
      <c r="E117" s="25">
        <v>3</v>
      </c>
      <c r="F117" s="25">
        <v>65880</v>
      </c>
      <c r="G117" s="25">
        <f t="array" ref="G117">SUM(IF("156"&amp;C117=KHN&amp;MH,SL))</f>
        <v>0</v>
      </c>
      <c r="H117" s="25">
        <f t="array" ref="H117">SUM(IF("156"&amp;C117=KHN&amp;MH,TH))</f>
        <v>0</v>
      </c>
      <c r="I117" s="25">
        <f t="array" ref="I117">SUM(IF("156"&amp;C117=KHC&amp;MH,SL))</f>
        <v>3</v>
      </c>
      <c r="J117" s="25">
        <f t="array" ref="J117">SUM(IF("156"&amp;C117=KHC&amp;MH,TH))</f>
        <v>65880</v>
      </c>
      <c r="K117" s="25">
        <f t="shared" si="7"/>
        <v>0</v>
      </c>
      <c r="L117" s="25">
        <f t="shared" si="8"/>
        <v>0</v>
      </c>
      <c r="M117" s="289" t="e">
        <f t="shared" si="9"/>
        <v>#DIV/0!</v>
      </c>
    </row>
    <row r="118" spans="1:13" ht="18.75" customHeight="1">
      <c r="A118" s="289" t="str">
        <f t="shared" si="5"/>
        <v>NL</v>
      </c>
      <c r="B118" s="753">
        <f t="shared" si="6"/>
        <v>107</v>
      </c>
      <c r="C118" s="191" t="s">
        <v>1164</v>
      </c>
      <c r="D118" s="291" t="s">
        <v>339</v>
      </c>
      <c r="E118" s="25">
        <v>110</v>
      </c>
      <c r="F118" s="25">
        <v>2463725</v>
      </c>
      <c r="G118" s="25">
        <f t="array" ref="G118">SUM(IF("156"&amp;C118=KHN&amp;MH,SL))</f>
        <v>0</v>
      </c>
      <c r="H118" s="25">
        <f t="array" ref="H118">SUM(IF("156"&amp;C118=KHN&amp;MH,TH))</f>
        <v>0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7"/>
        <v>110</v>
      </c>
      <c r="L118" s="25">
        <f t="shared" si="8"/>
        <v>2463725</v>
      </c>
      <c r="M118" s="289">
        <f t="shared" si="9"/>
        <v>22397.5</v>
      </c>
    </row>
    <row r="119" spans="1:13" ht="18.75" customHeight="1">
      <c r="A119" s="289" t="str">
        <f t="shared" si="5"/>
        <v>NL</v>
      </c>
      <c r="B119" s="753">
        <f t="shared" si="6"/>
        <v>108</v>
      </c>
      <c r="C119" s="191" t="s">
        <v>1165</v>
      </c>
      <c r="D119" s="291" t="s">
        <v>339</v>
      </c>
      <c r="E119" s="25">
        <v>33</v>
      </c>
      <c r="F119" s="25">
        <v>804705</v>
      </c>
      <c r="G119" s="25">
        <f t="array" ref="G119">SUM(IF("156"&amp;C119=KHN&amp;MH,SL))</f>
        <v>0</v>
      </c>
      <c r="H119" s="25">
        <f t="array" ref="H119">SUM(IF("156"&amp;C119=KHN&amp;MH,TH))</f>
        <v>0</v>
      </c>
      <c r="I119" s="25">
        <f t="array" ref="I119">SUM(IF("156"&amp;C119=KHC&amp;MH,SL))</f>
        <v>33</v>
      </c>
      <c r="J119" s="25">
        <f t="array" ref="J119">SUM(IF("156"&amp;C119=KHC&amp;MH,TH))</f>
        <v>804705</v>
      </c>
      <c r="K119" s="25">
        <f t="shared" si="7"/>
        <v>0</v>
      </c>
      <c r="L119" s="25">
        <f t="shared" si="8"/>
        <v>0</v>
      </c>
      <c r="M119" s="289" t="e">
        <f t="shared" si="9"/>
        <v>#DIV/0!</v>
      </c>
    </row>
    <row r="120" spans="1:13" ht="18.75" customHeight="1">
      <c r="A120" s="289" t="str">
        <f t="shared" si="5"/>
        <v>NL</v>
      </c>
      <c r="B120" s="753">
        <f t="shared" si="6"/>
        <v>109</v>
      </c>
      <c r="C120" s="191" t="s">
        <v>1166</v>
      </c>
      <c r="D120" s="291" t="s">
        <v>339</v>
      </c>
      <c r="E120" s="25">
        <v>30</v>
      </c>
      <c r="F120" s="25">
        <v>687735</v>
      </c>
      <c r="G120" s="25">
        <f t="array" ref="G120">SUM(IF("156"&amp;C120=KHN&amp;MH,SL))</f>
        <v>0</v>
      </c>
      <c r="H120" s="25">
        <f t="array" ref="H120">SUM(IF("156"&amp;C120=KHN&amp;MH,TH))</f>
        <v>0</v>
      </c>
      <c r="I120" s="25">
        <f t="array" ref="I120">SUM(IF("156"&amp;C120=KHC&amp;MH,SL))</f>
        <v>30</v>
      </c>
      <c r="J120" s="25">
        <f t="array" ref="J120">SUM(IF("156"&amp;C120=KHC&amp;MH,TH))</f>
        <v>687735</v>
      </c>
      <c r="K120" s="25">
        <f t="shared" si="7"/>
        <v>0</v>
      </c>
      <c r="L120" s="25">
        <f t="shared" si="8"/>
        <v>0</v>
      </c>
      <c r="M120" s="289" t="e">
        <f t="shared" si="9"/>
        <v>#DIV/0!</v>
      </c>
    </row>
    <row r="121" spans="1:13" ht="18.75" customHeight="1">
      <c r="A121" s="289" t="str">
        <f t="shared" si="5"/>
        <v>NL</v>
      </c>
      <c r="B121" s="753">
        <f t="shared" si="6"/>
        <v>110</v>
      </c>
      <c r="C121" s="188" t="s">
        <v>1167</v>
      </c>
      <c r="D121" s="291" t="s">
        <v>339</v>
      </c>
      <c r="E121" s="25">
        <v>3</v>
      </c>
      <c r="F121" s="25">
        <v>87270</v>
      </c>
      <c r="G121" s="25">
        <f t="array" ref="G121">SUM(IF("156"&amp;C121=KHN&amp;MH,SL))</f>
        <v>0</v>
      </c>
      <c r="H121" s="25">
        <f t="array" ref="H121">SUM(IF("156"&amp;C121=KHN&amp;MH,TH))</f>
        <v>0</v>
      </c>
      <c r="I121" s="25">
        <f t="array" ref="I121">SUM(IF("156"&amp;C121=KHC&amp;MH,SL))</f>
        <v>3</v>
      </c>
      <c r="J121" s="25">
        <f t="array" ref="J121">SUM(IF("156"&amp;C121=KHC&amp;MH,TH))</f>
        <v>87270</v>
      </c>
      <c r="K121" s="25">
        <f t="shared" si="7"/>
        <v>0</v>
      </c>
      <c r="L121" s="25">
        <f t="shared" si="8"/>
        <v>0</v>
      </c>
      <c r="M121" s="289" t="e">
        <f t="shared" si="9"/>
        <v>#DIV/0!</v>
      </c>
    </row>
    <row r="122" spans="1:13" ht="18.75" customHeight="1">
      <c r="A122" s="289" t="str">
        <f t="shared" si="5"/>
        <v>NL</v>
      </c>
      <c r="B122" s="753">
        <f t="shared" si="6"/>
        <v>111</v>
      </c>
      <c r="C122" s="191" t="s">
        <v>1168</v>
      </c>
      <c r="D122" s="291" t="s">
        <v>339</v>
      </c>
      <c r="E122" s="25">
        <v>30</v>
      </c>
      <c r="F122" s="25">
        <v>779970</v>
      </c>
      <c r="G122" s="25">
        <f t="array" ref="G122">SUM(IF("156"&amp;C122=KHN&amp;MH,SL))</f>
        <v>0</v>
      </c>
      <c r="H122" s="25">
        <f t="array" ref="H122">SUM(IF("156"&amp;C122=KHN&amp;MH,TH))</f>
        <v>0</v>
      </c>
      <c r="I122" s="25">
        <f t="array" ref="I122">SUM(IF("156"&amp;C122=KHC&amp;MH,SL))</f>
        <v>30</v>
      </c>
      <c r="J122" s="25">
        <f t="array" ref="J122">SUM(IF("156"&amp;C122=KHC&amp;MH,TH))</f>
        <v>779970</v>
      </c>
      <c r="K122" s="25">
        <f t="shared" si="7"/>
        <v>0</v>
      </c>
      <c r="L122" s="25">
        <f t="shared" si="8"/>
        <v>0</v>
      </c>
      <c r="M122" s="289" t="e">
        <f t="shared" si="9"/>
        <v>#DIV/0!</v>
      </c>
    </row>
    <row r="123" spans="1:13" ht="18.75" customHeight="1">
      <c r="A123" s="289" t="str">
        <f t="shared" si="5"/>
        <v>NL</v>
      </c>
      <c r="B123" s="753">
        <f t="shared" si="6"/>
        <v>112</v>
      </c>
      <c r="C123" s="188" t="s">
        <v>1376</v>
      </c>
      <c r="D123" s="291" t="s">
        <v>339</v>
      </c>
      <c r="E123" s="25"/>
      <c r="F123" s="25"/>
      <c r="G123" s="25">
        <f t="array" ref="G123">SUM(IF("156"&amp;C123=KHN&amp;MH,SL))</f>
        <v>80</v>
      </c>
      <c r="H123" s="25">
        <f t="array" ref="H123">SUM(IF("156"&amp;C123=KHN&amp;MH,TH))</f>
        <v>1990680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 t="shared" si="7"/>
        <v>80</v>
      </c>
      <c r="L123" s="25">
        <f t="shared" si="8"/>
        <v>1990680</v>
      </c>
      <c r="M123" s="289">
        <f t="shared" si="9"/>
        <v>24883.5</v>
      </c>
    </row>
    <row r="124" spans="1:13" ht="18.75" customHeight="1">
      <c r="A124" s="289" t="str">
        <f t="shared" si="5"/>
        <v>NL</v>
      </c>
      <c r="B124" s="753">
        <f t="shared" si="6"/>
        <v>113</v>
      </c>
      <c r="C124" s="188" t="s">
        <v>1169</v>
      </c>
      <c r="D124" s="291" t="s">
        <v>339</v>
      </c>
      <c r="E124" s="25">
        <v>250</v>
      </c>
      <c r="F124" s="25">
        <v>2357500</v>
      </c>
      <c r="G124" s="25">
        <f t="array" ref="G124">SUM(IF("156"&amp;C124=KHN&amp;MH,SL))</f>
        <v>0</v>
      </c>
      <c r="H124" s="25">
        <f t="array" ref="H124">SUM(IF("156"&amp;C124=KHN&amp;MH,TH))</f>
        <v>0</v>
      </c>
      <c r="I124" s="25">
        <f t="array" ref="I124">SUM(IF("156"&amp;C124=KHC&amp;MH,SL))</f>
        <v>250</v>
      </c>
      <c r="J124" s="25">
        <f t="array" ref="J124">SUM(IF("156"&amp;C124=KHC&amp;MH,TH))</f>
        <v>2357500</v>
      </c>
      <c r="K124" s="25">
        <f t="shared" si="7"/>
        <v>0</v>
      </c>
      <c r="L124" s="25">
        <f t="shared" si="8"/>
        <v>0</v>
      </c>
      <c r="M124" s="289" t="e">
        <f t="shared" si="9"/>
        <v>#DIV/0!</v>
      </c>
    </row>
    <row r="125" spans="1:13" ht="18.75" customHeight="1">
      <c r="A125" s="289" t="str">
        <f t="shared" si="5"/>
        <v>NL</v>
      </c>
      <c r="B125" s="753">
        <f t="shared" si="6"/>
        <v>114</v>
      </c>
      <c r="C125" s="188" t="s">
        <v>1170</v>
      </c>
      <c r="D125" s="291" t="s">
        <v>339</v>
      </c>
      <c r="E125" s="25">
        <v>60</v>
      </c>
      <c r="F125" s="25">
        <v>1100280</v>
      </c>
      <c r="G125" s="25">
        <f t="array" ref="G125">SUM(IF("156"&amp;C125=KHN&amp;MH,SL))</f>
        <v>0</v>
      </c>
      <c r="H125" s="25">
        <f t="array" ref="H125">SUM(IF("156"&amp;C125=KHN&amp;MH,TH))</f>
        <v>0</v>
      </c>
      <c r="I125" s="25">
        <f t="array" ref="I125">SUM(IF("156"&amp;C125=KHC&amp;MH,SL))</f>
        <v>60</v>
      </c>
      <c r="J125" s="25">
        <f t="array" ref="J125">SUM(IF("156"&amp;C125=KHC&amp;MH,TH))</f>
        <v>1100280</v>
      </c>
      <c r="K125" s="25">
        <f t="shared" si="7"/>
        <v>0</v>
      </c>
      <c r="L125" s="25">
        <f t="shared" si="8"/>
        <v>0</v>
      </c>
      <c r="M125" s="289" t="e">
        <f t="shared" si="9"/>
        <v>#DIV/0!</v>
      </c>
    </row>
    <row r="126" spans="1:13" ht="18.75" customHeight="1">
      <c r="A126" s="289" t="str">
        <f t="shared" si="5"/>
        <v>NL</v>
      </c>
      <c r="B126" s="753">
        <f t="shared" si="6"/>
        <v>115</v>
      </c>
      <c r="C126" s="188" t="s">
        <v>1171</v>
      </c>
      <c r="D126" s="291" t="s">
        <v>339</v>
      </c>
      <c r="E126" s="25">
        <v>40</v>
      </c>
      <c r="F126" s="25">
        <v>767520</v>
      </c>
      <c r="G126" s="25">
        <f t="array" ref="G126">SUM(IF("156"&amp;C126=KHN&amp;MH,SL))</f>
        <v>0</v>
      </c>
      <c r="H126" s="25">
        <f t="array" ref="H126">SUM(IF("156"&amp;C126=KHN&amp;MH,TH))</f>
        <v>0</v>
      </c>
      <c r="I126" s="25">
        <f t="array" ref="I126">SUM(IF("156"&amp;C126=KHC&amp;MH,SL))</f>
        <v>40</v>
      </c>
      <c r="J126" s="25">
        <f t="array" ref="J126">SUM(IF("156"&amp;C126=KHC&amp;MH,TH))</f>
        <v>767520</v>
      </c>
      <c r="K126" s="25">
        <f t="shared" si="7"/>
        <v>0</v>
      </c>
      <c r="L126" s="25">
        <f t="shared" si="8"/>
        <v>0</v>
      </c>
      <c r="M126" s="289" t="e">
        <f t="shared" si="9"/>
        <v>#DIV/0!</v>
      </c>
    </row>
    <row r="127" spans="1:13" ht="18.75" customHeight="1">
      <c r="A127" s="289" t="str">
        <f t="shared" si="5"/>
        <v>NL</v>
      </c>
      <c r="B127" s="753">
        <f t="shared" si="6"/>
        <v>116</v>
      </c>
      <c r="C127" s="188" t="s">
        <v>1172</v>
      </c>
      <c r="D127" s="291" t="s">
        <v>339</v>
      </c>
      <c r="E127" s="25">
        <v>40</v>
      </c>
      <c r="F127" s="25">
        <v>1033200</v>
      </c>
      <c r="G127" s="25">
        <f t="array" ref="G127">SUM(IF("156"&amp;C127=KHN&amp;MH,SL))</f>
        <v>0</v>
      </c>
      <c r="H127" s="25">
        <f t="array" ref="H127">SUM(IF("156"&amp;C127=KHN&amp;MH,TH))</f>
        <v>0</v>
      </c>
      <c r="I127" s="25">
        <f t="array" ref="I127">SUM(IF("156"&amp;C127=KHC&amp;MH,SL))</f>
        <v>40</v>
      </c>
      <c r="J127" s="25">
        <f t="array" ref="J127">SUM(IF("156"&amp;C127=KHC&amp;MH,TH))</f>
        <v>1033200</v>
      </c>
      <c r="K127" s="25">
        <f t="shared" si="7"/>
        <v>0</v>
      </c>
      <c r="L127" s="25">
        <f t="shared" si="8"/>
        <v>0</v>
      </c>
      <c r="M127" s="289" t="e">
        <f t="shared" si="9"/>
        <v>#DIV/0!</v>
      </c>
    </row>
    <row r="128" spans="1:13" ht="18.75" customHeight="1">
      <c r="A128" s="289" t="str">
        <f t="shared" si="5"/>
        <v>NL</v>
      </c>
      <c r="B128" s="753">
        <f t="shared" si="6"/>
        <v>117</v>
      </c>
      <c r="C128" s="188" t="s">
        <v>1389</v>
      </c>
      <c r="D128" s="291" t="s">
        <v>339</v>
      </c>
      <c r="E128" s="25"/>
      <c r="F128" s="25"/>
      <c r="G128" s="25">
        <f t="array" ref="G128">SUM(IF("156"&amp;C128=KHN&amp;MH,SL))</f>
        <v>24</v>
      </c>
      <c r="H128" s="25">
        <f t="array" ref="H128">SUM(IF("156"&amp;C128=KHN&amp;MH,TH))</f>
        <v>769656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 t="shared" si="7"/>
        <v>24</v>
      </c>
      <c r="L128" s="25">
        <f t="shared" si="8"/>
        <v>769656</v>
      </c>
      <c r="M128" s="289">
        <f t="shared" si="9"/>
        <v>32069</v>
      </c>
    </row>
    <row r="129" spans="1:13" ht="18.75" customHeight="1">
      <c r="A129" s="289" t="str">
        <f t="shared" si="5"/>
        <v>NL</v>
      </c>
      <c r="B129" s="753">
        <f t="shared" si="6"/>
        <v>118</v>
      </c>
      <c r="C129" s="188" t="s">
        <v>1173</v>
      </c>
      <c r="D129" s="291" t="s">
        <v>339</v>
      </c>
      <c r="E129" s="25">
        <v>500</v>
      </c>
      <c r="F129" s="25">
        <v>12500000</v>
      </c>
      <c r="G129" s="25">
        <f t="array" ref="G129">SUM(IF("156"&amp;C129=KHN&amp;MH,SL))</f>
        <v>0</v>
      </c>
      <c r="H129" s="25">
        <f t="array" ref="H129">SUM(IF("156"&amp;C129=KHN&amp;MH,TH))</f>
        <v>0</v>
      </c>
      <c r="I129" s="25">
        <f t="array" ref="I129">SUM(IF("156"&amp;C129=KHC&amp;MH,SL))</f>
        <v>400</v>
      </c>
      <c r="J129" s="25">
        <f t="array" ref="J129">SUM(IF("156"&amp;C129=KHC&amp;MH,TH))</f>
        <v>10000000</v>
      </c>
      <c r="K129" s="25">
        <f t="shared" si="7"/>
        <v>100</v>
      </c>
      <c r="L129" s="25">
        <f t="shared" si="8"/>
        <v>2500000</v>
      </c>
      <c r="M129" s="289">
        <f t="shared" si="9"/>
        <v>25000</v>
      </c>
    </row>
    <row r="130" spans="1:13" ht="18.75" customHeight="1">
      <c r="A130" s="289" t="str">
        <f t="shared" si="5"/>
        <v>NL</v>
      </c>
      <c r="B130" s="753">
        <f t="shared" si="6"/>
        <v>119</v>
      </c>
      <c r="C130" s="191" t="s">
        <v>1174</v>
      </c>
      <c r="D130" s="291" t="s">
        <v>339</v>
      </c>
      <c r="E130" s="25">
        <v>250</v>
      </c>
      <c r="F130" s="25">
        <v>6510250</v>
      </c>
      <c r="G130" s="25">
        <f t="array" ref="G130">SUM(IF("156"&amp;C130=KHN&amp;MH,SL))</f>
        <v>0</v>
      </c>
      <c r="H130" s="25">
        <f t="array" ref="H130">SUM(IF("156"&amp;C130=KHN&amp;MH,TH))</f>
        <v>0</v>
      </c>
      <c r="I130" s="25">
        <f t="array" ref="I130">SUM(IF("156"&amp;C130=KHC&amp;MH,SL))</f>
        <v>250</v>
      </c>
      <c r="J130" s="25">
        <f t="array" ref="J130">SUM(IF("156"&amp;C130=KHC&amp;MH,TH))</f>
        <v>6510250</v>
      </c>
      <c r="K130" s="25">
        <f t="shared" si="7"/>
        <v>0</v>
      </c>
      <c r="L130" s="25">
        <f t="shared" si="8"/>
        <v>0</v>
      </c>
      <c r="M130" s="289" t="e">
        <f t="shared" si="9"/>
        <v>#DIV/0!</v>
      </c>
    </row>
    <row r="131" spans="1:13" ht="18.75" customHeight="1">
      <c r="A131" s="289" t="str">
        <f t="shared" si="5"/>
        <v>NL</v>
      </c>
      <c r="B131" s="753">
        <f t="shared" si="6"/>
        <v>120</v>
      </c>
      <c r="C131" s="191" t="s">
        <v>1175</v>
      </c>
      <c r="D131" s="291" t="s">
        <v>339</v>
      </c>
      <c r="E131" s="25">
        <v>52</v>
      </c>
      <c r="F131" s="25">
        <v>914940</v>
      </c>
      <c r="G131" s="25">
        <f t="array" ref="G131">SUM(IF("156"&amp;C131=KHN&amp;MH,SL))</f>
        <v>0</v>
      </c>
      <c r="H131" s="25">
        <f t="array" ref="H131">SUM(IF("156"&amp;C131=KHN&amp;MH,TH))</f>
        <v>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7"/>
        <v>52</v>
      </c>
      <c r="L131" s="25">
        <f t="shared" si="8"/>
        <v>914940</v>
      </c>
      <c r="M131" s="289">
        <f t="shared" si="9"/>
        <v>17595</v>
      </c>
    </row>
    <row r="132" spans="1:13" ht="18.75" customHeight="1">
      <c r="A132" s="289" t="str">
        <f t="shared" si="5"/>
        <v>NL</v>
      </c>
      <c r="B132" s="753">
        <f t="shared" si="6"/>
        <v>121</v>
      </c>
      <c r="C132" s="188" t="s">
        <v>1391</v>
      </c>
      <c r="D132" s="291" t="s">
        <v>339</v>
      </c>
      <c r="E132" s="25"/>
      <c r="F132" s="25"/>
      <c r="G132" s="25">
        <f t="array" ref="G132">SUM(IF("156"&amp;C132=KHN&amp;MH,SL))</f>
        <v>30</v>
      </c>
      <c r="H132" s="25">
        <f t="array" ref="H132">SUM(IF("156"&amp;C132=KHN&amp;MH,TH))</f>
        <v>780720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7"/>
        <v>30</v>
      </c>
      <c r="L132" s="25">
        <f t="shared" si="8"/>
        <v>780720</v>
      </c>
      <c r="M132" s="289">
        <f t="shared" si="9"/>
        <v>26024</v>
      </c>
    </row>
    <row r="133" spans="1:13" ht="18.75" customHeight="1">
      <c r="A133" s="289" t="str">
        <f t="shared" si="5"/>
        <v>NL</v>
      </c>
      <c r="B133" s="753">
        <f t="shared" si="6"/>
        <v>122</v>
      </c>
      <c r="C133" s="188" t="s">
        <v>1385</v>
      </c>
      <c r="D133" s="291" t="s">
        <v>339</v>
      </c>
      <c r="E133" s="25"/>
      <c r="F133" s="25"/>
      <c r="G133" s="25">
        <f t="array" ref="G133">SUM(IF("156"&amp;C133=KHN&amp;MH,SL))</f>
        <v>38</v>
      </c>
      <c r="H133" s="25">
        <f t="array" ref="H133">SUM(IF("156"&amp;C133=KHN&amp;MH,TH))</f>
        <v>1000008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 t="shared" si="7"/>
        <v>38</v>
      </c>
      <c r="L133" s="25">
        <f t="shared" si="8"/>
        <v>1000008</v>
      </c>
      <c r="M133" s="289">
        <f t="shared" si="9"/>
        <v>26316</v>
      </c>
    </row>
    <row r="134" spans="1:13" ht="18.75" customHeight="1">
      <c r="A134" s="289" t="str">
        <f t="shared" si="5"/>
        <v>NL</v>
      </c>
      <c r="B134" s="753">
        <f t="shared" si="6"/>
        <v>123</v>
      </c>
      <c r="C134" s="188" t="s">
        <v>1176</v>
      </c>
      <c r="D134" s="291" t="s">
        <v>339</v>
      </c>
      <c r="E134" s="25">
        <v>250</v>
      </c>
      <c r="F134" s="25">
        <v>4762000</v>
      </c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250</v>
      </c>
      <c r="J134" s="25">
        <f t="array" ref="J134">SUM(IF("156"&amp;C134=KHC&amp;MH,TH))</f>
        <v>4762000</v>
      </c>
      <c r="K134" s="25">
        <f t="shared" si="7"/>
        <v>0</v>
      </c>
      <c r="L134" s="25">
        <f t="shared" si="8"/>
        <v>0</v>
      </c>
      <c r="M134" s="289" t="e">
        <f t="shared" si="9"/>
        <v>#DIV/0!</v>
      </c>
    </row>
    <row r="135" spans="1:13" ht="18.75" customHeight="1">
      <c r="A135" s="289" t="str">
        <f t="shared" si="5"/>
        <v>NL</v>
      </c>
      <c r="B135" s="753">
        <f t="shared" si="6"/>
        <v>124</v>
      </c>
      <c r="C135" s="188" t="s">
        <v>1177</v>
      </c>
      <c r="D135" s="291" t="s">
        <v>339</v>
      </c>
      <c r="E135" s="25">
        <v>40</v>
      </c>
      <c r="F135" s="25">
        <v>831080</v>
      </c>
      <c r="G135" s="25">
        <f t="array" ref="G135">SUM(IF("156"&amp;C135=KHN&amp;MH,SL))</f>
        <v>0</v>
      </c>
      <c r="H135" s="25">
        <f t="array" ref="H135">SUM(IF("156"&amp;C135=KHN&amp;MH,TH))</f>
        <v>0</v>
      </c>
      <c r="I135" s="25">
        <f t="array" ref="I135">SUM(IF("156"&amp;C135=KHC&amp;MH,SL))</f>
        <v>40</v>
      </c>
      <c r="J135" s="25">
        <f t="array" ref="J135">SUM(IF("156"&amp;C135=KHC&amp;MH,TH))</f>
        <v>831080</v>
      </c>
      <c r="K135" s="25">
        <f t="shared" si="7"/>
        <v>0</v>
      </c>
      <c r="L135" s="25">
        <f t="shared" si="8"/>
        <v>0</v>
      </c>
      <c r="M135" s="289" t="e">
        <f t="shared" si="9"/>
        <v>#DIV/0!</v>
      </c>
    </row>
    <row r="136" spans="1:13" ht="18.75" customHeight="1">
      <c r="A136" s="289" t="str">
        <f t="shared" si="5"/>
        <v>NL</v>
      </c>
      <c r="B136" s="753">
        <f t="shared" si="6"/>
        <v>125</v>
      </c>
      <c r="C136" s="40" t="s">
        <v>1294</v>
      </c>
      <c r="D136" s="291" t="s">
        <v>339</v>
      </c>
      <c r="E136" s="25">
        <v>50</v>
      </c>
      <c r="F136" s="25">
        <v>1051000</v>
      </c>
      <c r="G136" s="25">
        <f t="array" ref="G136">SUM(IF("156"&amp;C136=KHN&amp;MH,SL))</f>
        <v>0</v>
      </c>
      <c r="H136" s="25">
        <f t="array" ref="H136">SUM(IF("156"&amp;C136=KHN&amp;MH,TH))</f>
        <v>0</v>
      </c>
      <c r="I136" s="25">
        <f t="array" ref="I136">SUM(IF("156"&amp;C136=KHC&amp;MH,SL))</f>
        <v>50</v>
      </c>
      <c r="J136" s="25">
        <f t="array" ref="J136">SUM(IF("156"&amp;C136=KHC&amp;MH,TH))</f>
        <v>1051000</v>
      </c>
      <c r="K136" s="25">
        <f t="shared" si="7"/>
        <v>0</v>
      </c>
      <c r="L136" s="25">
        <f t="shared" si="8"/>
        <v>0</v>
      </c>
      <c r="M136" s="289" t="e">
        <f t="shared" si="9"/>
        <v>#DIV/0!</v>
      </c>
    </row>
    <row r="137" spans="1:13" ht="18.75" customHeight="1">
      <c r="A137" s="289" t="str">
        <f t="shared" si="5"/>
        <v>NL</v>
      </c>
      <c r="B137" s="753">
        <f t="shared" si="6"/>
        <v>126</v>
      </c>
      <c r="C137" s="188" t="s">
        <v>1293</v>
      </c>
      <c r="D137" s="291" t="s">
        <v>339</v>
      </c>
      <c r="E137" s="25">
        <v>100</v>
      </c>
      <c r="F137" s="25">
        <v>2764900</v>
      </c>
      <c r="G137" s="25">
        <f t="array" ref="G137">SUM(IF("156"&amp;C137=KHN&amp;MH,SL))</f>
        <v>0</v>
      </c>
      <c r="H137" s="25">
        <f t="array" ref="H137">SUM(IF("156"&amp;C137=KHN&amp;MH,TH))</f>
        <v>0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 t="shared" si="7"/>
        <v>100</v>
      </c>
      <c r="L137" s="25">
        <f t="shared" si="8"/>
        <v>2764900</v>
      </c>
      <c r="M137" s="289">
        <f t="shared" si="9"/>
        <v>27649</v>
      </c>
    </row>
    <row r="138" spans="1:13" ht="18.75" customHeight="1">
      <c r="A138" s="289" t="str">
        <f t="shared" si="5"/>
        <v>NL</v>
      </c>
      <c r="B138" s="753">
        <f t="shared" si="6"/>
        <v>127</v>
      </c>
      <c r="C138" s="191" t="s">
        <v>1292</v>
      </c>
      <c r="D138" s="291" t="s">
        <v>339</v>
      </c>
      <c r="E138" s="25">
        <v>30</v>
      </c>
      <c r="F138" s="25">
        <v>610740</v>
      </c>
      <c r="G138" s="25">
        <f t="array" ref="G138">SUM(IF("156"&amp;C138=KHN&amp;MH,SL))</f>
        <v>0</v>
      </c>
      <c r="H138" s="25">
        <f t="array" ref="H138">SUM(IF("156"&amp;C138=KHN&amp;MH,TH))</f>
        <v>0</v>
      </c>
      <c r="I138" s="25">
        <f t="array" ref="I138">SUM(IF("156"&amp;C138=KHC&amp;MH,SL))</f>
        <v>30</v>
      </c>
      <c r="J138" s="25">
        <f t="array" ref="J138">SUM(IF("156"&amp;C138=KHC&amp;MH,TH))</f>
        <v>610740</v>
      </c>
      <c r="K138" s="25">
        <f t="shared" si="7"/>
        <v>0</v>
      </c>
      <c r="L138" s="25">
        <f t="shared" si="8"/>
        <v>0</v>
      </c>
      <c r="M138" s="289" t="e">
        <f t="shared" si="9"/>
        <v>#DIV/0!</v>
      </c>
    </row>
    <row r="139" spans="1:13" ht="18.75" customHeight="1">
      <c r="A139" s="289" t="str">
        <f t="shared" si="5"/>
        <v>NL</v>
      </c>
      <c r="B139" s="753">
        <f t="shared" si="6"/>
        <v>128</v>
      </c>
      <c r="C139" s="188" t="s">
        <v>1291</v>
      </c>
      <c r="D139" s="291" t="s">
        <v>339</v>
      </c>
      <c r="E139" s="25">
        <v>128</v>
      </c>
      <c r="F139" s="25">
        <v>1687680</v>
      </c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128</v>
      </c>
      <c r="J139" s="25">
        <f t="array" ref="J139">SUM(IF("156"&amp;C139=KHC&amp;MH,TH))</f>
        <v>1687680</v>
      </c>
      <c r="K139" s="25">
        <f t="shared" si="7"/>
        <v>0</v>
      </c>
      <c r="L139" s="25">
        <f t="shared" si="8"/>
        <v>0</v>
      </c>
      <c r="M139" s="289" t="e">
        <f t="shared" si="9"/>
        <v>#DIV/0!</v>
      </c>
    </row>
    <row r="140" spans="1:13" ht="18.75" customHeight="1">
      <c r="A140" s="289" t="str">
        <f t="shared" ref="A140:A203" si="10">IF(B140&lt;&gt;"","NL","")</f>
        <v>NL</v>
      </c>
      <c r="B140" s="753">
        <f t="shared" ref="B140:B203" si="11">IF(C140&lt;&gt;"",ROW()-11,"")</f>
        <v>129</v>
      </c>
      <c r="C140" s="188" t="s">
        <v>1290</v>
      </c>
      <c r="D140" s="291" t="s">
        <v>339</v>
      </c>
      <c r="E140" s="25">
        <v>11</v>
      </c>
      <c r="F140" s="25">
        <v>247940</v>
      </c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11</v>
      </c>
      <c r="J140" s="25">
        <f t="array" ref="J140">SUM(IF("156"&amp;C140=KHC&amp;MH,TH))</f>
        <v>247940</v>
      </c>
      <c r="K140" s="25">
        <f t="shared" ref="K140:K203" si="12">E140+G140-I140</f>
        <v>0</v>
      </c>
      <c r="L140" s="25">
        <f t="shared" ref="L140:L203" si="13">F140+H140-J140</f>
        <v>0</v>
      </c>
      <c r="M140" s="289" t="e">
        <f t="shared" ref="M140:M203" si="14">L140/K140</f>
        <v>#DIV/0!</v>
      </c>
    </row>
    <row r="141" spans="1:13" ht="18.75" customHeight="1">
      <c r="A141" s="289" t="str">
        <f t="shared" si="10"/>
        <v>NL</v>
      </c>
      <c r="B141" s="753">
        <f t="shared" si="11"/>
        <v>130</v>
      </c>
      <c r="C141" s="191" t="s">
        <v>1289</v>
      </c>
      <c r="D141" s="291" t="s">
        <v>339</v>
      </c>
      <c r="E141" s="25">
        <v>10</v>
      </c>
      <c r="F141" s="25">
        <v>191160</v>
      </c>
      <c r="G141" s="25">
        <f t="array" ref="G141">SUM(IF("156"&amp;C141=KHN&amp;MH,SL))</f>
        <v>0</v>
      </c>
      <c r="H141" s="25">
        <f t="array" ref="H141">SUM(IF("156"&amp;C141=KHN&amp;MH,TH))</f>
        <v>0</v>
      </c>
      <c r="I141" s="25">
        <f t="array" ref="I141">SUM(IF("156"&amp;C141=KHC&amp;MH,SL))</f>
        <v>10</v>
      </c>
      <c r="J141" s="25">
        <f t="array" ref="J141">SUM(IF("156"&amp;C141=KHC&amp;MH,TH))</f>
        <v>191160</v>
      </c>
      <c r="K141" s="25">
        <f t="shared" si="12"/>
        <v>0</v>
      </c>
      <c r="L141" s="25">
        <f t="shared" si="13"/>
        <v>0</v>
      </c>
      <c r="M141" s="289" t="e">
        <f t="shared" si="14"/>
        <v>#DIV/0!</v>
      </c>
    </row>
    <row r="142" spans="1:13" ht="18.75" customHeight="1">
      <c r="A142" s="289" t="str">
        <f t="shared" si="10"/>
        <v>NL</v>
      </c>
      <c r="B142" s="753">
        <f t="shared" si="11"/>
        <v>131</v>
      </c>
      <c r="C142" s="188" t="s">
        <v>1288</v>
      </c>
      <c r="D142" s="291" t="s">
        <v>339</v>
      </c>
      <c r="E142" s="25">
        <v>11</v>
      </c>
      <c r="F142" s="25">
        <v>261195</v>
      </c>
      <c r="G142" s="25">
        <f t="array" ref="G142">SUM(IF("156"&amp;C142=KHN&amp;MH,SL))</f>
        <v>0</v>
      </c>
      <c r="H142" s="25">
        <f t="array" ref="H142">SUM(IF("156"&amp;C142=KHN&amp;MH,TH))</f>
        <v>0</v>
      </c>
      <c r="I142" s="25">
        <f t="array" ref="I142">SUM(IF("156"&amp;C142=KHC&amp;MH,SL))</f>
        <v>11</v>
      </c>
      <c r="J142" s="25">
        <f t="array" ref="J142">SUM(IF("156"&amp;C142=KHC&amp;MH,TH))</f>
        <v>261195</v>
      </c>
      <c r="K142" s="25">
        <f t="shared" si="12"/>
        <v>0</v>
      </c>
      <c r="L142" s="25">
        <f t="shared" si="13"/>
        <v>0</v>
      </c>
      <c r="M142" s="289" t="e">
        <f t="shared" si="14"/>
        <v>#DIV/0!</v>
      </c>
    </row>
    <row r="143" spans="1:13" ht="18.75" customHeight="1">
      <c r="A143" s="289" t="str">
        <f t="shared" si="10"/>
        <v>NL</v>
      </c>
      <c r="B143" s="753">
        <f t="shared" si="11"/>
        <v>132</v>
      </c>
      <c r="C143" s="188" t="s">
        <v>1396</v>
      </c>
      <c r="D143" s="291" t="s">
        <v>339</v>
      </c>
      <c r="E143" s="25"/>
      <c r="F143" s="25"/>
      <c r="G143" s="25">
        <f t="array" ref="G143">SUM(IF("156"&amp;C143=KHN&amp;MH,SL))</f>
        <v>52</v>
      </c>
      <c r="H143" s="25">
        <f t="array" ref="H143">SUM(IF("156"&amp;C143=KHN&amp;MH,TH))</f>
        <v>2537964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 t="shared" si="12"/>
        <v>52</v>
      </c>
      <c r="L143" s="25">
        <f t="shared" si="13"/>
        <v>2537964</v>
      </c>
      <c r="M143" s="289">
        <f t="shared" si="14"/>
        <v>48807</v>
      </c>
    </row>
    <row r="144" spans="1:13" ht="18.75" customHeight="1">
      <c r="A144" s="289" t="str">
        <f t="shared" si="10"/>
        <v>NL</v>
      </c>
      <c r="B144" s="753">
        <f t="shared" si="11"/>
        <v>133</v>
      </c>
      <c r="C144" s="191" t="s">
        <v>1287</v>
      </c>
      <c r="D144" s="291" t="s">
        <v>339</v>
      </c>
      <c r="E144" s="25">
        <v>72</v>
      </c>
      <c r="F144" s="25">
        <v>1132956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72</v>
      </c>
      <c r="J144" s="25">
        <f t="array" ref="J144">SUM(IF("156"&amp;C144=KHC&amp;MH,TH))</f>
        <v>1132956</v>
      </c>
      <c r="K144" s="25">
        <f t="shared" si="12"/>
        <v>0</v>
      </c>
      <c r="L144" s="25">
        <f t="shared" si="13"/>
        <v>0</v>
      </c>
      <c r="M144" s="289" t="e">
        <f t="shared" si="14"/>
        <v>#DIV/0!</v>
      </c>
    </row>
    <row r="145" spans="1:13" ht="18.75" customHeight="1">
      <c r="A145" s="289" t="str">
        <f t="shared" si="10"/>
        <v>NL</v>
      </c>
      <c r="B145" s="753">
        <f t="shared" si="11"/>
        <v>134</v>
      </c>
      <c r="C145" s="191" t="s">
        <v>1286</v>
      </c>
      <c r="D145" s="291" t="s">
        <v>339</v>
      </c>
      <c r="E145" s="25">
        <v>15</v>
      </c>
      <c r="F145" s="25">
        <v>361290</v>
      </c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15</v>
      </c>
      <c r="J145" s="25">
        <f t="array" ref="J145">SUM(IF("156"&amp;C145=KHC&amp;MH,TH))</f>
        <v>361290</v>
      </c>
      <c r="K145" s="25">
        <f t="shared" si="12"/>
        <v>0</v>
      </c>
      <c r="L145" s="25">
        <f t="shared" si="13"/>
        <v>0</v>
      </c>
      <c r="M145" s="289" t="e">
        <f t="shared" si="14"/>
        <v>#DIV/0!</v>
      </c>
    </row>
    <row r="146" spans="1:13" ht="18.75" customHeight="1">
      <c r="A146" s="289" t="str">
        <f t="shared" si="10"/>
        <v>NL</v>
      </c>
      <c r="B146" s="753">
        <f t="shared" si="11"/>
        <v>135</v>
      </c>
      <c r="C146" s="191" t="s">
        <v>1285</v>
      </c>
      <c r="D146" s="291" t="s">
        <v>339</v>
      </c>
      <c r="E146" s="25">
        <v>15</v>
      </c>
      <c r="F146" s="25">
        <v>320625</v>
      </c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15</v>
      </c>
      <c r="J146" s="25">
        <f t="array" ref="J146">SUM(IF("156"&amp;C146=KHC&amp;MH,TH))</f>
        <v>320625</v>
      </c>
      <c r="K146" s="25">
        <f t="shared" si="12"/>
        <v>0</v>
      </c>
      <c r="L146" s="25">
        <f t="shared" si="13"/>
        <v>0</v>
      </c>
      <c r="M146" s="289" t="e">
        <f t="shared" si="14"/>
        <v>#DIV/0!</v>
      </c>
    </row>
    <row r="147" spans="1:13" ht="18.75" customHeight="1">
      <c r="A147" s="289" t="str">
        <f t="shared" si="10"/>
        <v>NL</v>
      </c>
      <c r="B147" s="753">
        <f t="shared" si="11"/>
        <v>136</v>
      </c>
      <c r="C147" s="191" t="s">
        <v>1284</v>
      </c>
      <c r="D147" s="291" t="s">
        <v>339</v>
      </c>
      <c r="E147" s="25">
        <v>15</v>
      </c>
      <c r="F147" s="25">
        <v>367080</v>
      </c>
      <c r="G147" s="25">
        <f t="array" ref="G147">SUM(IF("156"&amp;C147=KHN&amp;MH,SL))</f>
        <v>0</v>
      </c>
      <c r="H147" s="25">
        <f t="array" ref="H147">SUM(IF("156"&amp;C147=KHN&amp;MH,TH))</f>
        <v>0</v>
      </c>
      <c r="I147" s="25">
        <f t="array" ref="I147">SUM(IF("156"&amp;C147=KHC&amp;MH,SL))</f>
        <v>15</v>
      </c>
      <c r="J147" s="25">
        <f t="array" ref="J147">SUM(IF("156"&amp;C147=KHC&amp;MH,TH))</f>
        <v>367080</v>
      </c>
      <c r="K147" s="25">
        <f t="shared" si="12"/>
        <v>0</v>
      </c>
      <c r="L147" s="25">
        <f t="shared" si="13"/>
        <v>0</v>
      </c>
      <c r="M147" s="289" t="e">
        <f t="shared" si="14"/>
        <v>#DIV/0!</v>
      </c>
    </row>
    <row r="148" spans="1:13" ht="18.75" customHeight="1">
      <c r="A148" s="289" t="str">
        <f t="shared" si="10"/>
        <v>NL</v>
      </c>
      <c r="B148" s="753">
        <f t="shared" si="11"/>
        <v>137</v>
      </c>
      <c r="C148" s="188" t="s">
        <v>1283</v>
      </c>
      <c r="D148" s="291" t="s">
        <v>339</v>
      </c>
      <c r="E148" s="25">
        <v>100</v>
      </c>
      <c r="F148" s="25">
        <v>1293200</v>
      </c>
      <c r="G148" s="25">
        <f t="array" ref="G148">SUM(IF("156"&amp;C148=KHN&amp;MH,SL))</f>
        <v>0</v>
      </c>
      <c r="H148" s="25">
        <f t="array" ref="H148">SUM(IF("156"&amp;C148=KHN&amp;MH,TH))</f>
        <v>0</v>
      </c>
      <c r="I148" s="25">
        <f t="array" ref="I148">SUM(IF("156"&amp;C148=KHC&amp;MH,SL))</f>
        <v>100</v>
      </c>
      <c r="J148" s="25">
        <f t="array" ref="J148">SUM(IF("156"&amp;C148=KHC&amp;MH,TH))</f>
        <v>1293200</v>
      </c>
      <c r="K148" s="25">
        <f t="shared" si="12"/>
        <v>0</v>
      </c>
      <c r="L148" s="25">
        <f t="shared" si="13"/>
        <v>0</v>
      </c>
      <c r="M148" s="289" t="e">
        <f t="shared" si="14"/>
        <v>#DIV/0!</v>
      </c>
    </row>
    <row r="149" spans="1:13" ht="18.75" customHeight="1">
      <c r="A149" s="289" t="str">
        <f t="shared" si="10"/>
        <v>NL</v>
      </c>
      <c r="B149" s="753">
        <f t="shared" si="11"/>
        <v>138</v>
      </c>
      <c r="C149" s="191" t="s">
        <v>1282</v>
      </c>
      <c r="D149" s="291" t="s">
        <v>339</v>
      </c>
      <c r="E149" s="25">
        <v>50</v>
      </c>
      <c r="F149" s="25">
        <v>1036800</v>
      </c>
      <c r="G149" s="25">
        <f t="array" ref="G149">SUM(IF("156"&amp;C149=KHN&amp;MH,SL))</f>
        <v>0</v>
      </c>
      <c r="H149" s="25">
        <f t="array" ref="H149">SUM(IF("156"&amp;C149=KHN&amp;MH,TH))</f>
        <v>0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 t="shared" si="12"/>
        <v>50</v>
      </c>
      <c r="L149" s="25">
        <f t="shared" si="13"/>
        <v>1036800</v>
      </c>
      <c r="M149" s="289">
        <f t="shared" si="14"/>
        <v>20736</v>
      </c>
    </row>
    <row r="150" spans="1:13" ht="18.75" customHeight="1">
      <c r="A150" s="289" t="str">
        <f t="shared" si="10"/>
        <v>NL</v>
      </c>
      <c r="B150" s="753">
        <f t="shared" si="11"/>
        <v>139</v>
      </c>
      <c r="C150" s="188" t="s">
        <v>1281</v>
      </c>
      <c r="D150" s="291" t="s">
        <v>339</v>
      </c>
      <c r="E150" s="25">
        <v>100</v>
      </c>
      <c r="F150" s="25">
        <v>2084400</v>
      </c>
      <c r="G150" s="25">
        <f t="array" ref="G150">SUM(IF("156"&amp;C150=KHN&amp;MH,SL))</f>
        <v>0</v>
      </c>
      <c r="H150" s="25">
        <f t="array" ref="H150">SUM(IF("156"&amp;C150=KHN&amp;MH,TH))</f>
        <v>0</v>
      </c>
      <c r="I150" s="25">
        <f t="array" ref="I150">SUM(IF("156"&amp;C150=KHC&amp;MH,SL))</f>
        <v>100</v>
      </c>
      <c r="J150" s="25">
        <f t="array" ref="J150">SUM(IF("156"&amp;C150=KHC&amp;MH,TH))</f>
        <v>2084400</v>
      </c>
      <c r="K150" s="25">
        <f t="shared" si="12"/>
        <v>0</v>
      </c>
      <c r="L150" s="25">
        <f t="shared" si="13"/>
        <v>0</v>
      </c>
      <c r="M150" s="289" t="e">
        <f t="shared" si="14"/>
        <v>#DIV/0!</v>
      </c>
    </row>
    <row r="151" spans="1:13" ht="18.75" customHeight="1">
      <c r="A151" s="289" t="str">
        <f t="shared" si="10"/>
        <v>NL</v>
      </c>
      <c r="B151" s="753">
        <f t="shared" si="11"/>
        <v>140</v>
      </c>
      <c r="C151" s="188" t="s">
        <v>1280</v>
      </c>
      <c r="D151" s="291" t="s">
        <v>339</v>
      </c>
      <c r="E151" s="25">
        <v>60</v>
      </c>
      <c r="F151" s="25">
        <v>1204740</v>
      </c>
      <c r="G151" s="25">
        <f t="array" ref="G151">SUM(IF("156"&amp;C151=KHN&amp;MH,SL))</f>
        <v>0</v>
      </c>
      <c r="H151" s="25">
        <f t="array" ref="H151">SUM(IF("156"&amp;C151=KHN&amp;MH,TH))</f>
        <v>0</v>
      </c>
      <c r="I151" s="25">
        <f t="array" ref="I151">SUM(IF("156"&amp;C151=KHC&amp;MH,SL))</f>
        <v>60</v>
      </c>
      <c r="J151" s="25">
        <f t="array" ref="J151">SUM(IF("156"&amp;C151=KHC&amp;MH,TH))</f>
        <v>1204740</v>
      </c>
      <c r="K151" s="25">
        <f t="shared" si="12"/>
        <v>0</v>
      </c>
      <c r="L151" s="25">
        <f t="shared" si="13"/>
        <v>0</v>
      </c>
      <c r="M151" s="289" t="e">
        <f t="shared" si="14"/>
        <v>#DIV/0!</v>
      </c>
    </row>
    <row r="152" spans="1:13" ht="18.75" customHeight="1">
      <c r="A152" s="289" t="str">
        <f t="shared" si="10"/>
        <v>NL</v>
      </c>
      <c r="B152" s="753">
        <f t="shared" si="11"/>
        <v>141</v>
      </c>
      <c r="C152" s="188" t="s">
        <v>1279</v>
      </c>
      <c r="D152" s="291" t="s">
        <v>339</v>
      </c>
      <c r="E152" s="25">
        <v>750</v>
      </c>
      <c r="F152" s="25">
        <v>24789750</v>
      </c>
      <c r="G152" s="25">
        <f t="array" ref="G152">SUM(IF("156"&amp;C152=KHN&amp;MH,SL))</f>
        <v>0</v>
      </c>
      <c r="H152" s="25">
        <f t="array" ref="H152">SUM(IF("156"&amp;C152=KHN&amp;MH,TH))</f>
        <v>0</v>
      </c>
      <c r="I152" s="25">
        <f t="array" ref="I152">SUM(IF("156"&amp;C152=KHC&amp;MH,SL))</f>
        <v>750</v>
      </c>
      <c r="J152" s="25">
        <f t="array" ref="J152">SUM(IF("156"&amp;C152=KHC&amp;MH,TH))</f>
        <v>24789750</v>
      </c>
      <c r="K152" s="25">
        <f t="shared" si="12"/>
        <v>0</v>
      </c>
      <c r="L152" s="25">
        <f t="shared" si="13"/>
        <v>0</v>
      </c>
      <c r="M152" s="289" t="e">
        <f t="shared" si="14"/>
        <v>#DIV/0!</v>
      </c>
    </row>
    <row r="153" spans="1:13" ht="18.75" customHeight="1">
      <c r="A153" s="289" t="str">
        <f t="shared" si="10"/>
        <v>NL</v>
      </c>
      <c r="B153" s="753">
        <f t="shared" si="11"/>
        <v>142</v>
      </c>
      <c r="C153" s="188" t="s">
        <v>1278</v>
      </c>
      <c r="D153" s="291" t="s">
        <v>339</v>
      </c>
      <c r="E153" s="25">
        <v>40</v>
      </c>
      <c r="F153" s="25">
        <v>1009800</v>
      </c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0</v>
      </c>
      <c r="J153" s="25">
        <f t="array" ref="J153">SUM(IF("156"&amp;C153=KHC&amp;MH,TH))</f>
        <v>0</v>
      </c>
      <c r="K153" s="25">
        <f t="shared" si="12"/>
        <v>40</v>
      </c>
      <c r="L153" s="25">
        <f t="shared" si="13"/>
        <v>1009800</v>
      </c>
      <c r="M153" s="289">
        <f t="shared" si="14"/>
        <v>25245</v>
      </c>
    </row>
    <row r="154" spans="1:13" ht="18.75" customHeight="1">
      <c r="A154" s="289" t="str">
        <f t="shared" si="10"/>
        <v>NL</v>
      </c>
      <c r="B154" s="753">
        <f t="shared" si="11"/>
        <v>143</v>
      </c>
      <c r="C154" s="191" t="s">
        <v>1225</v>
      </c>
      <c r="D154" s="291" t="s">
        <v>339</v>
      </c>
      <c r="E154" s="25">
        <v>40</v>
      </c>
      <c r="F154" s="25">
        <v>373600</v>
      </c>
      <c r="G154" s="25">
        <f t="array" ref="G154">SUM(IF("156"&amp;C154=KHN&amp;MH,SL))</f>
        <v>0</v>
      </c>
      <c r="H154" s="25">
        <f t="array" ref="H154">SUM(IF("156"&amp;C154=KHN&amp;MH,TH))</f>
        <v>0</v>
      </c>
      <c r="I154" s="25">
        <f t="array" ref="I154">SUM(IF("156"&amp;C154=KHC&amp;MH,SL))</f>
        <v>40</v>
      </c>
      <c r="J154" s="25">
        <f t="array" ref="J154">SUM(IF("156"&amp;C154=KHC&amp;MH,TH))</f>
        <v>373600</v>
      </c>
      <c r="K154" s="25">
        <f t="shared" si="12"/>
        <v>0</v>
      </c>
      <c r="L154" s="25">
        <f t="shared" si="13"/>
        <v>0</v>
      </c>
      <c r="M154" s="289" t="e">
        <f t="shared" si="14"/>
        <v>#DIV/0!</v>
      </c>
    </row>
    <row r="155" spans="1:13" ht="18.75" customHeight="1">
      <c r="A155" s="289" t="str">
        <f t="shared" si="10"/>
        <v>NL</v>
      </c>
      <c r="B155" s="753">
        <f t="shared" si="11"/>
        <v>144</v>
      </c>
      <c r="C155" s="191" t="s">
        <v>1224</v>
      </c>
      <c r="D155" s="291" t="s">
        <v>339</v>
      </c>
      <c r="E155" s="25">
        <v>40</v>
      </c>
      <c r="F155" s="25">
        <v>377720</v>
      </c>
      <c r="G155" s="25">
        <f t="array" ref="G155">SUM(IF("156"&amp;C155=KHN&amp;MH,SL))</f>
        <v>0</v>
      </c>
      <c r="H155" s="25">
        <f t="array" ref="H155">SUM(IF("156"&amp;C155=KHN&amp;MH,TH))</f>
        <v>0</v>
      </c>
      <c r="I155" s="25">
        <f t="array" ref="I155">SUM(IF("156"&amp;C155=KHC&amp;MH,SL))</f>
        <v>40</v>
      </c>
      <c r="J155" s="25">
        <f t="array" ref="J155">SUM(IF("156"&amp;C155=KHC&amp;MH,TH))</f>
        <v>377720</v>
      </c>
      <c r="K155" s="25">
        <f t="shared" si="12"/>
        <v>0</v>
      </c>
      <c r="L155" s="25">
        <f t="shared" si="13"/>
        <v>0</v>
      </c>
      <c r="M155" s="289" t="e">
        <f t="shared" si="14"/>
        <v>#DIV/0!</v>
      </c>
    </row>
    <row r="156" spans="1:13" ht="18.75" customHeight="1">
      <c r="A156" s="289" t="str">
        <f t="shared" si="10"/>
        <v>NL</v>
      </c>
      <c r="B156" s="753">
        <f t="shared" si="11"/>
        <v>145</v>
      </c>
      <c r="C156" s="191" t="s">
        <v>1223</v>
      </c>
      <c r="D156" s="291" t="s">
        <v>339</v>
      </c>
      <c r="E156" s="25">
        <v>41</v>
      </c>
      <c r="F156" s="25">
        <v>438167</v>
      </c>
      <c r="G156" s="25">
        <f t="array" ref="G156">SUM(IF("156"&amp;C156=KHN&amp;MH,SL))</f>
        <v>0</v>
      </c>
      <c r="H156" s="25">
        <f t="array" ref="H156">SUM(IF("156"&amp;C156=KHN&amp;MH,TH))</f>
        <v>0</v>
      </c>
      <c r="I156" s="25">
        <f t="array" ref="I156">SUM(IF("156"&amp;C156=KHC&amp;MH,SL))</f>
        <v>41</v>
      </c>
      <c r="J156" s="25">
        <f t="array" ref="J156">SUM(IF("156"&amp;C156=KHC&amp;MH,TH))</f>
        <v>438167</v>
      </c>
      <c r="K156" s="25">
        <f t="shared" si="12"/>
        <v>0</v>
      </c>
      <c r="L156" s="25">
        <f t="shared" si="13"/>
        <v>0</v>
      </c>
      <c r="M156" s="289" t="e">
        <f t="shared" si="14"/>
        <v>#DIV/0!</v>
      </c>
    </row>
    <row r="157" spans="1:13" ht="18.75" customHeight="1">
      <c r="A157" s="289" t="str">
        <f t="shared" si="10"/>
        <v>NL</v>
      </c>
      <c r="B157" s="753">
        <f t="shared" si="11"/>
        <v>146</v>
      </c>
      <c r="C157" s="191" t="s">
        <v>1222</v>
      </c>
      <c r="D157" s="291" t="s">
        <v>339</v>
      </c>
      <c r="E157" s="25">
        <v>400</v>
      </c>
      <c r="F157" s="25">
        <v>3422400</v>
      </c>
      <c r="G157" s="25">
        <f t="array" ref="G157">SUM(IF("156"&amp;C157=KHN&amp;MH,SL))</f>
        <v>1373</v>
      </c>
      <c r="H157" s="25">
        <f t="array" ref="H157">SUM(IF("156"&amp;C157=KHN&amp;MH,TH))</f>
        <v>9076827</v>
      </c>
      <c r="I157" s="25">
        <f t="array" ref="I157">SUM(IF("156"&amp;C157=KHC&amp;MH,SL))</f>
        <v>1773</v>
      </c>
      <c r="J157" s="25">
        <f t="array" ref="J157">SUM(IF("156"&amp;C157=KHC&amp;MH,TH))</f>
        <v>12499227</v>
      </c>
      <c r="K157" s="25">
        <f t="shared" si="12"/>
        <v>0</v>
      </c>
      <c r="L157" s="25">
        <f t="shared" si="13"/>
        <v>0</v>
      </c>
      <c r="M157" s="289" t="e">
        <f t="shared" si="14"/>
        <v>#DIV/0!</v>
      </c>
    </row>
    <row r="158" spans="1:13" ht="18.75" customHeight="1">
      <c r="A158" s="289" t="str">
        <f t="shared" si="10"/>
        <v>NL</v>
      </c>
      <c r="B158" s="753">
        <f t="shared" si="11"/>
        <v>147</v>
      </c>
      <c r="C158" s="191" t="s">
        <v>1221</v>
      </c>
      <c r="D158" s="291" t="s">
        <v>339</v>
      </c>
      <c r="E158" s="25">
        <v>20</v>
      </c>
      <c r="F158" s="25">
        <v>307580</v>
      </c>
      <c r="G158" s="25">
        <f t="array" ref="G158">SUM(IF("156"&amp;C158=KHN&amp;MH,SL))</f>
        <v>0</v>
      </c>
      <c r="H158" s="25">
        <f t="array" ref="H158">SUM(IF("156"&amp;C158=KHN&amp;MH,TH))</f>
        <v>0</v>
      </c>
      <c r="I158" s="25">
        <f t="array" ref="I158">SUM(IF("156"&amp;C158=KHC&amp;MH,SL))</f>
        <v>20</v>
      </c>
      <c r="J158" s="25">
        <f t="array" ref="J158">SUM(IF("156"&amp;C158=KHC&amp;MH,TH))</f>
        <v>307580</v>
      </c>
      <c r="K158" s="25">
        <f t="shared" si="12"/>
        <v>0</v>
      </c>
      <c r="L158" s="25">
        <f t="shared" si="13"/>
        <v>0</v>
      </c>
      <c r="M158" s="289" t="e">
        <f t="shared" si="14"/>
        <v>#DIV/0!</v>
      </c>
    </row>
    <row r="159" spans="1:13" ht="18.75" customHeight="1">
      <c r="A159" s="289" t="str">
        <f t="shared" si="10"/>
        <v>NL</v>
      </c>
      <c r="B159" s="753">
        <f t="shared" si="11"/>
        <v>148</v>
      </c>
      <c r="C159" s="191" t="s">
        <v>970</v>
      </c>
      <c r="D159" s="291" t="s">
        <v>339</v>
      </c>
      <c r="E159" s="25"/>
      <c r="F159" s="25"/>
      <c r="G159" s="25">
        <f t="array" ref="G159">SUM(IF("156"&amp;C159=KHN&amp;MH,SL))</f>
        <v>1000</v>
      </c>
      <c r="H159" s="25">
        <f t="array" ref="H159">SUM(IF("156"&amp;C159=KHN&amp;MH,TH))</f>
        <v>8265000</v>
      </c>
      <c r="I159" s="25">
        <f t="array" ref="I159">SUM(IF("156"&amp;C159=KHC&amp;MH,SL))</f>
        <v>1000</v>
      </c>
      <c r="J159" s="25">
        <f t="array" ref="J159">SUM(IF("156"&amp;C159=KHC&amp;MH,TH))</f>
        <v>8265000</v>
      </c>
      <c r="K159" s="25">
        <f t="shared" si="12"/>
        <v>0</v>
      </c>
      <c r="L159" s="25">
        <f t="shared" si="13"/>
        <v>0</v>
      </c>
      <c r="M159" s="289" t="e">
        <f t="shared" si="14"/>
        <v>#DIV/0!</v>
      </c>
    </row>
    <row r="160" spans="1:13" ht="18.75" customHeight="1">
      <c r="A160" s="289" t="str">
        <f t="shared" si="10"/>
        <v>NL</v>
      </c>
      <c r="B160" s="753">
        <f t="shared" si="11"/>
        <v>149</v>
      </c>
      <c r="C160" s="188" t="s">
        <v>1296</v>
      </c>
      <c r="D160" s="291" t="s">
        <v>339</v>
      </c>
      <c r="E160" s="25"/>
      <c r="F160" s="25"/>
      <c r="G160" s="25">
        <f t="array" ref="G160">SUM(IF("156"&amp;C160=KHN&amp;MH,SL))</f>
        <v>34</v>
      </c>
      <c r="H160" s="25">
        <f t="array" ref="H160">SUM(IF("156"&amp;C160=KHN&amp;MH,TH))</f>
        <v>991440</v>
      </c>
      <c r="I160" s="25">
        <f t="array" ref="I160">SUM(IF("156"&amp;C160=KHC&amp;MH,SL))</f>
        <v>0</v>
      </c>
      <c r="J160" s="25">
        <f t="array" ref="J160">SUM(IF("156"&amp;C160=KHC&amp;MH,TH))</f>
        <v>0</v>
      </c>
      <c r="K160" s="25">
        <f t="shared" si="12"/>
        <v>34</v>
      </c>
      <c r="L160" s="25">
        <f t="shared" si="13"/>
        <v>991440</v>
      </c>
      <c r="M160" s="289">
        <f t="shared" si="14"/>
        <v>29160</v>
      </c>
    </row>
    <row r="161" spans="1:13" ht="18.75" customHeight="1">
      <c r="A161" s="289" t="str">
        <f t="shared" si="10"/>
        <v>NL</v>
      </c>
      <c r="B161" s="753">
        <f t="shared" si="11"/>
        <v>150</v>
      </c>
      <c r="C161" s="188" t="s">
        <v>1382</v>
      </c>
      <c r="D161" s="291" t="s">
        <v>339</v>
      </c>
      <c r="E161" s="25"/>
      <c r="F161" s="25"/>
      <c r="G161" s="25">
        <f t="array" ref="G161">SUM(IF("156"&amp;C161=KHN&amp;MH,SL))</f>
        <v>120</v>
      </c>
      <c r="H161" s="25">
        <f t="array" ref="H161">SUM(IF("156"&amp;C161=KHN&amp;MH,TH))</f>
        <v>5664000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 t="shared" si="12"/>
        <v>120</v>
      </c>
      <c r="L161" s="25">
        <f t="shared" si="13"/>
        <v>5664000</v>
      </c>
      <c r="M161" s="289">
        <f t="shared" si="14"/>
        <v>47200</v>
      </c>
    </row>
    <row r="162" spans="1:13" ht="18.75" customHeight="1">
      <c r="A162" s="289" t="str">
        <f t="shared" si="10"/>
        <v>NL</v>
      </c>
      <c r="B162" s="753">
        <f t="shared" si="11"/>
        <v>151</v>
      </c>
      <c r="C162" s="191" t="s">
        <v>926</v>
      </c>
      <c r="D162" s="291" t="s">
        <v>339</v>
      </c>
      <c r="E162" s="25"/>
      <c r="F162" s="25"/>
      <c r="G162" s="25">
        <f t="array" ref="G162">SUM(IF("156"&amp;C162=KHN&amp;MH,SL))</f>
        <v>200</v>
      </c>
      <c r="H162" s="25">
        <f t="array" ref="H162">SUM(IF("156"&amp;C162=KHN&amp;MH,TH))</f>
        <v>6918000</v>
      </c>
      <c r="I162" s="25">
        <f t="array" ref="I162">SUM(IF("156"&amp;C162=KHC&amp;MH,SL))</f>
        <v>200</v>
      </c>
      <c r="J162" s="25">
        <f t="array" ref="J162">SUM(IF("156"&amp;C162=KHC&amp;MH,TH))</f>
        <v>6918000</v>
      </c>
      <c r="K162" s="25">
        <f t="shared" si="12"/>
        <v>0</v>
      </c>
      <c r="L162" s="25">
        <f t="shared" si="13"/>
        <v>0</v>
      </c>
      <c r="M162" s="289" t="e">
        <f t="shared" si="14"/>
        <v>#DIV/0!</v>
      </c>
    </row>
    <row r="163" spans="1:13" ht="18.75" customHeight="1">
      <c r="A163" s="289" t="str">
        <f t="shared" si="10"/>
        <v>NL</v>
      </c>
      <c r="B163" s="753">
        <f t="shared" si="11"/>
        <v>152</v>
      </c>
      <c r="C163" s="191" t="s">
        <v>1277</v>
      </c>
      <c r="D163" s="291" t="s">
        <v>339</v>
      </c>
      <c r="E163" s="25">
        <v>102</v>
      </c>
      <c r="F163" s="25">
        <v>2306526</v>
      </c>
      <c r="G163" s="25">
        <f t="array" ref="G163">SUM(IF("156"&amp;C163=KHN&amp;MH,SL))</f>
        <v>0</v>
      </c>
      <c r="H163" s="25">
        <f t="array" ref="H163">SUM(IF("156"&amp;C163=KHN&amp;MH,TH))</f>
        <v>0</v>
      </c>
      <c r="I163" s="25">
        <f t="array" ref="I163">SUM(IF("156"&amp;C163=KHC&amp;MH,SL))</f>
        <v>102</v>
      </c>
      <c r="J163" s="25">
        <f t="array" ref="J163">SUM(IF("156"&amp;C163=KHC&amp;MH,TH))</f>
        <v>2306526</v>
      </c>
      <c r="K163" s="25">
        <f t="shared" si="12"/>
        <v>0</v>
      </c>
      <c r="L163" s="25">
        <f t="shared" si="13"/>
        <v>0</v>
      </c>
      <c r="M163" s="289" t="e">
        <f t="shared" si="14"/>
        <v>#DIV/0!</v>
      </c>
    </row>
    <row r="164" spans="1:13" ht="18.75" customHeight="1">
      <c r="A164" s="289" t="str">
        <f t="shared" si="10"/>
        <v>NL</v>
      </c>
      <c r="B164" s="753">
        <f t="shared" si="11"/>
        <v>153</v>
      </c>
      <c r="C164" s="188" t="s">
        <v>1276</v>
      </c>
      <c r="D164" s="291" t="s">
        <v>339</v>
      </c>
      <c r="E164" s="25">
        <v>15</v>
      </c>
      <c r="F164" s="25">
        <v>352755</v>
      </c>
      <c r="G164" s="25">
        <f t="array" ref="G164">SUM(IF("156"&amp;C164=KHN&amp;MH,SL))</f>
        <v>0</v>
      </c>
      <c r="H164" s="25">
        <f t="array" ref="H164">SUM(IF("156"&amp;C164=KHN&amp;MH,TH))</f>
        <v>0</v>
      </c>
      <c r="I164" s="25">
        <f t="array" ref="I164">SUM(IF("156"&amp;C164=KHC&amp;MH,SL))</f>
        <v>15</v>
      </c>
      <c r="J164" s="25">
        <f t="array" ref="J164">SUM(IF("156"&amp;C164=KHC&amp;MH,TH))</f>
        <v>352755</v>
      </c>
      <c r="K164" s="25">
        <f t="shared" si="12"/>
        <v>0</v>
      </c>
      <c r="L164" s="25">
        <f t="shared" si="13"/>
        <v>0</v>
      </c>
      <c r="M164" s="289" t="e">
        <f t="shared" si="14"/>
        <v>#DIV/0!</v>
      </c>
    </row>
    <row r="165" spans="1:13" ht="18.75" customHeight="1">
      <c r="A165" s="289" t="str">
        <f t="shared" si="10"/>
        <v>NL</v>
      </c>
      <c r="B165" s="753">
        <f t="shared" si="11"/>
        <v>154</v>
      </c>
      <c r="C165" s="188" t="s">
        <v>1275</v>
      </c>
      <c r="D165" s="291" t="s">
        <v>339</v>
      </c>
      <c r="E165" s="25">
        <v>24</v>
      </c>
      <c r="F165" s="25">
        <v>567216</v>
      </c>
      <c r="G165" s="25">
        <f t="array" ref="G165">SUM(IF("156"&amp;C165=KHN&amp;MH,SL))</f>
        <v>0</v>
      </c>
      <c r="H165" s="25">
        <f t="array" ref="H165">SUM(IF("156"&amp;C165=KHN&amp;MH,TH))</f>
        <v>0</v>
      </c>
      <c r="I165" s="25">
        <f t="array" ref="I165">SUM(IF("156"&amp;C165=KHC&amp;MH,SL))</f>
        <v>24</v>
      </c>
      <c r="J165" s="25">
        <f t="array" ref="J165">SUM(IF("156"&amp;C165=KHC&amp;MH,TH))</f>
        <v>567216</v>
      </c>
      <c r="K165" s="25">
        <f t="shared" si="12"/>
        <v>0</v>
      </c>
      <c r="L165" s="25">
        <f t="shared" si="13"/>
        <v>0</v>
      </c>
      <c r="M165" s="289" t="e">
        <f t="shared" si="14"/>
        <v>#DIV/0!</v>
      </c>
    </row>
    <row r="166" spans="1:13" ht="18.75" customHeight="1">
      <c r="A166" s="289" t="str">
        <f t="shared" si="10"/>
        <v>NL</v>
      </c>
      <c r="B166" s="753">
        <f t="shared" si="11"/>
        <v>155</v>
      </c>
      <c r="C166" s="40" t="s">
        <v>1274</v>
      </c>
      <c r="D166" s="291" t="s">
        <v>339</v>
      </c>
      <c r="E166" s="25">
        <v>52</v>
      </c>
      <c r="F166" s="25">
        <v>1548768</v>
      </c>
      <c r="G166" s="25">
        <f t="array" ref="G166">SUM(IF("156"&amp;C166=KHN&amp;MH,SL))</f>
        <v>0</v>
      </c>
      <c r="H166" s="25">
        <f t="array" ref="H166">SUM(IF("156"&amp;C166=KHN&amp;MH,TH))</f>
        <v>0</v>
      </c>
      <c r="I166" s="25">
        <f t="array" ref="I166">SUM(IF("156"&amp;C166=KHC&amp;MH,SL))</f>
        <v>52</v>
      </c>
      <c r="J166" s="25">
        <f t="array" ref="J166">SUM(IF("156"&amp;C166=KHC&amp;MH,TH))</f>
        <v>1548768</v>
      </c>
      <c r="K166" s="25">
        <f t="shared" si="12"/>
        <v>0</v>
      </c>
      <c r="L166" s="25">
        <f t="shared" si="13"/>
        <v>0</v>
      </c>
      <c r="M166" s="289" t="e">
        <f t="shared" si="14"/>
        <v>#DIV/0!</v>
      </c>
    </row>
    <row r="167" spans="1:13" ht="18.75" customHeight="1">
      <c r="A167" s="289" t="str">
        <f t="shared" si="10"/>
        <v>NL</v>
      </c>
      <c r="B167" s="753">
        <f t="shared" si="11"/>
        <v>156</v>
      </c>
      <c r="C167" s="188" t="s">
        <v>1273</v>
      </c>
      <c r="D167" s="291" t="s">
        <v>339</v>
      </c>
      <c r="E167" s="25">
        <v>181</v>
      </c>
      <c r="F167" s="25">
        <v>5236692</v>
      </c>
      <c r="G167" s="25">
        <f t="array" ref="G167">SUM(IF("156"&amp;C167=KHN&amp;MH,SL))</f>
        <v>0</v>
      </c>
      <c r="H167" s="25">
        <f t="array" ref="H167">SUM(IF("156"&amp;C167=KHN&amp;MH,TH))</f>
        <v>0</v>
      </c>
      <c r="I167" s="25">
        <f t="array" ref="I167">SUM(IF("156"&amp;C167=KHC&amp;MH,SL))</f>
        <v>181</v>
      </c>
      <c r="J167" s="25">
        <f t="array" ref="J167">SUM(IF("156"&amp;C167=KHC&amp;MH,TH))</f>
        <v>5236692</v>
      </c>
      <c r="K167" s="25">
        <f t="shared" si="12"/>
        <v>0</v>
      </c>
      <c r="L167" s="25">
        <f t="shared" si="13"/>
        <v>0</v>
      </c>
      <c r="M167" s="289" t="e">
        <f t="shared" si="14"/>
        <v>#DIV/0!</v>
      </c>
    </row>
    <row r="168" spans="1:13" ht="18.75" customHeight="1">
      <c r="A168" s="289" t="str">
        <f t="shared" si="10"/>
        <v>NL</v>
      </c>
      <c r="B168" s="753">
        <f t="shared" si="11"/>
        <v>157</v>
      </c>
      <c r="C168" s="188" t="s">
        <v>1272</v>
      </c>
      <c r="D168" s="291" t="s">
        <v>339</v>
      </c>
      <c r="E168" s="25">
        <v>100</v>
      </c>
      <c r="F168" s="25">
        <v>1973560</v>
      </c>
      <c r="G168" s="25">
        <f t="array" ref="G168">SUM(IF("156"&amp;C168=KHN&amp;MH,SL))</f>
        <v>0</v>
      </c>
      <c r="H168" s="25">
        <f t="array" ref="H168">SUM(IF("156"&amp;C168=KHN&amp;MH,TH))</f>
        <v>0</v>
      </c>
      <c r="I168" s="25">
        <f t="array" ref="I168">SUM(IF("156"&amp;C168=KHC&amp;MH,SL))</f>
        <v>100</v>
      </c>
      <c r="J168" s="25">
        <f t="array" ref="J168">SUM(IF("156"&amp;C168=KHC&amp;MH,TH))</f>
        <v>1973560</v>
      </c>
      <c r="K168" s="25">
        <f t="shared" si="12"/>
        <v>0</v>
      </c>
      <c r="L168" s="25">
        <f t="shared" si="13"/>
        <v>0</v>
      </c>
      <c r="M168" s="289" t="e">
        <f t="shared" si="14"/>
        <v>#DIV/0!</v>
      </c>
    </row>
    <row r="169" spans="1:13" ht="18.75" customHeight="1">
      <c r="A169" s="289" t="str">
        <f t="shared" si="10"/>
        <v>NL</v>
      </c>
      <c r="B169" s="753">
        <f t="shared" si="11"/>
        <v>158</v>
      </c>
      <c r="C169" s="191" t="s">
        <v>1271</v>
      </c>
      <c r="D169" s="291" t="s">
        <v>339</v>
      </c>
      <c r="E169" s="25">
        <v>20</v>
      </c>
      <c r="F169" s="25">
        <v>432640</v>
      </c>
      <c r="G169" s="25">
        <f t="array" ref="G169">SUM(IF("156"&amp;C169=KHN&amp;MH,SL))</f>
        <v>0</v>
      </c>
      <c r="H169" s="25">
        <f t="array" ref="H169">SUM(IF("156"&amp;C169=KHN&amp;MH,TH))</f>
        <v>0</v>
      </c>
      <c r="I169" s="25">
        <f t="array" ref="I169">SUM(IF("156"&amp;C169=KHC&amp;MH,SL))</f>
        <v>20</v>
      </c>
      <c r="J169" s="25">
        <f t="array" ref="J169">SUM(IF("156"&amp;C169=KHC&amp;MH,TH))</f>
        <v>432640</v>
      </c>
      <c r="K169" s="25">
        <f t="shared" si="12"/>
        <v>0</v>
      </c>
      <c r="L169" s="25">
        <f t="shared" si="13"/>
        <v>0</v>
      </c>
      <c r="M169" s="289" t="e">
        <f t="shared" si="14"/>
        <v>#DIV/0!</v>
      </c>
    </row>
    <row r="170" spans="1:13" ht="18.75" customHeight="1">
      <c r="A170" s="289" t="str">
        <f t="shared" si="10"/>
        <v>NL</v>
      </c>
      <c r="B170" s="753">
        <f t="shared" si="11"/>
        <v>159</v>
      </c>
      <c r="C170" s="188" t="s">
        <v>1270</v>
      </c>
      <c r="D170" s="291" t="s">
        <v>339</v>
      </c>
      <c r="E170" s="25">
        <v>36</v>
      </c>
      <c r="F170" s="25">
        <v>782460</v>
      </c>
      <c r="G170" s="25">
        <f t="array" ref="G170">SUM(IF("156"&amp;C170=KHN&amp;MH,SL))</f>
        <v>0</v>
      </c>
      <c r="H170" s="25">
        <f t="array" ref="H170">SUM(IF("156"&amp;C170=KHN&amp;MH,TH))</f>
        <v>0</v>
      </c>
      <c r="I170" s="25">
        <f t="array" ref="I170">SUM(IF("156"&amp;C170=KHC&amp;MH,SL))</f>
        <v>36</v>
      </c>
      <c r="J170" s="25">
        <f t="array" ref="J170">SUM(IF("156"&amp;C170=KHC&amp;MH,TH))</f>
        <v>782460</v>
      </c>
      <c r="K170" s="25">
        <f t="shared" si="12"/>
        <v>0</v>
      </c>
      <c r="L170" s="25">
        <f t="shared" si="13"/>
        <v>0</v>
      </c>
      <c r="M170" s="289" t="e">
        <f t="shared" si="14"/>
        <v>#DIV/0!</v>
      </c>
    </row>
    <row r="171" spans="1:13" ht="18.75" customHeight="1">
      <c r="A171" s="289" t="str">
        <f t="shared" si="10"/>
        <v>NL</v>
      </c>
      <c r="B171" s="753">
        <f t="shared" si="11"/>
        <v>160</v>
      </c>
      <c r="C171" s="188" t="s">
        <v>1269</v>
      </c>
      <c r="D171" s="291" t="s">
        <v>339</v>
      </c>
      <c r="E171" s="25">
        <v>20</v>
      </c>
      <c r="F171" s="25">
        <v>453600</v>
      </c>
      <c r="G171" s="25">
        <f t="array" ref="G171">SUM(IF("156"&amp;C171=KHN&amp;MH,SL))</f>
        <v>0</v>
      </c>
      <c r="H171" s="25">
        <f t="array" ref="H171">SUM(IF("156"&amp;C171=KHN&amp;MH,TH))</f>
        <v>0</v>
      </c>
      <c r="I171" s="25">
        <f t="array" ref="I171">SUM(IF("156"&amp;C171=KHC&amp;MH,SL))</f>
        <v>20</v>
      </c>
      <c r="J171" s="25">
        <f t="array" ref="J171">SUM(IF("156"&amp;C171=KHC&amp;MH,TH))</f>
        <v>453600</v>
      </c>
      <c r="K171" s="25">
        <f t="shared" si="12"/>
        <v>0</v>
      </c>
      <c r="L171" s="25">
        <f t="shared" si="13"/>
        <v>0</v>
      </c>
      <c r="M171" s="289" t="e">
        <f t="shared" si="14"/>
        <v>#DIV/0!</v>
      </c>
    </row>
    <row r="172" spans="1:13" ht="18.75" customHeight="1">
      <c r="A172" s="289" t="str">
        <f t="shared" si="10"/>
        <v>NL</v>
      </c>
      <c r="B172" s="753">
        <f t="shared" si="11"/>
        <v>161</v>
      </c>
      <c r="C172" s="40" t="s">
        <v>1268</v>
      </c>
      <c r="D172" s="291" t="s">
        <v>339</v>
      </c>
      <c r="E172" s="25">
        <v>44</v>
      </c>
      <c r="F172" s="25">
        <v>960916</v>
      </c>
      <c r="G172" s="25">
        <f t="array" ref="G172">SUM(IF("156"&amp;C172=KHN&amp;MH,SL))</f>
        <v>0</v>
      </c>
      <c r="H172" s="25">
        <f t="array" ref="H172">SUM(IF("156"&amp;C172=KHN&amp;MH,TH))</f>
        <v>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2"/>
        <v>44</v>
      </c>
      <c r="L172" s="25">
        <f t="shared" si="13"/>
        <v>960916</v>
      </c>
      <c r="M172" s="289">
        <f t="shared" si="14"/>
        <v>21839</v>
      </c>
    </row>
    <row r="173" spans="1:13" ht="18.75" customHeight="1">
      <c r="A173" s="289" t="str">
        <f t="shared" si="10"/>
        <v>NL</v>
      </c>
      <c r="B173" s="753">
        <f t="shared" si="11"/>
        <v>162</v>
      </c>
      <c r="C173" s="191" t="s">
        <v>1267</v>
      </c>
      <c r="D173" s="291" t="s">
        <v>339</v>
      </c>
      <c r="E173" s="25">
        <v>40</v>
      </c>
      <c r="F173" s="25">
        <v>949520</v>
      </c>
      <c r="G173" s="25">
        <f t="array" ref="G173">SUM(IF("156"&amp;C173=KHN&amp;MH,SL))</f>
        <v>0</v>
      </c>
      <c r="H173" s="25">
        <f t="array" ref="H173">SUM(IF("156"&amp;C173=KHN&amp;MH,TH))</f>
        <v>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 t="shared" si="12"/>
        <v>40</v>
      </c>
      <c r="L173" s="25">
        <f t="shared" si="13"/>
        <v>949520</v>
      </c>
      <c r="M173" s="289">
        <f t="shared" si="14"/>
        <v>23738</v>
      </c>
    </row>
    <row r="174" spans="1:13" ht="18.75" customHeight="1">
      <c r="A174" s="289" t="str">
        <f t="shared" si="10"/>
        <v>NL</v>
      </c>
      <c r="B174" s="753">
        <f t="shared" si="11"/>
        <v>163</v>
      </c>
      <c r="C174" s="191" t="s">
        <v>1266</v>
      </c>
      <c r="D174" s="291" t="s">
        <v>339</v>
      </c>
      <c r="E174" s="25">
        <v>80</v>
      </c>
      <c r="F174" s="25">
        <v>2710560</v>
      </c>
      <c r="G174" s="25">
        <f t="array" ref="G174">SUM(IF("156"&amp;C174=KHN&amp;MH,SL))</f>
        <v>0</v>
      </c>
      <c r="H174" s="25">
        <f t="array" ref="H174">SUM(IF("156"&amp;C174=KHN&amp;MH,TH))</f>
        <v>0</v>
      </c>
      <c r="I174" s="25">
        <f t="array" ref="I174">SUM(IF("156"&amp;C174=KHC&amp;MH,SL))</f>
        <v>80</v>
      </c>
      <c r="J174" s="25">
        <f t="array" ref="J174">SUM(IF("156"&amp;C174=KHC&amp;MH,TH))</f>
        <v>2710560</v>
      </c>
      <c r="K174" s="25">
        <f t="shared" si="12"/>
        <v>0</v>
      </c>
      <c r="L174" s="25">
        <f t="shared" si="13"/>
        <v>0</v>
      </c>
      <c r="M174" s="289" t="e">
        <f t="shared" si="14"/>
        <v>#DIV/0!</v>
      </c>
    </row>
    <row r="175" spans="1:13" ht="18.75" customHeight="1">
      <c r="A175" s="289" t="str">
        <f t="shared" si="10"/>
        <v>NL</v>
      </c>
      <c r="B175" s="753">
        <f t="shared" si="11"/>
        <v>164</v>
      </c>
      <c r="C175" s="191" t="s">
        <v>1265</v>
      </c>
      <c r="D175" s="291" t="s">
        <v>339</v>
      </c>
      <c r="E175" s="25">
        <v>100</v>
      </c>
      <c r="F175" s="25">
        <v>3404100</v>
      </c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 t="shared" si="12"/>
        <v>100</v>
      </c>
      <c r="L175" s="25">
        <f t="shared" si="13"/>
        <v>3404100</v>
      </c>
      <c r="M175" s="289">
        <f t="shared" si="14"/>
        <v>34041</v>
      </c>
    </row>
    <row r="176" spans="1:13" ht="18.75" customHeight="1">
      <c r="A176" s="289" t="str">
        <f t="shared" si="10"/>
        <v>NL</v>
      </c>
      <c r="B176" s="753">
        <f t="shared" si="11"/>
        <v>165</v>
      </c>
      <c r="C176" s="191" t="s">
        <v>1264</v>
      </c>
      <c r="D176" s="291" t="s">
        <v>339</v>
      </c>
      <c r="E176" s="25">
        <v>22</v>
      </c>
      <c r="F176" s="25">
        <v>476454</v>
      </c>
      <c r="G176" s="25">
        <f t="array" ref="G176">SUM(IF("156"&amp;C176=KHN&amp;MH,SL))</f>
        <v>0</v>
      </c>
      <c r="H176" s="25">
        <f t="array" ref="H176">SUM(IF("156"&amp;C176=KHN&amp;MH,TH))</f>
        <v>0</v>
      </c>
      <c r="I176" s="25">
        <f t="array" ref="I176">SUM(IF("156"&amp;C176=KHC&amp;MH,SL))</f>
        <v>22</v>
      </c>
      <c r="J176" s="25">
        <f t="array" ref="J176">SUM(IF("156"&amp;C176=KHC&amp;MH,TH))</f>
        <v>476454</v>
      </c>
      <c r="K176" s="25">
        <f t="shared" si="12"/>
        <v>0</v>
      </c>
      <c r="L176" s="25">
        <f t="shared" si="13"/>
        <v>0</v>
      </c>
      <c r="M176" s="289" t="e">
        <f t="shared" si="14"/>
        <v>#DIV/0!</v>
      </c>
    </row>
    <row r="177" spans="1:13" ht="18.75" customHeight="1">
      <c r="A177" s="289" t="str">
        <f t="shared" si="10"/>
        <v>NL</v>
      </c>
      <c r="B177" s="753">
        <f t="shared" si="11"/>
        <v>166</v>
      </c>
      <c r="C177" s="191" t="s">
        <v>1263</v>
      </c>
      <c r="D177" s="291" t="s">
        <v>339</v>
      </c>
      <c r="E177" s="25">
        <v>54</v>
      </c>
      <c r="F177" s="25">
        <v>1300050</v>
      </c>
      <c r="G177" s="25">
        <f t="array" ref="G177">SUM(IF("156"&amp;C177=KHN&amp;MH,SL))</f>
        <v>0</v>
      </c>
      <c r="H177" s="25">
        <f t="array" ref="H177">SUM(IF("156"&amp;C177=KHN&amp;MH,TH))</f>
        <v>0</v>
      </c>
      <c r="I177" s="25">
        <f t="array" ref="I177">SUM(IF("156"&amp;C177=KHC&amp;MH,SL))</f>
        <v>54</v>
      </c>
      <c r="J177" s="25">
        <f t="array" ref="J177">SUM(IF("156"&amp;C177=KHC&amp;MH,TH))</f>
        <v>1300050</v>
      </c>
      <c r="K177" s="25">
        <f t="shared" si="12"/>
        <v>0</v>
      </c>
      <c r="L177" s="25">
        <f t="shared" si="13"/>
        <v>0</v>
      </c>
      <c r="M177" s="289" t="e">
        <f t="shared" si="14"/>
        <v>#DIV/0!</v>
      </c>
    </row>
    <row r="178" spans="1:13" ht="18.75" customHeight="1">
      <c r="A178" s="289" t="str">
        <f t="shared" si="10"/>
        <v>NL</v>
      </c>
      <c r="B178" s="753">
        <f t="shared" si="11"/>
        <v>167</v>
      </c>
      <c r="C178" s="191" t="s">
        <v>1262</v>
      </c>
      <c r="D178" s="291" t="s">
        <v>339</v>
      </c>
      <c r="E178" s="25">
        <v>25</v>
      </c>
      <c r="F178" s="25">
        <v>604700</v>
      </c>
      <c r="G178" s="25">
        <f t="array" ref="G178">SUM(IF("156"&amp;C178=KHN&amp;MH,SL))</f>
        <v>0</v>
      </c>
      <c r="H178" s="25">
        <f t="array" ref="H178">SUM(IF("156"&amp;C178=KHN&amp;MH,TH))</f>
        <v>0</v>
      </c>
      <c r="I178" s="25">
        <f t="array" ref="I178">SUM(IF("156"&amp;C178=KHC&amp;MH,SL))</f>
        <v>25</v>
      </c>
      <c r="J178" s="25">
        <f t="array" ref="J178">SUM(IF("156"&amp;C178=KHC&amp;MH,TH))</f>
        <v>604700</v>
      </c>
      <c r="K178" s="25">
        <f t="shared" si="12"/>
        <v>0</v>
      </c>
      <c r="L178" s="25">
        <f t="shared" si="13"/>
        <v>0</v>
      </c>
      <c r="M178" s="289" t="e">
        <f t="shared" si="14"/>
        <v>#DIV/0!</v>
      </c>
    </row>
    <row r="179" spans="1:13" ht="18.75" customHeight="1">
      <c r="A179" s="289" t="str">
        <f t="shared" si="10"/>
        <v>NL</v>
      </c>
      <c r="B179" s="753">
        <f t="shared" si="11"/>
        <v>168</v>
      </c>
      <c r="C179" s="191" t="s">
        <v>1261</v>
      </c>
      <c r="D179" s="291" t="s">
        <v>339</v>
      </c>
      <c r="E179" s="25">
        <v>36</v>
      </c>
      <c r="F179" s="25">
        <v>905580</v>
      </c>
      <c r="G179" s="25">
        <f t="array" ref="G179">SUM(IF("156"&amp;C179=KHN&amp;MH,SL))</f>
        <v>0</v>
      </c>
      <c r="H179" s="25">
        <f t="array" ref="H179">SUM(IF("156"&amp;C179=KHN&amp;MH,TH))</f>
        <v>0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 t="shared" si="12"/>
        <v>36</v>
      </c>
      <c r="L179" s="25">
        <f t="shared" si="13"/>
        <v>905580</v>
      </c>
      <c r="M179" s="289">
        <f t="shared" si="14"/>
        <v>25155</v>
      </c>
    </row>
    <row r="180" spans="1:13" ht="18.75" customHeight="1">
      <c r="A180" s="289" t="str">
        <f t="shared" si="10"/>
        <v>NL</v>
      </c>
      <c r="B180" s="753">
        <f t="shared" si="11"/>
        <v>169</v>
      </c>
      <c r="C180" s="188" t="s">
        <v>1260</v>
      </c>
      <c r="D180" s="291" t="s">
        <v>339</v>
      </c>
      <c r="E180" s="25">
        <v>102</v>
      </c>
      <c r="F180" s="25">
        <v>3186174</v>
      </c>
      <c r="G180" s="25">
        <f t="array" ref="G180">SUM(IF("156"&amp;C180=KHN&amp;MH,SL))</f>
        <v>0</v>
      </c>
      <c r="H180" s="25">
        <f t="array" ref="H180">SUM(IF("156"&amp;C180=KHN&amp;MH,TH))</f>
        <v>0</v>
      </c>
      <c r="I180" s="25">
        <f t="array" ref="I180">SUM(IF("156"&amp;C180=KHC&amp;MH,SL))</f>
        <v>102</v>
      </c>
      <c r="J180" s="25">
        <f t="array" ref="J180">SUM(IF("156"&amp;C180=KHC&amp;MH,TH))</f>
        <v>3186174</v>
      </c>
      <c r="K180" s="25">
        <f t="shared" si="12"/>
        <v>0</v>
      </c>
      <c r="L180" s="25">
        <f t="shared" si="13"/>
        <v>0</v>
      </c>
      <c r="M180" s="289" t="e">
        <f t="shared" si="14"/>
        <v>#DIV/0!</v>
      </c>
    </row>
    <row r="181" spans="1:13" ht="18.75" customHeight="1">
      <c r="A181" s="289" t="str">
        <f t="shared" si="10"/>
        <v>NL</v>
      </c>
      <c r="B181" s="753">
        <f t="shared" si="11"/>
        <v>170</v>
      </c>
      <c r="C181" s="191" t="s">
        <v>1259</v>
      </c>
      <c r="D181" s="291" t="s">
        <v>339</v>
      </c>
      <c r="E181" s="25">
        <v>35</v>
      </c>
      <c r="F181" s="25">
        <v>888615</v>
      </c>
      <c r="G181" s="25">
        <f t="array" ref="G181">SUM(IF("156"&amp;C181=KHN&amp;MH,SL))</f>
        <v>0</v>
      </c>
      <c r="H181" s="25">
        <f t="array" ref="H181">SUM(IF("156"&amp;C181=KHN&amp;MH,TH))</f>
        <v>0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 t="shared" si="12"/>
        <v>35</v>
      </c>
      <c r="L181" s="25">
        <f t="shared" si="13"/>
        <v>888615</v>
      </c>
      <c r="M181" s="289">
        <f t="shared" si="14"/>
        <v>25389</v>
      </c>
    </row>
    <row r="182" spans="1:13" ht="18.75" customHeight="1">
      <c r="A182" s="289" t="str">
        <f t="shared" si="10"/>
        <v>NL</v>
      </c>
      <c r="B182" s="753">
        <f t="shared" si="11"/>
        <v>171</v>
      </c>
      <c r="C182" s="188" t="s">
        <v>1258</v>
      </c>
      <c r="D182" s="291" t="s">
        <v>339</v>
      </c>
      <c r="E182" s="25">
        <v>10</v>
      </c>
      <c r="F182" s="25">
        <v>257400</v>
      </c>
      <c r="G182" s="25">
        <f t="array" ref="G182">SUM(IF("156"&amp;C182=KHN&amp;MH,SL))</f>
        <v>0</v>
      </c>
      <c r="H182" s="25">
        <f t="array" ref="H182">SUM(IF("156"&amp;C182=KHN&amp;MH,TH))</f>
        <v>0</v>
      </c>
      <c r="I182" s="25">
        <f t="array" ref="I182">SUM(IF("156"&amp;C182=KHC&amp;MH,SL))</f>
        <v>10</v>
      </c>
      <c r="J182" s="25">
        <f t="array" ref="J182">SUM(IF("156"&amp;C182=KHC&amp;MH,TH))</f>
        <v>257400</v>
      </c>
      <c r="K182" s="25">
        <f t="shared" si="12"/>
        <v>0</v>
      </c>
      <c r="L182" s="25">
        <f t="shared" si="13"/>
        <v>0</v>
      </c>
      <c r="M182" s="289" t="e">
        <f t="shared" si="14"/>
        <v>#DIV/0!</v>
      </c>
    </row>
    <row r="183" spans="1:13" ht="18.75" customHeight="1">
      <c r="A183" s="289" t="str">
        <f t="shared" si="10"/>
        <v>NL</v>
      </c>
      <c r="B183" s="753">
        <f t="shared" si="11"/>
        <v>172</v>
      </c>
      <c r="C183" s="191" t="s">
        <v>1257</v>
      </c>
      <c r="D183" s="291" t="s">
        <v>339</v>
      </c>
      <c r="E183" s="25">
        <v>23</v>
      </c>
      <c r="F183" s="25">
        <v>651728</v>
      </c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 t="shared" si="12"/>
        <v>23</v>
      </c>
      <c r="L183" s="25">
        <f t="shared" si="13"/>
        <v>651728</v>
      </c>
      <c r="M183" s="289">
        <f t="shared" si="14"/>
        <v>28336</v>
      </c>
    </row>
    <row r="184" spans="1:13" ht="18.75" customHeight="1">
      <c r="A184" s="289" t="str">
        <f t="shared" si="10"/>
        <v>NL</v>
      </c>
      <c r="B184" s="753">
        <f t="shared" si="11"/>
        <v>173</v>
      </c>
      <c r="C184" s="40" t="s">
        <v>1256</v>
      </c>
      <c r="D184" s="291" t="s">
        <v>339</v>
      </c>
      <c r="E184" s="25">
        <v>70</v>
      </c>
      <c r="F184" s="25">
        <v>1444555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70</v>
      </c>
      <c r="J184" s="25">
        <f t="array" ref="J184">SUM(IF("156"&amp;C184=KHC&amp;MH,TH))</f>
        <v>1444555</v>
      </c>
      <c r="K184" s="25">
        <f t="shared" si="12"/>
        <v>0</v>
      </c>
      <c r="L184" s="25">
        <f t="shared" si="13"/>
        <v>0</v>
      </c>
      <c r="M184" s="289" t="e">
        <f t="shared" si="14"/>
        <v>#DIV/0!</v>
      </c>
    </row>
    <row r="185" spans="1:13" ht="18.75" customHeight="1">
      <c r="A185" s="289" t="str">
        <f t="shared" si="10"/>
        <v>NL</v>
      </c>
      <c r="B185" s="753">
        <f t="shared" si="11"/>
        <v>174</v>
      </c>
      <c r="C185" s="40" t="s">
        <v>1255</v>
      </c>
      <c r="D185" s="291" t="s">
        <v>339</v>
      </c>
      <c r="E185" s="25">
        <v>11</v>
      </c>
      <c r="F185" s="25">
        <v>315942</v>
      </c>
      <c r="G185" s="25">
        <f t="array" ref="G185">SUM(IF("156"&amp;C185=KHN&amp;MH,SL))</f>
        <v>0</v>
      </c>
      <c r="H185" s="25">
        <f t="array" ref="H185">SUM(IF("156"&amp;C185=KHN&amp;MH,TH))</f>
        <v>0</v>
      </c>
      <c r="I185" s="25">
        <f t="array" ref="I185">SUM(IF("156"&amp;C185=KHC&amp;MH,SL))</f>
        <v>11</v>
      </c>
      <c r="J185" s="25">
        <f t="array" ref="J185">SUM(IF("156"&amp;C185=KHC&amp;MH,TH))</f>
        <v>315942</v>
      </c>
      <c r="K185" s="25">
        <f t="shared" si="12"/>
        <v>0</v>
      </c>
      <c r="L185" s="25">
        <f t="shared" si="13"/>
        <v>0</v>
      </c>
      <c r="M185" s="289" t="e">
        <f t="shared" si="14"/>
        <v>#DIV/0!</v>
      </c>
    </row>
    <row r="186" spans="1:13" ht="18.75" customHeight="1">
      <c r="A186" s="289" t="str">
        <f t="shared" si="10"/>
        <v>NL</v>
      </c>
      <c r="B186" s="753">
        <f t="shared" si="11"/>
        <v>175</v>
      </c>
      <c r="C186" s="191" t="s">
        <v>1254</v>
      </c>
      <c r="D186" s="291" t="s">
        <v>339</v>
      </c>
      <c r="E186" s="25">
        <v>15</v>
      </c>
      <c r="F186" s="25">
        <v>446220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15</v>
      </c>
      <c r="J186" s="25">
        <f t="array" ref="J186">SUM(IF("156"&amp;C186=KHC&amp;MH,TH))</f>
        <v>446220</v>
      </c>
      <c r="K186" s="25">
        <f t="shared" si="12"/>
        <v>0</v>
      </c>
      <c r="L186" s="25">
        <f t="shared" si="13"/>
        <v>0</v>
      </c>
      <c r="M186" s="289" t="e">
        <f t="shared" si="14"/>
        <v>#DIV/0!</v>
      </c>
    </row>
    <row r="187" spans="1:13" ht="18.75" customHeight="1">
      <c r="A187" s="289" t="str">
        <f t="shared" si="10"/>
        <v>NL</v>
      </c>
      <c r="B187" s="753">
        <f t="shared" si="11"/>
        <v>176</v>
      </c>
      <c r="C187" s="188" t="s">
        <v>1253</v>
      </c>
      <c r="D187" s="291" t="s">
        <v>339</v>
      </c>
      <c r="E187" s="25">
        <v>22</v>
      </c>
      <c r="F187" s="25">
        <v>662310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 t="shared" si="12"/>
        <v>22</v>
      </c>
      <c r="L187" s="25">
        <f t="shared" si="13"/>
        <v>662310</v>
      </c>
      <c r="M187" s="289">
        <f t="shared" si="14"/>
        <v>30105</v>
      </c>
    </row>
    <row r="188" spans="1:13" ht="18.75" customHeight="1">
      <c r="A188" s="289" t="str">
        <f t="shared" si="10"/>
        <v>NL</v>
      </c>
      <c r="B188" s="753">
        <f t="shared" si="11"/>
        <v>177</v>
      </c>
      <c r="C188" s="188" t="s">
        <v>1252</v>
      </c>
      <c r="D188" s="291" t="s">
        <v>339</v>
      </c>
      <c r="E188" s="25">
        <v>30</v>
      </c>
      <c r="F188" s="25">
        <v>689160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30</v>
      </c>
      <c r="J188" s="25">
        <f t="array" ref="J188">SUM(IF("156"&amp;C188=KHC&amp;MH,TH))</f>
        <v>689160</v>
      </c>
      <c r="K188" s="25">
        <f t="shared" si="12"/>
        <v>0</v>
      </c>
      <c r="L188" s="25">
        <f t="shared" si="13"/>
        <v>0</v>
      </c>
      <c r="M188" s="289" t="e">
        <f t="shared" si="14"/>
        <v>#DIV/0!</v>
      </c>
    </row>
    <row r="189" spans="1:13" ht="18.75" customHeight="1">
      <c r="A189" s="289" t="str">
        <f t="shared" si="10"/>
        <v>NL</v>
      </c>
      <c r="B189" s="753">
        <f t="shared" si="11"/>
        <v>178</v>
      </c>
      <c r="C189" s="188" t="s">
        <v>1251</v>
      </c>
      <c r="D189" s="291" t="s">
        <v>339</v>
      </c>
      <c r="E189" s="25">
        <v>40</v>
      </c>
      <c r="F189" s="25">
        <v>984960</v>
      </c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 t="shared" si="12"/>
        <v>40</v>
      </c>
      <c r="L189" s="25">
        <f t="shared" si="13"/>
        <v>984960</v>
      </c>
      <c r="M189" s="289">
        <f t="shared" si="14"/>
        <v>24624</v>
      </c>
    </row>
    <row r="190" spans="1:13" ht="18.75" customHeight="1">
      <c r="A190" s="289" t="str">
        <f t="shared" si="10"/>
        <v>NL</v>
      </c>
      <c r="B190" s="753">
        <f t="shared" si="11"/>
        <v>179</v>
      </c>
      <c r="C190" s="191" t="s">
        <v>1250</v>
      </c>
      <c r="D190" s="291" t="s">
        <v>339</v>
      </c>
      <c r="E190" s="25">
        <v>100</v>
      </c>
      <c r="F190" s="25">
        <v>2898000</v>
      </c>
      <c r="G190" s="25">
        <f t="array" ref="G190">SUM(IF("156"&amp;C190=KHN&amp;MH,SL))</f>
        <v>0</v>
      </c>
      <c r="H190" s="25">
        <f t="array" ref="H190">SUM(IF("156"&amp;C190=KHN&amp;MH,TH))</f>
        <v>0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 t="shared" si="12"/>
        <v>100</v>
      </c>
      <c r="L190" s="25">
        <f t="shared" si="13"/>
        <v>2898000</v>
      </c>
      <c r="M190" s="289">
        <f t="shared" si="14"/>
        <v>28980</v>
      </c>
    </row>
    <row r="191" spans="1:13" ht="18.75" customHeight="1">
      <c r="A191" s="289" t="str">
        <f t="shared" si="10"/>
        <v>NL</v>
      </c>
      <c r="B191" s="753">
        <f t="shared" si="11"/>
        <v>180</v>
      </c>
      <c r="C191" s="191" t="s">
        <v>1249</v>
      </c>
      <c r="D191" s="291" t="s">
        <v>339</v>
      </c>
      <c r="E191" s="25">
        <v>40</v>
      </c>
      <c r="F191" s="25">
        <v>1092600</v>
      </c>
      <c r="G191" s="25">
        <f t="array" ref="G191">SUM(IF("156"&amp;C191=KHN&amp;MH,SL))</f>
        <v>0</v>
      </c>
      <c r="H191" s="25">
        <f t="array" ref="H191">SUM(IF("156"&amp;C191=KHN&amp;MH,TH))</f>
        <v>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 t="shared" si="12"/>
        <v>40</v>
      </c>
      <c r="L191" s="25">
        <f t="shared" si="13"/>
        <v>1092600</v>
      </c>
      <c r="M191" s="289">
        <f t="shared" si="14"/>
        <v>27315</v>
      </c>
    </row>
    <row r="192" spans="1:13" ht="18.75" customHeight="1">
      <c r="A192" s="289" t="str">
        <f t="shared" si="10"/>
        <v>NL</v>
      </c>
      <c r="B192" s="753">
        <f t="shared" si="11"/>
        <v>181</v>
      </c>
      <c r="C192" s="191" t="s">
        <v>1248</v>
      </c>
      <c r="D192" s="291" t="s">
        <v>339</v>
      </c>
      <c r="E192" s="25">
        <v>10</v>
      </c>
      <c r="F192" s="25">
        <v>285530</v>
      </c>
      <c r="G192" s="25">
        <f t="array" ref="G192">SUM(IF("156"&amp;C192=KHN&amp;MH,SL))</f>
        <v>0</v>
      </c>
      <c r="H192" s="25">
        <f t="array" ref="H192">SUM(IF("156"&amp;C192=KHN&amp;MH,TH))</f>
        <v>0</v>
      </c>
      <c r="I192" s="25">
        <f t="array" ref="I192">SUM(IF("156"&amp;C192=KHC&amp;MH,SL))</f>
        <v>10</v>
      </c>
      <c r="J192" s="25">
        <f t="array" ref="J192">SUM(IF("156"&amp;C192=KHC&amp;MH,TH))</f>
        <v>285530</v>
      </c>
      <c r="K192" s="25">
        <f t="shared" si="12"/>
        <v>0</v>
      </c>
      <c r="L192" s="25">
        <f t="shared" si="13"/>
        <v>0</v>
      </c>
      <c r="M192" s="289" t="e">
        <f t="shared" si="14"/>
        <v>#DIV/0!</v>
      </c>
    </row>
    <row r="193" spans="1:13" ht="18.75" customHeight="1">
      <c r="A193" s="289" t="str">
        <f t="shared" si="10"/>
        <v>NL</v>
      </c>
      <c r="B193" s="753">
        <f t="shared" si="11"/>
        <v>182</v>
      </c>
      <c r="C193" s="191" t="s">
        <v>1247</v>
      </c>
      <c r="D193" s="291" t="s">
        <v>339</v>
      </c>
      <c r="E193" s="25">
        <v>24</v>
      </c>
      <c r="F193" s="25">
        <v>586224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 t="shared" si="12"/>
        <v>24</v>
      </c>
      <c r="L193" s="25">
        <f t="shared" si="13"/>
        <v>586224</v>
      </c>
      <c r="M193" s="289">
        <f t="shared" si="14"/>
        <v>24426</v>
      </c>
    </row>
    <row r="194" spans="1:13" ht="18.75" customHeight="1">
      <c r="A194" s="289" t="str">
        <f t="shared" si="10"/>
        <v>NL</v>
      </c>
      <c r="B194" s="753">
        <f t="shared" si="11"/>
        <v>183</v>
      </c>
      <c r="C194" s="191" t="s">
        <v>1246</v>
      </c>
      <c r="D194" s="291" t="s">
        <v>339</v>
      </c>
      <c r="E194" s="25">
        <v>10</v>
      </c>
      <c r="F194" s="25">
        <v>294350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10</v>
      </c>
      <c r="J194" s="25">
        <f t="array" ref="J194">SUM(IF("156"&amp;C194=KHC&amp;MH,TH))</f>
        <v>294350</v>
      </c>
      <c r="K194" s="25">
        <f t="shared" si="12"/>
        <v>0</v>
      </c>
      <c r="L194" s="25">
        <f t="shared" si="13"/>
        <v>0</v>
      </c>
      <c r="M194" s="289" t="e">
        <f t="shared" si="14"/>
        <v>#DIV/0!</v>
      </c>
    </row>
    <row r="195" spans="1:13" ht="18.75" customHeight="1">
      <c r="A195" s="289" t="str">
        <f t="shared" si="10"/>
        <v>NL</v>
      </c>
      <c r="B195" s="753">
        <f t="shared" si="11"/>
        <v>184</v>
      </c>
      <c r="C195" s="191" t="s">
        <v>1245</v>
      </c>
      <c r="D195" s="291" t="s">
        <v>339</v>
      </c>
      <c r="E195" s="25">
        <v>35</v>
      </c>
      <c r="F195" s="25">
        <v>972580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35</v>
      </c>
      <c r="J195" s="25">
        <f t="array" ref="J195">SUM(IF("156"&amp;C195=KHC&amp;MH,TH))</f>
        <v>972580</v>
      </c>
      <c r="K195" s="25">
        <f t="shared" si="12"/>
        <v>0</v>
      </c>
      <c r="L195" s="25">
        <f t="shared" si="13"/>
        <v>0</v>
      </c>
      <c r="M195" s="289" t="e">
        <f t="shared" si="14"/>
        <v>#DIV/0!</v>
      </c>
    </row>
    <row r="196" spans="1:13" ht="18.75" customHeight="1">
      <c r="A196" s="289" t="str">
        <f t="shared" si="10"/>
        <v>NL</v>
      </c>
      <c r="B196" s="753">
        <f t="shared" si="11"/>
        <v>185</v>
      </c>
      <c r="C196" s="40" t="s">
        <v>918</v>
      </c>
      <c r="D196" s="291" t="s">
        <v>339</v>
      </c>
      <c r="E196" s="25"/>
      <c r="F196" s="25"/>
      <c r="G196" s="25">
        <f t="array" ref="G196">SUM(IF("156"&amp;C196=KHN&amp;MH,SL))</f>
        <v>300</v>
      </c>
      <c r="H196" s="25">
        <f t="array" ref="H196">SUM(IF("156"&amp;C196=KHN&amp;MH,TH))</f>
        <v>6150000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 t="shared" si="12"/>
        <v>300</v>
      </c>
      <c r="L196" s="25">
        <f t="shared" si="13"/>
        <v>6150000</v>
      </c>
      <c r="M196" s="289">
        <f t="shared" si="14"/>
        <v>20500</v>
      </c>
    </row>
    <row r="197" spans="1:13" ht="18.75" customHeight="1">
      <c r="A197" s="289" t="str">
        <f t="shared" si="10"/>
        <v>NL</v>
      </c>
      <c r="B197" s="753">
        <f t="shared" si="11"/>
        <v>186</v>
      </c>
      <c r="C197" s="191" t="s">
        <v>1244</v>
      </c>
      <c r="D197" s="291" t="s">
        <v>339</v>
      </c>
      <c r="E197" s="25">
        <v>30</v>
      </c>
      <c r="F197" s="25">
        <v>789360</v>
      </c>
      <c r="G197" s="25">
        <f t="array" ref="G197">SUM(IF("156"&amp;C197=KHN&amp;MH,SL))</f>
        <v>0</v>
      </c>
      <c r="H197" s="25">
        <f t="array" ref="H197">SUM(IF("156"&amp;C197=KHN&amp;MH,TH))</f>
        <v>0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 t="shared" si="12"/>
        <v>30</v>
      </c>
      <c r="L197" s="25">
        <f t="shared" si="13"/>
        <v>789360</v>
      </c>
      <c r="M197" s="289">
        <f t="shared" si="14"/>
        <v>26312</v>
      </c>
    </row>
    <row r="198" spans="1:13" ht="18.75" customHeight="1">
      <c r="A198" s="289" t="str">
        <f t="shared" si="10"/>
        <v>NL</v>
      </c>
      <c r="B198" s="753">
        <f t="shared" si="11"/>
        <v>187</v>
      </c>
      <c r="C198" s="191" t="s">
        <v>1220</v>
      </c>
      <c r="D198" s="291" t="s">
        <v>339</v>
      </c>
      <c r="E198" s="25">
        <v>40</v>
      </c>
      <c r="F198" s="25">
        <v>304920</v>
      </c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40</v>
      </c>
      <c r="J198" s="25">
        <f t="array" ref="J198">SUM(IF("156"&amp;C198=KHC&amp;MH,TH))</f>
        <v>304920</v>
      </c>
      <c r="K198" s="25">
        <f t="shared" si="12"/>
        <v>0</v>
      </c>
      <c r="L198" s="25">
        <f t="shared" si="13"/>
        <v>0</v>
      </c>
      <c r="M198" s="289" t="e">
        <f t="shared" si="14"/>
        <v>#DIV/0!</v>
      </c>
    </row>
    <row r="199" spans="1:13" ht="18.75" customHeight="1">
      <c r="A199" s="289" t="str">
        <f t="shared" si="10"/>
        <v>NL</v>
      </c>
      <c r="B199" s="753">
        <f t="shared" si="11"/>
        <v>188</v>
      </c>
      <c r="C199" s="191" t="s">
        <v>1219</v>
      </c>
      <c r="D199" s="291" t="s">
        <v>339</v>
      </c>
      <c r="E199" s="25">
        <v>40</v>
      </c>
      <c r="F199" s="25">
        <v>477200</v>
      </c>
      <c r="G199" s="25">
        <f t="array" ref="G199">SUM(IF("156"&amp;C199=KHN&amp;MH,SL))</f>
        <v>0</v>
      </c>
      <c r="H199" s="25">
        <f t="array" ref="H199">SUM(IF("156"&amp;C199=KHN&amp;MH,TH))</f>
        <v>0</v>
      </c>
      <c r="I199" s="25">
        <f t="array" ref="I199">SUM(IF("156"&amp;C199=KHC&amp;MH,SL))</f>
        <v>40</v>
      </c>
      <c r="J199" s="25">
        <f t="array" ref="J199">SUM(IF("156"&amp;C199=KHC&amp;MH,TH))</f>
        <v>477200</v>
      </c>
      <c r="K199" s="25">
        <f t="shared" si="12"/>
        <v>0</v>
      </c>
      <c r="L199" s="25">
        <f t="shared" si="13"/>
        <v>0</v>
      </c>
      <c r="M199" s="289" t="e">
        <f t="shared" si="14"/>
        <v>#DIV/0!</v>
      </c>
    </row>
    <row r="200" spans="1:13" ht="18.75" customHeight="1">
      <c r="A200" s="289" t="str">
        <f t="shared" si="10"/>
        <v>NL</v>
      </c>
      <c r="B200" s="753">
        <f t="shared" si="11"/>
        <v>189</v>
      </c>
      <c r="C200" s="191" t="s">
        <v>1218</v>
      </c>
      <c r="D200" s="291" t="s">
        <v>339</v>
      </c>
      <c r="E200" s="25">
        <v>65</v>
      </c>
      <c r="F200" s="25">
        <v>579670</v>
      </c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65</v>
      </c>
      <c r="J200" s="25">
        <f t="array" ref="J200">SUM(IF("156"&amp;C200=KHC&amp;MH,TH))</f>
        <v>579670</v>
      </c>
      <c r="K200" s="25">
        <f t="shared" si="12"/>
        <v>0</v>
      </c>
      <c r="L200" s="25">
        <f t="shared" si="13"/>
        <v>0</v>
      </c>
      <c r="M200" s="289" t="e">
        <f t="shared" si="14"/>
        <v>#DIV/0!</v>
      </c>
    </row>
    <row r="201" spans="1:13" ht="18.75" customHeight="1">
      <c r="A201" s="289" t="str">
        <f t="shared" si="10"/>
        <v>NL</v>
      </c>
      <c r="B201" s="753">
        <f t="shared" si="11"/>
        <v>190</v>
      </c>
      <c r="C201" s="188" t="s">
        <v>1217</v>
      </c>
      <c r="D201" s="291" t="s">
        <v>339</v>
      </c>
      <c r="E201" s="25">
        <v>100</v>
      </c>
      <c r="F201" s="25">
        <v>820100</v>
      </c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100</v>
      </c>
      <c r="J201" s="25">
        <f t="array" ref="J201">SUM(IF("156"&amp;C201=KHC&amp;MH,TH))</f>
        <v>820100</v>
      </c>
      <c r="K201" s="25">
        <f t="shared" si="12"/>
        <v>0</v>
      </c>
      <c r="L201" s="25">
        <f t="shared" si="13"/>
        <v>0</v>
      </c>
      <c r="M201" s="289" t="e">
        <f t="shared" si="14"/>
        <v>#DIV/0!</v>
      </c>
    </row>
    <row r="202" spans="1:13" ht="18.75" customHeight="1">
      <c r="A202" s="289" t="str">
        <f t="shared" si="10"/>
        <v>NL</v>
      </c>
      <c r="B202" s="753">
        <f t="shared" si="11"/>
        <v>191</v>
      </c>
      <c r="C202" s="191" t="s">
        <v>1216</v>
      </c>
      <c r="D202" s="291" t="s">
        <v>339</v>
      </c>
      <c r="E202" s="25">
        <v>250</v>
      </c>
      <c r="F202" s="25">
        <v>3375000</v>
      </c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 t="shared" si="12"/>
        <v>250</v>
      </c>
      <c r="L202" s="25">
        <f t="shared" si="13"/>
        <v>3375000</v>
      </c>
      <c r="M202" s="289">
        <f t="shared" si="14"/>
        <v>13500</v>
      </c>
    </row>
    <row r="203" spans="1:13" ht="18.75" customHeight="1">
      <c r="A203" s="289" t="str">
        <f t="shared" si="10"/>
        <v>NL</v>
      </c>
      <c r="B203" s="753">
        <f t="shared" si="11"/>
        <v>192</v>
      </c>
      <c r="C203" s="191" t="s">
        <v>1215</v>
      </c>
      <c r="D203" s="291" t="s">
        <v>339</v>
      </c>
      <c r="E203" s="25">
        <v>25</v>
      </c>
      <c r="F203" s="25">
        <v>285125</v>
      </c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25</v>
      </c>
      <c r="J203" s="25">
        <f t="array" ref="J203">SUM(IF("156"&amp;C203=KHC&amp;MH,TH))</f>
        <v>285125</v>
      </c>
      <c r="K203" s="25">
        <f t="shared" si="12"/>
        <v>0</v>
      </c>
      <c r="L203" s="25">
        <f t="shared" si="13"/>
        <v>0</v>
      </c>
      <c r="M203" s="289" t="e">
        <f t="shared" si="14"/>
        <v>#DIV/0!</v>
      </c>
    </row>
    <row r="204" spans="1:13" ht="18.75" customHeight="1">
      <c r="A204" s="289" t="str">
        <f t="shared" ref="A204:A267" si="15">IF(B204&lt;&gt;"","NL","")</f>
        <v>NL</v>
      </c>
      <c r="B204" s="753">
        <f t="shared" ref="B204:B267" si="16">IF(C204&lt;&gt;"",ROW()-11,"")</f>
        <v>193</v>
      </c>
      <c r="C204" s="40" t="s">
        <v>1214</v>
      </c>
      <c r="D204" s="291" t="s">
        <v>339</v>
      </c>
      <c r="E204" s="25">
        <v>770</v>
      </c>
      <c r="F204" s="25">
        <v>8639400</v>
      </c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770</v>
      </c>
      <c r="J204" s="25">
        <f t="array" ref="J204">SUM(IF("156"&amp;C204=KHC&amp;MH,TH))</f>
        <v>8639400</v>
      </c>
      <c r="K204" s="25">
        <f t="shared" ref="K204:K267" si="17">E204+G204-I204</f>
        <v>0</v>
      </c>
      <c r="L204" s="25">
        <f t="shared" ref="L204:L267" si="18">F204+H204-J204</f>
        <v>0</v>
      </c>
      <c r="M204" s="289" t="e">
        <f t="shared" ref="M204:M267" si="19">L204/K204</f>
        <v>#DIV/0!</v>
      </c>
    </row>
    <row r="205" spans="1:13" ht="18.75" customHeight="1">
      <c r="A205" s="289" t="str">
        <f t="shared" si="15"/>
        <v>NL</v>
      </c>
      <c r="B205" s="753">
        <f t="shared" si="16"/>
        <v>194</v>
      </c>
      <c r="C205" s="191" t="s">
        <v>1213</v>
      </c>
      <c r="D205" s="291" t="s">
        <v>339</v>
      </c>
      <c r="E205" s="25">
        <v>50</v>
      </c>
      <c r="F205" s="25">
        <v>1121450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50</v>
      </c>
      <c r="J205" s="25">
        <f t="array" ref="J205">SUM(IF("156"&amp;C205=KHC&amp;MH,TH))</f>
        <v>1121450</v>
      </c>
      <c r="K205" s="25">
        <f t="shared" si="17"/>
        <v>0</v>
      </c>
      <c r="L205" s="25">
        <f t="shared" si="18"/>
        <v>0</v>
      </c>
      <c r="M205" s="289" t="e">
        <f t="shared" si="19"/>
        <v>#DIV/0!</v>
      </c>
    </row>
    <row r="206" spans="1:13" ht="18.75" customHeight="1">
      <c r="A206" s="289" t="str">
        <f t="shared" si="15"/>
        <v>NL</v>
      </c>
      <c r="B206" s="753">
        <f t="shared" si="16"/>
        <v>195</v>
      </c>
      <c r="C206" s="191" t="s">
        <v>1212</v>
      </c>
      <c r="D206" s="291" t="s">
        <v>339</v>
      </c>
      <c r="E206" s="25">
        <v>570</v>
      </c>
      <c r="F206" s="25">
        <v>6715170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570</v>
      </c>
      <c r="J206" s="25">
        <f t="array" ref="J206">SUM(IF("156"&amp;C206=KHC&amp;MH,TH))</f>
        <v>6715170</v>
      </c>
      <c r="K206" s="25">
        <f t="shared" si="17"/>
        <v>0</v>
      </c>
      <c r="L206" s="25">
        <f t="shared" si="18"/>
        <v>0</v>
      </c>
      <c r="M206" s="289" t="e">
        <f t="shared" si="19"/>
        <v>#DIV/0!</v>
      </c>
    </row>
    <row r="207" spans="1:13" ht="18.75" customHeight="1">
      <c r="A207" s="289" t="str">
        <f t="shared" si="15"/>
        <v>NL</v>
      </c>
      <c r="B207" s="753">
        <f t="shared" si="16"/>
        <v>196</v>
      </c>
      <c r="C207" s="191" t="s">
        <v>1211</v>
      </c>
      <c r="D207" s="291" t="s">
        <v>339</v>
      </c>
      <c r="E207" s="25">
        <v>1250</v>
      </c>
      <c r="F207" s="25">
        <v>15172500</v>
      </c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0</v>
      </c>
      <c r="J207" s="25">
        <f t="array" ref="J207">SUM(IF("156"&amp;C207=KHC&amp;MH,TH))</f>
        <v>0</v>
      </c>
      <c r="K207" s="25">
        <f t="shared" si="17"/>
        <v>1250</v>
      </c>
      <c r="L207" s="25">
        <f t="shared" si="18"/>
        <v>15172500</v>
      </c>
      <c r="M207" s="289">
        <f t="shared" si="19"/>
        <v>12138</v>
      </c>
    </row>
    <row r="208" spans="1:13" ht="18.75" customHeight="1">
      <c r="A208" s="289" t="str">
        <f t="shared" si="15"/>
        <v>NL</v>
      </c>
      <c r="B208" s="753">
        <f t="shared" si="16"/>
        <v>197</v>
      </c>
      <c r="C208" s="191" t="s">
        <v>1210</v>
      </c>
      <c r="D208" s="291" t="s">
        <v>339</v>
      </c>
      <c r="E208" s="25">
        <v>205</v>
      </c>
      <c r="F208" s="25">
        <v>3921035</v>
      </c>
      <c r="G208" s="25">
        <f t="array" ref="G208">SUM(IF("156"&amp;C208=KHN&amp;MH,SL))</f>
        <v>0</v>
      </c>
      <c r="H208" s="25">
        <f t="array" ref="H208">SUM(IF("156"&amp;C208=KHN&amp;MH,TH))</f>
        <v>0</v>
      </c>
      <c r="I208" s="25">
        <f t="array" ref="I208">SUM(IF("156"&amp;C208=KHC&amp;MH,SL))</f>
        <v>205</v>
      </c>
      <c r="J208" s="25">
        <f t="array" ref="J208">SUM(IF("156"&amp;C208=KHC&amp;MH,TH))</f>
        <v>3921035</v>
      </c>
      <c r="K208" s="25">
        <f t="shared" si="17"/>
        <v>0</v>
      </c>
      <c r="L208" s="25">
        <f t="shared" si="18"/>
        <v>0</v>
      </c>
      <c r="M208" s="289" t="e">
        <f t="shared" si="19"/>
        <v>#DIV/0!</v>
      </c>
    </row>
    <row r="209" spans="1:13" ht="18.75" customHeight="1">
      <c r="A209" s="289" t="str">
        <f t="shared" si="15"/>
        <v>NL</v>
      </c>
      <c r="B209" s="753">
        <f t="shared" si="16"/>
        <v>198</v>
      </c>
      <c r="C209" s="191" t="s">
        <v>1209</v>
      </c>
      <c r="D209" s="291" t="s">
        <v>339</v>
      </c>
      <c r="E209" s="25">
        <v>700</v>
      </c>
      <c r="F209" s="25">
        <v>10605700</v>
      </c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 t="shared" si="17"/>
        <v>700</v>
      </c>
      <c r="L209" s="25">
        <f t="shared" si="18"/>
        <v>10605700</v>
      </c>
      <c r="M209" s="289">
        <f t="shared" si="19"/>
        <v>15151</v>
      </c>
    </row>
    <row r="210" spans="1:13" ht="18.75" customHeight="1">
      <c r="A210" s="289" t="str">
        <f t="shared" si="15"/>
        <v>NL</v>
      </c>
      <c r="B210" s="753">
        <f t="shared" si="16"/>
        <v>199</v>
      </c>
      <c r="C210" s="191" t="s">
        <v>1208</v>
      </c>
      <c r="D210" s="291" t="s">
        <v>339</v>
      </c>
      <c r="E210" s="25">
        <v>250</v>
      </c>
      <c r="F210" s="25">
        <v>5088750</v>
      </c>
      <c r="G210" s="25">
        <f t="array" ref="G210">SUM(IF("156"&amp;C210=KHN&amp;MH,SL))</f>
        <v>0</v>
      </c>
      <c r="H210" s="25">
        <f t="array" ref="H210">SUM(IF("156"&amp;C210=KHN&amp;MH,TH))</f>
        <v>0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 t="shared" si="17"/>
        <v>250</v>
      </c>
      <c r="L210" s="25">
        <f t="shared" si="18"/>
        <v>5088750</v>
      </c>
      <c r="M210" s="289">
        <f t="shared" si="19"/>
        <v>20355</v>
      </c>
    </row>
    <row r="211" spans="1:13" ht="18.75" customHeight="1">
      <c r="A211" s="289" t="str">
        <f t="shared" si="15"/>
        <v>NL</v>
      </c>
      <c r="B211" s="753">
        <f t="shared" si="16"/>
        <v>200</v>
      </c>
      <c r="C211" s="191" t="s">
        <v>1207</v>
      </c>
      <c r="D211" s="291" t="s">
        <v>339</v>
      </c>
      <c r="E211" s="25">
        <v>47</v>
      </c>
      <c r="F211" s="25">
        <v>584868</v>
      </c>
      <c r="G211" s="25">
        <f t="array" ref="G211">SUM(IF("156"&amp;C211=KHN&amp;MH,SL))</f>
        <v>0</v>
      </c>
      <c r="H211" s="25">
        <f t="array" ref="H211">SUM(IF("156"&amp;C211=KHN&amp;MH,TH))</f>
        <v>0</v>
      </c>
      <c r="I211" s="25">
        <f t="array" ref="I211">SUM(IF("156"&amp;C211=KHC&amp;MH,SL))</f>
        <v>47</v>
      </c>
      <c r="J211" s="25">
        <f t="array" ref="J211">SUM(IF("156"&amp;C211=KHC&amp;MH,TH))</f>
        <v>584868</v>
      </c>
      <c r="K211" s="25">
        <f t="shared" si="17"/>
        <v>0</v>
      </c>
      <c r="L211" s="25">
        <f t="shared" si="18"/>
        <v>0</v>
      </c>
      <c r="M211" s="289" t="e">
        <f t="shared" si="19"/>
        <v>#DIV/0!</v>
      </c>
    </row>
    <row r="212" spans="1:13" ht="18.75" customHeight="1">
      <c r="A212" s="289" t="str">
        <f t="shared" si="15"/>
        <v>NL</v>
      </c>
      <c r="B212" s="753">
        <f t="shared" si="16"/>
        <v>201</v>
      </c>
      <c r="C212" s="188" t="s">
        <v>1206</v>
      </c>
      <c r="D212" s="291" t="s">
        <v>339</v>
      </c>
      <c r="E212" s="25">
        <v>259</v>
      </c>
      <c r="F212" s="25">
        <v>3663555</v>
      </c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 t="shared" si="17"/>
        <v>259</v>
      </c>
      <c r="L212" s="25">
        <f t="shared" si="18"/>
        <v>3663555</v>
      </c>
      <c r="M212" s="289">
        <f t="shared" si="19"/>
        <v>14145</v>
      </c>
    </row>
    <row r="213" spans="1:13" ht="18.75" customHeight="1">
      <c r="A213" s="289" t="str">
        <f t="shared" si="15"/>
        <v>NL</v>
      </c>
      <c r="B213" s="753">
        <f t="shared" si="16"/>
        <v>202</v>
      </c>
      <c r="C213" s="191" t="s">
        <v>1205</v>
      </c>
      <c r="D213" s="291" t="s">
        <v>339</v>
      </c>
      <c r="E213" s="25">
        <v>244</v>
      </c>
      <c r="F213" s="25">
        <v>2203564</v>
      </c>
      <c r="G213" s="25">
        <f t="array" ref="G213">SUM(IF("156"&amp;C213=KHN&amp;MH,SL))</f>
        <v>0</v>
      </c>
      <c r="H213" s="25">
        <f t="array" ref="H213">SUM(IF("156"&amp;C213=KHN&amp;MH,TH))</f>
        <v>0</v>
      </c>
      <c r="I213" s="25">
        <f t="array" ref="I213">SUM(IF("156"&amp;C213=KHC&amp;MH,SL))</f>
        <v>244</v>
      </c>
      <c r="J213" s="25">
        <f t="array" ref="J213">SUM(IF("156"&amp;C213=KHC&amp;MH,TH))</f>
        <v>2203564</v>
      </c>
      <c r="K213" s="25">
        <f t="shared" si="17"/>
        <v>0</v>
      </c>
      <c r="L213" s="25">
        <f t="shared" si="18"/>
        <v>0</v>
      </c>
      <c r="M213" s="289" t="e">
        <f t="shared" si="19"/>
        <v>#DIV/0!</v>
      </c>
    </row>
    <row r="214" spans="1:13" ht="18.75" customHeight="1">
      <c r="A214" s="289" t="str">
        <f t="shared" si="15"/>
        <v>NL</v>
      </c>
      <c r="B214" s="753">
        <f t="shared" si="16"/>
        <v>203</v>
      </c>
      <c r="C214" s="191" t="s">
        <v>1204</v>
      </c>
      <c r="D214" s="291" t="s">
        <v>339</v>
      </c>
      <c r="E214" s="25">
        <v>60</v>
      </c>
      <c r="F214" s="25">
        <v>1059840</v>
      </c>
      <c r="G214" s="25">
        <f t="array" ref="G214">SUM(IF("156"&amp;C214=KHN&amp;MH,SL))</f>
        <v>0</v>
      </c>
      <c r="H214" s="25">
        <f t="array" ref="H214">SUM(IF("156"&amp;C214=KHN&amp;MH,TH))</f>
        <v>0</v>
      </c>
      <c r="I214" s="25">
        <f t="array" ref="I214">SUM(IF("156"&amp;C214=KHC&amp;MH,SL))</f>
        <v>60</v>
      </c>
      <c r="J214" s="25">
        <f t="array" ref="J214">SUM(IF("156"&amp;C214=KHC&amp;MH,TH))</f>
        <v>1059840</v>
      </c>
      <c r="K214" s="25">
        <f t="shared" si="17"/>
        <v>0</v>
      </c>
      <c r="L214" s="25">
        <f t="shared" si="18"/>
        <v>0</v>
      </c>
      <c r="M214" s="289" t="e">
        <f t="shared" si="19"/>
        <v>#DIV/0!</v>
      </c>
    </row>
    <row r="215" spans="1:13" ht="18.75" customHeight="1">
      <c r="A215" s="289" t="str">
        <f t="shared" si="15"/>
        <v>NL</v>
      </c>
      <c r="B215" s="753">
        <f t="shared" si="16"/>
        <v>204</v>
      </c>
      <c r="C215" s="191" t="s">
        <v>1203</v>
      </c>
      <c r="D215" s="291" t="s">
        <v>339</v>
      </c>
      <c r="E215" s="25">
        <v>450</v>
      </c>
      <c r="F215" s="25">
        <v>7229250</v>
      </c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450</v>
      </c>
      <c r="J215" s="25">
        <f t="array" ref="J215">SUM(IF("156"&amp;C215=KHC&amp;MH,TH))</f>
        <v>7229250</v>
      </c>
      <c r="K215" s="25">
        <f t="shared" si="17"/>
        <v>0</v>
      </c>
      <c r="L215" s="25">
        <f t="shared" si="18"/>
        <v>0</v>
      </c>
      <c r="M215" s="289" t="e">
        <f t="shared" si="19"/>
        <v>#DIV/0!</v>
      </c>
    </row>
    <row r="216" spans="1:13" ht="18.75" customHeight="1">
      <c r="A216" s="289" t="str">
        <f t="shared" si="15"/>
        <v>NL</v>
      </c>
      <c r="B216" s="753">
        <f t="shared" si="16"/>
        <v>205</v>
      </c>
      <c r="C216" s="188" t="s">
        <v>1202</v>
      </c>
      <c r="D216" s="291" t="s">
        <v>339</v>
      </c>
      <c r="E216" s="25">
        <v>15</v>
      </c>
      <c r="F216" s="25">
        <v>335340</v>
      </c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15</v>
      </c>
      <c r="J216" s="25">
        <f t="array" ref="J216">SUM(IF("156"&amp;C216=KHC&amp;MH,TH))</f>
        <v>335340</v>
      </c>
      <c r="K216" s="25">
        <f t="shared" si="17"/>
        <v>0</v>
      </c>
      <c r="L216" s="25">
        <f t="shared" si="18"/>
        <v>0</v>
      </c>
      <c r="M216" s="289" t="e">
        <f t="shared" si="19"/>
        <v>#DIV/0!</v>
      </c>
    </row>
    <row r="217" spans="1:13" ht="18.75" customHeight="1">
      <c r="A217" s="289" t="str">
        <f t="shared" si="15"/>
        <v>NL</v>
      </c>
      <c r="B217" s="753">
        <f t="shared" si="16"/>
        <v>206</v>
      </c>
      <c r="C217" s="191" t="s">
        <v>1201</v>
      </c>
      <c r="D217" s="291" t="s">
        <v>339</v>
      </c>
      <c r="E217" s="25">
        <v>10</v>
      </c>
      <c r="F217" s="25">
        <v>267030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10</v>
      </c>
      <c r="J217" s="25">
        <f t="array" ref="J217">SUM(IF("156"&amp;C217=KHC&amp;MH,TH))</f>
        <v>267030</v>
      </c>
      <c r="K217" s="25">
        <f t="shared" si="17"/>
        <v>0</v>
      </c>
      <c r="L217" s="25">
        <f t="shared" si="18"/>
        <v>0</v>
      </c>
      <c r="M217" s="289" t="e">
        <f t="shared" si="19"/>
        <v>#DIV/0!</v>
      </c>
    </row>
    <row r="218" spans="1:13" ht="18.75" customHeight="1">
      <c r="A218" s="289" t="str">
        <f t="shared" si="15"/>
        <v>NL</v>
      </c>
      <c r="B218" s="753">
        <f t="shared" si="16"/>
        <v>207</v>
      </c>
      <c r="C218" s="188" t="s">
        <v>1200</v>
      </c>
      <c r="D218" s="291" t="s">
        <v>339</v>
      </c>
      <c r="E218" s="25">
        <v>25</v>
      </c>
      <c r="F218" s="25">
        <v>525575</v>
      </c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25</v>
      </c>
      <c r="J218" s="25">
        <f t="array" ref="J218">SUM(IF("156"&amp;C218=KHC&amp;MH,TH))</f>
        <v>525575</v>
      </c>
      <c r="K218" s="25">
        <f t="shared" si="17"/>
        <v>0</v>
      </c>
      <c r="L218" s="25">
        <f t="shared" si="18"/>
        <v>0</v>
      </c>
      <c r="M218" s="289" t="e">
        <f t="shared" si="19"/>
        <v>#DIV/0!</v>
      </c>
    </row>
    <row r="219" spans="1:13" ht="18.75" customHeight="1">
      <c r="A219" s="289" t="str">
        <f t="shared" si="15"/>
        <v>NL</v>
      </c>
      <c r="B219" s="753">
        <f t="shared" si="16"/>
        <v>208</v>
      </c>
      <c r="C219" s="191" t="s">
        <v>1199</v>
      </c>
      <c r="D219" s="291" t="s">
        <v>339</v>
      </c>
      <c r="E219" s="25">
        <v>75</v>
      </c>
      <c r="F219" s="25">
        <v>1147500</v>
      </c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75</v>
      </c>
      <c r="J219" s="25">
        <f t="array" ref="J219">SUM(IF("156"&amp;C219=KHC&amp;MH,TH))</f>
        <v>1147500</v>
      </c>
      <c r="K219" s="25">
        <f t="shared" si="17"/>
        <v>0</v>
      </c>
      <c r="L219" s="25">
        <f t="shared" si="18"/>
        <v>0</v>
      </c>
      <c r="M219" s="289" t="e">
        <f t="shared" si="19"/>
        <v>#DIV/0!</v>
      </c>
    </row>
    <row r="220" spans="1:13" ht="18.75" customHeight="1">
      <c r="A220" s="289" t="str">
        <f t="shared" si="15"/>
        <v>NL</v>
      </c>
      <c r="B220" s="753">
        <f t="shared" si="16"/>
        <v>209</v>
      </c>
      <c r="C220" s="188" t="s">
        <v>1198</v>
      </c>
      <c r="D220" s="291" t="s">
        <v>339</v>
      </c>
      <c r="E220" s="25">
        <v>68</v>
      </c>
      <c r="F220" s="25">
        <v>1283160</v>
      </c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68</v>
      </c>
      <c r="J220" s="25">
        <f t="array" ref="J220">SUM(IF("156"&amp;C220=KHC&amp;MH,TH))</f>
        <v>1283160</v>
      </c>
      <c r="K220" s="25">
        <f t="shared" si="17"/>
        <v>0</v>
      </c>
      <c r="L220" s="25">
        <f t="shared" si="18"/>
        <v>0</v>
      </c>
      <c r="M220" s="289" t="e">
        <f t="shared" si="19"/>
        <v>#DIV/0!</v>
      </c>
    </row>
    <row r="221" spans="1:13" ht="18.75" customHeight="1">
      <c r="A221" s="289" t="str">
        <f t="shared" si="15"/>
        <v>NL</v>
      </c>
      <c r="B221" s="753">
        <f t="shared" si="16"/>
        <v>210</v>
      </c>
      <c r="C221" s="188" t="s">
        <v>1197</v>
      </c>
      <c r="D221" s="291" t="s">
        <v>339</v>
      </c>
      <c r="E221" s="25">
        <v>68</v>
      </c>
      <c r="F221" s="25">
        <v>1317840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68</v>
      </c>
      <c r="J221" s="25">
        <f t="array" ref="J221">SUM(IF("156"&amp;C221=KHC&amp;MH,TH))</f>
        <v>1317840</v>
      </c>
      <c r="K221" s="25">
        <f t="shared" si="17"/>
        <v>0</v>
      </c>
      <c r="L221" s="25">
        <f t="shared" si="18"/>
        <v>0</v>
      </c>
      <c r="M221" s="289" t="e">
        <f t="shared" si="19"/>
        <v>#DIV/0!</v>
      </c>
    </row>
    <row r="222" spans="1:13" ht="18.75" customHeight="1">
      <c r="A222" s="289" t="str">
        <f t="shared" si="15"/>
        <v>NL</v>
      </c>
      <c r="B222" s="753">
        <f t="shared" si="16"/>
        <v>211</v>
      </c>
      <c r="C222" s="191" t="s">
        <v>1196</v>
      </c>
      <c r="D222" s="291" t="s">
        <v>339</v>
      </c>
      <c r="E222" s="25">
        <v>24</v>
      </c>
      <c r="F222" s="25">
        <v>596160</v>
      </c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24</v>
      </c>
      <c r="J222" s="25">
        <f t="array" ref="J222">SUM(IF("156"&amp;C222=KHC&amp;MH,TH))</f>
        <v>596160</v>
      </c>
      <c r="K222" s="25">
        <f t="shared" si="17"/>
        <v>0</v>
      </c>
      <c r="L222" s="25">
        <f t="shared" si="18"/>
        <v>0</v>
      </c>
      <c r="M222" s="289" t="e">
        <f t="shared" si="19"/>
        <v>#DIV/0!</v>
      </c>
    </row>
    <row r="223" spans="1:13" ht="18.75" customHeight="1">
      <c r="A223" s="289" t="str">
        <f t="shared" si="15"/>
        <v>NL</v>
      </c>
      <c r="B223" s="753">
        <f t="shared" si="16"/>
        <v>212</v>
      </c>
      <c r="C223" s="191" t="s">
        <v>1195</v>
      </c>
      <c r="D223" s="291" t="s">
        <v>339</v>
      </c>
      <c r="E223" s="25">
        <v>25</v>
      </c>
      <c r="F223" s="25">
        <v>618700</v>
      </c>
      <c r="G223" s="25">
        <f t="array" ref="G223">SUM(IF("156"&amp;C223=KHN&amp;MH,SL))</f>
        <v>0</v>
      </c>
      <c r="H223" s="25">
        <f t="array" ref="H223">SUM(IF("156"&amp;C223=KHN&amp;MH,TH))</f>
        <v>0</v>
      </c>
      <c r="I223" s="25">
        <f t="array" ref="I223">SUM(IF("156"&amp;C223=KHC&amp;MH,SL))</f>
        <v>25</v>
      </c>
      <c r="J223" s="25">
        <f t="array" ref="J223">SUM(IF("156"&amp;C223=KHC&amp;MH,TH))</f>
        <v>618700</v>
      </c>
      <c r="K223" s="25">
        <f t="shared" si="17"/>
        <v>0</v>
      </c>
      <c r="L223" s="25">
        <f t="shared" si="18"/>
        <v>0</v>
      </c>
      <c r="M223" s="289" t="e">
        <f t="shared" si="19"/>
        <v>#DIV/0!</v>
      </c>
    </row>
    <row r="224" spans="1:13" ht="18.75" customHeight="1">
      <c r="A224" s="289" t="str">
        <f t="shared" si="15"/>
        <v>NL</v>
      </c>
      <c r="B224" s="753">
        <f t="shared" si="16"/>
        <v>213</v>
      </c>
      <c r="C224" s="188" t="s">
        <v>1194</v>
      </c>
      <c r="D224" s="291" t="s">
        <v>339</v>
      </c>
      <c r="E224" s="25">
        <v>16</v>
      </c>
      <c r="F224" s="25">
        <v>367248</v>
      </c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 t="shared" si="17"/>
        <v>16</v>
      </c>
      <c r="L224" s="25">
        <f t="shared" si="18"/>
        <v>367248</v>
      </c>
      <c r="M224" s="289">
        <f t="shared" si="19"/>
        <v>22953</v>
      </c>
    </row>
    <row r="225" spans="1:13" ht="18.75" customHeight="1">
      <c r="A225" s="289" t="str">
        <f t="shared" si="15"/>
        <v>NL</v>
      </c>
      <c r="B225" s="753">
        <f t="shared" si="16"/>
        <v>214</v>
      </c>
      <c r="C225" s="188" t="s">
        <v>1193</v>
      </c>
      <c r="D225" s="291" t="s">
        <v>339</v>
      </c>
      <c r="E225" s="25">
        <v>20</v>
      </c>
      <c r="F225" s="25">
        <v>242200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20</v>
      </c>
      <c r="J225" s="25">
        <f t="array" ref="J225">SUM(IF("156"&amp;C225=KHC&amp;MH,TH))</f>
        <v>242200</v>
      </c>
      <c r="K225" s="25">
        <f t="shared" si="17"/>
        <v>0</v>
      </c>
      <c r="L225" s="25">
        <f t="shared" si="18"/>
        <v>0</v>
      </c>
      <c r="M225" s="289" t="e">
        <f t="shared" si="19"/>
        <v>#DIV/0!</v>
      </c>
    </row>
    <row r="226" spans="1:13" ht="18.75" customHeight="1">
      <c r="A226" s="289" t="str">
        <f t="shared" si="15"/>
        <v>NL</v>
      </c>
      <c r="B226" s="753">
        <f t="shared" si="16"/>
        <v>215</v>
      </c>
      <c r="C226" s="188" t="s">
        <v>1192</v>
      </c>
      <c r="D226" s="291" t="s">
        <v>339</v>
      </c>
      <c r="E226" s="25">
        <v>61</v>
      </c>
      <c r="F226" s="25">
        <v>1147959</v>
      </c>
      <c r="G226" s="25">
        <f t="array" ref="G226">SUM(IF("156"&amp;C226=KHN&amp;MH,SL))</f>
        <v>0</v>
      </c>
      <c r="H226" s="25">
        <f t="array" ref="H226">SUM(IF("156"&amp;C226=KHN&amp;MH,TH))</f>
        <v>0</v>
      </c>
      <c r="I226" s="25">
        <f t="array" ref="I226">SUM(IF("156"&amp;C226=KHC&amp;MH,SL))</f>
        <v>61</v>
      </c>
      <c r="J226" s="25">
        <f t="array" ref="J226">SUM(IF("156"&amp;C226=KHC&amp;MH,TH))</f>
        <v>1147959</v>
      </c>
      <c r="K226" s="25">
        <f t="shared" si="17"/>
        <v>0</v>
      </c>
      <c r="L226" s="25">
        <f t="shared" si="18"/>
        <v>0</v>
      </c>
      <c r="M226" s="289" t="e">
        <f t="shared" si="19"/>
        <v>#DIV/0!</v>
      </c>
    </row>
    <row r="227" spans="1:13" ht="18.75" customHeight="1">
      <c r="A227" s="289" t="str">
        <f t="shared" si="15"/>
        <v>NL</v>
      </c>
      <c r="B227" s="753">
        <f t="shared" si="16"/>
        <v>216</v>
      </c>
      <c r="C227" s="191" t="s">
        <v>1191</v>
      </c>
      <c r="D227" s="291" t="s">
        <v>339</v>
      </c>
      <c r="E227" s="25">
        <v>61</v>
      </c>
      <c r="F227" s="25">
        <v>1655601</v>
      </c>
      <c r="G227" s="25">
        <f t="array" ref="G227">SUM(IF("156"&amp;C227=KHN&amp;MH,SL))</f>
        <v>0</v>
      </c>
      <c r="H227" s="25">
        <f t="array" ref="H227">SUM(IF("156"&amp;C227=KHN&amp;MH,TH))</f>
        <v>0</v>
      </c>
      <c r="I227" s="25">
        <f t="array" ref="I227">SUM(IF("156"&amp;C227=KHC&amp;MH,SL))</f>
        <v>61</v>
      </c>
      <c r="J227" s="25">
        <f t="array" ref="J227">SUM(IF("156"&amp;C227=KHC&amp;MH,TH))</f>
        <v>1655601</v>
      </c>
      <c r="K227" s="25">
        <f t="shared" si="17"/>
        <v>0</v>
      </c>
      <c r="L227" s="25">
        <f t="shared" si="18"/>
        <v>0</v>
      </c>
      <c r="M227" s="289" t="e">
        <f t="shared" si="19"/>
        <v>#DIV/0!</v>
      </c>
    </row>
    <row r="228" spans="1:13" ht="18.75" customHeight="1">
      <c r="A228" s="289" t="str">
        <f t="shared" si="15"/>
        <v>NL</v>
      </c>
      <c r="B228" s="753">
        <f t="shared" si="16"/>
        <v>217</v>
      </c>
      <c r="C228" s="191" t="s">
        <v>1190</v>
      </c>
      <c r="D228" s="291" t="s">
        <v>339</v>
      </c>
      <c r="E228" s="25">
        <v>30</v>
      </c>
      <c r="F228" s="25">
        <v>483780</v>
      </c>
      <c r="G228" s="25">
        <f t="array" ref="G228">SUM(IF("156"&amp;C228=KHN&amp;MH,SL))</f>
        <v>0</v>
      </c>
      <c r="H228" s="25">
        <f t="array" ref="H228">SUM(IF("156"&amp;C228=KHN&amp;MH,TH))</f>
        <v>0</v>
      </c>
      <c r="I228" s="25">
        <f t="array" ref="I228">SUM(IF("156"&amp;C228=KHC&amp;MH,SL))</f>
        <v>30</v>
      </c>
      <c r="J228" s="25">
        <f t="array" ref="J228">SUM(IF("156"&amp;C228=KHC&amp;MH,TH))</f>
        <v>483780</v>
      </c>
      <c r="K228" s="25">
        <f t="shared" si="17"/>
        <v>0</v>
      </c>
      <c r="L228" s="25">
        <f t="shared" si="18"/>
        <v>0</v>
      </c>
      <c r="M228" s="289" t="e">
        <f t="shared" si="19"/>
        <v>#DIV/0!</v>
      </c>
    </row>
    <row r="229" spans="1:13" ht="18.75" customHeight="1">
      <c r="A229" s="289" t="str">
        <f t="shared" si="15"/>
        <v>NL</v>
      </c>
      <c r="B229" s="753">
        <f t="shared" si="16"/>
        <v>218</v>
      </c>
      <c r="C229" s="188" t="s">
        <v>1189</v>
      </c>
      <c r="D229" s="291" t="s">
        <v>339</v>
      </c>
      <c r="E229" s="25">
        <v>10</v>
      </c>
      <c r="F229" s="25">
        <v>105570</v>
      </c>
      <c r="G229" s="25">
        <f t="array" ref="G229">SUM(IF("156"&amp;C229=KHN&amp;MH,SL))</f>
        <v>0</v>
      </c>
      <c r="H229" s="25">
        <f t="array" ref="H229">SUM(IF("156"&amp;C229=KHN&amp;MH,TH))</f>
        <v>0</v>
      </c>
      <c r="I229" s="25">
        <f t="array" ref="I229">SUM(IF("156"&amp;C229=KHC&amp;MH,SL))</f>
        <v>10</v>
      </c>
      <c r="J229" s="25">
        <f t="array" ref="J229">SUM(IF("156"&amp;C229=KHC&amp;MH,TH))</f>
        <v>105570</v>
      </c>
      <c r="K229" s="25">
        <f t="shared" si="17"/>
        <v>0</v>
      </c>
      <c r="L229" s="25">
        <f t="shared" si="18"/>
        <v>0</v>
      </c>
      <c r="M229" s="289" t="e">
        <f t="shared" si="19"/>
        <v>#DIV/0!</v>
      </c>
    </row>
    <row r="230" spans="1:13" ht="18.75" customHeight="1">
      <c r="A230" s="289" t="str">
        <f t="shared" si="15"/>
        <v>NL</v>
      </c>
      <c r="B230" s="753">
        <f t="shared" si="16"/>
        <v>219</v>
      </c>
      <c r="C230" s="188" t="s">
        <v>1188</v>
      </c>
      <c r="D230" s="291" t="s">
        <v>339</v>
      </c>
      <c r="E230" s="25">
        <v>300</v>
      </c>
      <c r="F230" s="25">
        <v>3213000</v>
      </c>
      <c r="G230" s="25">
        <f t="array" ref="G230">SUM(IF("156"&amp;C230=KHN&amp;MH,SL))</f>
        <v>0</v>
      </c>
      <c r="H230" s="25">
        <f t="array" ref="H230">SUM(IF("156"&amp;C230=KHN&amp;MH,TH))</f>
        <v>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 t="shared" si="17"/>
        <v>300</v>
      </c>
      <c r="L230" s="25">
        <f t="shared" si="18"/>
        <v>3213000</v>
      </c>
      <c r="M230" s="289">
        <f t="shared" si="19"/>
        <v>10710</v>
      </c>
    </row>
    <row r="231" spans="1:13" ht="18.75" customHeight="1">
      <c r="A231" s="289" t="str">
        <f t="shared" si="15"/>
        <v>NL</v>
      </c>
      <c r="B231" s="753">
        <f t="shared" si="16"/>
        <v>220</v>
      </c>
      <c r="C231" s="191" t="s">
        <v>1187</v>
      </c>
      <c r="D231" s="291" t="s">
        <v>339</v>
      </c>
      <c r="E231" s="25">
        <v>20</v>
      </c>
      <c r="F231" s="25">
        <v>298360</v>
      </c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0</v>
      </c>
      <c r="J231" s="25">
        <f t="array" ref="J231">SUM(IF("156"&amp;C231=KHC&amp;MH,TH))</f>
        <v>0</v>
      </c>
      <c r="K231" s="25">
        <f t="shared" si="17"/>
        <v>20</v>
      </c>
      <c r="L231" s="25">
        <f t="shared" si="18"/>
        <v>298360</v>
      </c>
      <c r="M231" s="289">
        <f t="shared" si="19"/>
        <v>14918</v>
      </c>
    </row>
    <row r="232" spans="1:13" ht="18.75" customHeight="1">
      <c r="A232" s="289" t="str">
        <f t="shared" si="15"/>
        <v>NL</v>
      </c>
      <c r="B232" s="753">
        <f t="shared" si="16"/>
        <v>221</v>
      </c>
      <c r="C232" s="191" t="s">
        <v>1186</v>
      </c>
      <c r="D232" s="291" t="s">
        <v>339</v>
      </c>
      <c r="E232" s="25">
        <v>400</v>
      </c>
      <c r="F232" s="25">
        <v>3705600</v>
      </c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0</v>
      </c>
      <c r="J232" s="25">
        <f t="array" ref="J232">SUM(IF("156"&amp;C232=KHC&amp;MH,TH))</f>
        <v>0</v>
      </c>
      <c r="K232" s="25">
        <f t="shared" si="17"/>
        <v>400</v>
      </c>
      <c r="L232" s="25">
        <f t="shared" si="18"/>
        <v>3705600</v>
      </c>
      <c r="M232" s="289">
        <f t="shared" si="19"/>
        <v>9264</v>
      </c>
    </row>
    <row r="233" spans="1:13" ht="18.75" customHeight="1">
      <c r="A233" s="289" t="str">
        <f t="shared" si="15"/>
        <v>NL</v>
      </c>
      <c r="B233" s="753">
        <f t="shared" si="16"/>
        <v>222</v>
      </c>
      <c r="C233" s="191" t="s">
        <v>1185</v>
      </c>
      <c r="D233" s="291" t="s">
        <v>339</v>
      </c>
      <c r="E233" s="25">
        <v>68</v>
      </c>
      <c r="F233" s="25">
        <v>626008</v>
      </c>
      <c r="G233" s="25">
        <f t="array" ref="G233">SUM(IF("156"&amp;C233=KHN&amp;MH,SL))</f>
        <v>0</v>
      </c>
      <c r="H233" s="25">
        <f t="array" ref="H233">SUM(IF("156"&amp;C233=KHN&amp;MH,TH))</f>
        <v>0</v>
      </c>
      <c r="I233" s="25">
        <f t="array" ref="I233">SUM(IF("156"&amp;C233=KHC&amp;MH,SL))</f>
        <v>68</v>
      </c>
      <c r="J233" s="25">
        <f t="array" ref="J233">SUM(IF("156"&amp;C233=KHC&amp;MH,TH))</f>
        <v>626008</v>
      </c>
      <c r="K233" s="25">
        <f t="shared" si="17"/>
        <v>0</v>
      </c>
      <c r="L233" s="25">
        <f t="shared" si="18"/>
        <v>0</v>
      </c>
      <c r="M233" s="289" t="e">
        <f t="shared" si="19"/>
        <v>#DIV/0!</v>
      </c>
    </row>
    <row r="234" spans="1:13" ht="18.75" customHeight="1">
      <c r="A234" s="289" t="str">
        <f t="shared" si="15"/>
        <v>NL</v>
      </c>
      <c r="B234" s="753">
        <f t="shared" si="16"/>
        <v>223</v>
      </c>
      <c r="C234" s="191" t="s">
        <v>1184</v>
      </c>
      <c r="D234" s="291" t="s">
        <v>339</v>
      </c>
      <c r="E234" s="25">
        <v>260</v>
      </c>
      <c r="F234" s="25">
        <v>2624440</v>
      </c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 t="shared" si="17"/>
        <v>260</v>
      </c>
      <c r="L234" s="25">
        <f t="shared" si="18"/>
        <v>2624440</v>
      </c>
      <c r="M234" s="289">
        <f t="shared" si="19"/>
        <v>10094</v>
      </c>
    </row>
    <row r="235" spans="1:13" ht="18.75" customHeight="1">
      <c r="A235" s="289" t="str">
        <f t="shared" si="15"/>
        <v>NL</v>
      </c>
      <c r="B235" s="753">
        <f t="shared" si="16"/>
        <v>224</v>
      </c>
      <c r="C235" s="191" t="s">
        <v>1183</v>
      </c>
      <c r="D235" s="291" t="s">
        <v>339</v>
      </c>
      <c r="E235" s="25">
        <v>250</v>
      </c>
      <c r="F235" s="25">
        <v>3092250</v>
      </c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0</v>
      </c>
      <c r="J235" s="25">
        <f t="array" ref="J235">SUM(IF("156"&amp;C235=KHC&amp;MH,TH))</f>
        <v>0</v>
      </c>
      <c r="K235" s="25">
        <f t="shared" si="17"/>
        <v>250</v>
      </c>
      <c r="L235" s="25">
        <f t="shared" si="18"/>
        <v>3092250</v>
      </c>
      <c r="M235" s="289">
        <f t="shared" si="19"/>
        <v>12369</v>
      </c>
    </row>
    <row r="236" spans="1:13" ht="18.75" customHeight="1">
      <c r="A236" s="289" t="str">
        <f t="shared" si="15"/>
        <v>NL</v>
      </c>
      <c r="B236" s="753">
        <f t="shared" si="16"/>
        <v>225</v>
      </c>
      <c r="C236" s="191" t="s">
        <v>1182</v>
      </c>
      <c r="D236" s="291" t="s">
        <v>339</v>
      </c>
      <c r="E236" s="25">
        <v>240</v>
      </c>
      <c r="F236" s="25">
        <v>2887570</v>
      </c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240</v>
      </c>
      <c r="J236" s="25">
        <f t="array" ref="J236">SUM(IF("156"&amp;C236=KHC&amp;MH,TH))</f>
        <v>2887570</v>
      </c>
      <c r="K236" s="25">
        <f t="shared" si="17"/>
        <v>0</v>
      </c>
      <c r="L236" s="25">
        <f t="shared" si="18"/>
        <v>0</v>
      </c>
      <c r="M236" s="289" t="e">
        <f t="shared" si="19"/>
        <v>#DIV/0!</v>
      </c>
    </row>
    <row r="237" spans="1:13" ht="18.75" customHeight="1">
      <c r="A237" s="289" t="str">
        <f t="shared" si="15"/>
        <v>NL</v>
      </c>
      <c r="B237" s="753">
        <f t="shared" si="16"/>
        <v>226</v>
      </c>
      <c r="C237" s="191" t="s">
        <v>1181</v>
      </c>
      <c r="D237" s="291" t="s">
        <v>339</v>
      </c>
      <c r="E237" s="25">
        <v>318</v>
      </c>
      <c r="F237" s="25">
        <v>5662626</v>
      </c>
      <c r="G237" s="25">
        <f t="array" ref="G237">SUM(IF("156"&amp;C237=KHN&amp;MH,SL))</f>
        <v>0</v>
      </c>
      <c r="H237" s="25">
        <f t="array" ref="H237">SUM(IF("156"&amp;C237=KHN&amp;MH,TH))</f>
        <v>0</v>
      </c>
      <c r="I237" s="25">
        <f t="array" ref="I237">SUM(IF("156"&amp;C237=KHC&amp;MH,SL))</f>
        <v>0</v>
      </c>
      <c r="J237" s="25">
        <f t="array" ref="J237">SUM(IF("156"&amp;C237=KHC&amp;MH,TH))</f>
        <v>0</v>
      </c>
      <c r="K237" s="25">
        <f t="shared" si="17"/>
        <v>318</v>
      </c>
      <c r="L237" s="25">
        <f t="shared" si="18"/>
        <v>5662626</v>
      </c>
      <c r="M237" s="289">
        <f t="shared" si="19"/>
        <v>17807</v>
      </c>
    </row>
    <row r="238" spans="1:13" ht="18.75" customHeight="1">
      <c r="A238" s="289" t="str">
        <f t="shared" si="15"/>
        <v>NL</v>
      </c>
      <c r="B238" s="753">
        <f t="shared" si="16"/>
        <v>227</v>
      </c>
      <c r="C238" s="188" t="s">
        <v>1180</v>
      </c>
      <c r="D238" s="291" t="s">
        <v>339</v>
      </c>
      <c r="E238" s="25">
        <v>36</v>
      </c>
      <c r="F238" s="25">
        <v>437400</v>
      </c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36</v>
      </c>
      <c r="J238" s="25">
        <f t="array" ref="J238">SUM(IF("156"&amp;C238=KHC&amp;MH,TH))</f>
        <v>437400</v>
      </c>
      <c r="K238" s="25">
        <f t="shared" si="17"/>
        <v>0</v>
      </c>
      <c r="L238" s="25">
        <f t="shared" si="18"/>
        <v>0</v>
      </c>
      <c r="M238" s="289" t="e">
        <f t="shared" si="19"/>
        <v>#DIV/0!</v>
      </c>
    </row>
    <row r="239" spans="1:13" ht="18.75" customHeight="1">
      <c r="A239" s="289" t="str">
        <f t="shared" si="15"/>
        <v>NL</v>
      </c>
      <c r="B239" s="753">
        <f t="shared" si="16"/>
        <v>228</v>
      </c>
      <c r="C239" s="191" t="s">
        <v>1243</v>
      </c>
      <c r="D239" s="291" t="s">
        <v>339</v>
      </c>
      <c r="E239" s="25">
        <v>332</v>
      </c>
      <c r="F239" s="25">
        <v>635116</v>
      </c>
      <c r="G239" s="25">
        <f t="array" ref="G239">SUM(IF("156"&amp;C239=KHN&amp;MH,SL))</f>
        <v>0</v>
      </c>
      <c r="H239" s="25">
        <f t="array" ref="H239">SUM(IF("156"&amp;C239=KHN&amp;MH,TH))</f>
        <v>0</v>
      </c>
      <c r="I239" s="25">
        <f t="array" ref="I239">SUM(IF("156"&amp;C239=KHC&amp;MH,SL))</f>
        <v>332</v>
      </c>
      <c r="J239" s="25">
        <f t="array" ref="J239">SUM(IF("156"&amp;C239=KHC&amp;MH,TH))</f>
        <v>635116</v>
      </c>
      <c r="K239" s="25">
        <f t="shared" si="17"/>
        <v>0</v>
      </c>
      <c r="L239" s="25">
        <f t="shared" si="18"/>
        <v>0</v>
      </c>
      <c r="M239" s="289" t="e">
        <f t="shared" si="19"/>
        <v>#DIV/0!</v>
      </c>
    </row>
    <row r="240" spans="1:13" ht="18.75" customHeight="1">
      <c r="A240" s="289" t="str">
        <f t="shared" si="15"/>
        <v>NL</v>
      </c>
      <c r="B240" s="753">
        <f t="shared" si="16"/>
        <v>229</v>
      </c>
      <c r="C240" s="191" t="s">
        <v>741</v>
      </c>
      <c r="D240" s="291" t="s">
        <v>339</v>
      </c>
      <c r="E240" s="25"/>
      <c r="F240" s="25"/>
      <c r="G240" s="25">
        <f t="array" ref="G240">SUM(IF("156"&amp;C240=KHN&amp;MH,SL))</f>
        <v>200</v>
      </c>
      <c r="H240" s="25">
        <f t="array" ref="H240">SUM(IF("156"&amp;C240=KHN&amp;MH,TH))</f>
        <v>1574400</v>
      </c>
      <c r="I240" s="25">
        <f t="array" ref="I240">SUM(IF("156"&amp;C240=KHC&amp;MH,SL))</f>
        <v>200</v>
      </c>
      <c r="J240" s="25">
        <f t="array" ref="J240">SUM(IF("156"&amp;C240=KHC&amp;MH,TH))</f>
        <v>1574400</v>
      </c>
      <c r="K240" s="25">
        <f t="shared" si="17"/>
        <v>0</v>
      </c>
      <c r="L240" s="25">
        <f t="shared" si="18"/>
        <v>0</v>
      </c>
      <c r="M240" s="289" t="e">
        <f t="shared" si="19"/>
        <v>#DIV/0!</v>
      </c>
    </row>
    <row r="241" spans="1:16" ht="18.75" customHeight="1">
      <c r="A241" s="289" t="str">
        <f t="shared" si="15"/>
        <v>NL</v>
      </c>
      <c r="B241" s="753">
        <f t="shared" si="16"/>
        <v>230</v>
      </c>
      <c r="C241" s="292" t="s">
        <v>1504</v>
      </c>
      <c r="D241" s="291" t="s">
        <v>339</v>
      </c>
      <c r="E241" s="25"/>
      <c r="F241" s="25"/>
      <c r="G241" s="25">
        <f t="array" ref="G241">SUM(IF("156"&amp;C241=KHN&amp;MH,SL))</f>
        <v>172</v>
      </c>
      <c r="H241" s="25">
        <f t="array" ref="H241">SUM(IF("156"&amp;C241=KHN&amp;MH,TH))</f>
        <v>1771600</v>
      </c>
      <c r="I241" s="25">
        <f t="array" ref="I241">SUM(IF("156"&amp;C241=KHC&amp;MH,SL))</f>
        <v>172</v>
      </c>
      <c r="J241" s="25">
        <f t="array" ref="J241">SUM(IF("156"&amp;C241=KHC&amp;MH,TH))</f>
        <v>1771600</v>
      </c>
      <c r="K241" s="25">
        <f t="shared" si="17"/>
        <v>0</v>
      </c>
      <c r="L241" s="25">
        <f t="shared" si="18"/>
        <v>0</v>
      </c>
      <c r="M241" s="289" t="e">
        <f t="shared" si="19"/>
        <v>#DIV/0!</v>
      </c>
      <c r="O241" s="927"/>
      <c r="P241" s="927"/>
    </row>
    <row r="242" spans="1:16" ht="18.75" customHeight="1">
      <c r="A242" s="289" t="str">
        <f t="shared" si="15"/>
        <v>NL</v>
      </c>
      <c r="B242" s="753">
        <f t="shared" si="16"/>
        <v>231</v>
      </c>
      <c r="C242" s="292" t="s">
        <v>1510</v>
      </c>
      <c r="D242" s="291" t="s">
        <v>339</v>
      </c>
      <c r="E242" s="25"/>
      <c r="F242" s="25"/>
      <c r="G242" s="25">
        <f t="array" ref="G242">SUM(IF("156"&amp;C242=KHN&amp;MH,SL))</f>
        <v>200</v>
      </c>
      <c r="H242" s="25">
        <f t="array" ref="H242">SUM(IF("156"&amp;C242=KHN&amp;MH,TH))</f>
        <v>1870000</v>
      </c>
      <c r="I242" s="25">
        <f t="array" ref="I242">SUM(IF("156"&amp;C242=KHC&amp;MH,SL))</f>
        <v>200</v>
      </c>
      <c r="J242" s="25">
        <f t="array" ref="J242">SUM(IF("156"&amp;C242=KHC&amp;MH,TH))</f>
        <v>1870000</v>
      </c>
      <c r="K242" s="25">
        <f t="shared" si="17"/>
        <v>0</v>
      </c>
      <c r="L242" s="25">
        <f t="shared" si="18"/>
        <v>0</v>
      </c>
      <c r="M242" s="289" t="e">
        <f t="shared" si="19"/>
        <v>#DIV/0!</v>
      </c>
      <c r="O242" s="927"/>
      <c r="P242" s="927"/>
    </row>
    <row r="243" spans="1:16" ht="18.75" customHeight="1">
      <c r="A243" s="289" t="str">
        <f t="shared" si="15"/>
        <v>NL</v>
      </c>
      <c r="B243" s="753">
        <f t="shared" si="16"/>
        <v>232</v>
      </c>
      <c r="C243" s="188" t="s">
        <v>1242</v>
      </c>
      <c r="D243" s="291" t="s">
        <v>339</v>
      </c>
      <c r="E243" s="25">
        <v>20</v>
      </c>
      <c r="F243" s="25">
        <v>130060</v>
      </c>
      <c r="G243" s="25">
        <f t="array" ref="G243">SUM(IF("156"&amp;C243=KHN&amp;MH,SL))</f>
        <v>0</v>
      </c>
      <c r="H243" s="25">
        <f t="array" ref="H243">SUM(IF("156"&amp;C243=KHN&amp;MH,TH))</f>
        <v>0</v>
      </c>
      <c r="I243" s="25">
        <f t="array" ref="I243">SUM(IF("156"&amp;C243=KHC&amp;MH,SL))</f>
        <v>20</v>
      </c>
      <c r="J243" s="25">
        <f t="array" ref="J243">SUM(IF("156"&amp;C243=KHC&amp;MH,TH))</f>
        <v>130060</v>
      </c>
      <c r="K243" s="25">
        <f t="shared" si="17"/>
        <v>0</v>
      </c>
      <c r="L243" s="25">
        <f t="shared" si="18"/>
        <v>0</v>
      </c>
      <c r="M243" s="289" t="e">
        <f t="shared" si="19"/>
        <v>#DIV/0!</v>
      </c>
    </row>
    <row r="244" spans="1:16" ht="18.75" customHeight="1">
      <c r="A244" s="289" t="str">
        <f t="shared" si="15"/>
        <v>NL</v>
      </c>
      <c r="B244" s="753">
        <f t="shared" si="16"/>
        <v>233</v>
      </c>
      <c r="C244" s="292" t="s">
        <v>1506</v>
      </c>
      <c r="D244" s="291" t="s">
        <v>339</v>
      </c>
      <c r="E244" s="25"/>
      <c r="F244" s="25"/>
      <c r="G244" s="25">
        <f t="array" ref="G244">SUM(IF("156"&amp;C244=KHN&amp;MH,SL))</f>
        <v>172</v>
      </c>
      <c r="H244" s="25">
        <f t="array" ref="H244">SUM(IF("156"&amp;C244=KHN&amp;MH,TH))</f>
        <v>1763000</v>
      </c>
      <c r="I244" s="25">
        <f t="array" ref="I244">SUM(IF("156"&amp;C244=KHC&amp;MH,SL))</f>
        <v>172</v>
      </c>
      <c r="J244" s="25">
        <f t="array" ref="J244">SUM(IF("156"&amp;C244=KHC&amp;MH,TH))</f>
        <v>1763000</v>
      </c>
      <c r="K244" s="25">
        <f t="shared" si="17"/>
        <v>0</v>
      </c>
      <c r="L244" s="25">
        <f t="shared" si="18"/>
        <v>0</v>
      </c>
      <c r="M244" s="289" t="e">
        <f t="shared" si="19"/>
        <v>#DIV/0!</v>
      </c>
      <c r="O244" s="927"/>
      <c r="P244" s="927"/>
    </row>
    <row r="245" spans="1:16" ht="18.75" customHeight="1">
      <c r="A245" s="289" t="str">
        <f t="shared" si="15"/>
        <v>NL</v>
      </c>
      <c r="B245" s="753">
        <f t="shared" si="16"/>
        <v>234</v>
      </c>
      <c r="C245" s="292" t="s">
        <v>1497</v>
      </c>
      <c r="D245" s="291" t="s">
        <v>339</v>
      </c>
      <c r="E245" s="25"/>
      <c r="F245" s="25"/>
      <c r="G245" s="25">
        <f t="array" ref="G245">SUM(IF("156"&amp;C245=KHN&amp;MH,SL))</f>
        <v>172</v>
      </c>
      <c r="H245" s="25">
        <f t="array" ref="H245">SUM(IF("156"&amp;C245=KHN&amp;MH,TH))</f>
        <v>928800</v>
      </c>
      <c r="I245" s="25">
        <f t="array" ref="I245">SUM(IF("156"&amp;C245=KHC&amp;MH,SL))</f>
        <v>172</v>
      </c>
      <c r="J245" s="25">
        <f t="array" ref="J245">SUM(IF("156"&amp;C245=KHC&amp;MH,TH))</f>
        <v>928800</v>
      </c>
      <c r="K245" s="25">
        <f t="shared" si="17"/>
        <v>0</v>
      </c>
      <c r="L245" s="25">
        <f t="shared" si="18"/>
        <v>0</v>
      </c>
      <c r="M245" s="289" t="e">
        <f t="shared" si="19"/>
        <v>#DIV/0!</v>
      </c>
      <c r="O245" s="927"/>
      <c r="P245" s="927"/>
    </row>
    <row r="246" spans="1:16" ht="18.75" customHeight="1">
      <c r="A246" s="289" t="str">
        <f t="shared" si="15"/>
        <v>NL</v>
      </c>
      <c r="B246" s="753">
        <f t="shared" si="16"/>
        <v>235</v>
      </c>
      <c r="C246" s="292" t="s">
        <v>1501</v>
      </c>
      <c r="D246" s="291" t="s">
        <v>339</v>
      </c>
      <c r="E246" s="25"/>
      <c r="F246" s="25"/>
      <c r="G246" s="25">
        <f t="array" ref="G246">SUM(IF("156"&amp;C246=KHN&amp;MH,SL))</f>
        <v>200</v>
      </c>
      <c r="H246" s="25">
        <f t="array" ref="H246">SUM(IF("156"&amp;C246=KHN&amp;MH,TH))</f>
        <v>1120000</v>
      </c>
      <c r="I246" s="25">
        <f t="array" ref="I246">SUM(IF("156"&amp;C246=KHC&amp;MH,SL))</f>
        <v>200</v>
      </c>
      <c r="J246" s="25">
        <f t="array" ref="J246">SUM(IF("156"&amp;C246=KHC&amp;MH,TH))</f>
        <v>1120000</v>
      </c>
      <c r="K246" s="25">
        <f t="shared" si="17"/>
        <v>0</v>
      </c>
      <c r="L246" s="25">
        <f t="shared" si="18"/>
        <v>0</v>
      </c>
      <c r="M246" s="289" t="e">
        <f t="shared" si="19"/>
        <v>#DIV/0!</v>
      </c>
      <c r="O246" s="927"/>
      <c r="P246" s="927"/>
    </row>
    <row r="247" spans="1:16" ht="18.75" customHeight="1">
      <c r="A247" s="289" t="str">
        <f t="shared" si="15"/>
        <v>NL</v>
      </c>
      <c r="B247" s="753">
        <f t="shared" si="16"/>
        <v>236</v>
      </c>
      <c r="C247" s="292" t="s">
        <v>1499</v>
      </c>
      <c r="D247" s="291" t="s">
        <v>339</v>
      </c>
      <c r="E247" s="25"/>
      <c r="F247" s="25"/>
      <c r="G247" s="25">
        <f t="array" ref="G247">SUM(IF("156"&amp;C247=KHN&amp;MH,SL))</f>
        <v>172</v>
      </c>
      <c r="H247" s="25">
        <f t="array" ref="H247">SUM(IF("156"&amp;C247=KHN&amp;MH,TH))</f>
        <v>1066400</v>
      </c>
      <c r="I247" s="25">
        <f t="array" ref="I247">SUM(IF("156"&amp;C247=KHC&amp;MH,SL))</f>
        <v>172</v>
      </c>
      <c r="J247" s="25">
        <f t="array" ref="J247">SUM(IF("156"&amp;C247=KHC&amp;MH,TH))</f>
        <v>1066400</v>
      </c>
      <c r="K247" s="25">
        <f t="shared" si="17"/>
        <v>0</v>
      </c>
      <c r="L247" s="25">
        <f t="shared" si="18"/>
        <v>0</v>
      </c>
      <c r="M247" s="289" t="e">
        <f t="shared" si="19"/>
        <v>#DIV/0!</v>
      </c>
      <c r="O247" s="927"/>
      <c r="P247" s="927"/>
    </row>
    <row r="248" spans="1:16" ht="18.75" customHeight="1">
      <c r="A248" s="289" t="str">
        <f t="shared" si="15"/>
        <v>NL</v>
      </c>
      <c r="B248" s="753">
        <f t="shared" si="16"/>
        <v>237</v>
      </c>
      <c r="C248" s="292" t="s">
        <v>1500</v>
      </c>
      <c r="D248" s="291" t="s">
        <v>339</v>
      </c>
      <c r="E248" s="25"/>
      <c r="F248" s="25"/>
      <c r="G248" s="25">
        <f t="array" ref="G248">SUM(IF("156"&amp;C248=KHN&amp;MH,SL))</f>
        <v>200</v>
      </c>
      <c r="H248" s="25">
        <f t="array" ref="H248">SUM(IF("156"&amp;C248=KHN&amp;MH,TH))</f>
        <v>1580000</v>
      </c>
      <c r="I248" s="25">
        <f t="array" ref="I248">SUM(IF("156"&amp;C248=KHC&amp;MH,SL))</f>
        <v>200</v>
      </c>
      <c r="J248" s="25">
        <f t="array" ref="J248">SUM(IF("156"&amp;C248=KHC&amp;MH,TH))</f>
        <v>1580000</v>
      </c>
      <c r="K248" s="25">
        <f t="shared" si="17"/>
        <v>0</v>
      </c>
      <c r="L248" s="25">
        <f t="shared" si="18"/>
        <v>0</v>
      </c>
      <c r="M248" s="289" t="e">
        <f t="shared" si="19"/>
        <v>#DIV/0!</v>
      </c>
      <c r="O248" s="927"/>
      <c r="P248" s="927"/>
    </row>
    <row r="249" spans="1:16" ht="18.75" customHeight="1">
      <c r="A249" s="289" t="str">
        <f t="shared" si="15"/>
        <v>NL</v>
      </c>
      <c r="B249" s="753">
        <f t="shared" si="16"/>
        <v>238</v>
      </c>
      <c r="C249" s="292" t="s">
        <v>1498</v>
      </c>
      <c r="D249" s="291" t="s">
        <v>339</v>
      </c>
      <c r="E249" s="25"/>
      <c r="F249" s="25"/>
      <c r="G249" s="25">
        <f t="array" ref="G249">SUM(IF("156"&amp;C249=KHN&amp;MH,SL))</f>
        <v>172</v>
      </c>
      <c r="H249" s="25">
        <f t="array" ref="H249">SUM(IF("156"&amp;C249=KHN&amp;MH,TH))</f>
        <v>1376000</v>
      </c>
      <c r="I249" s="25">
        <f t="array" ref="I249">SUM(IF("156"&amp;C249=KHC&amp;MH,SL))</f>
        <v>172</v>
      </c>
      <c r="J249" s="25">
        <f t="array" ref="J249">SUM(IF("156"&amp;C249=KHC&amp;MH,TH))</f>
        <v>1376000</v>
      </c>
      <c r="K249" s="25">
        <f t="shared" si="17"/>
        <v>0</v>
      </c>
      <c r="L249" s="25">
        <f t="shared" si="18"/>
        <v>0</v>
      </c>
      <c r="M249" s="289" t="e">
        <f t="shared" si="19"/>
        <v>#DIV/0!</v>
      </c>
      <c r="O249" s="927"/>
      <c r="P249" s="927"/>
    </row>
    <row r="250" spans="1:16" ht="18.75" customHeight="1">
      <c r="A250" s="289" t="str">
        <f t="shared" si="15"/>
        <v>NL</v>
      </c>
      <c r="B250" s="753">
        <f t="shared" si="16"/>
        <v>239</v>
      </c>
      <c r="C250" s="292" t="s">
        <v>1496</v>
      </c>
      <c r="D250" s="291" t="s">
        <v>339</v>
      </c>
      <c r="E250" s="25"/>
      <c r="F250" s="25"/>
      <c r="G250" s="25">
        <f t="array" ref="G250">SUM(IF("156"&amp;C250=KHN&amp;MH,SL))</f>
        <v>172</v>
      </c>
      <c r="H250" s="25">
        <f t="array" ref="H250">SUM(IF("156"&amp;C250=KHN&amp;MH,TH))</f>
        <v>1582400</v>
      </c>
      <c r="I250" s="25">
        <f t="array" ref="I250">SUM(IF("156"&amp;C250=KHC&amp;MH,SL))</f>
        <v>172</v>
      </c>
      <c r="J250" s="25">
        <f t="array" ref="J250">SUM(IF("156"&amp;C250=KHC&amp;MH,TH))</f>
        <v>1582400</v>
      </c>
      <c r="K250" s="25">
        <f t="shared" si="17"/>
        <v>0</v>
      </c>
      <c r="L250" s="25">
        <f t="shared" si="18"/>
        <v>0</v>
      </c>
      <c r="M250" s="289" t="e">
        <f t="shared" si="19"/>
        <v>#DIV/0!</v>
      </c>
      <c r="O250" s="927"/>
      <c r="P250" s="927"/>
    </row>
    <row r="251" spans="1:16" ht="18.75" customHeight="1">
      <c r="A251" s="289" t="str">
        <f t="shared" si="15"/>
        <v>NL</v>
      </c>
      <c r="B251" s="753">
        <f t="shared" si="16"/>
        <v>240</v>
      </c>
      <c r="C251" s="188" t="s">
        <v>1413</v>
      </c>
      <c r="D251" s="291" t="s">
        <v>339</v>
      </c>
      <c r="E251" s="25"/>
      <c r="F251" s="25"/>
      <c r="G251" s="25">
        <f t="array" ref="G251">SUM(IF("156"&amp;C251=KHN&amp;MH,SL))</f>
        <v>140</v>
      </c>
      <c r="H251" s="25">
        <f t="array" ref="H251">SUM(IF("156"&amp;C251=KHN&amp;MH,TH))</f>
        <v>4151840</v>
      </c>
      <c r="I251" s="25">
        <f t="array" ref="I251">SUM(IF("156"&amp;C251=KHC&amp;MH,SL))</f>
        <v>0</v>
      </c>
      <c r="J251" s="25">
        <f t="array" ref="J251">SUM(IF("156"&amp;C251=KHC&amp;MH,TH))</f>
        <v>0</v>
      </c>
      <c r="K251" s="25">
        <f t="shared" si="17"/>
        <v>140</v>
      </c>
      <c r="L251" s="25">
        <f t="shared" si="18"/>
        <v>4151840</v>
      </c>
      <c r="M251" s="289">
        <f t="shared" si="19"/>
        <v>29656</v>
      </c>
    </row>
    <row r="252" spans="1:16" ht="18.75" customHeight="1">
      <c r="A252" s="289" t="str">
        <f t="shared" si="15"/>
        <v>NL</v>
      </c>
      <c r="B252" s="753">
        <f t="shared" si="16"/>
        <v>241</v>
      </c>
      <c r="C252" s="191" t="s">
        <v>1241</v>
      </c>
      <c r="D252" s="291" t="s">
        <v>339</v>
      </c>
      <c r="E252" s="25">
        <v>20</v>
      </c>
      <c r="F252" s="25">
        <v>145800</v>
      </c>
      <c r="G252" s="25">
        <f t="array" ref="G252">SUM(IF("156"&amp;C252=KHN&amp;MH,SL))</f>
        <v>0</v>
      </c>
      <c r="H252" s="25">
        <f t="array" ref="H252">SUM(IF("156"&amp;C252=KHN&amp;MH,TH))</f>
        <v>0</v>
      </c>
      <c r="I252" s="25">
        <f t="array" ref="I252">SUM(IF("156"&amp;C252=KHC&amp;MH,SL))</f>
        <v>20</v>
      </c>
      <c r="J252" s="25">
        <f t="array" ref="J252">SUM(IF("156"&amp;C252=KHC&amp;MH,TH))</f>
        <v>145800</v>
      </c>
      <c r="K252" s="25">
        <f t="shared" si="17"/>
        <v>0</v>
      </c>
      <c r="L252" s="25">
        <f t="shared" si="18"/>
        <v>0</v>
      </c>
      <c r="M252" s="289" t="e">
        <f t="shared" si="19"/>
        <v>#DIV/0!</v>
      </c>
    </row>
    <row r="253" spans="1:16" ht="18.75" customHeight="1">
      <c r="A253" s="289" t="str">
        <f t="shared" si="15"/>
        <v>NL</v>
      </c>
      <c r="B253" s="753">
        <f t="shared" si="16"/>
        <v>242</v>
      </c>
      <c r="C253" s="191" t="s">
        <v>1240</v>
      </c>
      <c r="D253" s="291" t="s">
        <v>339</v>
      </c>
      <c r="E253" s="25">
        <v>6</v>
      </c>
      <c r="F253" s="25">
        <v>64260</v>
      </c>
      <c r="G253" s="25">
        <f t="array" ref="G253">SUM(IF("156"&amp;C253=KHN&amp;MH,SL))</f>
        <v>0</v>
      </c>
      <c r="H253" s="25">
        <f t="array" ref="H253">SUM(IF("156"&amp;C253=KHN&amp;MH,TH))</f>
        <v>0</v>
      </c>
      <c r="I253" s="25">
        <f t="array" ref="I253">SUM(IF("156"&amp;C253=KHC&amp;MH,SL))</f>
        <v>6</v>
      </c>
      <c r="J253" s="25">
        <f t="array" ref="J253">SUM(IF("156"&amp;C253=KHC&amp;MH,TH))</f>
        <v>64260</v>
      </c>
      <c r="K253" s="25">
        <f t="shared" si="17"/>
        <v>0</v>
      </c>
      <c r="L253" s="25">
        <f t="shared" si="18"/>
        <v>0</v>
      </c>
      <c r="M253" s="289" t="e">
        <f t="shared" si="19"/>
        <v>#DIV/0!</v>
      </c>
    </row>
    <row r="254" spans="1:16" ht="18.75" customHeight="1">
      <c r="A254" s="289" t="str">
        <f t="shared" si="15"/>
        <v>NL</v>
      </c>
      <c r="B254" s="753">
        <f t="shared" si="16"/>
        <v>243</v>
      </c>
      <c r="C254" s="292" t="s">
        <v>1669</v>
      </c>
      <c r="D254" s="291"/>
      <c r="E254" s="25"/>
      <c r="F254" s="25"/>
      <c r="G254" s="25">
        <f t="array" ref="G254">SUM(IF("156"&amp;C254=KHN&amp;MH,SL))</f>
        <v>1000</v>
      </c>
      <c r="H254" s="25">
        <f t="array" ref="H254">SUM(IF("156"&amp;C254=KHN&amp;MH,TH))</f>
        <v>16102000</v>
      </c>
      <c r="I254" s="25">
        <f t="array" ref="I254">SUM(IF("156"&amp;C254=KHC&amp;MH,SL))</f>
        <v>500</v>
      </c>
      <c r="J254" s="25">
        <f t="array" ref="J254">SUM(IF("156"&amp;C254=KHC&amp;MH,TH))</f>
        <v>8051000</v>
      </c>
      <c r="K254" s="25">
        <f t="shared" si="17"/>
        <v>500</v>
      </c>
      <c r="L254" s="25">
        <f t="shared" si="18"/>
        <v>8051000</v>
      </c>
      <c r="M254" s="289">
        <f t="shared" si="19"/>
        <v>16102</v>
      </c>
      <c r="O254" s="927"/>
      <c r="P254" s="927"/>
    </row>
    <row r="255" spans="1:16" ht="18.75" customHeight="1">
      <c r="A255" s="289" t="str">
        <f t="shared" si="15"/>
        <v>NL</v>
      </c>
      <c r="B255" s="753">
        <f t="shared" si="16"/>
        <v>244</v>
      </c>
      <c r="C255" s="40" t="s">
        <v>1239</v>
      </c>
      <c r="D255" s="291" t="s">
        <v>339</v>
      </c>
      <c r="E255" s="25">
        <v>12</v>
      </c>
      <c r="F255" s="25">
        <v>183600</v>
      </c>
      <c r="G255" s="25">
        <f t="array" ref="G255">SUM(IF("156"&amp;C255=KHN&amp;MH,SL))</f>
        <v>0</v>
      </c>
      <c r="H255" s="25">
        <f t="array" ref="H255">SUM(IF("156"&amp;C255=KHN&amp;MH,TH))</f>
        <v>0</v>
      </c>
      <c r="I255" s="25">
        <f t="array" ref="I255">SUM(IF("156"&amp;C255=KHC&amp;MH,SL))</f>
        <v>12</v>
      </c>
      <c r="J255" s="25">
        <f t="array" ref="J255">SUM(IF("156"&amp;C255=KHC&amp;MH,TH))</f>
        <v>183600</v>
      </c>
      <c r="K255" s="25">
        <f t="shared" si="17"/>
        <v>0</v>
      </c>
      <c r="L255" s="25">
        <f t="shared" si="18"/>
        <v>0</v>
      </c>
      <c r="M255" s="289" t="e">
        <f t="shared" si="19"/>
        <v>#DIV/0!</v>
      </c>
    </row>
    <row r="256" spans="1:16" ht="18.75" customHeight="1">
      <c r="A256" s="289" t="str">
        <f t="shared" si="15"/>
        <v>NL</v>
      </c>
      <c r="B256" s="753">
        <f t="shared" si="16"/>
        <v>245</v>
      </c>
      <c r="C256" s="292" t="s">
        <v>1511</v>
      </c>
      <c r="D256" s="291" t="s">
        <v>339</v>
      </c>
      <c r="E256" s="25"/>
      <c r="F256" s="25"/>
      <c r="G256" s="25">
        <f t="array" ref="G256">SUM(IF("156"&amp;C256=KHN&amp;MH,SL))</f>
        <v>200</v>
      </c>
      <c r="H256" s="25">
        <f t="array" ref="H256">SUM(IF("156"&amp;C256=KHN&amp;MH,TH))</f>
        <v>2216000</v>
      </c>
      <c r="I256" s="25">
        <f t="array" ref="I256">SUM(IF("156"&amp;C256=KHC&amp;MH,SL))</f>
        <v>200</v>
      </c>
      <c r="J256" s="25">
        <f t="array" ref="J256">SUM(IF("156"&amp;C256=KHC&amp;MH,TH))</f>
        <v>2216000</v>
      </c>
      <c r="K256" s="25">
        <f t="shared" si="17"/>
        <v>0</v>
      </c>
      <c r="L256" s="25">
        <f t="shared" si="18"/>
        <v>0</v>
      </c>
      <c r="M256" s="289" t="e">
        <f t="shared" si="19"/>
        <v>#DIV/0!</v>
      </c>
      <c r="O256" s="927"/>
      <c r="P256" s="927"/>
    </row>
    <row r="257" spans="1:16" ht="18.75" customHeight="1">
      <c r="A257" s="289" t="str">
        <f t="shared" si="15"/>
        <v>NL</v>
      </c>
      <c r="B257" s="753">
        <f t="shared" si="16"/>
        <v>246</v>
      </c>
      <c r="C257" s="292" t="s">
        <v>1508</v>
      </c>
      <c r="D257" s="291" t="s">
        <v>339</v>
      </c>
      <c r="E257" s="25"/>
      <c r="F257" s="25"/>
      <c r="G257" s="25">
        <f t="array" ref="G257">SUM(IF("156"&amp;C257=KHN&amp;MH,SL))</f>
        <v>172</v>
      </c>
      <c r="H257" s="25">
        <f t="array" ref="H257">SUM(IF("156"&amp;C257=KHN&amp;MH,TH))</f>
        <v>1917800</v>
      </c>
      <c r="I257" s="25">
        <f t="array" ref="I257">SUM(IF("156"&amp;C257=KHC&amp;MH,SL))</f>
        <v>172</v>
      </c>
      <c r="J257" s="25">
        <f t="array" ref="J257">SUM(IF("156"&amp;C257=KHC&amp;MH,TH))</f>
        <v>1917800</v>
      </c>
      <c r="K257" s="25">
        <f t="shared" si="17"/>
        <v>0</v>
      </c>
      <c r="L257" s="25">
        <f t="shared" si="18"/>
        <v>0</v>
      </c>
      <c r="M257" s="289" t="e">
        <f t="shared" si="19"/>
        <v>#DIV/0!</v>
      </c>
      <c r="O257" s="927"/>
      <c r="P257" s="927"/>
    </row>
    <row r="258" spans="1:16" ht="18.75" customHeight="1">
      <c r="A258" s="289" t="str">
        <f t="shared" si="15"/>
        <v>NL</v>
      </c>
      <c r="B258" s="753">
        <f t="shared" si="16"/>
        <v>247</v>
      </c>
      <c r="C258" s="292" t="s">
        <v>1505</v>
      </c>
      <c r="D258" s="291" t="s">
        <v>339</v>
      </c>
      <c r="E258" s="25"/>
      <c r="F258" s="25"/>
      <c r="G258" s="25">
        <f t="array" ref="G258">SUM(IF("156"&amp;C258=KHN&amp;MH,SL))</f>
        <v>172</v>
      </c>
      <c r="H258" s="25">
        <f t="array" ref="H258">SUM(IF("156"&amp;C258=KHN&amp;MH,TH))</f>
        <v>2150000</v>
      </c>
      <c r="I258" s="25">
        <f t="array" ref="I258">SUM(IF("156"&amp;C258=KHC&amp;MH,SL))</f>
        <v>172</v>
      </c>
      <c r="J258" s="25">
        <f t="array" ref="J258">SUM(IF("156"&amp;C258=KHC&amp;MH,TH))</f>
        <v>2150000</v>
      </c>
      <c r="K258" s="25">
        <f t="shared" si="17"/>
        <v>0</v>
      </c>
      <c r="L258" s="25">
        <f t="shared" si="18"/>
        <v>0</v>
      </c>
      <c r="M258" s="289" t="e">
        <f t="shared" si="19"/>
        <v>#DIV/0!</v>
      </c>
      <c r="O258" s="927"/>
      <c r="P258" s="927"/>
    </row>
    <row r="259" spans="1:16" ht="18.75" customHeight="1">
      <c r="A259" s="289" t="str">
        <f t="shared" si="15"/>
        <v>NL</v>
      </c>
      <c r="B259" s="753">
        <f t="shared" si="16"/>
        <v>248</v>
      </c>
      <c r="C259" s="292" t="s">
        <v>1507</v>
      </c>
      <c r="D259" s="291" t="s">
        <v>339</v>
      </c>
      <c r="E259" s="25"/>
      <c r="F259" s="25"/>
      <c r="G259" s="25">
        <f t="array" ref="G259">SUM(IF("156"&amp;C259=KHN&amp;MH,SL))</f>
        <v>172</v>
      </c>
      <c r="H259" s="25">
        <f t="array" ref="H259">SUM(IF("156"&amp;C259=KHN&amp;MH,TH))</f>
        <v>997600</v>
      </c>
      <c r="I259" s="25">
        <f t="array" ref="I259">SUM(IF("156"&amp;C259=KHC&amp;MH,SL))</f>
        <v>172</v>
      </c>
      <c r="J259" s="25">
        <f t="array" ref="J259">SUM(IF("156"&amp;C259=KHC&amp;MH,TH))</f>
        <v>997600</v>
      </c>
      <c r="K259" s="25">
        <f t="shared" si="17"/>
        <v>0</v>
      </c>
      <c r="L259" s="25">
        <f t="shared" si="18"/>
        <v>0</v>
      </c>
      <c r="M259" s="289" t="e">
        <f t="shared" si="19"/>
        <v>#DIV/0!</v>
      </c>
      <c r="O259" s="927"/>
      <c r="P259" s="927"/>
    </row>
    <row r="260" spans="1:16" ht="18.75" customHeight="1">
      <c r="A260" s="289" t="str">
        <f t="shared" si="15"/>
        <v>NL</v>
      </c>
      <c r="B260" s="753">
        <f t="shared" si="16"/>
        <v>249</v>
      </c>
      <c r="C260" s="292" t="s">
        <v>1512</v>
      </c>
      <c r="D260" s="291" t="s">
        <v>339</v>
      </c>
      <c r="E260" s="25"/>
      <c r="F260" s="25"/>
      <c r="G260" s="25">
        <f t="array" ref="G260">SUM(IF("156"&amp;C260=KHN&amp;MH,SL))</f>
        <v>200</v>
      </c>
      <c r="H260" s="25">
        <f t="array" ref="H260">SUM(IF("156"&amp;C260=KHN&amp;MH,TH))</f>
        <v>1229000</v>
      </c>
      <c r="I260" s="25">
        <f t="array" ref="I260">SUM(IF("156"&amp;C260=KHC&amp;MH,SL))</f>
        <v>200</v>
      </c>
      <c r="J260" s="25">
        <f t="array" ref="J260">SUM(IF("156"&amp;C260=KHC&amp;MH,TH))</f>
        <v>1229000</v>
      </c>
      <c r="K260" s="25">
        <f t="shared" si="17"/>
        <v>0</v>
      </c>
      <c r="L260" s="25">
        <f t="shared" si="18"/>
        <v>0</v>
      </c>
      <c r="M260" s="289" t="e">
        <f t="shared" si="19"/>
        <v>#DIV/0!</v>
      </c>
      <c r="O260" s="927"/>
      <c r="P260" s="927"/>
    </row>
    <row r="261" spans="1:16" ht="18.75" customHeight="1">
      <c r="A261" s="289" t="str">
        <f t="shared" si="15"/>
        <v>NL</v>
      </c>
      <c r="B261" s="753">
        <f t="shared" si="16"/>
        <v>250</v>
      </c>
      <c r="C261" s="292" t="s">
        <v>1509</v>
      </c>
      <c r="D261" s="291" t="s">
        <v>339</v>
      </c>
      <c r="E261" s="25"/>
      <c r="F261" s="25"/>
      <c r="G261" s="25">
        <f t="array" ref="G261">SUM(IF("156"&amp;C261=KHN&amp;MH,SL))</f>
        <v>172</v>
      </c>
      <c r="H261" s="25">
        <f t="array" ref="H261">SUM(IF("156"&amp;C261=KHN&amp;MH,TH))</f>
        <v>1152400</v>
      </c>
      <c r="I261" s="25">
        <f t="array" ref="I261">SUM(IF("156"&amp;C261=KHC&amp;MH,SL))</f>
        <v>172</v>
      </c>
      <c r="J261" s="25">
        <f t="array" ref="J261">SUM(IF("156"&amp;C261=KHC&amp;MH,TH))</f>
        <v>1152400</v>
      </c>
      <c r="K261" s="25">
        <f t="shared" si="17"/>
        <v>0</v>
      </c>
      <c r="L261" s="25">
        <f t="shared" si="18"/>
        <v>0</v>
      </c>
      <c r="M261" s="289" t="e">
        <f t="shared" si="19"/>
        <v>#DIV/0!</v>
      </c>
      <c r="O261" s="927"/>
      <c r="P261" s="927"/>
    </row>
    <row r="262" spans="1:16" ht="18.75" customHeight="1">
      <c r="A262" s="289" t="str">
        <f t="shared" si="15"/>
        <v>NL</v>
      </c>
      <c r="B262" s="753">
        <f t="shared" si="16"/>
        <v>251</v>
      </c>
      <c r="C262" s="188" t="s">
        <v>1238</v>
      </c>
      <c r="D262" s="291" t="s">
        <v>339</v>
      </c>
      <c r="E262" s="25">
        <v>33</v>
      </c>
      <c r="F262" s="25">
        <v>351879</v>
      </c>
      <c r="G262" s="25">
        <f t="array" ref="G262">SUM(IF("156"&amp;C262=KHN&amp;MH,SL))</f>
        <v>0</v>
      </c>
      <c r="H262" s="25">
        <f t="array" ref="H262">SUM(IF("156"&amp;C262=KHN&amp;MH,TH))</f>
        <v>0</v>
      </c>
      <c r="I262" s="25">
        <f t="array" ref="I262">SUM(IF("156"&amp;C262=KHC&amp;MH,SL))</f>
        <v>33</v>
      </c>
      <c r="J262" s="25">
        <f t="array" ref="J262">SUM(IF("156"&amp;C262=KHC&amp;MH,TH))</f>
        <v>351879</v>
      </c>
      <c r="K262" s="25">
        <f t="shared" si="17"/>
        <v>0</v>
      </c>
      <c r="L262" s="25">
        <f t="shared" si="18"/>
        <v>0</v>
      </c>
      <c r="M262" s="289" t="e">
        <f t="shared" si="19"/>
        <v>#DIV/0!</v>
      </c>
    </row>
    <row r="263" spans="1:16" ht="18.75" customHeight="1">
      <c r="A263" s="289" t="str">
        <f t="shared" si="15"/>
        <v>NL</v>
      </c>
      <c r="B263" s="753">
        <f t="shared" si="16"/>
        <v>252</v>
      </c>
      <c r="C263" s="191" t="s">
        <v>1237</v>
      </c>
      <c r="D263" s="291" t="s">
        <v>339</v>
      </c>
      <c r="E263" s="25">
        <v>7</v>
      </c>
      <c r="F263" s="25">
        <v>79534</v>
      </c>
      <c r="G263" s="25">
        <f t="array" ref="G263">SUM(IF("156"&amp;C263=KHN&amp;MH,SL))</f>
        <v>0</v>
      </c>
      <c r="H263" s="25">
        <f t="array" ref="H263">SUM(IF("156"&amp;C263=KHN&amp;MH,TH))</f>
        <v>0</v>
      </c>
      <c r="I263" s="25">
        <f t="array" ref="I263">SUM(IF("156"&amp;C263=KHC&amp;MH,SL))</f>
        <v>7</v>
      </c>
      <c r="J263" s="25">
        <f t="array" ref="J263">SUM(IF("156"&amp;C263=KHC&amp;MH,TH))</f>
        <v>79534</v>
      </c>
      <c r="K263" s="25">
        <f t="shared" si="17"/>
        <v>0</v>
      </c>
      <c r="L263" s="25">
        <f t="shared" si="18"/>
        <v>0</v>
      </c>
      <c r="M263" s="289" t="e">
        <f t="shared" si="19"/>
        <v>#DIV/0!</v>
      </c>
    </row>
    <row r="264" spans="1:16" ht="18.75" customHeight="1">
      <c r="A264" s="289" t="str">
        <f t="shared" si="15"/>
        <v>NL</v>
      </c>
      <c r="B264" s="753">
        <f t="shared" si="16"/>
        <v>253</v>
      </c>
      <c r="C264" s="191" t="s">
        <v>1236</v>
      </c>
      <c r="D264" s="291" t="s">
        <v>339</v>
      </c>
      <c r="E264" s="25">
        <v>12</v>
      </c>
      <c r="F264" s="25">
        <v>146832</v>
      </c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12</v>
      </c>
      <c r="J264" s="25">
        <f t="array" ref="J264">SUM(IF("156"&amp;C264=KHC&amp;MH,TH))</f>
        <v>146832</v>
      </c>
      <c r="K264" s="25">
        <f t="shared" si="17"/>
        <v>0</v>
      </c>
      <c r="L264" s="25">
        <f t="shared" si="18"/>
        <v>0</v>
      </c>
      <c r="M264" s="289" t="e">
        <f t="shared" si="19"/>
        <v>#DIV/0!</v>
      </c>
    </row>
    <row r="265" spans="1:16" ht="18.75" customHeight="1">
      <c r="A265" s="289" t="str">
        <f t="shared" si="15"/>
        <v>NL</v>
      </c>
      <c r="B265" s="753">
        <f t="shared" si="16"/>
        <v>254</v>
      </c>
      <c r="C265" s="188" t="s">
        <v>1235</v>
      </c>
      <c r="D265" s="291" t="s">
        <v>339</v>
      </c>
      <c r="E265" s="25">
        <v>17</v>
      </c>
      <c r="F265" s="25">
        <v>249611</v>
      </c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17</v>
      </c>
      <c r="J265" s="25">
        <f t="array" ref="J265">SUM(IF("156"&amp;C265=KHC&amp;MH,TH))</f>
        <v>249611</v>
      </c>
      <c r="K265" s="25">
        <f t="shared" si="17"/>
        <v>0</v>
      </c>
      <c r="L265" s="25">
        <f t="shared" si="18"/>
        <v>0</v>
      </c>
      <c r="M265" s="289" t="e">
        <f t="shared" si="19"/>
        <v>#DIV/0!</v>
      </c>
    </row>
    <row r="266" spans="1:16" ht="18.75" customHeight="1">
      <c r="A266" s="289" t="str">
        <f t="shared" si="15"/>
        <v>NL</v>
      </c>
      <c r="B266" s="753">
        <f t="shared" si="16"/>
        <v>255</v>
      </c>
      <c r="C266" s="191" t="s">
        <v>1234</v>
      </c>
      <c r="D266" s="291" t="s">
        <v>339</v>
      </c>
      <c r="E266" s="25">
        <v>66</v>
      </c>
      <c r="F266" s="25">
        <v>1055604</v>
      </c>
      <c r="G266" s="25">
        <f t="array" ref="G266">SUM(IF("156"&amp;C266=KHN&amp;MH,SL))</f>
        <v>0</v>
      </c>
      <c r="H266" s="25">
        <f t="array" ref="H266">SUM(IF("156"&amp;C266=KHN&amp;MH,TH))</f>
        <v>0</v>
      </c>
      <c r="I266" s="25">
        <f t="array" ref="I266">SUM(IF("156"&amp;C266=KHC&amp;MH,SL))</f>
        <v>66</v>
      </c>
      <c r="J266" s="25">
        <f t="array" ref="J266">SUM(IF("156"&amp;C266=KHC&amp;MH,TH))</f>
        <v>1055604</v>
      </c>
      <c r="K266" s="25">
        <f t="shared" si="17"/>
        <v>0</v>
      </c>
      <c r="L266" s="25">
        <f t="shared" si="18"/>
        <v>0</v>
      </c>
      <c r="M266" s="289" t="e">
        <f t="shared" si="19"/>
        <v>#DIV/0!</v>
      </c>
    </row>
    <row r="267" spans="1:16" ht="18.75" customHeight="1">
      <c r="A267" s="289" t="str">
        <f t="shared" si="15"/>
        <v>NL</v>
      </c>
      <c r="B267" s="753">
        <f t="shared" si="16"/>
        <v>256</v>
      </c>
      <c r="C267" s="191" t="s">
        <v>1233</v>
      </c>
      <c r="D267" s="291" t="s">
        <v>339</v>
      </c>
      <c r="E267" s="25">
        <v>14</v>
      </c>
      <c r="F267" s="25">
        <v>232484</v>
      </c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14</v>
      </c>
      <c r="J267" s="25">
        <f t="array" ref="J267">SUM(IF("156"&amp;C267=KHC&amp;MH,TH))</f>
        <v>232484</v>
      </c>
      <c r="K267" s="25">
        <f t="shared" si="17"/>
        <v>0</v>
      </c>
      <c r="L267" s="25">
        <f t="shared" si="18"/>
        <v>0</v>
      </c>
      <c r="M267" s="289" t="e">
        <f t="shared" si="19"/>
        <v>#DIV/0!</v>
      </c>
    </row>
    <row r="268" spans="1:16" ht="18.75" customHeight="1">
      <c r="A268" s="289" t="str">
        <f t="shared" ref="A268:A331" si="20">IF(B268&lt;&gt;"","NL","")</f>
        <v>NL</v>
      </c>
      <c r="B268" s="753">
        <f t="shared" ref="B268:B331" si="21">IF(C268&lt;&gt;"",ROW()-11,"")</f>
        <v>257</v>
      </c>
      <c r="C268" s="191" t="s">
        <v>1232</v>
      </c>
      <c r="D268" s="291" t="s">
        <v>339</v>
      </c>
      <c r="E268" s="25">
        <v>33</v>
      </c>
      <c r="F268" s="25">
        <v>516962</v>
      </c>
      <c r="G268" s="25">
        <f t="array" ref="G268">SUM(IF("156"&amp;C268=KHN&amp;MH,SL))</f>
        <v>0</v>
      </c>
      <c r="H268" s="25">
        <f t="array" ref="H268">SUM(IF("156"&amp;C268=KHN&amp;MH,TH))</f>
        <v>0</v>
      </c>
      <c r="I268" s="25">
        <f t="array" ref="I268">SUM(IF("156"&amp;C268=KHC&amp;MH,SL))</f>
        <v>33</v>
      </c>
      <c r="J268" s="25">
        <f t="array" ref="J268">SUM(IF("156"&amp;C268=KHC&amp;MH,TH))</f>
        <v>516962</v>
      </c>
      <c r="K268" s="25">
        <f t="shared" ref="K268:K331" si="22">E268+G268-I268</f>
        <v>0</v>
      </c>
      <c r="L268" s="25">
        <f t="shared" ref="L268:L331" si="23">F268+H268-J268</f>
        <v>0</v>
      </c>
      <c r="M268" s="289" t="e">
        <f t="shared" ref="M268:M331" si="24">L268/K268</f>
        <v>#DIV/0!</v>
      </c>
    </row>
    <row r="269" spans="1:16" ht="18.75" customHeight="1">
      <c r="A269" s="289" t="str">
        <f t="shared" si="20"/>
        <v>NL</v>
      </c>
      <c r="B269" s="753">
        <f t="shared" si="21"/>
        <v>258</v>
      </c>
      <c r="C269" s="191" t="s">
        <v>1231</v>
      </c>
      <c r="D269" s="291" t="s">
        <v>339</v>
      </c>
      <c r="E269" s="25">
        <v>24</v>
      </c>
      <c r="F269" s="25">
        <v>409032</v>
      </c>
      <c r="G269" s="25">
        <f t="array" ref="G269">SUM(IF("156"&amp;C269=KHN&amp;MH,SL))</f>
        <v>0</v>
      </c>
      <c r="H269" s="25">
        <f t="array" ref="H269">SUM(IF("156"&amp;C269=KHN&amp;MH,TH))</f>
        <v>0</v>
      </c>
      <c r="I269" s="25">
        <f t="array" ref="I269">SUM(IF("156"&amp;C269=KHC&amp;MH,SL))</f>
        <v>24</v>
      </c>
      <c r="J269" s="25">
        <f t="array" ref="J269">SUM(IF("156"&amp;C269=KHC&amp;MH,TH))</f>
        <v>409032</v>
      </c>
      <c r="K269" s="25">
        <f t="shared" si="22"/>
        <v>0</v>
      </c>
      <c r="L269" s="25">
        <f t="shared" si="23"/>
        <v>0</v>
      </c>
      <c r="M269" s="289" t="e">
        <f t="shared" si="24"/>
        <v>#DIV/0!</v>
      </c>
    </row>
    <row r="270" spans="1:16" ht="18.75" customHeight="1">
      <c r="A270" s="289" t="str">
        <f t="shared" si="20"/>
        <v>NL</v>
      </c>
      <c r="B270" s="753">
        <f t="shared" si="21"/>
        <v>259</v>
      </c>
      <c r="C270" s="191" t="s">
        <v>1230</v>
      </c>
      <c r="D270" s="291" t="s">
        <v>339</v>
      </c>
      <c r="E270" s="25">
        <v>7</v>
      </c>
      <c r="F270" s="25">
        <v>119910</v>
      </c>
      <c r="G270" s="25">
        <f t="array" ref="G270">SUM(IF("156"&amp;C270=KHN&amp;MH,SL))</f>
        <v>0</v>
      </c>
      <c r="H270" s="25">
        <f t="array" ref="H270">SUM(IF("156"&amp;C270=KHN&amp;MH,TH))</f>
        <v>0</v>
      </c>
      <c r="I270" s="25">
        <f t="array" ref="I270">SUM(IF("156"&amp;C270=KHC&amp;MH,SL))</f>
        <v>7</v>
      </c>
      <c r="J270" s="25">
        <f t="array" ref="J270">SUM(IF("156"&amp;C270=KHC&amp;MH,TH))</f>
        <v>119910</v>
      </c>
      <c r="K270" s="25">
        <f t="shared" si="22"/>
        <v>0</v>
      </c>
      <c r="L270" s="25">
        <f t="shared" si="23"/>
        <v>0</v>
      </c>
      <c r="M270" s="289" t="e">
        <f t="shared" si="24"/>
        <v>#DIV/0!</v>
      </c>
    </row>
    <row r="271" spans="1:16" ht="18.75" customHeight="1">
      <c r="A271" s="289" t="str">
        <f t="shared" si="20"/>
        <v>NL</v>
      </c>
      <c r="B271" s="753">
        <f t="shared" si="21"/>
        <v>260</v>
      </c>
      <c r="C271" s="188" t="s">
        <v>1229</v>
      </c>
      <c r="D271" s="291" t="s">
        <v>339</v>
      </c>
      <c r="E271" s="25">
        <v>2</v>
      </c>
      <c r="F271" s="25">
        <v>32946</v>
      </c>
      <c r="G271" s="25">
        <f t="array" ref="G271">SUM(IF("156"&amp;C271=KHN&amp;MH,SL))</f>
        <v>0</v>
      </c>
      <c r="H271" s="25">
        <f t="array" ref="H271">SUM(IF("156"&amp;C271=KHN&amp;MH,TH))</f>
        <v>0</v>
      </c>
      <c r="I271" s="25">
        <f t="array" ref="I271">SUM(IF("156"&amp;C271=KHC&amp;MH,SL))</f>
        <v>2</v>
      </c>
      <c r="J271" s="25">
        <f t="array" ref="J271">SUM(IF("156"&amp;C271=KHC&amp;MH,TH))</f>
        <v>32946</v>
      </c>
      <c r="K271" s="25">
        <f t="shared" si="22"/>
        <v>0</v>
      </c>
      <c r="L271" s="25">
        <f t="shared" si="23"/>
        <v>0</v>
      </c>
      <c r="M271" s="289" t="e">
        <f t="shared" si="24"/>
        <v>#DIV/0!</v>
      </c>
    </row>
    <row r="272" spans="1:16" ht="18.75" customHeight="1">
      <c r="A272" s="289" t="str">
        <f t="shared" si="20"/>
        <v>NL</v>
      </c>
      <c r="B272" s="753">
        <f t="shared" si="21"/>
        <v>261</v>
      </c>
      <c r="C272" s="191" t="s">
        <v>1228</v>
      </c>
      <c r="D272" s="291" t="s">
        <v>339</v>
      </c>
      <c r="E272" s="25">
        <v>17</v>
      </c>
      <c r="F272" s="25">
        <v>310539</v>
      </c>
      <c r="G272" s="25">
        <f t="array" ref="G272">SUM(IF("156"&amp;C272=KHN&amp;MH,SL))</f>
        <v>0</v>
      </c>
      <c r="H272" s="25">
        <f t="array" ref="H272">SUM(IF("156"&amp;C272=KHN&amp;MH,TH))</f>
        <v>0</v>
      </c>
      <c r="I272" s="25">
        <f t="array" ref="I272">SUM(IF("156"&amp;C272=KHC&amp;MH,SL))</f>
        <v>17</v>
      </c>
      <c r="J272" s="25">
        <f t="array" ref="J272">SUM(IF("156"&amp;C272=KHC&amp;MH,TH))</f>
        <v>310539</v>
      </c>
      <c r="K272" s="25">
        <f t="shared" si="22"/>
        <v>0</v>
      </c>
      <c r="L272" s="25">
        <f t="shared" si="23"/>
        <v>0</v>
      </c>
      <c r="M272" s="289" t="e">
        <f t="shared" si="24"/>
        <v>#DIV/0!</v>
      </c>
    </row>
    <row r="273" spans="1:16" ht="18.75" customHeight="1">
      <c r="A273" s="289" t="str">
        <f t="shared" si="20"/>
        <v>NL</v>
      </c>
      <c r="B273" s="753">
        <f t="shared" si="21"/>
        <v>262</v>
      </c>
      <c r="C273" s="191" t="s">
        <v>1227</v>
      </c>
      <c r="D273" s="291" t="s">
        <v>339</v>
      </c>
      <c r="E273" s="25">
        <v>19</v>
      </c>
      <c r="F273" s="25">
        <v>348726</v>
      </c>
      <c r="G273" s="25">
        <f t="array" ref="G273">SUM(IF("156"&amp;C273=KHN&amp;MH,SL))</f>
        <v>0</v>
      </c>
      <c r="H273" s="25">
        <f t="array" ref="H273">SUM(IF("156"&amp;C273=KHN&amp;MH,TH))</f>
        <v>0</v>
      </c>
      <c r="I273" s="25">
        <f t="array" ref="I273">SUM(IF("156"&amp;C273=KHC&amp;MH,SL))</f>
        <v>19</v>
      </c>
      <c r="J273" s="25">
        <f t="array" ref="J273">SUM(IF("156"&amp;C273=KHC&amp;MH,TH))</f>
        <v>348726</v>
      </c>
      <c r="K273" s="25">
        <f t="shared" si="22"/>
        <v>0</v>
      </c>
      <c r="L273" s="25">
        <f t="shared" si="23"/>
        <v>0</v>
      </c>
      <c r="M273" s="289" t="e">
        <f t="shared" si="24"/>
        <v>#DIV/0!</v>
      </c>
    </row>
    <row r="274" spans="1:16" ht="18.75" customHeight="1">
      <c r="A274" s="289" t="str">
        <f t="shared" si="20"/>
        <v>NL</v>
      </c>
      <c r="B274" s="753">
        <f t="shared" si="21"/>
        <v>263</v>
      </c>
      <c r="C274" s="191" t="s">
        <v>1226</v>
      </c>
      <c r="D274" s="291" t="s">
        <v>339</v>
      </c>
      <c r="E274" s="25">
        <v>12</v>
      </c>
      <c r="F274" s="25">
        <v>241224</v>
      </c>
      <c r="G274" s="25">
        <f t="array" ref="G274">SUM(IF("156"&amp;C274=KHN&amp;MH,SL))</f>
        <v>0</v>
      </c>
      <c r="H274" s="25">
        <f t="array" ref="H274">SUM(IF("156"&amp;C274=KHN&amp;MH,TH))</f>
        <v>0</v>
      </c>
      <c r="I274" s="25">
        <f t="array" ref="I274">SUM(IF("156"&amp;C274=KHC&amp;MH,SL))</f>
        <v>12</v>
      </c>
      <c r="J274" s="25">
        <f t="array" ref="J274">SUM(IF("156"&amp;C274=KHC&amp;MH,TH))</f>
        <v>241224</v>
      </c>
      <c r="K274" s="25">
        <f t="shared" si="22"/>
        <v>0</v>
      </c>
      <c r="L274" s="25">
        <f t="shared" si="23"/>
        <v>0</v>
      </c>
      <c r="M274" s="289" t="e">
        <f t="shared" si="24"/>
        <v>#DIV/0!</v>
      </c>
    </row>
    <row r="275" spans="1:16" ht="18.75" customHeight="1">
      <c r="A275" s="289" t="str">
        <f t="shared" si="20"/>
        <v>NL</v>
      </c>
      <c r="B275" s="753">
        <f t="shared" si="21"/>
        <v>264</v>
      </c>
      <c r="C275" s="292" t="s">
        <v>1538</v>
      </c>
      <c r="D275" s="291" t="s">
        <v>339</v>
      </c>
      <c r="E275" s="25"/>
      <c r="F275" s="25"/>
      <c r="G275" s="25">
        <f t="array" ref="G275">SUM(IF("156"&amp;C275=KHN&amp;MH,SL))</f>
        <v>26</v>
      </c>
      <c r="H275" s="25">
        <f t="array" ref="H275">SUM(IF("156"&amp;C275=KHN&amp;MH,TH))</f>
        <v>208000</v>
      </c>
      <c r="I275" s="25">
        <f t="array" ref="I275">SUM(IF("156"&amp;C275=KHC&amp;MH,SL))</f>
        <v>26</v>
      </c>
      <c r="J275" s="25">
        <f t="array" ref="J275">SUM(IF("156"&amp;C275=KHC&amp;MH,TH))</f>
        <v>208000</v>
      </c>
      <c r="K275" s="25">
        <f t="shared" si="22"/>
        <v>0</v>
      </c>
      <c r="L275" s="25">
        <f t="shared" si="23"/>
        <v>0</v>
      </c>
      <c r="M275" s="289" t="e">
        <f t="shared" si="24"/>
        <v>#DIV/0!</v>
      </c>
      <c r="O275" s="927"/>
      <c r="P275" s="927"/>
    </row>
    <row r="276" spans="1:16" ht="18.75" customHeight="1">
      <c r="A276" s="289" t="str">
        <f t="shared" si="20"/>
        <v>NL</v>
      </c>
      <c r="B276" s="753">
        <f t="shared" si="21"/>
        <v>265</v>
      </c>
      <c r="C276" s="191" t="s">
        <v>967</v>
      </c>
      <c r="D276" s="291" t="s">
        <v>339</v>
      </c>
      <c r="E276" s="25"/>
      <c r="F276" s="25"/>
      <c r="G276" s="25">
        <f t="array" ref="G276">SUM(IF("156"&amp;C276=KHN&amp;MH,SL))</f>
        <v>640</v>
      </c>
      <c r="H276" s="25">
        <f t="array" ref="H276">SUM(IF("156"&amp;C276=KHN&amp;MH,TH))</f>
        <v>5776640</v>
      </c>
      <c r="I276" s="25">
        <f t="array" ref="I276">SUM(IF("156"&amp;C276=KHC&amp;MH,SL))</f>
        <v>640</v>
      </c>
      <c r="J276" s="25">
        <f t="array" ref="J276">SUM(IF("156"&amp;C276=KHC&amp;MH,TH))</f>
        <v>5776640</v>
      </c>
      <c r="K276" s="25">
        <f t="shared" si="22"/>
        <v>0</v>
      </c>
      <c r="L276" s="25">
        <f t="shared" si="23"/>
        <v>0</v>
      </c>
      <c r="M276" s="289" t="e">
        <f t="shared" si="24"/>
        <v>#DIV/0!</v>
      </c>
    </row>
    <row r="277" spans="1:16" ht="18.75" customHeight="1">
      <c r="A277" s="289" t="str">
        <f t="shared" si="20"/>
        <v>NL</v>
      </c>
      <c r="B277" s="753">
        <f t="shared" si="21"/>
        <v>266</v>
      </c>
      <c r="C277" s="191" t="s">
        <v>968</v>
      </c>
      <c r="D277" s="291" t="s">
        <v>339</v>
      </c>
      <c r="E277" s="25"/>
      <c r="F277" s="25"/>
      <c r="G277" s="25">
        <f t="array" ref="G277">SUM(IF("156"&amp;C277=KHN&amp;MH,SL))</f>
        <v>300</v>
      </c>
      <c r="H277" s="25">
        <f t="array" ref="H277">SUM(IF("156"&amp;C277=KHN&amp;MH,TH))</f>
        <v>2909700</v>
      </c>
      <c r="I277" s="25">
        <f t="array" ref="I277">SUM(IF("156"&amp;C277=KHC&amp;MH,SL))</f>
        <v>300</v>
      </c>
      <c r="J277" s="25">
        <f t="array" ref="J277">SUM(IF("156"&amp;C277=KHC&amp;MH,TH))</f>
        <v>2909700</v>
      </c>
      <c r="K277" s="25">
        <f t="shared" si="22"/>
        <v>0</v>
      </c>
      <c r="L277" s="25">
        <f t="shared" si="23"/>
        <v>0</v>
      </c>
      <c r="M277" s="289" t="e">
        <f t="shared" si="24"/>
        <v>#DIV/0!</v>
      </c>
    </row>
    <row r="278" spans="1:16" ht="18.75" customHeight="1">
      <c r="A278" s="289" t="str">
        <f t="shared" si="20"/>
        <v>NL</v>
      </c>
      <c r="B278" s="753">
        <f t="shared" si="21"/>
        <v>267</v>
      </c>
      <c r="C278" s="188" t="s">
        <v>429</v>
      </c>
      <c r="D278" s="291" t="s">
        <v>339</v>
      </c>
      <c r="E278" s="25"/>
      <c r="F278" s="25"/>
      <c r="G278" s="25">
        <f t="array" ref="G278">SUM(IF("156"&amp;C278=KHN&amp;MH,SL))</f>
        <v>500</v>
      </c>
      <c r="H278" s="25">
        <f t="array" ref="H278">SUM(IF("156"&amp;C278=KHN&amp;MH,TH))</f>
        <v>6653000</v>
      </c>
      <c r="I278" s="25">
        <f t="array" ref="I278">SUM(IF("156"&amp;C278=KHC&amp;MH,SL))</f>
        <v>500</v>
      </c>
      <c r="J278" s="25">
        <f t="array" ref="J278">SUM(IF("156"&amp;C278=KHC&amp;MH,TH))</f>
        <v>6653000</v>
      </c>
      <c r="K278" s="25">
        <f t="shared" si="22"/>
        <v>0</v>
      </c>
      <c r="L278" s="25">
        <f t="shared" si="23"/>
        <v>0</v>
      </c>
      <c r="M278" s="289" t="e">
        <f t="shared" si="24"/>
        <v>#DIV/0!</v>
      </c>
    </row>
    <row r="279" spans="1:16" ht="18.75" customHeight="1">
      <c r="A279" s="289" t="str">
        <f t="shared" si="20"/>
        <v>NL</v>
      </c>
      <c r="B279" s="753">
        <f t="shared" si="21"/>
        <v>268</v>
      </c>
      <c r="C279" s="292" t="s">
        <v>1519</v>
      </c>
      <c r="D279" s="291" t="s">
        <v>339</v>
      </c>
      <c r="E279" s="25"/>
      <c r="F279" s="25"/>
      <c r="G279" s="25">
        <f t="array" ref="G279">SUM(IF("156"&amp;C279=KHN&amp;MH,SL))</f>
        <v>3500</v>
      </c>
      <c r="H279" s="25">
        <f t="array" ref="H279">SUM(IF("156"&amp;C279=KHN&amp;MH,TH))</f>
        <v>1050000</v>
      </c>
      <c r="I279" s="25">
        <f t="array" ref="I279">SUM(IF("156"&amp;C279=KHC&amp;MH,SL))</f>
        <v>3500</v>
      </c>
      <c r="J279" s="25">
        <f t="array" ref="J279">SUM(IF("156"&amp;C279=KHC&amp;MH,TH))</f>
        <v>1050000</v>
      </c>
      <c r="K279" s="25">
        <f t="shared" si="22"/>
        <v>0</v>
      </c>
      <c r="L279" s="25">
        <f t="shared" si="23"/>
        <v>0</v>
      </c>
      <c r="M279" s="289" t="e">
        <f t="shared" si="24"/>
        <v>#DIV/0!</v>
      </c>
      <c r="O279" s="927"/>
      <c r="P279" s="927"/>
    </row>
    <row r="280" spans="1:16" ht="18.75" customHeight="1">
      <c r="A280" s="289" t="str">
        <f t="shared" si="20"/>
        <v>NL</v>
      </c>
      <c r="B280" s="753">
        <f t="shared" si="21"/>
        <v>269</v>
      </c>
      <c r="C280" s="191" t="s">
        <v>1301</v>
      </c>
      <c r="D280" s="291" t="s">
        <v>339</v>
      </c>
      <c r="E280" s="25"/>
      <c r="F280" s="25"/>
      <c r="G280" s="25">
        <f t="array" ref="G280">SUM(IF("156"&amp;C280=KHN&amp;MH,SL))</f>
        <v>2100</v>
      </c>
      <c r="H280" s="25">
        <f t="array" ref="H280">SUM(IF("156"&amp;C280=KHN&amp;MH,TH))</f>
        <v>1079300</v>
      </c>
      <c r="I280" s="25">
        <f t="array" ref="I280">SUM(IF("156"&amp;C280=KHC&amp;MH,SL))</f>
        <v>2100</v>
      </c>
      <c r="J280" s="25">
        <f t="array" ref="J280">SUM(IF("156"&amp;C280=KHC&amp;MH,TH))</f>
        <v>1079300</v>
      </c>
      <c r="K280" s="25">
        <f t="shared" si="22"/>
        <v>0</v>
      </c>
      <c r="L280" s="25">
        <f t="shared" si="23"/>
        <v>0</v>
      </c>
      <c r="M280" s="289" t="e">
        <f t="shared" si="24"/>
        <v>#DIV/0!</v>
      </c>
      <c r="O280" s="927"/>
      <c r="P280" s="927"/>
    </row>
    <row r="281" spans="1:16" ht="18.75" customHeight="1">
      <c r="A281" s="289" t="str">
        <f t="shared" si="20"/>
        <v>NL</v>
      </c>
      <c r="B281" s="753">
        <f t="shared" si="21"/>
        <v>270</v>
      </c>
      <c r="C281" s="292" t="s">
        <v>1518</v>
      </c>
      <c r="D281" s="291" t="s">
        <v>339</v>
      </c>
      <c r="E281" s="25"/>
      <c r="F281" s="25"/>
      <c r="G281" s="25">
        <f t="array" ref="G281">SUM(IF("156"&amp;C281=KHN&amp;MH,SL))</f>
        <v>700</v>
      </c>
      <c r="H281" s="25">
        <f t="array" ref="H281">SUM(IF("156"&amp;C281=KHN&amp;MH,TH))</f>
        <v>252000</v>
      </c>
      <c r="I281" s="25">
        <f t="array" ref="I281">SUM(IF("156"&amp;C281=KHC&amp;MH,SL))</f>
        <v>700</v>
      </c>
      <c r="J281" s="25">
        <f t="array" ref="J281">SUM(IF("156"&amp;C281=KHC&amp;MH,TH))</f>
        <v>252000</v>
      </c>
      <c r="K281" s="25">
        <f t="shared" si="22"/>
        <v>0</v>
      </c>
      <c r="L281" s="25">
        <f t="shared" si="23"/>
        <v>0</v>
      </c>
      <c r="M281" s="289" t="e">
        <f t="shared" si="24"/>
        <v>#DIV/0!</v>
      </c>
      <c r="O281" s="927"/>
      <c r="P281" s="927"/>
    </row>
    <row r="282" spans="1:16" ht="18.75" customHeight="1">
      <c r="A282" s="289" t="str">
        <f t="shared" si="20"/>
        <v>NL</v>
      </c>
      <c r="B282" s="753">
        <f t="shared" si="21"/>
        <v>271</v>
      </c>
      <c r="C282" s="188" t="s">
        <v>945</v>
      </c>
      <c r="D282" s="291" t="s">
        <v>339</v>
      </c>
      <c r="E282" s="25"/>
      <c r="F282" s="25"/>
      <c r="G282" s="25">
        <f t="array" ref="G282">SUM(IF("156"&amp;C282=KHN&amp;MH,SL))</f>
        <v>500</v>
      </c>
      <c r="H282" s="25">
        <f t="array" ref="H282">SUM(IF("156"&amp;C282=KHN&amp;MH,TH))</f>
        <v>6170500</v>
      </c>
      <c r="I282" s="25">
        <f t="array" ref="I282">SUM(IF("156"&amp;C282=KHC&amp;MH,SL))</f>
        <v>500</v>
      </c>
      <c r="J282" s="25">
        <f t="array" ref="J282">SUM(IF("156"&amp;C282=KHC&amp;MH,TH))</f>
        <v>6170500</v>
      </c>
      <c r="K282" s="25">
        <f t="shared" si="22"/>
        <v>0</v>
      </c>
      <c r="L282" s="25">
        <f t="shared" si="23"/>
        <v>0</v>
      </c>
      <c r="M282" s="289" t="e">
        <f t="shared" si="24"/>
        <v>#DIV/0!</v>
      </c>
    </row>
    <row r="283" spans="1:16" ht="18.75" customHeight="1">
      <c r="A283" s="289" t="str">
        <f t="shared" si="20"/>
        <v>NL</v>
      </c>
      <c r="B283" s="753">
        <f t="shared" si="21"/>
        <v>272</v>
      </c>
      <c r="C283" s="40" t="s">
        <v>749</v>
      </c>
      <c r="D283" s="291" t="s">
        <v>339</v>
      </c>
      <c r="E283" s="25"/>
      <c r="F283" s="25"/>
      <c r="G283" s="25">
        <f t="array" ref="G283">SUM(IF("156"&amp;C283=KHN&amp;MH,SL))</f>
        <v>12</v>
      </c>
      <c r="H283" s="25">
        <f t="array" ref="H283">SUM(IF("156"&amp;C283=KHN&amp;MH,TH))</f>
        <v>37860</v>
      </c>
      <c r="I283" s="25">
        <f t="array" ref="I283">SUM(IF("156"&amp;C283=KHC&amp;MH,SL))</f>
        <v>12</v>
      </c>
      <c r="J283" s="25">
        <f t="array" ref="J283">SUM(IF("156"&amp;C283=KHC&amp;MH,TH))</f>
        <v>37860</v>
      </c>
      <c r="K283" s="25">
        <f t="shared" si="22"/>
        <v>0</v>
      </c>
      <c r="L283" s="25">
        <f t="shared" si="23"/>
        <v>0</v>
      </c>
      <c r="M283" s="289" t="e">
        <f t="shared" si="24"/>
        <v>#DIV/0!</v>
      </c>
    </row>
    <row r="284" spans="1:16" ht="18.75" customHeight="1">
      <c r="A284" s="289" t="str">
        <f t="shared" si="20"/>
        <v>NL</v>
      </c>
      <c r="B284" s="753">
        <f t="shared" si="21"/>
        <v>273</v>
      </c>
      <c r="C284" s="40" t="s">
        <v>750</v>
      </c>
      <c r="D284" s="291" t="s">
        <v>339</v>
      </c>
      <c r="E284" s="25"/>
      <c r="F284" s="25"/>
      <c r="G284" s="25">
        <f t="array" ref="G284">SUM(IF("156"&amp;C284=KHN&amp;MH,SL))</f>
        <v>86</v>
      </c>
      <c r="H284" s="25">
        <f t="array" ref="H284">SUM(IF("156"&amp;C284=KHN&amp;MH,TH))</f>
        <v>354664</v>
      </c>
      <c r="I284" s="25">
        <f t="array" ref="I284">SUM(IF("156"&amp;C284=KHC&amp;MH,SL))</f>
        <v>86</v>
      </c>
      <c r="J284" s="25">
        <f t="array" ref="J284">SUM(IF("156"&amp;C284=KHC&amp;MH,TH))</f>
        <v>354664</v>
      </c>
      <c r="K284" s="25">
        <f t="shared" si="22"/>
        <v>0</v>
      </c>
      <c r="L284" s="25">
        <f t="shared" si="23"/>
        <v>0</v>
      </c>
      <c r="M284" s="289" t="e">
        <f t="shared" si="24"/>
        <v>#DIV/0!</v>
      </c>
    </row>
    <row r="285" spans="1:16" ht="18.75" customHeight="1">
      <c r="A285" s="289" t="str">
        <f t="shared" si="20"/>
        <v>NL</v>
      </c>
      <c r="B285" s="753">
        <f t="shared" si="21"/>
        <v>274</v>
      </c>
      <c r="C285" s="292" t="s">
        <v>1441</v>
      </c>
      <c r="D285" s="291" t="s">
        <v>339</v>
      </c>
      <c r="E285" s="25"/>
      <c r="F285" s="25"/>
      <c r="G285" s="25">
        <f t="array" ref="G285">SUM(IF("156"&amp;C285=KHN&amp;MH,SL))</f>
        <v>81</v>
      </c>
      <c r="H285" s="25">
        <f t="array" ref="H285">SUM(IF("156"&amp;C285=KHN&amp;MH,TH))</f>
        <v>635931</v>
      </c>
      <c r="I285" s="25">
        <f t="array" ref="I285">SUM(IF("156"&amp;C285=KHC&amp;MH,SL))</f>
        <v>81</v>
      </c>
      <c r="J285" s="25">
        <f t="array" ref="J285">SUM(IF("156"&amp;C285=KHC&amp;MH,TH))</f>
        <v>635931</v>
      </c>
      <c r="K285" s="25">
        <f t="shared" si="22"/>
        <v>0</v>
      </c>
      <c r="L285" s="25">
        <f t="shared" si="23"/>
        <v>0</v>
      </c>
      <c r="M285" s="289" t="e">
        <f t="shared" si="24"/>
        <v>#DIV/0!</v>
      </c>
    </row>
    <row r="286" spans="1:16" ht="18.75" customHeight="1">
      <c r="A286" s="289" t="str">
        <f t="shared" si="20"/>
        <v>NL</v>
      </c>
      <c r="B286" s="753">
        <f t="shared" si="21"/>
        <v>275</v>
      </c>
      <c r="C286" s="292" t="s">
        <v>1756</v>
      </c>
      <c r="D286" s="291"/>
      <c r="E286" s="25"/>
      <c r="F286" s="25"/>
      <c r="G286" s="25">
        <f t="array" ref="G286">SUM(IF("156"&amp;C286=KHN&amp;MH,SL))</f>
        <v>16</v>
      </c>
      <c r="H286" s="25">
        <f t="array" ref="H286">SUM(IF("156"&amp;C286=KHN&amp;MH,TH))</f>
        <v>832000</v>
      </c>
      <c r="I286" s="25">
        <f t="array" ref="I286">SUM(IF("156"&amp;C286=KHC&amp;MH,SL))</f>
        <v>16</v>
      </c>
      <c r="J286" s="25">
        <f t="array" ref="J286">SUM(IF("156"&amp;C286=KHC&amp;MH,TH))</f>
        <v>832000</v>
      </c>
      <c r="K286" s="25">
        <f t="shared" si="22"/>
        <v>0</v>
      </c>
      <c r="L286" s="25">
        <f t="shared" si="23"/>
        <v>0</v>
      </c>
      <c r="M286" s="289" t="e">
        <f t="shared" si="24"/>
        <v>#DIV/0!</v>
      </c>
    </row>
    <row r="287" spans="1:16" ht="18.75" customHeight="1">
      <c r="A287" s="289" t="str">
        <f t="shared" si="20"/>
        <v>NL</v>
      </c>
      <c r="B287" s="753">
        <f t="shared" si="21"/>
        <v>276</v>
      </c>
      <c r="C287" s="292" t="s">
        <v>1434</v>
      </c>
      <c r="D287" s="291" t="s">
        <v>393</v>
      </c>
      <c r="E287" s="25"/>
      <c r="F287" s="25"/>
      <c r="G287" s="25">
        <f t="array" ref="G287">SUM(IF("156"&amp;C287=KHN&amp;MH,SL))</f>
        <v>80</v>
      </c>
      <c r="H287" s="25">
        <f t="array" ref="H287">SUM(IF("156"&amp;C287=KHN&amp;MH,TH))</f>
        <v>2605280</v>
      </c>
      <c r="I287" s="25">
        <f t="array" ref="I287">SUM(IF("156"&amp;C287=KHC&amp;MH,SL))</f>
        <v>80</v>
      </c>
      <c r="J287" s="25">
        <f t="array" ref="J287">SUM(IF("156"&amp;C287=KHC&amp;MH,TH))</f>
        <v>2605280</v>
      </c>
      <c r="K287" s="25">
        <f t="shared" si="22"/>
        <v>0</v>
      </c>
      <c r="L287" s="25">
        <f t="shared" si="23"/>
        <v>0</v>
      </c>
      <c r="M287" s="289" t="e">
        <f t="shared" si="24"/>
        <v>#DIV/0!</v>
      </c>
    </row>
    <row r="288" spans="1:16" ht="18.75" customHeight="1">
      <c r="A288" s="289" t="str">
        <f t="shared" si="20"/>
        <v>NL</v>
      </c>
      <c r="B288" s="753">
        <f t="shared" si="21"/>
        <v>277</v>
      </c>
      <c r="C288" s="40" t="s">
        <v>859</v>
      </c>
      <c r="D288" s="291" t="s">
        <v>393</v>
      </c>
      <c r="E288" s="25"/>
      <c r="F288" s="25"/>
      <c r="G288" s="25">
        <f t="array" ref="G288">SUM(IF("156"&amp;C288=KHN&amp;MH,SL))</f>
        <v>104</v>
      </c>
      <c r="H288" s="25">
        <f t="array" ref="H288">SUM(IF("156"&amp;C288=KHN&amp;MH,TH))</f>
        <v>3422536</v>
      </c>
      <c r="I288" s="25">
        <f t="array" ref="I288">SUM(IF("156"&amp;C288=KHC&amp;MH,SL))</f>
        <v>104</v>
      </c>
      <c r="J288" s="25">
        <f t="array" ref="J288">SUM(IF("156"&amp;C288=KHC&amp;MH,TH))</f>
        <v>3422536</v>
      </c>
      <c r="K288" s="25">
        <f t="shared" si="22"/>
        <v>0</v>
      </c>
      <c r="L288" s="25">
        <f t="shared" si="23"/>
        <v>0</v>
      </c>
      <c r="M288" s="289" t="e">
        <f t="shared" si="24"/>
        <v>#DIV/0!</v>
      </c>
    </row>
    <row r="289" spans="1:16" ht="18.75" customHeight="1">
      <c r="A289" s="289" t="str">
        <f t="shared" si="20"/>
        <v>NL</v>
      </c>
      <c r="B289" s="753">
        <f t="shared" si="21"/>
        <v>278</v>
      </c>
      <c r="C289" s="40" t="s">
        <v>834</v>
      </c>
      <c r="D289" s="291" t="s">
        <v>393</v>
      </c>
      <c r="E289" s="25"/>
      <c r="F289" s="25"/>
      <c r="G289" s="25">
        <f t="array" ref="G289">SUM(IF("156"&amp;C289=KHN&amp;MH,SL))</f>
        <v>15</v>
      </c>
      <c r="H289" s="25">
        <f t="array" ref="H289">SUM(IF("156"&amp;C289=KHN&amp;MH,TH))</f>
        <v>1367460</v>
      </c>
      <c r="I289" s="25">
        <f t="array" ref="I289">SUM(IF("156"&amp;C289=KHC&amp;MH,SL))</f>
        <v>15</v>
      </c>
      <c r="J289" s="25">
        <f t="array" ref="J289">SUM(IF("156"&amp;C289=KHC&amp;MH,TH))</f>
        <v>1367460</v>
      </c>
      <c r="K289" s="25">
        <f t="shared" si="22"/>
        <v>0</v>
      </c>
      <c r="L289" s="25">
        <f t="shared" si="23"/>
        <v>0</v>
      </c>
      <c r="M289" s="289" t="e">
        <f t="shared" si="24"/>
        <v>#DIV/0!</v>
      </c>
    </row>
    <row r="290" spans="1:16" ht="18.75" customHeight="1">
      <c r="A290" s="289" t="str">
        <f t="shared" si="20"/>
        <v>NL</v>
      </c>
      <c r="B290" s="753">
        <f t="shared" si="21"/>
        <v>279</v>
      </c>
      <c r="C290" s="191" t="s">
        <v>507</v>
      </c>
      <c r="D290" s="291" t="s">
        <v>393</v>
      </c>
      <c r="E290" s="25"/>
      <c r="F290" s="25"/>
      <c r="G290" s="25">
        <f t="array" ref="G290">SUM(IF("156"&amp;C290=KHN&amp;MH,SL))</f>
        <v>8</v>
      </c>
      <c r="H290" s="25">
        <f t="array" ref="H290">SUM(IF("156"&amp;C290=KHN&amp;MH,TH))</f>
        <v>719416</v>
      </c>
      <c r="I290" s="25">
        <f t="array" ref="I290">SUM(IF("156"&amp;C290=KHC&amp;MH,SL))</f>
        <v>8</v>
      </c>
      <c r="J290" s="25">
        <f t="array" ref="J290">SUM(IF("156"&amp;C290=KHC&amp;MH,TH))</f>
        <v>719416</v>
      </c>
      <c r="K290" s="25">
        <f t="shared" si="22"/>
        <v>0</v>
      </c>
      <c r="L290" s="25">
        <f t="shared" si="23"/>
        <v>0</v>
      </c>
      <c r="M290" s="289" t="e">
        <f t="shared" si="24"/>
        <v>#DIV/0!</v>
      </c>
    </row>
    <row r="291" spans="1:16" ht="18.75" customHeight="1">
      <c r="A291" s="289" t="str">
        <f t="shared" si="20"/>
        <v>NL</v>
      </c>
      <c r="B291" s="753">
        <f t="shared" si="21"/>
        <v>280</v>
      </c>
      <c r="C291" s="188" t="s">
        <v>879</v>
      </c>
      <c r="D291" s="291" t="s">
        <v>393</v>
      </c>
      <c r="E291" s="25"/>
      <c r="F291" s="25"/>
      <c r="G291" s="25">
        <f t="array" ref="G291">SUM(IF("156"&amp;C291=KHN&amp;MH,SL))</f>
        <v>5</v>
      </c>
      <c r="H291" s="25">
        <f t="array" ref="H291">SUM(IF("156"&amp;C291=KHN&amp;MH,TH))</f>
        <v>467965</v>
      </c>
      <c r="I291" s="25">
        <f t="array" ref="I291">SUM(IF("156"&amp;C291=KHC&amp;MH,SL))</f>
        <v>5</v>
      </c>
      <c r="J291" s="25">
        <f t="array" ref="J291">SUM(IF("156"&amp;C291=KHC&amp;MH,TH))</f>
        <v>467965</v>
      </c>
      <c r="K291" s="25">
        <f t="shared" si="22"/>
        <v>0</v>
      </c>
      <c r="L291" s="25">
        <f t="shared" si="23"/>
        <v>0</v>
      </c>
      <c r="M291" s="289" t="e">
        <f t="shared" si="24"/>
        <v>#DIV/0!</v>
      </c>
    </row>
    <row r="292" spans="1:16" ht="18.75" customHeight="1">
      <c r="A292" s="289" t="str">
        <f t="shared" si="20"/>
        <v>NL</v>
      </c>
      <c r="B292" s="753">
        <f t="shared" si="21"/>
        <v>281</v>
      </c>
      <c r="C292" s="292" t="s">
        <v>1464</v>
      </c>
      <c r="D292" s="291" t="s">
        <v>393</v>
      </c>
      <c r="E292" s="25"/>
      <c r="F292" s="25"/>
      <c r="G292" s="25">
        <f t="array" ref="G292">SUM(IF("156"&amp;C292=KHN&amp;MH,SL))</f>
        <v>5</v>
      </c>
      <c r="H292" s="25">
        <f t="array" ref="H292">SUM(IF("156"&amp;C292=KHN&amp;MH,TH))</f>
        <v>515000</v>
      </c>
      <c r="I292" s="25">
        <f t="array" ref="I292">SUM(IF("156"&amp;C292=KHC&amp;MH,SL))</f>
        <v>5</v>
      </c>
      <c r="J292" s="25">
        <f t="array" ref="J292">SUM(IF("156"&amp;C292=KHC&amp;MH,TH))</f>
        <v>515000</v>
      </c>
      <c r="K292" s="25">
        <f t="shared" si="22"/>
        <v>0</v>
      </c>
      <c r="L292" s="25">
        <f t="shared" si="23"/>
        <v>0</v>
      </c>
      <c r="M292" s="289" t="e">
        <f t="shared" si="24"/>
        <v>#DIV/0!</v>
      </c>
      <c r="O292" s="927"/>
      <c r="P292" s="927"/>
    </row>
    <row r="293" spans="1:16" ht="18.75" customHeight="1">
      <c r="A293" s="289" t="str">
        <f t="shared" si="20"/>
        <v>NL</v>
      </c>
      <c r="B293" s="753">
        <f t="shared" si="21"/>
        <v>282</v>
      </c>
      <c r="C293" s="191" t="s">
        <v>539</v>
      </c>
      <c r="D293" s="291" t="s">
        <v>393</v>
      </c>
      <c r="E293" s="25"/>
      <c r="F293" s="25"/>
      <c r="G293" s="25">
        <f t="array" ref="G293">SUM(IF("156"&amp;C293=KHN&amp;MH,SL))</f>
        <v>66</v>
      </c>
      <c r="H293" s="25">
        <f t="array" ref="H293">SUM(IF("156"&amp;C293=KHN&amp;MH,TH))</f>
        <v>8457924</v>
      </c>
      <c r="I293" s="25">
        <f t="array" ref="I293">SUM(IF("156"&amp;C293=KHC&amp;MH,SL))</f>
        <v>66</v>
      </c>
      <c r="J293" s="25">
        <f t="array" ref="J293">SUM(IF("156"&amp;C293=KHC&amp;MH,TH))</f>
        <v>8457924</v>
      </c>
      <c r="K293" s="25">
        <f t="shared" si="22"/>
        <v>0</v>
      </c>
      <c r="L293" s="25">
        <f t="shared" si="23"/>
        <v>0</v>
      </c>
      <c r="M293" s="289" t="e">
        <f t="shared" si="24"/>
        <v>#DIV/0!</v>
      </c>
    </row>
    <row r="294" spans="1:16" ht="18.75" customHeight="1">
      <c r="A294" s="289" t="str">
        <f t="shared" si="20"/>
        <v>NL</v>
      </c>
      <c r="B294" s="753">
        <f t="shared" si="21"/>
        <v>283</v>
      </c>
      <c r="C294" s="191" t="s">
        <v>536</v>
      </c>
      <c r="D294" s="291" t="s">
        <v>393</v>
      </c>
      <c r="E294" s="25"/>
      <c r="F294" s="25"/>
      <c r="G294" s="25">
        <f t="array" ref="G294">SUM(IF("156"&amp;C294=KHN&amp;MH,SL))</f>
        <v>204</v>
      </c>
      <c r="H294" s="25">
        <f t="array" ref="H294">SUM(IF("156"&amp;C294=KHN&amp;MH,TH))</f>
        <v>12008136</v>
      </c>
      <c r="I294" s="25">
        <f t="array" ref="I294">SUM(IF("156"&amp;C294=KHC&amp;MH,SL))</f>
        <v>204</v>
      </c>
      <c r="J294" s="25">
        <f t="array" ref="J294">SUM(IF("156"&amp;C294=KHC&amp;MH,TH))</f>
        <v>12008136</v>
      </c>
      <c r="K294" s="25">
        <f t="shared" si="22"/>
        <v>0</v>
      </c>
      <c r="L294" s="25">
        <f t="shared" si="23"/>
        <v>0</v>
      </c>
      <c r="M294" s="289" t="e">
        <f t="shared" si="24"/>
        <v>#DIV/0!</v>
      </c>
    </row>
    <row r="295" spans="1:16" ht="18.75" customHeight="1">
      <c r="A295" s="289" t="str">
        <f t="shared" si="20"/>
        <v>NL</v>
      </c>
      <c r="B295" s="753">
        <f t="shared" si="21"/>
        <v>284</v>
      </c>
      <c r="C295" s="292" t="s">
        <v>1575</v>
      </c>
      <c r="D295" s="291" t="s">
        <v>393</v>
      </c>
      <c r="E295" s="25"/>
      <c r="F295" s="25"/>
      <c r="G295" s="25">
        <f t="array" ref="G295">SUM(IF("156"&amp;C295=KHN&amp;MH,SL))</f>
        <v>8</v>
      </c>
      <c r="H295" s="25">
        <f t="array" ref="H295">SUM(IF("156"&amp;C295=KHN&amp;MH,TH))</f>
        <v>410400</v>
      </c>
      <c r="I295" s="25">
        <f t="array" ref="I295">SUM(IF("156"&amp;C295=KHC&amp;MH,SL))</f>
        <v>8</v>
      </c>
      <c r="J295" s="25">
        <f t="array" ref="J295">SUM(IF("156"&amp;C295=KHC&amp;MH,TH))</f>
        <v>410400</v>
      </c>
      <c r="K295" s="25">
        <f t="shared" si="22"/>
        <v>0</v>
      </c>
      <c r="L295" s="25">
        <f t="shared" si="23"/>
        <v>0</v>
      </c>
      <c r="M295" s="289" t="e">
        <f t="shared" si="24"/>
        <v>#DIV/0!</v>
      </c>
      <c r="O295" s="927"/>
      <c r="P295" s="927"/>
    </row>
    <row r="296" spans="1:16" ht="18.75" customHeight="1">
      <c r="A296" s="289" t="str">
        <f t="shared" si="20"/>
        <v>NL</v>
      </c>
      <c r="B296" s="753">
        <f t="shared" si="21"/>
        <v>285</v>
      </c>
      <c r="C296" s="188" t="s">
        <v>670</v>
      </c>
      <c r="D296" s="291" t="s">
        <v>393</v>
      </c>
      <c r="E296" s="25"/>
      <c r="F296" s="25"/>
      <c r="G296" s="25">
        <f t="array" ref="G296">SUM(IF("156"&amp;C296=KHN&amp;MH,SL))</f>
        <v>143</v>
      </c>
      <c r="H296" s="25">
        <f t="array" ref="H296">SUM(IF("156"&amp;C296=KHN&amp;MH,TH))</f>
        <v>16250403</v>
      </c>
      <c r="I296" s="25">
        <f t="array" ref="I296">SUM(IF("156"&amp;C296=KHC&amp;MH,SL))</f>
        <v>143</v>
      </c>
      <c r="J296" s="25">
        <f t="array" ref="J296">SUM(IF("156"&amp;C296=KHC&amp;MH,TH))</f>
        <v>16250403</v>
      </c>
      <c r="K296" s="25">
        <f t="shared" si="22"/>
        <v>0</v>
      </c>
      <c r="L296" s="25">
        <f t="shared" si="23"/>
        <v>0</v>
      </c>
      <c r="M296" s="289" t="e">
        <f t="shared" si="24"/>
        <v>#DIV/0!</v>
      </c>
    </row>
    <row r="297" spans="1:16" ht="18.75" customHeight="1">
      <c r="A297" s="289" t="str">
        <f t="shared" si="20"/>
        <v>NL</v>
      </c>
      <c r="B297" s="753">
        <f t="shared" si="21"/>
        <v>286</v>
      </c>
      <c r="C297" s="191" t="s">
        <v>958</v>
      </c>
      <c r="D297" s="291" t="s">
        <v>393</v>
      </c>
      <c r="E297" s="25"/>
      <c r="F297" s="25"/>
      <c r="G297" s="25">
        <f t="array" ref="G297">SUM(IF("156"&amp;C297=KHN&amp;MH,SL))</f>
        <v>100</v>
      </c>
      <c r="H297" s="25">
        <f t="array" ref="H297">SUM(IF("156"&amp;C297=KHN&amp;MH,TH))</f>
        <v>4223221</v>
      </c>
      <c r="I297" s="25">
        <f t="array" ref="I297">SUM(IF("156"&amp;C297=KHC&amp;MH,SL))</f>
        <v>100</v>
      </c>
      <c r="J297" s="25">
        <f t="array" ref="J297">SUM(IF("156"&amp;C297=KHC&amp;MH,TH))</f>
        <v>4223221</v>
      </c>
      <c r="K297" s="25">
        <f t="shared" si="22"/>
        <v>0</v>
      </c>
      <c r="L297" s="25">
        <f t="shared" si="23"/>
        <v>0</v>
      </c>
      <c r="M297" s="289" t="e">
        <f t="shared" si="24"/>
        <v>#DIV/0!</v>
      </c>
    </row>
    <row r="298" spans="1:16" ht="18.75" customHeight="1">
      <c r="A298" s="289" t="str">
        <f t="shared" si="20"/>
        <v>NL</v>
      </c>
      <c r="B298" s="753">
        <f t="shared" si="21"/>
        <v>287</v>
      </c>
      <c r="C298" s="191" t="s">
        <v>1008</v>
      </c>
      <c r="D298" s="291" t="s">
        <v>393</v>
      </c>
      <c r="E298" s="25"/>
      <c r="F298" s="25"/>
      <c r="G298" s="25">
        <f t="array" ref="G298">SUM(IF("156"&amp;C298=KHN&amp;MH,SL))</f>
        <v>4</v>
      </c>
      <c r="H298" s="25">
        <f t="array" ref="H298">SUM(IF("156"&amp;C298=KHN&amp;MH,TH))</f>
        <v>516552</v>
      </c>
      <c r="I298" s="25">
        <f t="array" ref="I298">SUM(IF("156"&amp;C298=KHC&amp;MH,SL))</f>
        <v>4</v>
      </c>
      <c r="J298" s="25">
        <f t="array" ref="J298">SUM(IF("156"&amp;C298=KHC&amp;MH,TH))</f>
        <v>516552</v>
      </c>
      <c r="K298" s="25">
        <f t="shared" si="22"/>
        <v>0</v>
      </c>
      <c r="L298" s="25">
        <f t="shared" si="23"/>
        <v>0</v>
      </c>
      <c r="M298" s="289" t="e">
        <f t="shared" si="24"/>
        <v>#DIV/0!</v>
      </c>
    </row>
    <row r="299" spans="1:16" ht="18.75" customHeight="1">
      <c r="A299" s="289" t="str">
        <f t="shared" si="20"/>
        <v>NL</v>
      </c>
      <c r="B299" s="753">
        <f t="shared" si="21"/>
        <v>288</v>
      </c>
      <c r="C299" s="188" t="s">
        <v>763</v>
      </c>
      <c r="D299" s="291" t="s">
        <v>393</v>
      </c>
      <c r="E299" s="25"/>
      <c r="F299" s="25"/>
      <c r="G299" s="25">
        <f t="array" ref="G299">SUM(IF("156"&amp;C299=KHN&amp;MH,SL))</f>
        <v>88</v>
      </c>
      <c r="H299" s="25">
        <f t="array" ref="H299">SUM(IF("156"&amp;C299=KHN&amp;MH,TH))</f>
        <v>6013668</v>
      </c>
      <c r="I299" s="25">
        <f t="array" ref="I299">SUM(IF("156"&amp;C299=KHC&amp;MH,SL))</f>
        <v>88</v>
      </c>
      <c r="J299" s="25">
        <f t="array" ref="J299">SUM(IF("156"&amp;C299=KHC&amp;MH,TH))</f>
        <v>6013668</v>
      </c>
      <c r="K299" s="25">
        <f t="shared" si="22"/>
        <v>0</v>
      </c>
      <c r="L299" s="25">
        <f t="shared" si="23"/>
        <v>0</v>
      </c>
      <c r="M299" s="289" t="e">
        <f t="shared" si="24"/>
        <v>#DIV/0!</v>
      </c>
    </row>
    <row r="300" spans="1:16" ht="18.75" customHeight="1">
      <c r="A300" s="289" t="str">
        <f t="shared" si="20"/>
        <v>NL</v>
      </c>
      <c r="B300" s="753">
        <f t="shared" si="21"/>
        <v>289</v>
      </c>
      <c r="C300" s="191" t="s">
        <v>990</v>
      </c>
      <c r="D300" s="291" t="s">
        <v>393</v>
      </c>
      <c r="E300" s="25"/>
      <c r="F300" s="25"/>
      <c r="G300" s="25">
        <f t="array" ref="G300">SUM(IF("156"&amp;C300=KHN&amp;MH,SL))</f>
        <v>10</v>
      </c>
      <c r="H300" s="25">
        <f t="array" ref="H300">SUM(IF("156"&amp;C300=KHN&amp;MH,TH))</f>
        <v>1509480</v>
      </c>
      <c r="I300" s="25">
        <f t="array" ref="I300">SUM(IF("156"&amp;C300=KHC&amp;MH,SL))</f>
        <v>10</v>
      </c>
      <c r="J300" s="25">
        <f t="array" ref="J300">SUM(IF("156"&amp;C300=KHC&amp;MH,TH))</f>
        <v>1509480</v>
      </c>
      <c r="K300" s="25">
        <f t="shared" si="22"/>
        <v>0</v>
      </c>
      <c r="L300" s="25">
        <f t="shared" si="23"/>
        <v>0</v>
      </c>
      <c r="M300" s="289" t="e">
        <f t="shared" si="24"/>
        <v>#DIV/0!</v>
      </c>
    </row>
    <row r="301" spans="1:16" ht="18.75" customHeight="1">
      <c r="A301" s="289" t="str">
        <f t="shared" si="20"/>
        <v>NL</v>
      </c>
      <c r="B301" s="753">
        <f t="shared" si="21"/>
        <v>290</v>
      </c>
      <c r="C301" s="191" t="s">
        <v>986</v>
      </c>
      <c r="D301" s="291" t="s">
        <v>393</v>
      </c>
      <c r="E301" s="25"/>
      <c r="F301" s="25"/>
      <c r="G301" s="25">
        <f t="array" ref="G301">SUM(IF("156"&amp;C301=KHN&amp;MH,SL))</f>
        <v>10</v>
      </c>
      <c r="H301" s="25">
        <f t="array" ref="H301">SUM(IF("156"&amp;C301=KHN&amp;MH,TH))</f>
        <v>972970</v>
      </c>
      <c r="I301" s="25">
        <f t="array" ref="I301">SUM(IF("156"&amp;C301=KHC&amp;MH,SL))</f>
        <v>10</v>
      </c>
      <c r="J301" s="25">
        <f t="array" ref="J301">SUM(IF("156"&amp;C301=KHC&amp;MH,TH))</f>
        <v>972970</v>
      </c>
      <c r="K301" s="25">
        <f t="shared" si="22"/>
        <v>0</v>
      </c>
      <c r="L301" s="25">
        <f t="shared" si="23"/>
        <v>0</v>
      </c>
      <c r="M301" s="289" t="e">
        <f t="shared" si="24"/>
        <v>#DIV/0!</v>
      </c>
    </row>
    <row r="302" spans="1:16" ht="18.75" customHeight="1">
      <c r="A302" s="289" t="str">
        <f t="shared" si="20"/>
        <v>NL</v>
      </c>
      <c r="B302" s="753">
        <f t="shared" si="21"/>
        <v>291</v>
      </c>
      <c r="C302" s="292" t="s">
        <v>1683</v>
      </c>
      <c r="D302" s="291" t="s">
        <v>393</v>
      </c>
      <c r="E302" s="25"/>
      <c r="F302" s="25"/>
      <c r="G302" s="25">
        <f t="array" ref="G302">SUM(IF("156"&amp;C302=KHN&amp;MH,SL))</f>
        <v>1</v>
      </c>
      <c r="H302" s="25">
        <f t="array" ref="H302">SUM(IF("156"&amp;C302=KHN&amp;MH,TH))</f>
        <v>61456</v>
      </c>
      <c r="I302" s="25">
        <f t="array" ref="I302">SUM(IF("156"&amp;C302=KHC&amp;MH,SL))</f>
        <v>1</v>
      </c>
      <c r="J302" s="25">
        <f t="array" ref="J302">SUM(IF("156"&amp;C302=KHC&amp;MH,TH))</f>
        <v>61456</v>
      </c>
      <c r="K302" s="25">
        <f t="shared" si="22"/>
        <v>0</v>
      </c>
      <c r="L302" s="25">
        <f t="shared" si="23"/>
        <v>0</v>
      </c>
      <c r="M302" s="289" t="e">
        <f t="shared" si="24"/>
        <v>#DIV/0!</v>
      </c>
    </row>
    <row r="303" spans="1:16" ht="18.75" customHeight="1">
      <c r="A303" s="289" t="str">
        <f t="shared" si="20"/>
        <v>NL</v>
      </c>
      <c r="B303" s="753">
        <f t="shared" si="21"/>
        <v>292</v>
      </c>
      <c r="C303" s="191" t="s">
        <v>490</v>
      </c>
      <c r="D303" s="291" t="s">
        <v>393</v>
      </c>
      <c r="E303" s="25"/>
      <c r="F303" s="25"/>
      <c r="G303" s="25">
        <f t="array" ref="G303">SUM(IF("156"&amp;C303=KHN&amp;MH,SL))</f>
        <v>44</v>
      </c>
      <c r="H303" s="25">
        <f t="array" ref="H303">SUM(IF("156"&amp;C303=KHN&amp;MH,TH))</f>
        <v>6863217</v>
      </c>
      <c r="I303" s="25">
        <f t="array" ref="I303">SUM(IF("156"&amp;C303=KHC&amp;MH,SL))</f>
        <v>36</v>
      </c>
      <c r="J303" s="25">
        <f t="array" ref="J303">SUM(IF("156"&amp;C303=KHC&amp;MH,TH))</f>
        <v>5607489</v>
      </c>
      <c r="K303" s="25">
        <f t="shared" si="22"/>
        <v>8</v>
      </c>
      <c r="L303" s="25">
        <f t="shared" si="23"/>
        <v>1255728</v>
      </c>
      <c r="M303" s="289">
        <f t="shared" si="24"/>
        <v>156966</v>
      </c>
    </row>
    <row r="304" spans="1:16" ht="18.75" customHeight="1">
      <c r="A304" s="289" t="str">
        <f t="shared" si="20"/>
        <v>NL</v>
      </c>
      <c r="B304" s="753">
        <f t="shared" si="21"/>
        <v>293</v>
      </c>
      <c r="C304" s="188" t="s">
        <v>881</v>
      </c>
      <c r="D304" s="291" t="s">
        <v>393</v>
      </c>
      <c r="E304" s="25"/>
      <c r="F304" s="25"/>
      <c r="G304" s="25">
        <f t="array" ref="G304">SUM(IF("156"&amp;C304=KHN&amp;MH,SL))</f>
        <v>5</v>
      </c>
      <c r="H304" s="25">
        <f t="array" ref="H304">SUM(IF("156"&amp;C304=KHN&amp;MH,TH))</f>
        <v>789445</v>
      </c>
      <c r="I304" s="25">
        <f t="array" ref="I304">SUM(IF("156"&amp;C304=KHC&amp;MH,SL))</f>
        <v>5</v>
      </c>
      <c r="J304" s="25">
        <f t="array" ref="J304">SUM(IF("156"&amp;C304=KHC&amp;MH,TH))</f>
        <v>789445</v>
      </c>
      <c r="K304" s="25">
        <f t="shared" si="22"/>
        <v>0</v>
      </c>
      <c r="L304" s="25">
        <f t="shared" si="23"/>
        <v>0</v>
      </c>
      <c r="M304" s="289" t="e">
        <f t="shared" si="24"/>
        <v>#DIV/0!</v>
      </c>
    </row>
    <row r="305" spans="1:16" ht="18.75" customHeight="1">
      <c r="A305" s="289" t="str">
        <f t="shared" si="20"/>
        <v>NL</v>
      </c>
      <c r="B305" s="753">
        <f t="shared" si="21"/>
        <v>294</v>
      </c>
      <c r="C305" s="292" t="s">
        <v>1765</v>
      </c>
      <c r="D305" s="291"/>
      <c r="E305" s="25"/>
      <c r="F305" s="25"/>
      <c r="G305" s="25">
        <f t="array" ref="G305">SUM(IF("156"&amp;C305=KHN&amp;MH,SL))</f>
        <v>6</v>
      </c>
      <c r="H305" s="25">
        <f t="array" ref="H305">SUM(IF("156"&amp;C305=KHN&amp;MH,TH))</f>
        <v>430800</v>
      </c>
      <c r="I305" s="25">
        <f t="array" ref="I305">SUM(IF("156"&amp;C305=KHC&amp;MH,SL))</f>
        <v>6</v>
      </c>
      <c r="J305" s="25">
        <f t="array" ref="J305">SUM(IF("156"&amp;C305=KHC&amp;MH,TH))</f>
        <v>430800</v>
      </c>
      <c r="K305" s="25">
        <f t="shared" si="22"/>
        <v>0</v>
      </c>
      <c r="L305" s="25">
        <f t="shared" si="23"/>
        <v>0</v>
      </c>
      <c r="M305" s="289" t="e">
        <f t="shared" si="24"/>
        <v>#DIV/0!</v>
      </c>
    </row>
    <row r="306" spans="1:16" ht="18.75" customHeight="1">
      <c r="A306" s="289" t="str">
        <f t="shared" si="20"/>
        <v>NL</v>
      </c>
      <c r="B306" s="753">
        <f t="shared" si="21"/>
        <v>295</v>
      </c>
      <c r="C306" s="191" t="s">
        <v>491</v>
      </c>
      <c r="D306" s="291" t="s">
        <v>393</v>
      </c>
      <c r="E306" s="25"/>
      <c r="F306" s="25"/>
      <c r="G306" s="25">
        <f t="array" ref="G306">SUM(IF("156"&amp;C306=KHN&amp;MH,SL))</f>
        <v>11</v>
      </c>
      <c r="H306" s="25">
        <f t="array" ref="H306">SUM(IF("156"&amp;C306=KHN&amp;MH,TH))</f>
        <v>1117870</v>
      </c>
      <c r="I306" s="25">
        <f t="array" ref="I306">SUM(IF("156"&amp;C306=KHC&amp;MH,SL))</f>
        <v>11</v>
      </c>
      <c r="J306" s="25">
        <f t="array" ref="J306">SUM(IF("156"&amp;C306=KHC&amp;MH,TH))</f>
        <v>1117870</v>
      </c>
      <c r="K306" s="25">
        <f t="shared" si="22"/>
        <v>0</v>
      </c>
      <c r="L306" s="25">
        <f t="shared" si="23"/>
        <v>0</v>
      </c>
      <c r="M306" s="289" t="e">
        <f t="shared" si="24"/>
        <v>#DIV/0!</v>
      </c>
      <c r="O306" s="927"/>
      <c r="P306" s="927"/>
    </row>
    <row r="307" spans="1:16" ht="18.75" customHeight="1">
      <c r="A307" s="289" t="str">
        <f t="shared" si="20"/>
        <v>NL</v>
      </c>
      <c r="B307" s="753">
        <f t="shared" si="21"/>
        <v>296</v>
      </c>
      <c r="C307" s="188" t="s">
        <v>455</v>
      </c>
      <c r="D307" s="291" t="s">
        <v>393</v>
      </c>
      <c r="E307" s="25"/>
      <c r="F307" s="25"/>
      <c r="G307" s="25">
        <f t="array" ref="G307">SUM(IF("156"&amp;C307=KHN&amp;MH,SL))</f>
        <v>10</v>
      </c>
      <c r="H307" s="25">
        <f t="array" ref="H307">SUM(IF("156"&amp;C307=KHN&amp;MH,TH))</f>
        <v>1576090</v>
      </c>
      <c r="I307" s="25">
        <f t="array" ref="I307">SUM(IF("156"&amp;C307=KHC&amp;MH,SL))</f>
        <v>10</v>
      </c>
      <c r="J307" s="25">
        <f t="array" ref="J307">SUM(IF("156"&amp;C307=KHC&amp;MH,TH))</f>
        <v>1576090</v>
      </c>
      <c r="K307" s="25">
        <f t="shared" si="22"/>
        <v>0</v>
      </c>
      <c r="L307" s="25">
        <f t="shared" si="23"/>
        <v>0</v>
      </c>
      <c r="M307" s="289" t="e">
        <f t="shared" si="24"/>
        <v>#DIV/0!</v>
      </c>
    </row>
    <row r="308" spans="1:16" ht="18.75" customHeight="1">
      <c r="A308" s="289" t="str">
        <f t="shared" si="20"/>
        <v>NL</v>
      </c>
      <c r="B308" s="753">
        <f t="shared" si="21"/>
        <v>297</v>
      </c>
      <c r="C308" s="191" t="s">
        <v>772</v>
      </c>
      <c r="D308" s="291" t="s">
        <v>393</v>
      </c>
      <c r="E308" s="25"/>
      <c r="F308" s="25"/>
      <c r="G308" s="25">
        <f t="array" ref="G308">SUM(IF("156"&amp;C308=KHN&amp;MH,SL))</f>
        <v>330</v>
      </c>
      <c r="H308" s="25">
        <f t="array" ref="H308">SUM(IF("156"&amp;C308=KHN&amp;MH,TH))</f>
        <v>2886239</v>
      </c>
      <c r="I308" s="25">
        <f t="array" ref="I308">SUM(IF("156"&amp;C308=KHC&amp;MH,SL))</f>
        <v>300</v>
      </c>
      <c r="J308" s="25">
        <f t="array" ref="J308">SUM(IF("156"&amp;C308=KHC&amp;MH,TH))</f>
        <v>2690849</v>
      </c>
      <c r="K308" s="25">
        <f t="shared" si="22"/>
        <v>30</v>
      </c>
      <c r="L308" s="25">
        <f t="shared" si="23"/>
        <v>195390</v>
      </c>
      <c r="M308" s="289">
        <f t="shared" si="24"/>
        <v>6513</v>
      </c>
    </row>
    <row r="309" spans="1:16" ht="18.75" customHeight="1">
      <c r="A309" s="289" t="str">
        <f t="shared" si="20"/>
        <v>NL</v>
      </c>
      <c r="B309" s="753">
        <f t="shared" si="21"/>
        <v>298</v>
      </c>
      <c r="C309" s="40" t="s">
        <v>1484</v>
      </c>
      <c r="D309" s="291" t="s">
        <v>393</v>
      </c>
      <c r="E309" s="25"/>
      <c r="F309" s="25"/>
      <c r="G309" s="25">
        <f t="array" ref="G309">SUM(IF("156"&amp;C309=KHN&amp;MH,SL))</f>
        <v>300</v>
      </c>
      <c r="H309" s="25">
        <f t="array" ref="H309">SUM(IF("156"&amp;C309=KHN&amp;MH,TH))</f>
        <v>14586391</v>
      </c>
      <c r="I309" s="25">
        <f t="array" ref="I309">SUM(IF("156"&amp;C309=KHC&amp;MH,SL))</f>
        <v>300</v>
      </c>
      <c r="J309" s="25">
        <f t="array" ref="J309">SUM(IF("156"&amp;C309=KHC&amp;MH,TH))</f>
        <v>14586391</v>
      </c>
      <c r="K309" s="25">
        <f t="shared" si="22"/>
        <v>0</v>
      </c>
      <c r="L309" s="25">
        <f t="shared" si="23"/>
        <v>0</v>
      </c>
      <c r="M309" s="289" t="e">
        <f t="shared" si="24"/>
        <v>#DIV/0!</v>
      </c>
    </row>
    <row r="310" spans="1:16" ht="18.75" customHeight="1">
      <c r="A310" s="289" t="str">
        <f t="shared" si="20"/>
        <v>NL</v>
      </c>
      <c r="B310" s="753">
        <f t="shared" si="21"/>
        <v>299</v>
      </c>
      <c r="C310" s="188" t="s">
        <v>464</v>
      </c>
      <c r="D310" s="291" t="s">
        <v>393</v>
      </c>
      <c r="E310" s="25"/>
      <c r="F310" s="25"/>
      <c r="G310" s="25">
        <f t="array" ref="G310">SUM(IF("156"&amp;C310=KHN&amp;MH,SL))</f>
        <v>66</v>
      </c>
      <c r="H310" s="25">
        <f t="array" ref="H310">SUM(IF("156"&amp;C310=KHN&amp;MH,TH))</f>
        <v>8869905</v>
      </c>
      <c r="I310" s="25">
        <f t="array" ref="I310">SUM(IF("156"&amp;C310=KHC&amp;MH,SL))</f>
        <v>40</v>
      </c>
      <c r="J310" s="25">
        <f t="array" ref="J310">SUM(IF("156"&amp;C310=KHC&amp;MH,TH))</f>
        <v>5368062</v>
      </c>
      <c r="K310" s="25">
        <f t="shared" si="22"/>
        <v>26</v>
      </c>
      <c r="L310" s="25">
        <f t="shared" si="23"/>
        <v>3501843</v>
      </c>
      <c r="M310" s="289">
        <f t="shared" si="24"/>
        <v>134686.26923076922</v>
      </c>
    </row>
    <row r="311" spans="1:16" ht="18.75" customHeight="1">
      <c r="A311" s="289" t="str">
        <f t="shared" si="20"/>
        <v>NL</v>
      </c>
      <c r="B311" s="753">
        <f t="shared" si="21"/>
        <v>300</v>
      </c>
      <c r="C311" s="188" t="s">
        <v>765</v>
      </c>
      <c r="D311" s="291" t="s">
        <v>393</v>
      </c>
      <c r="E311" s="25"/>
      <c r="F311" s="25"/>
      <c r="G311" s="25">
        <f t="array" ref="G311">SUM(IF("156"&amp;C311=KHN&amp;MH,SL))</f>
        <v>70</v>
      </c>
      <c r="H311" s="25">
        <f t="array" ref="H311">SUM(IF("156"&amp;C311=KHN&amp;MH,TH))</f>
        <v>5246016</v>
      </c>
      <c r="I311" s="25">
        <f t="array" ref="I311">SUM(IF("156"&amp;C311=KHC&amp;MH,SL))</f>
        <v>70</v>
      </c>
      <c r="J311" s="25">
        <f t="array" ref="J311">SUM(IF("156"&amp;C311=KHC&amp;MH,TH))</f>
        <v>5246016</v>
      </c>
      <c r="K311" s="25">
        <f t="shared" si="22"/>
        <v>0</v>
      </c>
      <c r="L311" s="25">
        <f t="shared" si="23"/>
        <v>0</v>
      </c>
      <c r="M311" s="289" t="e">
        <f t="shared" si="24"/>
        <v>#DIV/0!</v>
      </c>
    </row>
    <row r="312" spans="1:16" ht="18.75" customHeight="1">
      <c r="A312" s="289" t="str">
        <f t="shared" si="20"/>
        <v>NL</v>
      </c>
      <c r="B312" s="753">
        <f t="shared" si="21"/>
        <v>301</v>
      </c>
      <c r="C312" s="292" t="s">
        <v>1750</v>
      </c>
      <c r="D312" s="291"/>
      <c r="E312" s="25"/>
      <c r="F312" s="25"/>
      <c r="G312" s="25">
        <f t="array" ref="G312">SUM(IF("156"&amp;C312=KHN&amp;MH,SL))</f>
        <v>12</v>
      </c>
      <c r="H312" s="25">
        <f t="array" ref="H312">SUM(IF("156"&amp;C312=KHN&amp;MH,TH))</f>
        <v>481200</v>
      </c>
      <c r="I312" s="25">
        <f t="array" ref="I312">SUM(IF("156"&amp;C312=KHC&amp;MH,SL))</f>
        <v>12</v>
      </c>
      <c r="J312" s="25">
        <f t="array" ref="J312">SUM(IF("156"&amp;C312=KHC&amp;MH,TH))</f>
        <v>481200</v>
      </c>
      <c r="K312" s="25">
        <f t="shared" si="22"/>
        <v>0</v>
      </c>
      <c r="L312" s="25">
        <f t="shared" si="23"/>
        <v>0</v>
      </c>
      <c r="M312" s="289" t="e">
        <f t="shared" si="24"/>
        <v>#DIV/0!</v>
      </c>
    </row>
    <row r="313" spans="1:16" ht="18.75" customHeight="1">
      <c r="A313" s="289" t="str">
        <f t="shared" si="20"/>
        <v>NL</v>
      </c>
      <c r="B313" s="753">
        <f t="shared" si="21"/>
        <v>302</v>
      </c>
      <c r="C313" s="191" t="s">
        <v>482</v>
      </c>
      <c r="D313" s="291" t="s">
        <v>393</v>
      </c>
      <c r="E313" s="25"/>
      <c r="F313" s="25"/>
      <c r="G313" s="25">
        <f t="array" ref="G313">SUM(IF("156"&amp;C313=KHN&amp;MH,SL))</f>
        <v>9</v>
      </c>
      <c r="H313" s="25">
        <f t="array" ref="H313">SUM(IF("156"&amp;C313=KHN&amp;MH,TH))</f>
        <v>494577</v>
      </c>
      <c r="I313" s="25">
        <f t="array" ref="I313">SUM(IF("156"&amp;C313=KHC&amp;MH,SL))</f>
        <v>9</v>
      </c>
      <c r="J313" s="25">
        <f t="array" ref="J313">SUM(IF("156"&amp;C313=KHC&amp;MH,TH))</f>
        <v>494577</v>
      </c>
      <c r="K313" s="25">
        <f t="shared" si="22"/>
        <v>0</v>
      </c>
      <c r="L313" s="25">
        <f t="shared" si="23"/>
        <v>0</v>
      </c>
      <c r="M313" s="289" t="e">
        <f t="shared" si="24"/>
        <v>#DIV/0!</v>
      </c>
    </row>
    <row r="314" spans="1:16" ht="18.75" customHeight="1">
      <c r="A314" s="289" t="str">
        <f t="shared" si="20"/>
        <v>NL</v>
      </c>
      <c r="B314" s="753">
        <f t="shared" si="21"/>
        <v>303</v>
      </c>
      <c r="C314" s="40" t="s">
        <v>922</v>
      </c>
      <c r="D314" s="291" t="s">
        <v>393</v>
      </c>
      <c r="E314" s="25"/>
      <c r="F314" s="25"/>
      <c r="G314" s="25">
        <f t="array" ref="G314">SUM(IF("156"&amp;C314=KHN&amp;MH,SL))</f>
        <v>400</v>
      </c>
      <c r="H314" s="25">
        <f t="array" ref="H314">SUM(IF("156"&amp;C314=KHN&amp;MH,TH))</f>
        <v>4922369</v>
      </c>
      <c r="I314" s="25">
        <f t="array" ref="I314">SUM(IF("156"&amp;C314=KHC&amp;MH,SL))</f>
        <v>400</v>
      </c>
      <c r="J314" s="25">
        <f t="array" ref="J314">SUM(IF("156"&amp;C314=KHC&amp;MH,TH))</f>
        <v>4922369</v>
      </c>
      <c r="K314" s="25">
        <f t="shared" si="22"/>
        <v>0</v>
      </c>
      <c r="L314" s="25">
        <f t="shared" si="23"/>
        <v>0</v>
      </c>
      <c r="M314" s="289" t="e">
        <f t="shared" si="24"/>
        <v>#DIV/0!</v>
      </c>
    </row>
    <row r="315" spans="1:16" ht="18.75" customHeight="1">
      <c r="A315" s="289" t="str">
        <f t="shared" si="20"/>
        <v>NL</v>
      </c>
      <c r="B315" s="753">
        <f t="shared" si="21"/>
        <v>304</v>
      </c>
      <c r="C315" s="292" t="s">
        <v>1770</v>
      </c>
      <c r="D315" s="291"/>
      <c r="E315" s="25"/>
      <c r="F315" s="25"/>
      <c r="G315" s="25">
        <f t="array" ref="G315">SUM(IF("156"&amp;C315=KHN&amp;MH,SL))</f>
        <v>7</v>
      </c>
      <c r="H315" s="25">
        <f t="array" ref="H315">SUM(IF("156"&amp;C315=KHN&amp;MH,TH))</f>
        <v>649607</v>
      </c>
      <c r="I315" s="25">
        <f t="array" ref="I315">SUM(IF("156"&amp;C315=KHC&amp;MH,SL))</f>
        <v>7</v>
      </c>
      <c r="J315" s="25">
        <f t="array" ref="J315">SUM(IF("156"&amp;C315=KHC&amp;MH,TH))</f>
        <v>649607</v>
      </c>
      <c r="K315" s="25">
        <f t="shared" si="22"/>
        <v>0</v>
      </c>
      <c r="L315" s="25">
        <f t="shared" si="23"/>
        <v>0</v>
      </c>
      <c r="M315" s="289" t="e">
        <f t="shared" si="24"/>
        <v>#DIV/0!</v>
      </c>
    </row>
    <row r="316" spans="1:16" ht="18.75" customHeight="1">
      <c r="A316" s="289" t="str">
        <f t="shared" si="20"/>
        <v>NL</v>
      </c>
      <c r="B316" s="753">
        <f t="shared" si="21"/>
        <v>305</v>
      </c>
      <c r="C316" s="292" t="s">
        <v>1447</v>
      </c>
      <c r="D316" s="291" t="s">
        <v>393</v>
      </c>
      <c r="E316" s="25"/>
      <c r="F316" s="25"/>
      <c r="G316" s="25">
        <f t="array" ref="G316">SUM(IF("156"&amp;C316=KHN&amp;MH,SL))</f>
        <v>1000</v>
      </c>
      <c r="H316" s="25">
        <f t="array" ref="H316">SUM(IF("156"&amp;C316=KHN&amp;MH,TH))</f>
        <v>19939056</v>
      </c>
      <c r="I316" s="25">
        <f t="array" ref="I316">SUM(IF("156"&amp;C316=KHC&amp;MH,SL))</f>
        <v>1000</v>
      </c>
      <c r="J316" s="25">
        <f t="array" ref="J316">SUM(IF("156"&amp;C316=KHC&amp;MH,TH))</f>
        <v>19939056</v>
      </c>
      <c r="K316" s="25">
        <f t="shared" si="22"/>
        <v>0</v>
      </c>
      <c r="L316" s="25">
        <f t="shared" si="23"/>
        <v>0</v>
      </c>
      <c r="M316" s="289" t="e">
        <f t="shared" si="24"/>
        <v>#DIV/0!</v>
      </c>
    </row>
    <row r="317" spans="1:16" ht="18.75" customHeight="1">
      <c r="A317" s="289" t="str">
        <f t="shared" si="20"/>
        <v>NL</v>
      </c>
      <c r="B317" s="753">
        <f t="shared" si="21"/>
        <v>306</v>
      </c>
      <c r="C317" s="191" t="s">
        <v>980</v>
      </c>
      <c r="D317" s="291" t="s">
        <v>393</v>
      </c>
      <c r="E317" s="25"/>
      <c r="F317" s="25"/>
      <c r="G317" s="25">
        <f t="array" ref="G317">SUM(IF("156"&amp;C317=KHN&amp;MH,SL))</f>
        <v>8</v>
      </c>
      <c r="H317" s="25">
        <f t="array" ref="H317">SUM(IF("156"&amp;C317=KHN&amp;MH,TH))</f>
        <v>490960</v>
      </c>
      <c r="I317" s="25">
        <f t="array" ref="I317">SUM(IF("156"&amp;C317=KHC&amp;MH,SL))</f>
        <v>8</v>
      </c>
      <c r="J317" s="25">
        <f t="array" ref="J317">SUM(IF("156"&amp;C317=KHC&amp;MH,TH))</f>
        <v>490960</v>
      </c>
      <c r="K317" s="25">
        <f t="shared" si="22"/>
        <v>0</v>
      </c>
      <c r="L317" s="25">
        <f t="shared" si="23"/>
        <v>0</v>
      </c>
      <c r="M317" s="289" t="e">
        <f t="shared" si="24"/>
        <v>#DIV/0!</v>
      </c>
    </row>
    <row r="318" spans="1:16" ht="18.75" customHeight="1">
      <c r="A318" s="289" t="str">
        <f t="shared" si="20"/>
        <v>NL</v>
      </c>
      <c r="B318" s="753">
        <f t="shared" si="21"/>
        <v>307</v>
      </c>
      <c r="C318" s="191" t="s">
        <v>979</v>
      </c>
      <c r="D318" s="291" t="s">
        <v>393</v>
      </c>
      <c r="E318" s="25"/>
      <c r="F318" s="25"/>
      <c r="G318" s="25">
        <f t="array" ref="G318">SUM(IF("156"&amp;C318=KHN&amp;MH,SL))</f>
        <v>8</v>
      </c>
      <c r="H318" s="25">
        <f t="array" ref="H318">SUM(IF("156"&amp;C318=KHN&amp;MH,TH))</f>
        <v>555936</v>
      </c>
      <c r="I318" s="25">
        <f t="array" ref="I318">SUM(IF("156"&amp;C318=KHC&amp;MH,SL))</f>
        <v>8</v>
      </c>
      <c r="J318" s="25">
        <f t="array" ref="J318">SUM(IF("156"&amp;C318=KHC&amp;MH,TH))</f>
        <v>555936</v>
      </c>
      <c r="K318" s="25">
        <f t="shared" si="22"/>
        <v>0</v>
      </c>
      <c r="L318" s="25">
        <f t="shared" si="23"/>
        <v>0</v>
      </c>
      <c r="M318" s="289" t="e">
        <f t="shared" si="24"/>
        <v>#DIV/0!</v>
      </c>
    </row>
    <row r="319" spans="1:16" ht="18.75" customHeight="1">
      <c r="A319" s="289" t="str">
        <f t="shared" si="20"/>
        <v>NL</v>
      </c>
      <c r="B319" s="753">
        <f t="shared" si="21"/>
        <v>308</v>
      </c>
      <c r="C319" s="191" t="s">
        <v>540</v>
      </c>
      <c r="D319" s="291" t="s">
        <v>393</v>
      </c>
      <c r="E319" s="25"/>
      <c r="F319" s="25"/>
      <c r="G319" s="25">
        <f t="array" ref="G319">SUM(IF("156"&amp;C319=KHN&amp;MH,SL))</f>
        <v>36</v>
      </c>
      <c r="H319" s="25">
        <f t="array" ref="H319">SUM(IF("156"&amp;C319=KHN&amp;MH,TH))</f>
        <v>2434848</v>
      </c>
      <c r="I319" s="25">
        <f t="array" ref="I319">SUM(IF("156"&amp;C319=KHC&amp;MH,SL))</f>
        <v>36</v>
      </c>
      <c r="J319" s="25">
        <f t="array" ref="J319">SUM(IF("156"&amp;C319=KHC&amp;MH,TH))</f>
        <v>2434848</v>
      </c>
      <c r="K319" s="25">
        <f t="shared" si="22"/>
        <v>0</v>
      </c>
      <c r="L319" s="25">
        <f t="shared" si="23"/>
        <v>0</v>
      </c>
      <c r="M319" s="289" t="e">
        <f t="shared" si="24"/>
        <v>#DIV/0!</v>
      </c>
    </row>
    <row r="320" spans="1:16" ht="18.75" customHeight="1">
      <c r="A320" s="289" t="str">
        <f t="shared" si="20"/>
        <v>NL</v>
      </c>
      <c r="B320" s="753">
        <f t="shared" si="21"/>
        <v>309</v>
      </c>
      <c r="C320" s="40" t="s">
        <v>710</v>
      </c>
      <c r="D320" s="291" t="s">
        <v>393</v>
      </c>
      <c r="E320" s="25"/>
      <c r="F320" s="25"/>
      <c r="G320" s="25">
        <f t="array" ref="G320">SUM(IF("156"&amp;C320=KHN&amp;MH,SL))</f>
        <v>48</v>
      </c>
      <c r="H320" s="25">
        <f t="array" ref="H320">SUM(IF("156"&amp;C320=KHN&amp;MH,TH))</f>
        <v>3245840</v>
      </c>
      <c r="I320" s="25">
        <f t="array" ref="I320">SUM(IF("156"&amp;C320=KHC&amp;MH,SL))</f>
        <v>48</v>
      </c>
      <c r="J320" s="25">
        <f t="array" ref="J320">SUM(IF("156"&amp;C320=KHC&amp;MH,TH))</f>
        <v>3245840</v>
      </c>
      <c r="K320" s="25">
        <f t="shared" si="22"/>
        <v>0</v>
      </c>
      <c r="L320" s="25">
        <f t="shared" si="23"/>
        <v>0</v>
      </c>
      <c r="M320" s="289" t="e">
        <f t="shared" si="24"/>
        <v>#DIV/0!</v>
      </c>
    </row>
    <row r="321" spans="1:16" ht="18.75" customHeight="1">
      <c r="A321" s="289" t="str">
        <f t="shared" si="20"/>
        <v>NL</v>
      </c>
      <c r="B321" s="753">
        <f t="shared" si="21"/>
        <v>310</v>
      </c>
      <c r="C321" s="188" t="s">
        <v>471</v>
      </c>
      <c r="D321" s="291" t="s">
        <v>393</v>
      </c>
      <c r="E321" s="25"/>
      <c r="F321" s="25"/>
      <c r="G321" s="25">
        <f t="array" ref="G321">SUM(IF("156"&amp;C321=KHN&amp;MH,SL))</f>
        <v>34</v>
      </c>
      <c r="H321" s="25">
        <f t="array" ref="H321">SUM(IF("156"&amp;C321=KHN&amp;MH,TH))</f>
        <v>1809538</v>
      </c>
      <c r="I321" s="25">
        <f t="array" ref="I321">SUM(IF("156"&amp;C321=KHC&amp;MH,SL))</f>
        <v>34</v>
      </c>
      <c r="J321" s="25">
        <f t="array" ref="J321">SUM(IF("156"&amp;C321=KHC&amp;MH,TH))</f>
        <v>1809538</v>
      </c>
      <c r="K321" s="25">
        <f t="shared" si="22"/>
        <v>0</v>
      </c>
      <c r="L321" s="25">
        <f t="shared" si="23"/>
        <v>0</v>
      </c>
      <c r="M321" s="289" t="e">
        <f t="shared" si="24"/>
        <v>#DIV/0!</v>
      </c>
    </row>
    <row r="322" spans="1:16" ht="18.75" customHeight="1">
      <c r="A322" s="289" t="str">
        <f t="shared" si="20"/>
        <v>NL</v>
      </c>
      <c r="B322" s="753">
        <f t="shared" si="21"/>
        <v>311</v>
      </c>
      <c r="C322" s="191" t="s">
        <v>534</v>
      </c>
      <c r="D322" s="291" t="s">
        <v>393</v>
      </c>
      <c r="E322" s="25"/>
      <c r="F322" s="25"/>
      <c r="G322" s="25">
        <f t="array" ref="G322">SUM(IF("156"&amp;C322=KHN&amp;MH,SL))</f>
        <v>144</v>
      </c>
      <c r="H322" s="25">
        <f t="array" ref="H322">SUM(IF("156"&amp;C322=KHN&amp;MH,TH))</f>
        <v>12272200</v>
      </c>
      <c r="I322" s="25">
        <f t="array" ref="I322">SUM(IF("156"&amp;C322=KHC&amp;MH,SL))</f>
        <v>144</v>
      </c>
      <c r="J322" s="25">
        <f t="array" ref="J322">SUM(IF("156"&amp;C322=KHC&amp;MH,TH))</f>
        <v>12272200</v>
      </c>
      <c r="K322" s="25">
        <f t="shared" si="22"/>
        <v>0</v>
      </c>
      <c r="L322" s="25">
        <f t="shared" si="23"/>
        <v>0</v>
      </c>
      <c r="M322" s="289" t="e">
        <f t="shared" si="24"/>
        <v>#DIV/0!</v>
      </c>
      <c r="O322" s="927"/>
      <c r="P322" s="927"/>
    </row>
    <row r="323" spans="1:16" ht="18.75" customHeight="1">
      <c r="A323" s="289" t="str">
        <f t="shared" si="20"/>
        <v>NL</v>
      </c>
      <c r="B323" s="753">
        <f t="shared" si="21"/>
        <v>312</v>
      </c>
      <c r="C323" s="292" t="s">
        <v>1759</v>
      </c>
      <c r="D323" s="291"/>
      <c r="E323" s="25"/>
      <c r="F323" s="25"/>
      <c r="G323" s="25">
        <f t="array" ref="G323">SUM(IF("156"&amp;C323=KHN&amp;MH,SL))</f>
        <v>6</v>
      </c>
      <c r="H323" s="25">
        <f t="array" ref="H323">SUM(IF("156"&amp;C323=KHN&amp;MH,TH))</f>
        <v>338400</v>
      </c>
      <c r="I323" s="25">
        <f t="array" ref="I323">SUM(IF("156"&amp;C323=KHC&amp;MH,SL))</f>
        <v>6</v>
      </c>
      <c r="J323" s="25">
        <f t="array" ref="J323">SUM(IF("156"&amp;C323=KHC&amp;MH,TH))</f>
        <v>338400</v>
      </c>
      <c r="K323" s="25">
        <f t="shared" si="22"/>
        <v>0</v>
      </c>
      <c r="L323" s="25">
        <f t="shared" si="23"/>
        <v>0</v>
      </c>
      <c r="M323" s="289" t="e">
        <f t="shared" si="24"/>
        <v>#DIV/0!</v>
      </c>
    </row>
    <row r="324" spans="1:16" ht="18.75" customHeight="1">
      <c r="A324" s="289" t="str">
        <f t="shared" si="20"/>
        <v>NL</v>
      </c>
      <c r="B324" s="753">
        <f t="shared" si="21"/>
        <v>313</v>
      </c>
      <c r="C324" s="292" t="s">
        <v>1685</v>
      </c>
      <c r="D324" s="291" t="s">
        <v>393</v>
      </c>
      <c r="E324" s="25"/>
      <c r="F324" s="25"/>
      <c r="G324" s="25">
        <f t="array" ref="G324">SUM(IF("156"&amp;C324=KHN&amp;MH,SL))</f>
        <v>1</v>
      </c>
      <c r="H324" s="25">
        <f t="array" ref="H324">SUM(IF("156"&amp;C324=KHN&amp;MH,TH))</f>
        <v>74374</v>
      </c>
      <c r="I324" s="25">
        <f t="array" ref="I324">SUM(IF("156"&amp;C324=KHC&amp;MH,SL))</f>
        <v>1</v>
      </c>
      <c r="J324" s="25">
        <f t="array" ref="J324">SUM(IF("156"&amp;C324=KHC&amp;MH,TH))</f>
        <v>74374</v>
      </c>
      <c r="K324" s="25">
        <f t="shared" si="22"/>
        <v>0</v>
      </c>
      <c r="L324" s="25">
        <f t="shared" si="23"/>
        <v>0</v>
      </c>
      <c r="M324" s="289" t="e">
        <f t="shared" si="24"/>
        <v>#DIV/0!</v>
      </c>
    </row>
    <row r="325" spans="1:16" ht="18.75" customHeight="1">
      <c r="A325" s="289" t="str">
        <f t="shared" si="20"/>
        <v>NL</v>
      </c>
      <c r="B325" s="753">
        <f t="shared" si="21"/>
        <v>314</v>
      </c>
      <c r="C325" s="191" t="s">
        <v>757</v>
      </c>
      <c r="D325" s="291" t="s">
        <v>393</v>
      </c>
      <c r="E325" s="25"/>
      <c r="F325" s="25"/>
      <c r="G325" s="25">
        <f t="array" ref="G325">SUM(IF("156"&amp;C325=KHN&amp;MH,SL))</f>
        <v>100</v>
      </c>
      <c r="H325" s="25">
        <f t="array" ref="H325">SUM(IF("156"&amp;C325=KHN&amp;MH,TH))</f>
        <v>6080764</v>
      </c>
      <c r="I325" s="25">
        <f t="array" ref="I325">SUM(IF("156"&amp;C325=KHC&amp;MH,SL))</f>
        <v>90</v>
      </c>
      <c r="J325" s="25">
        <f t="array" ref="J325">SUM(IF("156"&amp;C325=KHC&amp;MH,TH))</f>
        <v>5498494</v>
      </c>
      <c r="K325" s="25">
        <f t="shared" si="22"/>
        <v>10</v>
      </c>
      <c r="L325" s="25">
        <f t="shared" si="23"/>
        <v>582270</v>
      </c>
      <c r="M325" s="289">
        <f t="shared" si="24"/>
        <v>58227</v>
      </c>
    </row>
    <row r="326" spans="1:16" ht="18.75" customHeight="1">
      <c r="A326" s="289" t="str">
        <f t="shared" si="20"/>
        <v>NL</v>
      </c>
      <c r="B326" s="753">
        <f t="shared" si="21"/>
        <v>315</v>
      </c>
      <c r="C326" s="40" t="s">
        <v>761</v>
      </c>
      <c r="D326" s="291" t="s">
        <v>393</v>
      </c>
      <c r="E326" s="25"/>
      <c r="F326" s="25"/>
      <c r="G326" s="25">
        <f t="array" ref="G326">SUM(IF("156"&amp;C326=KHN&amp;MH,SL))</f>
        <v>100</v>
      </c>
      <c r="H326" s="25">
        <f t="array" ref="H326">SUM(IF("156"&amp;C326=KHN&amp;MH,TH))</f>
        <v>7543044</v>
      </c>
      <c r="I326" s="25">
        <f t="array" ref="I326">SUM(IF("156"&amp;C326=KHC&amp;MH,SL))</f>
        <v>82</v>
      </c>
      <c r="J326" s="25">
        <f t="array" ref="J326">SUM(IF("156"&amp;C326=KHC&amp;MH,TH))</f>
        <v>6266952</v>
      </c>
      <c r="K326" s="25">
        <f t="shared" si="22"/>
        <v>18</v>
      </c>
      <c r="L326" s="25">
        <f t="shared" si="23"/>
        <v>1276092</v>
      </c>
      <c r="M326" s="289">
        <f t="shared" si="24"/>
        <v>70894</v>
      </c>
    </row>
    <row r="327" spans="1:16" ht="18.75" customHeight="1">
      <c r="A327" s="289" t="str">
        <f t="shared" si="20"/>
        <v>NL</v>
      </c>
      <c r="B327" s="753">
        <f t="shared" si="21"/>
        <v>316</v>
      </c>
      <c r="C327" s="188" t="s">
        <v>791</v>
      </c>
      <c r="D327" s="291" t="s">
        <v>393</v>
      </c>
      <c r="E327" s="25"/>
      <c r="F327" s="25"/>
      <c r="G327" s="25">
        <f t="array" ref="G327">SUM(IF("156"&amp;C327=KHN&amp;MH,SL))</f>
        <v>15</v>
      </c>
      <c r="H327" s="25">
        <f t="array" ref="H327">SUM(IF("156"&amp;C327=KHN&amp;MH,TH))</f>
        <v>340119</v>
      </c>
      <c r="I327" s="25">
        <f t="array" ref="I327">SUM(IF("156"&amp;C327=KHC&amp;MH,SL))</f>
        <v>15</v>
      </c>
      <c r="J327" s="25">
        <f t="array" ref="J327">SUM(IF("156"&amp;C327=KHC&amp;MH,TH))</f>
        <v>340119</v>
      </c>
      <c r="K327" s="25">
        <f t="shared" si="22"/>
        <v>0</v>
      </c>
      <c r="L327" s="25">
        <f t="shared" si="23"/>
        <v>0</v>
      </c>
      <c r="M327" s="289" t="e">
        <f t="shared" si="24"/>
        <v>#DIV/0!</v>
      </c>
    </row>
    <row r="328" spans="1:16" ht="18.75" customHeight="1">
      <c r="A328" s="289" t="str">
        <f t="shared" si="20"/>
        <v>NL</v>
      </c>
      <c r="B328" s="753">
        <f t="shared" si="21"/>
        <v>317</v>
      </c>
      <c r="C328" s="188" t="s">
        <v>774</v>
      </c>
      <c r="D328" s="291" t="s">
        <v>393</v>
      </c>
      <c r="E328" s="25"/>
      <c r="F328" s="25"/>
      <c r="G328" s="25">
        <f t="array" ref="G328">SUM(IF("156"&amp;C328=KHN&amp;MH,SL))</f>
        <v>40</v>
      </c>
      <c r="H328" s="25">
        <f t="array" ref="H328">SUM(IF("156"&amp;C328=KHN&amp;MH,TH))</f>
        <v>976280</v>
      </c>
      <c r="I328" s="25">
        <f t="array" ref="I328">SUM(IF("156"&amp;C328=KHC&amp;MH,SL))</f>
        <v>40</v>
      </c>
      <c r="J328" s="25">
        <f t="array" ref="J328">SUM(IF("156"&amp;C328=KHC&amp;MH,TH))</f>
        <v>976280</v>
      </c>
      <c r="K328" s="25">
        <f t="shared" si="22"/>
        <v>0</v>
      </c>
      <c r="L328" s="25">
        <f t="shared" si="23"/>
        <v>0</v>
      </c>
      <c r="M328" s="289" t="e">
        <f t="shared" si="24"/>
        <v>#DIV/0!</v>
      </c>
    </row>
    <row r="329" spans="1:16" ht="18.75" customHeight="1">
      <c r="A329" s="289" t="str">
        <f t="shared" si="20"/>
        <v>NL</v>
      </c>
      <c r="B329" s="753">
        <f t="shared" si="21"/>
        <v>318</v>
      </c>
      <c r="C329" s="292" t="s">
        <v>1491</v>
      </c>
      <c r="D329" s="291" t="s">
        <v>393</v>
      </c>
      <c r="E329" s="25"/>
      <c r="F329" s="25"/>
      <c r="G329" s="25">
        <f t="array" ref="G329">SUM(IF("156"&amp;C329=KHN&amp;MH,SL))</f>
        <v>20</v>
      </c>
      <c r="H329" s="25">
        <f t="array" ref="H329">SUM(IF("156"&amp;C329=KHN&amp;MH,TH))</f>
        <v>1420000</v>
      </c>
      <c r="I329" s="25">
        <f t="array" ref="I329">SUM(IF("156"&amp;C329=KHC&amp;MH,SL))</f>
        <v>20</v>
      </c>
      <c r="J329" s="25">
        <f t="array" ref="J329">SUM(IF("156"&amp;C329=KHC&amp;MH,TH))</f>
        <v>1420000</v>
      </c>
      <c r="K329" s="25">
        <f t="shared" si="22"/>
        <v>0</v>
      </c>
      <c r="L329" s="25">
        <f t="shared" si="23"/>
        <v>0</v>
      </c>
      <c r="M329" s="289" t="e">
        <f t="shared" si="24"/>
        <v>#DIV/0!</v>
      </c>
      <c r="O329" s="927"/>
      <c r="P329" s="927"/>
    </row>
    <row r="330" spans="1:16" ht="18.75" customHeight="1">
      <c r="A330" s="289" t="str">
        <f t="shared" si="20"/>
        <v>NL</v>
      </c>
      <c r="B330" s="753">
        <f t="shared" si="21"/>
        <v>319</v>
      </c>
      <c r="C330" s="40" t="s">
        <v>816</v>
      </c>
      <c r="D330" s="291" t="s">
        <v>393</v>
      </c>
      <c r="E330" s="25"/>
      <c r="F330" s="25"/>
      <c r="G330" s="25">
        <f t="array" ref="G330">SUM(IF("156"&amp;C330=KHN&amp;MH,SL))</f>
        <v>8</v>
      </c>
      <c r="H330" s="25">
        <f t="array" ref="H330">SUM(IF("156"&amp;C330=KHN&amp;MH,TH))</f>
        <v>1635725</v>
      </c>
      <c r="I330" s="25">
        <f t="array" ref="I330">SUM(IF("156"&amp;C330=KHC&amp;MH,SL))</f>
        <v>8</v>
      </c>
      <c r="J330" s="25">
        <f t="array" ref="J330">SUM(IF("156"&amp;C330=KHC&amp;MH,TH))</f>
        <v>1635725</v>
      </c>
      <c r="K330" s="25">
        <f t="shared" si="22"/>
        <v>0</v>
      </c>
      <c r="L330" s="25">
        <f t="shared" si="23"/>
        <v>0</v>
      </c>
      <c r="M330" s="289" t="e">
        <f t="shared" si="24"/>
        <v>#DIV/0!</v>
      </c>
    </row>
    <row r="331" spans="1:16" ht="18.75" customHeight="1">
      <c r="A331" s="289" t="str">
        <f t="shared" si="20"/>
        <v>NL</v>
      </c>
      <c r="B331" s="753">
        <f t="shared" si="21"/>
        <v>320</v>
      </c>
      <c r="C331" s="292" t="s">
        <v>1772</v>
      </c>
      <c r="D331" s="291"/>
      <c r="E331" s="25"/>
      <c r="F331" s="25"/>
      <c r="G331" s="25">
        <f t="array" ref="G331">SUM(IF("156"&amp;C331=KHN&amp;MH,SL))</f>
        <v>8</v>
      </c>
      <c r="H331" s="25">
        <f t="array" ref="H331">SUM(IF("156"&amp;C331=KHN&amp;MH,TH))</f>
        <v>858400</v>
      </c>
      <c r="I331" s="25">
        <f t="array" ref="I331">SUM(IF("156"&amp;C331=KHC&amp;MH,SL))</f>
        <v>8</v>
      </c>
      <c r="J331" s="25">
        <f t="array" ref="J331">SUM(IF("156"&amp;C331=KHC&amp;MH,TH))</f>
        <v>858400</v>
      </c>
      <c r="K331" s="25">
        <f t="shared" si="22"/>
        <v>0</v>
      </c>
      <c r="L331" s="25">
        <f t="shared" si="23"/>
        <v>0</v>
      </c>
      <c r="M331" s="289" t="e">
        <f t="shared" si="24"/>
        <v>#DIV/0!</v>
      </c>
    </row>
    <row r="332" spans="1:16" ht="18.75" customHeight="1">
      <c r="A332" s="289" t="str">
        <f t="shared" ref="A332:A395" si="25">IF(B332&lt;&gt;"","NL","")</f>
        <v>NL</v>
      </c>
      <c r="B332" s="753">
        <f t="shared" ref="B332:B395" si="26">IF(C332&lt;&gt;"",ROW()-11,"")</f>
        <v>321</v>
      </c>
      <c r="C332" s="40" t="s">
        <v>707</v>
      </c>
      <c r="D332" s="291" t="s">
        <v>393</v>
      </c>
      <c r="E332" s="25"/>
      <c r="F332" s="25"/>
      <c r="G332" s="25">
        <f t="array" ref="G332">SUM(IF("156"&amp;C332=KHN&amp;MH,SL))</f>
        <v>34</v>
      </c>
      <c r="H332" s="25">
        <f t="array" ref="H332">SUM(IF("156"&amp;C332=KHN&amp;MH,TH))</f>
        <v>3819118</v>
      </c>
      <c r="I332" s="25">
        <f t="array" ref="I332">SUM(IF("156"&amp;C332=KHC&amp;MH,SL))</f>
        <v>34</v>
      </c>
      <c r="J332" s="25">
        <f t="array" ref="J332">SUM(IF("156"&amp;C332=KHC&amp;MH,TH))</f>
        <v>3819118</v>
      </c>
      <c r="K332" s="25">
        <f t="shared" ref="K332:K395" si="27">E332+G332-I332</f>
        <v>0</v>
      </c>
      <c r="L332" s="25">
        <f t="shared" ref="L332:L395" si="28">F332+H332-J332</f>
        <v>0</v>
      </c>
      <c r="M332" s="289" t="e">
        <f t="shared" ref="M332:M395" si="29">L332/K332</f>
        <v>#DIV/0!</v>
      </c>
    </row>
    <row r="333" spans="1:16" ht="18.75" customHeight="1">
      <c r="A333" s="289" t="str">
        <f t="shared" si="25"/>
        <v>NL</v>
      </c>
      <c r="B333" s="753">
        <f t="shared" si="26"/>
        <v>322</v>
      </c>
      <c r="C333" s="292" t="s">
        <v>1577</v>
      </c>
      <c r="D333" s="291" t="s">
        <v>393</v>
      </c>
      <c r="E333" s="25"/>
      <c r="F333" s="25"/>
      <c r="G333" s="25">
        <f t="array" ref="G333">SUM(IF("156"&amp;C333=KHN&amp;MH,SL))</f>
        <v>8</v>
      </c>
      <c r="H333" s="25">
        <f t="array" ref="H333">SUM(IF("156"&amp;C333=KHN&amp;MH,TH))</f>
        <v>1048800</v>
      </c>
      <c r="I333" s="25">
        <f t="array" ref="I333">SUM(IF("156"&amp;C333=KHC&amp;MH,SL))</f>
        <v>8</v>
      </c>
      <c r="J333" s="25">
        <f t="array" ref="J333">SUM(IF("156"&amp;C333=KHC&amp;MH,TH))</f>
        <v>1048800</v>
      </c>
      <c r="K333" s="25">
        <f t="shared" si="27"/>
        <v>0</v>
      </c>
      <c r="L333" s="25">
        <f t="shared" si="28"/>
        <v>0</v>
      </c>
      <c r="M333" s="289" t="e">
        <f t="shared" si="29"/>
        <v>#DIV/0!</v>
      </c>
      <c r="O333" s="927"/>
      <c r="P333" s="927"/>
    </row>
    <row r="334" spans="1:16" ht="18.75" customHeight="1">
      <c r="A334" s="289" t="str">
        <f t="shared" si="25"/>
        <v>NL</v>
      </c>
      <c r="B334" s="753">
        <f t="shared" si="26"/>
        <v>323</v>
      </c>
      <c r="C334" s="191" t="s">
        <v>989</v>
      </c>
      <c r="D334" s="291" t="s">
        <v>393</v>
      </c>
      <c r="E334" s="25"/>
      <c r="F334" s="25"/>
      <c r="G334" s="25">
        <f t="array" ref="G334">SUM(IF("156"&amp;C334=KHN&amp;MH,SL))</f>
        <v>10</v>
      </c>
      <c r="H334" s="25">
        <f t="array" ref="H334">SUM(IF("156"&amp;C334=KHN&amp;MH,TH))</f>
        <v>1314550</v>
      </c>
      <c r="I334" s="25">
        <f t="array" ref="I334">SUM(IF("156"&amp;C334=KHC&amp;MH,SL))</f>
        <v>10</v>
      </c>
      <c r="J334" s="25">
        <f t="array" ref="J334">SUM(IF("156"&amp;C334=KHC&amp;MH,TH))</f>
        <v>1314550</v>
      </c>
      <c r="K334" s="25">
        <f t="shared" si="27"/>
        <v>0</v>
      </c>
      <c r="L334" s="25">
        <f t="shared" si="28"/>
        <v>0</v>
      </c>
      <c r="M334" s="289" t="e">
        <f t="shared" si="29"/>
        <v>#DIV/0!</v>
      </c>
    </row>
    <row r="335" spans="1:16" ht="18.75" customHeight="1">
      <c r="A335" s="289" t="str">
        <f t="shared" si="25"/>
        <v>NL</v>
      </c>
      <c r="B335" s="753">
        <f t="shared" si="26"/>
        <v>324</v>
      </c>
      <c r="C335" s="188" t="s">
        <v>456</v>
      </c>
      <c r="D335" s="291" t="s">
        <v>393</v>
      </c>
      <c r="E335" s="25"/>
      <c r="F335" s="25"/>
      <c r="G335" s="25">
        <f t="array" ref="G335">SUM(IF("156"&amp;C335=KHN&amp;MH,SL))</f>
        <v>10</v>
      </c>
      <c r="H335" s="25">
        <f t="array" ref="H335">SUM(IF("156"&amp;C335=KHN&amp;MH,TH))</f>
        <v>1388180</v>
      </c>
      <c r="I335" s="25">
        <f t="array" ref="I335">SUM(IF("156"&amp;C335=KHC&amp;MH,SL))</f>
        <v>10</v>
      </c>
      <c r="J335" s="25">
        <f t="array" ref="J335">SUM(IF("156"&amp;C335=KHC&amp;MH,TH))</f>
        <v>1388180</v>
      </c>
      <c r="K335" s="25">
        <f t="shared" si="27"/>
        <v>0</v>
      </c>
      <c r="L335" s="25">
        <f t="shared" si="28"/>
        <v>0</v>
      </c>
      <c r="M335" s="289" t="e">
        <f t="shared" si="29"/>
        <v>#DIV/0!</v>
      </c>
    </row>
    <row r="336" spans="1:16" ht="18.75" customHeight="1">
      <c r="A336" s="289" t="str">
        <f t="shared" si="25"/>
        <v>NL</v>
      </c>
      <c r="B336" s="753">
        <f t="shared" si="26"/>
        <v>325</v>
      </c>
      <c r="C336" s="188" t="s">
        <v>880</v>
      </c>
      <c r="D336" s="291" t="s">
        <v>393</v>
      </c>
      <c r="E336" s="25"/>
      <c r="F336" s="25"/>
      <c r="G336" s="25">
        <f t="array" ref="G336">SUM(IF("156"&amp;C336=KHN&amp;MH,SL))</f>
        <v>10</v>
      </c>
      <c r="H336" s="25">
        <f t="array" ref="H336">SUM(IF("156"&amp;C336=KHN&amp;MH,TH))</f>
        <v>1381000</v>
      </c>
      <c r="I336" s="25">
        <f t="array" ref="I336">SUM(IF("156"&amp;C336=KHC&amp;MH,SL))</f>
        <v>10</v>
      </c>
      <c r="J336" s="25">
        <f t="array" ref="J336">SUM(IF("156"&amp;C336=KHC&amp;MH,TH))</f>
        <v>1381000</v>
      </c>
      <c r="K336" s="25">
        <f t="shared" si="27"/>
        <v>0</v>
      </c>
      <c r="L336" s="25">
        <f t="shared" si="28"/>
        <v>0</v>
      </c>
      <c r="M336" s="289" t="e">
        <f t="shared" si="29"/>
        <v>#DIV/0!</v>
      </c>
    </row>
    <row r="337" spans="1:16" ht="18.75" customHeight="1">
      <c r="A337" s="289" t="str">
        <f t="shared" si="25"/>
        <v>NL</v>
      </c>
      <c r="B337" s="753">
        <f t="shared" si="26"/>
        <v>326</v>
      </c>
      <c r="C337" s="40" t="s">
        <v>872</v>
      </c>
      <c r="D337" s="291" t="s">
        <v>393</v>
      </c>
      <c r="E337" s="25"/>
      <c r="F337" s="25"/>
      <c r="G337" s="25">
        <f t="array" ref="G337">SUM(IF("156"&amp;C337=KHN&amp;MH,SL))</f>
        <v>4</v>
      </c>
      <c r="H337" s="25">
        <f t="array" ref="H337">SUM(IF("156"&amp;C337=KHN&amp;MH,TH))</f>
        <v>578188</v>
      </c>
      <c r="I337" s="25">
        <f t="array" ref="I337">SUM(IF("156"&amp;C337=KHC&amp;MH,SL))</f>
        <v>0</v>
      </c>
      <c r="J337" s="25">
        <f t="array" ref="J337">SUM(IF("156"&amp;C337=KHC&amp;MH,TH))</f>
        <v>0</v>
      </c>
      <c r="K337" s="25">
        <f t="shared" si="27"/>
        <v>4</v>
      </c>
      <c r="L337" s="25">
        <f t="shared" si="28"/>
        <v>578188</v>
      </c>
      <c r="M337" s="289">
        <f t="shared" si="29"/>
        <v>144547</v>
      </c>
    </row>
    <row r="338" spans="1:16" ht="18.75" customHeight="1">
      <c r="A338" s="289" t="str">
        <f t="shared" si="25"/>
        <v>NL</v>
      </c>
      <c r="B338" s="753">
        <f t="shared" si="26"/>
        <v>327</v>
      </c>
      <c r="C338" s="292" t="s">
        <v>1763</v>
      </c>
      <c r="D338" s="291"/>
      <c r="E338" s="25"/>
      <c r="F338" s="25"/>
      <c r="G338" s="25">
        <f t="array" ref="G338">SUM(IF("156"&amp;C338=KHN&amp;MH,SL))</f>
        <v>20</v>
      </c>
      <c r="H338" s="25">
        <f t="array" ref="H338">SUM(IF("156"&amp;C338=KHN&amp;MH,TH))</f>
        <v>1360000</v>
      </c>
      <c r="I338" s="25">
        <f t="array" ref="I338">SUM(IF("156"&amp;C338=KHC&amp;MH,SL))</f>
        <v>20</v>
      </c>
      <c r="J338" s="25">
        <f t="array" ref="J338">SUM(IF("156"&amp;C338=KHC&amp;MH,TH))</f>
        <v>1360000</v>
      </c>
      <c r="K338" s="25">
        <f t="shared" si="27"/>
        <v>0</v>
      </c>
      <c r="L338" s="25">
        <f t="shared" si="28"/>
        <v>0</v>
      </c>
      <c r="M338" s="289" t="e">
        <f t="shared" si="29"/>
        <v>#DIV/0!</v>
      </c>
    </row>
    <row r="339" spans="1:16" ht="18.75" customHeight="1">
      <c r="A339" s="289" t="str">
        <f t="shared" si="25"/>
        <v>NL</v>
      </c>
      <c r="B339" s="753">
        <f t="shared" si="26"/>
        <v>328</v>
      </c>
      <c r="C339" s="40" t="s">
        <v>817</v>
      </c>
      <c r="D339" s="291" t="s">
        <v>393</v>
      </c>
      <c r="E339" s="25"/>
      <c r="F339" s="25"/>
      <c r="G339" s="25">
        <f t="array" ref="G339">SUM(IF("156"&amp;C339=KHN&amp;MH,SL))</f>
        <v>38</v>
      </c>
      <c r="H339" s="25">
        <f t="array" ref="H339">SUM(IF("156"&amp;C339=KHN&amp;MH,TH))</f>
        <v>5704002</v>
      </c>
      <c r="I339" s="25">
        <f t="array" ref="I339">SUM(IF("156"&amp;C339=KHC&amp;MH,SL))</f>
        <v>38</v>
      </c>
      <c r="J339" s="25">
        <f t="array" ref="J339">SUM(IF("156"&amp;C339=KHC&amp;MH,TH))</f>
        <v>5704002</v>
      </c>
      <c r="K339" s="25">
        <f t="shared" si="27"/>
        <v>0</v>
      </c>
      <c r="L339" s="25">
        <f t="shared" si="28"/>
        <v>0</v>
      </c>
      <c r="M339" s="289" t="e">
        <f t="shared" si="29"/>
        <v>#DIV/0!</v>
      </c>
      <c r="O339" s="927"/>
      <c r="P339" s="927"/>
    </row>
    <row r="340" spans="1:16" ht="18.75" customHeight="1">
      <c r="A340" s="289" t="str">
        <f t="shared" si="25"/>
        <v>NL</v>
      </c>
      <c r="B340" s="753">
        <f t="shared" si="26"/>
        <v>329</v>
      </c>
      <c r="C340" s="191" t="s">
        <v>683</v>
      </c>
      <c r="D340" s="291" t="s">
        <v>393</v>
      </c>
      <c r="E340" s="25"/>
      <c r="F340" s="25"/>
      <c r="G340" s="25">
        <f t="array" ref="G340">SUM(IF("156"&amp;C340=KHN&amp;MH,SL))</f>
        <v>640</v>
      </c>
      <c r="H340" s="25">
        <f t="array" ref="H340">SUM(IF("156"&amp;C340=KHN&amp;MH,TH))</f>
        <v>37494662</v>
      </c>
      <c r="I340" s="25">
        <f t="array" ref="I340">SUM(IF("156"&amp;C340=KHC&amp;MH,SL))</f>
        <v>640</v>
      </c>
      <c r="J340" s="25">
        <f t="array" ref="J340">SUM(IF("156"&amp;C340=KHC&amp;MH,TH))</f>
        <v>37494662</v>
      </c>
      <c r="K340" s="25">
        <f t="shared" si="27"/>
        <v>0</v>
      </c>
      <c r="L340" s="25">
        <f t="shared" si="28"/>
        <v>0</v>
      </c>
      <c r="M340" s="289" t="e">
        <f t="shared" si="29"/>
        <v>#DIV/0!</v>
      </c>
    </row>
    <row r="341" spans="1:16" ht="18.75" customHeight="1">
      <c r="A341" s="289" t="str">
        <f t="shared" si="25"/>
        <v>NL</v>
      </c>
      <c r="B341" s="753">
        <f t="shared" si="26"/>
        <v>330</v>
      </c>
      <c r="C341" s="188" t="s">
        <v>468</v>
      </c>
      <c r="D341" s="291" t="s">
        <v>393</v>
      </c>
      <c r="E341" s="25"/>
      <c r="F341" s="25"/>
      <c r="G341" s="25">
        <f t="array" ref="G341">SUM(IF("156"&amp;C341=KHN&amp;MH,SL))</f>
        <v>155</v>
      </c>
      <c r="H341" s="25">
        <f t="array" ref="H341">SUM(IF("156"&amp;C341=KHN&amp;MH,TH))</f>
        <v>10871575</v>
      </c>
      <c r="I341" s="25">
        <f t="array" ref="I341">SUM(IF("156"&amp;C341=KHC&amp;MH,SL))</f>
        <v>155</v>
      </c>
      <c r="J341" s="25">
        <f t="array" ref="J341">SUM(IF("156"&amp;C341=KHC&amp;MH,TH))</f>
        <v>10871575</v>
      </c>
      <c r="K341" s="25">
        <f t="shared" si="27"/>
        <v>0</v>
      </c>
      <c r="L341" s="25">
        <f t="shared" si="28"/>
        <v>0</v>
      </c>
      <c r="M341" s="289" t="e">
        <f t="shared" si="29"/>
        <v>#DIV/0!</v>
      </c>
      <c r="O341" s="927"/>
      <c r="P341" s="927"/>
    </row>
    <row r="342" spans="1:16" ht="18.75" customHeight="1">
      <c r="A342" s="289" t="str">
        <f t="shared" si="25"/>
        <v>NL</v>
      </c>
      <c r="B342" s="753">
        <f t="shared" si="26"/>
        <v>331</v>
      </c>
      <c r="C342" s="188" t="s">
        <v>469</v>
      </c>
      <c r="D342" s="291" t="s">
        <v>393</v>
      </c>
      <c r="E342" s="25"/>
      <c r="F342" s="25"/>
      <c r="G342" s="25">
        <f t="array" ref="G342">SUM(IF("156"&amp;C342=KHN&amp;MH,SL))</f>
        <v>39</v>
      </c>
      <c r="H342" s="25">
        <f t="array" ref="H342">SUM(IF("156"&amp;C342=KHN&amp;MH,TH))</f>
        <v>2311743</v>
      </c>
      <c r="I342" s="25">
        <f t="array" ref="I342">SUM(IF("156"&amp;C342=KHC&amp;MH,SL))</f>
        <v>39</v>
      </c>
      <c r="J342" s="25">
        <f t="array" ref="J342">SUM(IF("156"&amp;C342=KHC&amp;MH,TH))</f>
        <v>2311743</v>
      </c>
      <c r="K342" s="25">
        <f t="shared" si="27"/>
        <v>0</v>
      </c>
      <c r="L342" s="25">
        <f t="shared" si="28"/>
        <v>0</v>
      </c>
      <c r="M342" s="289" t="e">
        <f t="shared" si="29"/>
        <v>#DIV/0!</v>
      </c>
    </row>
    <row r="343" spans="1:16" ht="18.75" customHeight="1">
      <c r="A343" s="289" t="str">
        <f t="shared" si="25"/>
        <v>NL</v>
      </c>
      <c r="B343" s="753">
        <f t="shared" si="26"/>
        <v>332</v>
      </c>
      <c r="C343" s="191" t="s">
        <v>575</v>
      </c>
      <c r="D343" s="291" t="s">
        <v>393</v>
      </c>
      <c r="E343" s="25"/>
      <c r="F343" s="25"/>
      <c r="G343" s="25">
        <f t="array" ref="G343">SUM(IF("156"&amp;C343=KHN&amp;MH,SL))</f>
        <v>40</v>
      </c>
      <c r="H343" s="25">
        <f t="array" ref="H343">SUM(IF("156"&amp;C343=KHN&amp;MH,TH))</f>
        <v>2031680</v>
      </c>
      <c r="I343" s="25">
        <f t="array" ref="I343">SUM(IF("156"&amp;C343=KHC&amp;MH,SL))</f>
        <v>40</v>
      </c>
      <c r="J343" s="25">
        <f t="array" ref="J343">SUM(IF("156"&amp;C343=KHC&amp;MH,TH))</f>
        <v>2031680</v>
      </c>
      <c r="K343" s="25">
        <f t="shared" si="27"/>
        <v>0</v>
      </c>
      <c r="L343" s="25">
        <f t="shared" si="28"/>
        <v>0</v>
      </c>
      <c r="M343" s="289" t="e">
        <f t="shared" si="29"/>
        <v>#DIV/0!</v>
      </c>
    </row>
    <row r="344" spans="1:16" ht="18.75" customHeight="1">
      <c r="A344" s="289" t="str">
        <f t="shared" si="25"/>
        <v>NL</v>
      </c>
      <c r="B344" s="753">
        <f t="shared" si="26"/>
        <v>333</v>
      </c>
      <c r="C344" s="191" t="s">
        <v>754</v>
      </c>
      <c r="D344" s="291" t="s">
        <v>393</v>
      </c>
      <c r="E344" s="25"/>
      <c r="F344" s="25"/>
      <c r="G344" s="25">
        <f t="array" ref="G344">SUM(IF("156"&amp;C344=KHN&amp;MH,SL))</f>
        <v>2000</v>
      </c>
      <c r="H344" s="25">
        <f t="array" ref="H344">SUM(IF("156"&amp;C344=KHN&amp;MH,TH))</f>
        <v>1531000</v>
      </c>
      <c r="I344" s="25">
        <f t="array" ref="I344">SUM(IF("156"&amp;C344=KHC&amp;MH,SL))</f>
        <v>1000</v>
      </c>
      <c r="J344" s="25">
        <f t="array" ref="J344">SUM(IF("156"&amp;C344=KHC&amp;MH,TH))</f>
        <v>763000</v>
      </c>
      <c r="K344" s="25">
        <f t="shared" si="27"/>
        <v>1000</v>
      </c>
      <c r="L344" s="25">
        <f t="shared" si="28"/>
        <v>768000</v>
      </c>
      <c r="M344" s="289">
        <f t="shared" si="29"/>
        <v>768</v>
      </c>
    </row>
    <row r="345" spans="1:16" ht="18.75" customHeight="1">
      <c r="A345" s="289" t="str">
        <f t="shared" si="25"/>
        <v>NL</v>
      </c>
      <c r="B345" s="753">
        <f t="shared" si="26"/>
        <v>334</v>
      </c>
      <c r="C345" s="191" t="s">
        <v>664</v>
      </c>
      <c r="D345" s="291" t="s">
        <v>393</v>
      </c>
      <c r="E345" s="25"/>
      <c r="F345" s="25"/>
      <c r="G345" s="25">
        <f t="array" ref="G345">SUM(IF("156"&amp;C345=KHN&amp;MH,SL))</f>
        <v>1040</v>
      </c>
      <c r="H345" s="25">
        <f t="array" ref="H345">SUM(IF("156"&amp;C345=KHN&amp;MH,TH))</f>
        <v>88132780</v>
      </c>
      <c r="I345" s="25">
        <f t="array" ref="I345">SUM(IF("156"&amp;C345=KHC&amp;MH,SL))</f>
        <v>1040</v>
      </c>
      <c r="J345" s="25">
        <f t="array" ref="J345">SUM(IF("156"&amp;C345=KHC&amp;MH,TH))</f>
        <v>88132780</v>
      </c>
      <c r="K345" s="25">
        <f t="shared" si="27"/>
        <v>0</v>
      </c>
      <c r="L345" s="25">
        <f t="shared" si="28"/>
        <v>0</v>
      </c>
      <c r="M345" s="289" t="e">
        <f t="shared" si="29"/>
        <v>#DIV/0!</v>
      </c>
    </row>
    <row r="346" spans="1:16" ht="18.75" customHeight="1">
      <c r="A346" s="289" t="str">
        <f t="shared" si="25"/>
        <v>NL</v>
      </c>
      <c r="B346" s="753">
        <f t="shared" si="26"/>
        <v>335</v>
      </c>
      <c r="C346" s="292" t="s">
        <v>1766</v>
      </c>
      <c r="D346" s="291"/>
      <c r="E346" s="25"/>
      <c r="F346" s="25"/>
      <c r="G346" s="25">
        <f t="array" ref="G346">SUM(IF("156"&amp;C346=KHN&amp;MH,SL))</f>
        <v>20</v>
      </c>
      <c r="H346" s="25">
        <f t="array" ref="H346">SUM(IF("156"&amp;C346=KHN&amp;MH,TH))</f>
        <v>1438020</v>
      </c>
      <c r="I346" s="25">
        <f t="array" ref="I346">SUM(IF("156"&amp;C346=KHC&amp;MH,SL))</f>
        <v>20</v>
      </c>
      <c r="J346" s="25">
        <f t="array" ref="J346">SUM(IF("156"&amp;C346=KHC&amp;MH,TH))</f>
        <v>1438020</v>
      </c>
      <c r="K346" s="25">
        <f t="shared" si="27"/>
        <v>0</v>
      </c>
      <c r="L346" s="25">
        <f t="shared" si="28"/>
        <v>0</v>
      </c>
      <c r="M346" s="289" t="e">
        <f t="shared" si="29"/>
        <v>#DIV/0!</v>
      </c>
    </row>
    <row r="347" spans="1:16" ht="18.75" customHeight="1">
      <c r="A347" s="289" t="str">
        <f t="shared" si="25"/>
        <v>NL</v>
      </c>
      <c r="B347" s="753">
        <f t="shared" si="26"/>
        <v>336</v>
      </c>
      <c r="C347" s="292" t="s">
        <v>1760</v>
      </c>
      <c r="D347" s="291"/>
      <c r="E347" s="25"/>
      <c r="F347" s="25"/>
      <c r="G347" s="25">
        <f t="array" ref="G347">SUM(IF("156"&amp;C347=KHN&amp;MH,SL))</f>
        <v>20</v>
      </c>
      <c r="H347" s="25">
        <f t="array" ref="H347">SUM(IF("156"&amp;C347=KHN&amp;MH,TH))</f>
        <v>1254000</v>
      </c>
      <c r="I347" s="25">
        <f t="array" ref="I347">SUM(IF("156"&amp;C347=KHC&amp;MH,SL))</f>
        <v>20</v>
      </c>
      <c r="J347" s="25">
        <f t="array" ref="J347">SUM(IF("156"&amp;C347=KHC&amp;MH,TH))</f>
        <v>1254000</v>
      </c>
      <c r="K347" s="25">
        <f t="shared" si="27"/>
        <v>0</v>
      </c>
      <c r="L347" s="25">
        <f t="shared" si="28"/>
        <v>0</v>
      </c>
      <c r="M347" s="289" t="e">
        <f t="shared" si="29"/>
        <v>#DIV/0!</v>
      </c>
    </row>
    <row r="348" spans="1:16" ht="18.75" customHeight="1">
      <c r="A348" s="289" t="str">
        <f t="shared" si="25"/>
        <v>NL</v>
      </c>
      <c r="B348" s="753">
        <f t="shared" si="26"/>
        <v>337</v>
      </c>
      <c r="C348" s="292" t="s">
        <v>1457</v>
      </c>
      <c r="D348" s="291" t="s">
        <v>393</v>
      </c>
      <c r="E348" s="25"/>
      <c r="F348" s="25"/>
      <c r="G348" s="25">
        <f t="array" ref="G348">SUM(IF("156"&amp;C348=KHN&amp;MH,SL))</f>
        <v>30</v>
      </c>
      <c r="H348" s="25">
        <f t="array" ref="H348">SUM(IF("156"&amp;C348=KHN&amp;MH,TH))</f>
        <v>1440300</v>
      </c>
      <c r="I348" s="25">
        <f t="array" ref="I348">SUM(IF("156"&amp;C348=KHC&amp;MH,SL))</f>
        <v>30</v>
      </c>
      <c r="J348" s="25">
        <f t="array" ref="J348">SUM(IF("156"&amp;C348=KHC&amp;MH,TH))</f>
        <v>1440300</v>
      </c>
      <c r="K348" s="25">
        <f t="shared" si="27"/>
        <v>0</v>
      </c>
      <c r="L348" s="25">
        <f t="shared" si="28"/>
        <v>0</v>
      </c>
      <c r="M348" s="289" t="e">
        <f t="shared" si="29"/>
        <v>#DIV/0!</v>
      </c>
      <c r="O348" s="927"/>
      <c r="P348" s="927"/>
    </row>
    <row r="349" spans="1:16" ht="18.75" customHeight="1">
      <c r="A349" s="289" t="str">
        <f t="shared" si="25"/>
        <v>NL</v>
      </c>
      <c r="B349" s="753">
        <f t="shared" si="26"/>
        <v>338</v>
      </c>
      <c r="C349" s="191" t="s">
        <v>527</v>
      </c>
      <c r="D349" s="291" t="s">
        <v>393</v>
      </c>
      <c r="E349" s="25"/>
      <c r="F349" s="25"/>
      <c r="G349" s="25">
        <f t="array" ref="G349">SUM(IF("156"&amp;C349=KHN&amp;MH,SL))</f>
        <v>16</v>
      </c>
      <c r="H349" s="25">
        <f t="array" ref="H349">SUM(IF("156"&amp;C349=KHN&amp;MH,TH))</f>
        <v>1168528</v>
      </c>
      <c r="I349" s="25">
        <f t="array" ref="I349">SUM(IF("156"&amp;C349=KHC&amp;MH,SL))</f>
        <v>16</v>
      </c>
      <c r="J349" s="25">
        <f t="array" ref="J349">SUM(IF("156"&amp;C349=KHC&amp;MH,TH))</f>
        <v>1168528</v>
      </c>
      <c r="K349" s="25">
        <f t="shared" si="27"/>
        <v>0</v>
      </c>
      <c r="L349" s="25">
        <f t="shared" si="28"/>
        <v>0</v>
      </c>
      <c r="M349" s="289" t="e">
        <f t="shared" si="29"/>
        <v>#DIV/0!</v>
      </c>
    </row>
    <row r="350" spans="1:16" ht="18.75" customHeight="1">
      <c r="A350" s="289" t="str">
        <f t="shared" si="25"/>
        <v>NL</v>
      </c>
      <c r="B350" s="753">
        <f t="shared" si="26"/>
        <v>339</v>
      </c>
      <c r="C350" s="191" t="s">
        <v>506</v>
      </c>
      <c r="D350" s="291" t="s">
        <v>393</v>
      </c>
      <c r="E350" s="25"/>
      <c r="F350" s="25"/>
      <c r="G350" s="25">
        <f t="array" ref="G350">SUM(IF("156"&amp;C350=KHN&amp;MH,SL))</f>
        <v>7</v>
      </c>
      <c r="H350" s="25">
        <f t="array" ref="H350">SUM(IF("156"&amp;C350=KHN&amp;MH,TH))</f>
        <v>1137703</v>
      </c>
      <c r="I350" s="25">
        <f t="array" ref="I350">SUM(IF("156"&amp;C350=KHC&amp;MH,SL))</f>
        <v>7</v>
      </c>
      <c r="J350" s="25">
        <f t="array" ref="J350">SUM(IF("156"&amp;C350=KHC&amp;MH,TH))</f>
        <v>1137703</v>
      </c>
      <c r="K350" s="25">
        <f t="shared" si="27"/>
        <v>0</v>
      </c>
      <c r="L350" s="25">
        <f t="shared" si="28"/>
        <v>0</v>
      </c>
      <c r="M350" s="289" t="e">
        <f t="shared" si="29"/>
        <v>#DIV/0!</v>
      </c>
    </row>
    <row r="351" spans="1:16" ht="18.75" customHeight="1">
      <c r="A351" s="289" t="str">
        <f t="shared" si="25"/>
        <v>NL</v>
      </c>
      <c r="B351" s="753">
        <f t="shared" si="26"/>
        <v>340</v>
      </c>
      <c r="C351" s="191" t="s">
        <v>526</v>
      </c>
      <c r="D351" s="291" t="s">
        <v>393</v>
      </c>
      <c r="E351" s="25"/>
      <c r="F351" s="25"/>
      <c r="G351" s="25">
        <f t="array" ref="G351">SUM(IF("156"&amp;C351=KHN&amp;MH,SL))</f>
        <v>20</v>
      </c>
      <c r="H351" s="25">
        <f t="array" ref="H351">SUM(IF("156"&amp;C351=KHN&amp;MH,TH))</f>
        <v>877968</v>
      </c>
      <c r="I351" s="25">
        <f t="array" ref="I351">SUM(IF("156"&amp;C351=KHC&amp;MH,SL))</f>
        <v>20</v>
      </c>
      <c r="J351" s="25">
        <f t="array" ref="J351">SUM(IF("156"&amp;C351=KHC&amp;MH,TH))</f>
        <v>877968</v>
      </c>
      <c r="K351" s="25">
        <f t="shared" si="27"/>
        <v>0</v>
      </c>
      <c r="L351" s="25">
        <f t="shared" si="28"/>
        <v>0</v>
      </c>
      <c r="M351" s="289" t="e">
        <f t="shared" si="29"/>
        <v>#DIV/0!</v>
      </c>
    </row>
    <row r="352" spans="1:16" ht="18.75" customHeight="1">
      <c r="A352" s="289" t="str">
        <f t="shared" si="25"/>
        <v>NL</v>
      </c>
      <c r="B352" s="753">
        <f t="shared" si="26"/>
        <v>341</v>
      </c>
      <c r="C352" s="292" t="s">
        <v>1764</v>
      </c>
      <c r="D352" s="291"/>
      <c r="E352" s="25"/>
      <c r="F352" s="25"/>
      <c r="G352" s="25">
        <f t="array" ref="G352">SUM(IF("156"&amp;C352=KHN&amp;MH,SL))</f>
        <v>4</v>
      </c>
      <c r="H352" s="25">
        <f t="array" ref="H352">SUM(IF("156"&amp;C352=KHN&amp;MH,TH))</f>
        <v>280000</v>
      </c>
      <c r="I352" s="25">
        <f t="array" ref="I352">SUM(IF("156"&amp;C352=KHC&amp;MH,SL))</f>
        <v>4</v>
      </c>
      <c r="J352" s="25">
        <f t="array" ref="J352">SUM(IF("156"&amp;C352=KHC&amp;MH,TH))</f>
        <v>280000</v>
      </c>
      <c r="K352" s="25">
        <f t="shared" si="27"/>
        <v>0</v>
      </c>
      <c r="L352" s="25">
        <f t="shared" si="28"/>
        <v>0</v>
      </c>
      <c r="M352" s="289" t="e">
        <f t="shared" si="29"/>
        <v>#DIV/0!</v>
      </c>
    </row>
    <row r="353" spans="1:16" ht="18.75" customHeight="1">
      <c r="A353" s="289" t="str">
        <f t="shared" si="25"/>
        <v>NL</v>
      </c>
      <c r="B353" s="753">
        <f t="shared" si="26"/>
        <v>342</v>
      </c>
      <c r="C353" s="188" t="s">
        <v>454</v>
      </c>
      <c r="D353" s="291" t="s">
        <v>393</v>
      </c>
      <c r="E353" s="25"/>
      <c r="F353" s="25"/>
      <c r="G353" s="25">
        <f t="array" ref="G353">SUM(IF("156"&amp;C353=KHN&amp;MH,SL))</f>
        <v>70</v>
      </c>
      <c r="H353" s="25">
        <f t="array" ref="H353">SUM(IF("156"&amp;C353=KHN&amp;MH,TH))</f>
        <v>6968743</v>
      </c>
      <c r="I353" s="25">
        <f t="array" ref="I353">SUM(IF("156"&amp;C353=KHC&amp;MH,SL))</f>
        <v>60</v>
      </c>
      <c r="J353" s="25">
        <f t="array" ref="J353">SUM(IF("156"&amp;C353=KHC&amp;MH,TH))</f>
        <v>5051513</v>
      </c>
      <c r="K353" s="25">
        <f t="shared" si="27"/>
        <v>10</v>
      </c>
      <c r="L353" s="25">
        <f t="shared" si="28"/>
        <v>1917230</v>
      </c>
      <c r="M353" s="289">
        <f t="shared" si="29"/>
        <v>191723</v>
      </c>
    </row>
    <row r="354" spans="1:16" ht="18.75" customHeight="1">
      <c r="A354" s="289" t="str">
        <f t="shared" si="25"/>
        <v>NL</v>
      </c>
      <c r="B354" s="753">
        <f t="shared" si="26"/>
        <v>343</v>
      </c>
      <c r="C354" s="191" t="s">
        <v>508</v>
      </c>
      <c r="D354" s="291" t="s">
        <v>393</v>
      </c>
      <c r="E354" s="25"/>
      <c r="F354" s="25"/>
      <c r="G354" s="25">
        <f t="array" ref="G354">SUM(IF("156"&amp;C354=KHN&amp;MH,SL))</f>
        <v>8</v>
      </c>
      <c r="H354" s="25">
        <f t="array" ref="H354">SUM(IF("156"&amp;C354=KHN&amp;MH,TH))</f>
        <v>682576</v>
      </c>
      <c r="I354" s="25">
        <f t="array" ref="I354">SUM(IF("156"&amp;C354=KHC&amp;MH,SL))</f>
        <v>8</v>
      </c>
      <c r="J354" s="25">
        <f t="array" ref="J354">SUM(IF("156"&amp;C354=KHC&amp;MH,TH))</f>
        <v>682576</v>
      </c>
      <c r="K354" s="25">
        <f t="shared" si="27"/>
        <v>0</v>
      </c>
      <c r="L354" s="25">
        <f t="shared" si="28"/>
        <v>0</v>
      </c>
      <c r="M354" s="289" t="e">
        <f t="shared" si="29"/>
        <v>#DIV/0!</v>
      </c>
    </row>
    <row r="355" spans="1:16" ht="18.75" customHeight="1">
      <c r="A355" s="289" t="str">
        <f t="shared" si="25"/>
        <v>NL</v>
      </c>
      <c r="B355" s="753">
        <f t="shared" si="26"/>
        <v>344</v>
      </c>
      <c r="C355" s="188" t="s">
        <v>886</v>
      </c>
      <c r="D355" s="291" t="s">
        <v>393</v>
      </c>
      <c r="E355" s="25"/>
      <c r="F355" s="25"/>
      <c r="G355" s="25">
        <f t="array" ref="G355">SUM(IF("156"&amp;C355=KHN&amp;MH,SL))</f>
        <v>4</v>
      </c>
      <c r="H355" s="25">
        <f t="array" ref="H355">SUM(IF("156"&amp;C355=KHN&amp;MH,TH))</f>
        <v>383200</v>
      </c>
      <c r="I355" s="25">
        <f t="array" ref="I355">SUM(IF("156"&amp;C355=KHC&amp;MH,SL))</f>
        <v>4</v>
      </c>
      <c r="J355" s="25">
        <f t="array" ref="J355">SUM(IF("156"&amp;C355=KHC&amp;MH,TH))</f>
        <v>383200</v>
      </c>
      <c r="K355" s="25">
        <f t="shared" si="27"/>
        <v>0</v>
      </c>
      <c r="L355" s="25">
        <f t="shared" si="28"/>
        <v>0</v>
      </c>
      <c r="M355" s="289" t="e">
        <f t="shared" si="29"/>
        <v>#DIV/0!</v>
      </c>
    </row>
    <row r="356" spans="1:16" ht="18.75" customHeight="1">
      <c r="A356" s="289" t="str">
        <f t="shared" si="25"/>
        <v>NL</v>
      </c>
      <c r="B356" s="753">
        <f t="shared" si="26"/>
        <v>345</v>
      </c>
      <c r="C356" s="188" t="s">
        <v>457</v>
      </c>
      <c r="D356" s="291" t="s">
        <v>393</v>
      </c>
      <c r="E356" s="25"/>
      <c r="F356" s="25"/>
      <c r="G356" s="25">
        <f t="array" ref="G356">SUM(IF("156"&amp;C356=KHN&amp;MH,SL))</f>
        <v>10</v>
      </c>
      <c r="H356" s="25">
        <f t="array" ref="H356">SUM(IF("156"&amp;C356=KHN&amp;MH,TH))</f>
        <v>965500</v>
      </c>
      <c r="I356" s="25">
        <f t="array" ref="I356">SUM(IF("156"&amp;C356=KHC&amp;MH,SL))</f>
        <v>10</v>
      </c>
      <c r="J356" s="25">
        <f t="array" ref="J356">SUM(IF("156"&amp;C356=KHC&amp;MH,TH))</f>
        <v>965500</v>
      </c>
      <c r="K356" s="25">
        <f t="shared" si="27"/>
        <v>0</v>
      </c>
      <c r="L356" s="25">
        <f t="shared" si="28"/>
        <v>0</v>
      </c>
      <c r="M356" s="289" t="e">
        <f t="shared" si="29"/>
        <v>#DIV/0!</v>
      </c>
    </row>
    <row r="357" spans="1:16" ht="18.75" customHeight="1">
      <c r="A357" s="289" t="str">
        <f t="shared" si="25"/>
        <v>NL</v>
      </c>
      <c r="B357" s="753">
        <f t="shared" si="26"/>
        <v>346</v>
      </c>
      <c r="C357" s="40" t="s">
        <v>720</v>
      </c>
      <c r="D357" s="291" t="s">
        <v>393</v>
      </c>
      <c r="E357" s="25"/>
      <c r="F357" s="25"/>
      <c r="G357" s="25">
        <f t="array" ref="G357">SUM(IF("156"&amp;C357=KHN&amp;MH,SL))</f>
        <v>55</v>
      </c>
      <c r="H357" s="25">
        <f t="array" ref="H357">SUM(IF("156"&amp;C357=KHN&amp;MH,TH))</f>
        <v>4418618</v>
      </c>
      <c r="I357" s="25">
        <f t="array" ref="I357">SUM(IF("156"&amp;C357=KHC&amp;MH,SL))</f>
        <v>55</v>
      </c>
      <c r="J357" s="25">
        <f t="array" ref="J357">SUM(IF("156"&amp;C357=KHC&amp;MH,TH))</f>
        <v>4418618</v>
      </c>
      <c r="K357" s="25">
        <f t="shared" si="27"/>
        <v>0</v>
      </c>
      <c r="L357" s="25">
        <f t="shared" si="28"/>
        <v>0</v>
      </c>
      <c r="M357" s="289" t="e">
        <f t="shared" si="29"/>
        <v>#DIV/0!</v>
      </c>
      <c r="O357" s="927"/>
      <c r="P357" s="927"/>
    </row>
    <row r="358" spans="1:16" ht="18.75" customHeight="1">
      <c r="A358" s="289" t="str">
        <f t="shared" si="25"/>
        <v>NL</v>
      </c>
      <c r="B358" s="753">
        <f t="shared" si="26"/>
        <v>347</v>
      </c>
      <c r="C358" s="40" t="s">
        <v>723</v>
      </c>
      <c r="D358" s="291" t="s">
        <v>393</v>
      </c>
      <c r="E358" s="25"/>
      <c r="F358" s="25"/>
      <c r="G358" s="25">
        <f t="array" ref="G358">SUM(IF("156"&amp;C358=KHN&amp;MH,SL))</f>
        <v>40</v>
      </c>
      <c r="H358" s="25">
        <f t="array" ref="H358">SUM(IF("156"&amp;C358=KHN&amp;MH,TH))</f>
        <v>2926266</v>
      </c>
      <c r="I358" s="25">
        <f t="array" ref="I358">SUM(IF("156"&amp;C358=KHC&amp;MH,SL))</f>
        <v>40</v>
      </c>
      <c r="J358" s="25">
        <f t="array" ref="J358">SUM(IF("156"&amp;C358=KHC&amp;MH,TH))</f>
        <v>2926266</v>
      </c>
      <c r="K358" s="25">
        <f t="shared" si="27"/>
        <v>0</v>
      </c>
      <c r="L358" s="25">
        <f t="shared" si="28"/>
        <v>0</v>
      </c>
      <c r="M358" s="289" t="e">
        <f t="shared" si="29"/>
        <v>#DIV/0!</v>
      </c>
    </row>
    <row r="359" spans="1:16" ht="18.75" customHeight="1">
      <c r="A359" s="289" t="str">
        <f t="shared" si="25"/>
        <v>NL</v>
      </c>
      <c r="B359" s="753">
        <f t="shared" si="26"/>
        <v>348</v>
      </c>
      <c r="C359" s="191" t="s">
        <v>483</v>
      </c>
      <c r="D359" s="291" t="s">
        <v>393</v>
      </c>
      <c r="E359" s="25"/>
      <c r="F359" s="25"/>
      <c r="G359" s="25">
        <f t="array" ref="G359">SUM(IF("156"&amp;C359=KHN&amp;MH,SL))</f>
        <v>28</v>
      </c>
      <c r="H359" s="25">
        <f t="array" ref="H359">SUM(IF("156"&amp;C359=KHN&amp;MH,TH))</f>
        <v>1438006</v>
      </c>
      <c r="I359" s="25">
        <f t="array" ref="I359">SUM(IF("156"&amp;C359=KHC&amp;MH,SL))</f>
        <v>28</v>
      </c>
      <c r="J359" s="25">
        <f t="array" ref="J359">SUM(IF("156"&amp;C359=KHC&amp;MH,TH))</f>
        <v>1438006</v>
      </c>
      <c r="K359" s="25">
        <f t="shared" si="27"/>
        <v>0</v>
      </c>
      <c r="L359" s="25">
        <f t="shared" si="28"/>
        <v>0</v>
      </c>
      <c r="M359" s="289" t="e">
        <f t="shared" si="29"/>
        <v>#DIV/0!</v>
      </c>
    </row>
    <row r="360" spans="1:16" ht="18.75" customHeight="1">
      <c r="A360" s="289" t="str">
        <f t="shared" si="25"/>
        <v>NL</v>
      </c>
      <c r="B360" s="753">
        <f t="shared" si="26"/>
        <v>349</v>
      </c>
      <c r="C360" s="188" t="s">
        <v>466</v>
      </c>
      <c r="D360" s="291" t="s">
        <v>393</v>
      </c>
      <c r="E360" s="25"/>
      <c r="F360" s="25"/>
      <c r="G360" s="25">
        <f t="array" ref="G360">SUM(IF("156"&amp;C360=KHN&amp;MH,SL))</f>
        <v>45</v>
      </c>
      <c r="H360" s="25">
        <f t="array" ref="H360">SUM(IF("156"&amp;C360=KHN&amp;MH,TH))</f>
        <v>3491127</v>
      </c>
      <c r="I360" s="25">
        <f t="array" ref="I360">SUM(IF("156"&amp;C360=KHC&amp;MH,SL))</f>
        <v>45</v>
      </c>
      <c r="J360" s="25">
        <f t="array" ref="J360">SUM(IF("156"&amp;C360=KHC&amp;MH,TH))</f>
        <v>3491127</v>
      </c>
      <c r="K360" s="25">
        <f t="shared" si="27"/>
        <v>0</v>
      </c>
      <c r="L360" s="25">
        <f t="shared" si="28"/>
        <v>0</v>
      </c>
      <c r="M360" s="289" t="e">
        <f t="shared" si="29"/>
        <v>#DIV/0!</v>
      </c>
    </row>
    <row r="361" spans="1:16" ht="18.75" customHeight="1">
      <c r="A361" s="289" t="str">
        <f t="shared" si="25"/>
        <v>NL</v>
      </c>
      <c r="B361" s="753">
        <f t="shared" si="26"/>
        <v>350</v>
      </c>
      <c r="C361" s="292" t="s">
        <v>1768</v>
      </c>
      <c r="D361" s="291"/>
      <c r="E361" s="25"/>
      <c r="F361" s="25"/>
      <c r="G361" s="25">
        <f t="array" ref="G361">SUM(IF("156"&amp;C361=KHN&amp;MH,SL))</f>
        <v>6</v>
      </c>
      <c r="H361" s="25">
        <f t="array" ref="H361">SUM(IF("156"&amp;C361=KHN&amp;MH,TH))</f>
        <v>450000</v>
      </c>
      <c r="I361" s="25">
        <f t="array" ref="I361">SUM(IF("156"&amp;C361=KHC&amp;MH,SL))</f>
        <v>6</v>
      </c>
      <c r="J361" s="25">
        <f t="array" ref="J361">SUM(IF("156"&amp;C361=KHC&amp;MH,TH))</f>
        <v>450000</v>
      </c>
      <c r="K361" s="25">
        <f t="shared" si="27"/>
        <v>0</v>
      </c>
      <c r="L361" s="25">
        <f t="shared" si="28"/>
        <v>0</v>
      </c>
      <c r="M361" s="289" t="e">
        <f t="shared" si="29"/>
        <v>#DIV/0!</v>
      </c>
    </row>
    <row r="362" spans="1:16" ht="18.75" customHeight="1">
      <c r="A362" s="289" t="str">
        <f t="shared" si="25"/>
        <v>NL</v>
      </c>
      <c r="B362" s="753">
        <f t="shared" si="26"/>
        <v>351</v>
      </c>
      <c r="C362" s="191" t="s">
        <v>820</v>
      </c>
      <c r="D362" s="291" t="s">
        <v>393</v>
      </c>
      <c r="E362" s="25"/>
      <c r="F362" s="25"/>
      <c r="G362" s="25">
        <f t="array" ref="G362">SUM(IF("156"&amp;C362=KHN&amp;MH,SL))</f>
        <v>26</v>
      </c>
      <c r="H362" s="25">
        <f t="array" ref="H362">SUM(IF("156"&amp;C362=KHN&amp;MH,TH))</f>
        <v>1983618</v>
      </c>
      <c r="I362" s="25">
        <f t="array" ref="I362">SUM(IF("156"&amp;C362=KHC&amp;MH,SL))</f>
        <v>26</v>
      </c>
      <c r="J362" s="25">
        <f t="array" ref="J362">SUM(IF("156"&amp;C362=KHC&amp;MH,TH))</f>
        <v>1983618</v>
      </c>
      <c r="K362" s="25">
        <f t="shared" si="27"/>
        <v>0</v>
      </c>
      <c r="L362" s="25">
        <f t="shared" si="28"/>
        <v>0</v>
      </c>
      <c r="M362" s="289" t="e">
        <f t="shared" si="29"/>
        <v>#DIV/0!</v>
      </c>
    </row>
    <row r="363" spans="1:16" ht="18.75" customHeight="1">
      <c r="A363" s="289" t="str">
        <f t="shared" si="25"/>
        <v>NL</v>
      </c>
      <c r="B363" s="753">
        <f t="shared" si="26"/>
        <v>352</v>
      </c>
      <c r="C363" s="40" t="s">
        <v>864</v>
      </c>
      <c r="D363" s="291" t="s">
        <v>393</v>
      </c>
      <c r="E363" s="25"/>
      <c r="F363" s="25"/>
      <c r="G363" s="25">
        <f t="array" ref="G363">SUM(IF("156"&amp;C363=KHN&amp;MH,SL))</f>
        <v>15</v>
      </c>
      <c r="H363" s="25">
        <f t="array" ref="H363">SUM(IF("156"&amp;C363=KHN&amp;MH,TH))</f>
        <v>1707405</v>
      </c>
      <c r="I363" s="25">
        <f t="array" ref="I363">SUM(IF("156"&amp;C363=KHC&amp;MH,SL))</f>
        <v>15</v>
      </c>
      <c r="J363" s="25">
        <f t="array" ref="J363">SUM(IF("156"&amp;C363=KHC&amp;MH,TH))</f>
        <v>1707405</v>
      </c>
      <c r="K363" s="25">
        <f t="shared" si="27"/>
        <v>0</v>
      </c>
      <c r="L363" s="25">
        <f t="shared" si="28"/>
        <v>0</v>
      </c>
      <c r="M363" s="289" t="e">
        <f t="shared" si="29"/>
        <v>#DIV/0!</v>
      </c>
    </row>
    <row r="364" spans="1:16" ht="18.75" customHeight="1">
      <c r="A364" s="289" t="str">
        <f t="shared" si="25"/>
        <v>NL</v>
      </c>
      <c r="B364" s="753">
        <f t="shared" si="26"/>
        <v>353</v>
      </c>
      <c r="C364" s="292" t="s">
        <v>1767</v>
      </c>
      <c r="D364" s="291"/>
      <c r="E364" s="25"/>
      <c r="F364" s="25"/>
      <c r="G364" s="25">
        <f t="array" ref="G364">SUM(IF("156"&amp;C364=KHN&amp;MH,SL))</f>
        <v>6</v>
      </c>
      <c r="H364" s="25">
        <f t="array" ref="H364">SUM(IF("156"&amp;C364=KHN&amp;MH,TH))</f>
        <v>444000</v>
      </c>
      <c r="I364" s="25">
        <f t="array" ref="I364">SUM(IF("156"&amp;C364=KHC&amp;MH,SL))</f>
        <v>6</v>
      </c>
      <c r="J364" s="25">
        <f t="array" ref="J364">SUM(IF("156"&amp;C364=KHC&amp;MH,TH))</f>
        <v>444000</v>
      </c>
      <c r="K364" s="25">
        <f t="shared" si="27"/>
        <v>0</v>
      </c>
      <c r="L364" s="25">
        <f t="shared" si="28"/>
        <v>0</v>
      </c>
      <c r="M364" s="289" t="e">
        <f t="shared" si="29"/>
        <v>#DIV/0!</v>
      </c>
    </row>
    <row r="365" spans="1:16" ht="18.75" customHeight="1">
      <c r="A365" s="289" t="str">
        <f t="shared" si="25"/>
        <v>NL</v>
      </c>
      <c r="B365" s="753">
        <f t="shared" si="26"/>
        <v>354</v>
      </c>
      <c r="C365" s="292" t="s">
        <v>1769</v>
      </c>
      <c r="D365" s="291"/>
      <c r="E365" s="25"/>
      <c r="F365" s="25"/>
      <c r="G365" s="25">
        <f t="array" ref="G365">SUM(IF("156"&amp;C365=KHN&amp;MH,SL))</f>
        <v>4</v>
      </c>
      <c r="H365" s="25">
        <f t="array" ref="H365">SUM(IF("156"&amp;C365=KHN&amp;MH,TH))</f>
        <v>370400</v>
      </c>
      <c r="I365" s="25">
        <f t="array" ref="I365">SUM(IF("156"&amp;C365=KHC&amp;MH,SL))</f>
        <v>4</v>
      </c>
      <c r="J365" s="25">
        <f t="array" ref="J365">SUM(IF("156"&amp;C365=KHC&amp;MH,TH))</f>
        <v>370400</v>
      </c>
      <c r="K365" s="25">
        <f t="shared" si="27"/>
        <v>0</v>
      </c>
      <c r="L365" s="25">
        <f t="shared" si="28"/>
        <v>0</v>
      </c>
      <c r="M365" s="289" t="e">
        <f t="shared" si="29"/>
        <v>#DIV/0!</v>
      </c>
    </row>
    <row r="366" spans="1:16" ht="18.75" customHeight="1">
      <c r="A366" s="289" t="str">
        <f t="shared" si="25"/>
        <v>NL</v>
      </c>
      <c r="B366" s="753">
        <f t="shared" si="26"/>
        <v>355</v>
      </c>
      <c r="C366" s="188" t="s">
        <v>453</v>
      </c>
      <c r="D366" s="291" t="s">
        <v>393</v>
      </c>
      <c r="E366" s="25"/>
      <c r="F366" s="25"/>
      <c r="G366" s="25">
        <f t="array" ref="G366">SUM(IF("156"&amp;C366=KHN&amp;MH,SL))</f>
        <v>12</v>
      </c>
      <c r="H366" s="25">
        <f t="array" ref="H366">SUM(IF("156"&amp;C366=KHN&amp;MH,TH))</f>
        <v>1450908</v>
      </c>
      <c r="I366" s="25">
        <f t="array" ref="I366">SUM(IF("156"&amp;C366=KHC&amp;MH,SL))</f>
        <v>12</v>
      </c>
      <c r="J366" s="25">
        <f t="array" ref="J366">SUM(IF("156"&amp;C366=KHC&amp;MH,TH))</f>
        <v>1450908</v>
      </c>
      <c r="K366" s="25">
        <f t="shared" si="27"/>
        <v>0</v>
      </c>
      <c r="L366" s="25">
        <f t="shared" si="28"/>
        <v>0</v>
      </c>
      <c r="M366" s="289" t="e">
        <f t="shared" si="29"/>
        <v>#DIV/0!</v>
      </c>
    </row>
    <row r="367" spans="1:16" ht="18.75" customHeight="1">
      <c r="A367" s="289" t="str">
        <f t="shared" si="25"/>
        <v>NL</v>
      </c>
      <c r="B367" s="753">
        <f t="shared" si="26"/>
        <v>356</v>
      </c>
      <c r="C367" s="188" t="s">
        <v>790</v>
      </c>
      <c r="D367" s="291" t="s">
        <v>393</v>
      </c>
      <c r="E367" s="25"/>
      <c r="F367" s="25"/>
      <c r="G367" s="25">
        <f t="array" ref="G367">SUM(IF("156"&amp;C367=KHN&amp;MH,SL))</f>
        <v>7</v>
      </c>
      <c r="H367" s="25">
        <f t="array" ref="H367">SUM(IF("156"&amp;C367=KHN&amp;MH,TH))</f>
        <v>822829</v>
      </c>
      <c r="I367" s="25">
        <f t="array" ref="I367">SUM(IF("156"&amp;C367=KHC&amp;MH,SL))</f>
        <v>7</v>
      </c>
      <c r="J367" s="25">
        <f t="array" ref="J367">SUM(IF("156"&amp;C367=KHC&amp;MH,TH))</f>
        <v>822829</v>
      </c>
      <c r="K367" s="25">
        <f t="shared" si="27"/>
        <v>0</v>
      </c>
      <c r="L367" s="25">
        <f t="shared" si="28"/>
        <v>0</v>
      </c>
      <c r="M367" s="289" t="e">
        <f t="shared" si="29"/>
        <v>#DIV/0!</v>
      </c>
    </row>
    <row r="368" spans="1:16" ht="18.75" customHeight="1">
      <c r="A368" s="289" t="str">
        <f t="shared" si="25"/>
        <v>NL</v>
      </c>
      <c r="B368" s="753">
        <f t="shared" si="26"/>
        <v>357</v>
      </c>
      <c r="C368" s="191" t="s">
        <v>532</v>
      </c>
      <c r="D368" s="291" t="s">
        <v>393</v>
      </c>
      <c r="E368" s="25"/>
      <c r="F368" s="25"/>
      <c r="G368" s="25">
        <f t="array" ref="G368">SUM(IF("156"&amp;C368=KHN&amp;MH,SL))</f>
        <v>8</v>
      </c>
      <c r="H368" s="25">
        <f t="array" ref="H368">SUM(IF("156"&amp;C368=KHN&amp;MH,TH))</f>
        <v>401680</v>
      </c>
      <c r="I368" s="25">
        <f t="array" ref="I368">SUM(IF("156"&amp;C368=KHC&amp;MH,SL))</f>
        <v>8</v>
      </c>
      <c r="J368" s="25">
        <f t="array" ref="J368">SUM(IF("156"&amp;C368=KHC&amp;MH,TH))</f>
        <v>401680</v>
      </c>
      <c r="K368" s="25">
        <f t="shared" si="27"/>
        <v>0</v>
      </c>
      <c r="L368" s="25">
        <f t="shared" si="28"/>
        <v>0</v>
      </c>
      <c r="M368" s="289" t="e">
        <f t="shared" si="29"/>
        <v>#DIV/0!</v>
      </c>
    </row>
    <row r="369" spans="1:16" ht="18.75" customHeight="1">
      <c r="A369" s="289" t="str">
        <f t="shared" si="25"/>
        <v>NL</v>
      </c>
      <c r="B369" s="753">
        <f t="shared" si="26"/>
        <v>358</v>
      </c>
      <c r="C369" s="292" t="s">
        <v>1493</v>
      </c>
      <c r="D369" s="291" t="s">
        <v>393</v>
      </c>
      <c r="E369" s="25"/>
      <c r="F369" s="25"/>
      <c r="G369" s="25">
        <f t="array" ref="G369">SUM(IF("156"&amp;C369=KHN&amp;MH,SL))</f>
        <v>9</v>
      </c>
      <c r="H369" s="25">
        <f t="array" ref="H369">SUM(IF("156"&amp;C369=KHN&amp;MH,TH))</f>
        <v>712800</v>
      </c>
      <c r="I369" s="25">
        <f t="array" ref="I369">SUM(IF("156"&amp;C369=KHC&amp;MH,SL))</f>
        <v>9</v>
      </c>
      <c r="J369" s="25">
        <f t="array" ref="J369">SUM(IF("156"&amp;C369=KHC&amp;MH,TH))</f>
        <v>712800</v>
      </c>
      <c r="K369" s="25">
        <f t="shared" si="27"/>
        <v>0</v>
      </c>
      <c r="L369" s="25">
        <f t="shared" si="28"/>
        <v>0</v>
      </c>
      <c r="M369" s="289" t="e">
        <f t="shared" si="29"/>
        <v>#DIV/0!</v>
      </c>
      <c r="O369" s="927"/>
      <c r="P369" s="927"/>
    </row>
    <row r="370" spans="1:16" ht="18.75" customHeight="1">
      <c r="A370" s="289" t="str">
        <f t="shared" si="25"/>
        <v>NL</v>
      </c>
      <c r="B370" s="753">
        <f t="shared" si="26"/>
        <v>359</v>
      </c>
      <c r="C370" s="191" t="s">
        <v>764</v>
      </c>
      <c r="D370" s="291" t="s">
        <v>393</v>
      </c>
      <c r="E370" s="25"/>
      <c r="F370" s="25"/>
      <c r="G370" s="25">
        <f t="array" ref="G370">SUM(IF("156"&amp;C370=KHN&amp;MH,SL))</f>
        <v>100</v>
      </c>
      <c r="H370" s="25">
        <f t="array" ref="H370">SUM(IF("156"&amp;C370=KHN&amp;MH,TH))</f>
        <v>9432146</v>
      </c>
      <c r="I370" s="25">
        <f t="array" ref="I370">SUM(IF("156"&amp;C370=KHC&amp;MH,SL))</f>
        <v>62</v>
      </c>
      <c r="J370" s="25">
        <f t="array" ref="J370">SUM(IF("156"&amp;C370=KHC&amp;MH,TH))</f>
        <v>6252420</v>
      </c>
      <c r="K370" s="25">
        <f t="shared" si="27"/>
        <v>38</v>
      </c>
      <c r="L370" s="25">
        <f t="shared" si="28"/>
        <v>3179726</v>
      </c>
      <c r="M370" s="289">
        <f t="shared" si="29"/>
        <v>83677</v>
      </c>
    </row>
    <row r="371" spans="1:16" ht="18.75" customHeight="1">
      <c r="A371" s="289" t="str">
        <f t="shared" si="25"/>
        <v>NL</v>
      </c>
      <c r="B371" s="753">
        <f t="shared" si="26"/>
        <v>360</v>
      </c>
      <c r="C371" s="292" t="s">
        <v>823</v>
      </c>
      <c r="D371" s="291" t="s">
        <v>393</v>
      </c>
      <c r="E371" s="25"/>
      <c r="F371" s="25"/>
      <c r="G371" s="25">
        <f t="array" ref="G371">SUM(IF("156"&amp;C371=KHN&amp;MH,SL))</f>
        <v>8</v>
      </c>
      <c r="H371" s="25">
        <f t="array" ref="H371">SUM(IF("156"&amp;C371=KHN&amp;MH,TH))</f>
        <v>1466411</v>
      </c>
      <c r="I371" s="25">
        <f t="array" ref="I371">SUM(IF("156"&amp;C371=KHC&amp;MH,SL))</f>
        <v>8</v>
      </c>
      <c r="J371" s="25">
        <f t="array" ref="J371">SUM(IF("156"&amp;C371=KHC&amp;MH,TH))</f>
        <v>1466411</v>
      </c>
      <c r="K371" s="25">
        <f t="shared" si="27"/>
        <v>0</v>
      </c>
      <c r="L371" s="25">
        <f t="shared" si="28"/>
        <v>0</v>
      </c>
      <c r="M371" s="289" t="e">
        <f t="shared" si="29"/>
        <v>#DIV/0!</v>
      </c>
      <c r="O371" s="927"/>
      <c r="P371" s="927"/>
    </row>
    <row r="372" spans="1:16" ht="18.75" customHeight="1">
      <c r="A372" s="289" t="str">
        <f t="shared" si="25"/>
        <v>NL</v>
      </c>
      <c r="B372" s="753">
        <f t="shared" si="26"/>
        <v>361</v>
      </c>
      <c r="C372" s="40" t="s">
        <v>877</v>
      </c>
      <c r="D372" s="291" t="s">
        <v>393</v>
      </c>
      <c r="E372" s="25"/>
      <c r="F372" s="25"/>
      <c r="G372" s="25">
        <f t="array" ref="G372">SUM(IF("156"&amp;C372=KHN&amp;MH,SL))</f>
        <v>6</v>
      </c>
      <c r="H372" s="25">
        <f t="array" ref="H372">SUM(IF("156"&amp;C372=KHN&amp;MH,TH))</f>
        <v>1284474</v>
      </c>
      <c r="I372" s="25">
        <f t="array" ref="I372">SUM(IF("156"&amp;C372=KHC&amp;MH,SL))</f>
        <v>6</v>
      </c>
      <c r="J372" s="25">
        <f t="array" ref="J372">SUM(IF("156"&amp;C372=KHC&amp;MH,TH))</f>
        <v>1284474</v>
      </c>
      <c r="K372" s="25">
        <f t="shared" si="27"/>
        <v>0</v>
      </c>
      <c r="L372" s="25">
        <f t="shared" si="28"/>
        <v>0</v>
      </c>
      <c r="M372" s="289" t="e">
        <f t="shared" si="29"/>
        <v>#DIV/0!</v>
      </c>
    </row>
    <row r="373" spans="1:16" ht="18.75" customHeight="1">
      <c r="A373" s="289" t="str">
        <f t="shared" si="25"/>
        <v>NL</v>
      </c>
      <c r="B373" s="753">
        <f t="shared" si="26"/>
        <v>362</v>
      </c>
      <c r="C373" s="191" t="s">
        <v>516</v>
      </c>
      <c r="D373" s="291" t="s">
        <v>393</v>
      </c>
      <c r="E373" s="25"/>
      <c r="F373" s="25"/>
      <c r="G373" s="25">
        <f t="array" ref="G373">SUM(IF("156"&amp;C373=KHN&amp;MH,SL))</f>
        <v>12</v>
      </c>
      <c r="H373" s="25">
        <f t="array" ref="H373">SUM(IF("156"&amp;C373=KHN&amp;MH,TH))</f>
        <v>623412</v>
      </c>
      <c r="I373" s="25">
        <f t="array" ref="I373">SUM(IF("156"&amp;C373=KHC&amp;MH,SL))</f>
        <v>12</v>
      </c>
      <c r="J373" s="25">
        <f t="array" ref="J373">SUM(IF("156"&amp;C373=KHC&amp;MH,TH))</f>
        <v>623412</v>
      </c>
      <c r="K373" s="25">
        <f t="shared" si="27"/>
        <v>0</v>
      </c>
      <c r="L373" s="25">
        <f t="shared" si="28"/>
        <v>0</v>
      </c>
      <c r="M373" s="289" t="e">
        <f t="shared" si="29"/>
        <v>#DIV/0!</v>
      </c>
    </row>
    <row r="374" spans="1:16" ht="18.75" customHeight="1">
      <c r="A374" s="289" t="str">
        <f t="shared" si="25"/>
        <v>NL</v>
      </c>
      <c r="B374" s="753">
        <f t="shared" si="26"/>
        <v>363</v>
      </c>
      <c r="C374" s="191" t="s">
        <v>509</v>
      </c>
      <c r="D374" s="291" t="s">
        <v>393</v>
      </c>
      <c r="E374" s="25"/>
      <c r="F374" s="25"/>
      <c r="G374" s="25">
        <f t="array" ref="G374">SUM(IF("156"&amp;C374=KHN&amp;MH,SL))</f>
        <v>8</v>
      </c>
      <c r="H374" s="25">
        <f t="array" ref="H374">SUM(IF("156"&amp;C374=KHN&amp;MH,TH))</f>
        <v>771056</v>
      </c>
      <c r="I374" s="25">
        <f t="array" ref="I374">SUM(IF("156"&amp;C374=KHC&amp;MH,SL))</f>
        <v>8</v>
      </c>
      <c r="J374" s="25">
        <f t="array" ref="J374">SUM(IF("156"&amp;C374=KHC&amp;MH,TH))</f>
        <v>771056</v>
      </c>
      <c r="K374" s="25">
        <f t="shared" si="27"/>
        <v>0</v>
      </c>
      <c r="L374" s="25">
        <f t="shared" si="28"/>
        <v>0</v>
      </c>
      <c r="M374" s="289" t="e">
        <f t="shared" si="29"/>
        <v>#DIV/0!</v>
      </c>
    </row>
    <row r="375" spans="1:16" ht="18.75" customHeight="1">
      <c r="A375" s="289" t="str">
        <f t="shared" si="25"/>
        <v>NL</v>
      </c>
      <c r="B375" s="753">
        <f t="shared" si="26"/>
        <v>364</v>
      </c>
      <c r="C375" s="188" t="s">
        <v>822</v>
      </c>
      <c r="D375" s="291" t="s">
        <v>393</v>
      </c>
      <c r="E375" s="25"/>
      <c r="F375" s="25"/>
      <c r="G375" s="25">
        <f t="array" ref="G375">SUM(IF("156"&amp;C375=KHN&amp;MH,SL))</f>
        <v>34</v>
      </c>
      <c r="H375" s="25">
        <f t="array" ref="H375">SUM(IF("156"&amp;C375=KHN&amp;MH,TH))</f>
        <v>3660922</v>
      </c>
      <c r="I375" s="25">
        <f t="array" ref="I375">SUM(IF("156"&amp;C375=KHC&amp;MH,SL))</f>
        <v>34</v>
      </c>
      <c r="J375" s="25">
        <f t="array" ref="J375">SUM(IF("156"&amp;C375=KHC&amp;MH,TH))</f>
        <v>3660922</v>
      </c>
      <c r="K375" s="25">
        <f t="shared" si="27"/>
        <v>0</v>
      </c>
      <c r="L375" s="25">
        <f t="shared" si="28"/>
        <v>0</v>
      </c>
      <c r="M375" s="289" t="e">
        <f t="shared" si="29"/>
        <v>#DIV/0!</v>
      </c>
    </row>
    <row r="376" spans="1:16" ht="18.75" customHeight="1">
      <c r="A376" s="289" t="str">
        <f t="shared" si="25"/>
        <v>NL</v>
      </c>
      <c r="B376" s="753">
        <f t="shared" si="26"/>
        <v>365</v>
      </c>
      <c r="C376" s="191" t="s">
        <v>1731</v>
      </c>
      <c r="D376" s="291"/>
      <c r="E376" s="25"/>
      <c r="F376" s="25"/>
      <c r="G376" s="25">
        <f t="array" ref="G376">SUM(IF("156"&amp;C376=KHN&amp;MH,SL))</f>
        <v>280</v>
      </c>
      <c r="H376" s="25">
        <f t="array" ref="H376">SUM(IF("156"&amp;C376=KHN&amp;MH,TH))</f>
        <v>5600000</v>
      </c>
      <c r="I376" s="25">
        <f t="array" ref="I376">SUM(IF("156"&amp;C376=KHC&amp;MH,SL))</f>
        <v>280</v>
      </c>
      <c r="J376" s="25">
        <f t="array" ref="J376">SUM(IF("156"&amp;C376=KHC&amp;MH,TH))</f>
        <v>5600000</v>
      </c>
      <c r="K376" s="25">
        <f t="shared" si="27"/>
        <v>0</v>
      </c>
      <c r="L376" s="25">
        <f t="shared" si="28"/>
        <v>0</v>
      </c>
      <c r="M376" s="289" t="e">
        <f t="shared" si="29"/>
        <v>#DIV/0!</v>
      </c>
    </row>
    <row r="377" spans="1:16" ht="18.75" customHeight="1">
      <c r="A377" s="289" t="str">
        <f t="shared" si="25"/>
        <v>NL</v>
      </c>
      <c r="B377" s="753">
        <f t="shared" si="26"/>
        <v>366</v>
      </c>
      <c r="C377" s="188" t="s">
        <v>682</v>
      </c>
      <c r="D377" s="291" t="s">
        <v>393</v>
      </c>
      <c r="E377" s="25"/>
      <c r="F377" s="25"/>
      <c r="G377" s="25">
        <f t="array" ref="G377">SUM(IF("156"&amp;C377=KHN&amp;MH,SL))</f>
        <v>1000</v>
      </c>
      <c r="H377" s="25">
        <f t="array" ref="H377">SUM(IF("156"&amp;C377=KHN&amp;MH,TH))</f>
        <v>763000</v>
      </c>
      <c r="I377" s="25">
        <f t="array" ref="I377">SUM(IF("156"&amp;C377=KHC&amp;MH,SL))</f>
        <v>1000</v>
      </c>
      <c r="J377" s="25">
        <f t="array" ref="J377">SUM(IF("156"&amp;C377=KHC&amp;MH,TH))</f>
        <v>763000</v>
      </c>
      <c r="K377" s="25">
        <f t="shared" si="27"/>
        <v>0</v>
      </c>
      <c r="L377" s="25">
        <f t="shared" si="28"/>
        <v>0</v>
      </c>
      <c r="M377" s="289" t="e">
        <f t="shared" si="29"/>
        <v>#DIV/0!</v>
      </c>
    </row>
    <row r="378" spans="1:16" ht="18.75" customHeight="1">
      <c r="A378" s="289" t="str">
        <f t="shared" si="25"/>
        <v>NL</v>
      </c>
      <c r="B378" s="753">
        <f t="shared" si="26"/>
        <v>367</v>
      </c>
      <c r="C378" s="191" t="s">
        <v>828</v>
      </c>
      <c r="D378" s="291" t="s">
        <v>393</v>
      </c>
      <c r="E378" s="25"/>
      <c r="F378" s="25"/>
      <c r="G378" s="25">
        <f t="array" ref="G378">SUM(IF("156"&amp;C378=KHN&amp;MH,SL))</f>
        <v>10</v>
      </c>
      <c r="H378" s="25">
        <f t="array" ref="H378">SUM(IF("156"&amp;C378=KHN&amp;MH,TH))</f>
        <v>675930</v>
      </c>
      <c r="I378" s="25">
        <f t="array" ref="I378">SUM(IF("156"&amp;C378=KHC&amp;MH,SL))</f>
        <v>10</v>
      </c>
      <c r="J378" s="25">
        <f t="array" ref="J378">SUM(IF("156"&amp;C378=KHC&amp;MH,TH))</f>
        <v>675930</v>
      </c>
      <c r="K378" s="25">
        <f t="shared" si="27"/>
        <v>0</v>
      </c>
      <c r="L378" s="25">
        <f t="shared" si="28"/>
        <v>0</v>
      </c>
      <c r="M378" s="289" t="e">
        <f t="shared" si="29"/>
        <v>#DIV/0!</v>
      </c>
    </row>
    <row r="379" spans="1:16" ht="18.75" customHeight="1">
      <c r="A379" s="289" t="str">
        <f t="shared" si="25"/>
        <v>NL</v>
      </c>
      <c r="B379" s="753">
        <f t="shared" si="26"/>
        <v>368</v>
      </c>
      <c r="C379" s="191" t="s">
        <v>502</v>
      </c>
      <c r="D379" s="291" t="s">
        <v>393</v>
      </c>
      <c r="E379" s="25"/>
      <c r="F379" s="25"/>
      <c r="G379" s="25">
        <f t="array" ref="G379">SUM(IF("156"&amp;C379=KHN&amp;MH,SL))</f>
        <v>49</v>
      </c>
      <c r="H379" s="25">
        <f t="array" ref="H379">SUM(IF("156"&amp;C379=KHN&amp;MH,TH))</f>
        <v>4738436</v>
      </c>
      <c r="I379" s="25">
        <f t="array" ref="I379">SUM(IF("156"&amp;C379=KHC&amp;MH,SL))</f>
        <v>49</v>
      </c>
      <c r="J379" s="25">
        <f t="array" ref="J379">SUM(IF("156"&amp;C379=KHC&amp;MH,TH))</f>
        <v>4738436</v>
      </c>
      <c r="K379" s="25">
        <f t="shared" si="27"/>
        <v>0</v>
      </c>
      <c r="L379" s="25">
        <f t="shared" si="28"/>
        <v>0</v>
      </c>
      <c r="M379" s="289" t="e">
        <f t="shared" si="29"/>
        <v>#DIV/0!</v>
      </c>
    </row>
    <row r="380" spans="1:16" ht="18.75" customHeight="1">
      <c r="A380" s="289" t="str">
        <f t="shared" si="25"/>
        <v>NL</v>
      </c>
      <c r="B380" s="753">
        <f t="shared" si="26"/>
        <v>369</v>
      </c>
      <c r="C380" s="292" t="s">
        <v>1771</v>
      </c>
      <c r="D380" s="291"/>
      <c r="E380" s="25"/>
      <c r="F380" s="25"/>
      <c r="G380" s="25">
        <f t="array" ref="G380">SUM(IF("156"&amp;C380=KHN&amp;MH,SL))</f>
        <v>48</v>
      </c>
      <c r="H380" s="25">
        <f t="array" ref="H380">SUM(IF("156"&amp;C380=KHN&amp;MH,TH))</f>
        <v>4728000</v>
      </c>
      <c r="I380" s="25">
        <f t="array" ref="I380">SUM(IF("156"&amp;C380=KHC&amp;MH,SL))</f>
        <v>48</v>
      </c>
      <c r="J380" s="25">
        <f t="array" ref="J380">SUM(IF("156"&amp;C380=KHC&amp;MH,TH))</f>
        <v>4728000</v>
      </c>
      <c r="K380" s="25">
        <f t="shared" si="27"/>
        <v>0</v>
      </c>
      <c r="L380" s="25">
        <f t="shared" si="28"/>
        <v>0</v>
      </c>
      <c r="M380" s="289" t="e">
        <f t="shared" si="29"/>
        <v>#DIV/0!</v>
      </c>
    </row>
    <row r="381" spans="1:16" ht="18.75" customHeight="1">
      <c r="A381" s="289" t="str">
        <f t="shared" si="25"/>
        <v>NL</v>
      </c>
      <c r="B381" s="753">
        <f t="shared" si="26"/>
        <v>370</v>
      </c>
      <c r="C381" s="191" t="s">
        <v>573</v>
      </c>
      <c r="D381" s="291" t="s">
        <v>393</v>
      </c>
      <c r="E381" s="25"/>
      <c r="F381" s="25"/>
      <c r="G381" s="25">
        <f t="array" ref="G381">SUM(IF("156"&amp;C381=KHN&amp;MH,SL))</f>
        <v>40</v>
      </c>
      <c r="H381" s="25">
        <f t="array" ref="H381">SUM(IF("156"&amp;C381=KHN&amp;MH,TH))</f>
        <v>5685760</v>
      </c>
      <c r="I381" s="25">
        <f t="array" ref="I381">SUM(IF("156"&amp;C381=KHC&amp;MH,SL))</f>
        <v>40</v>
      </c>
      <c r="J381" s="25">
        <f t="array" ref="J381">SUM(IF("156"&amp;C381=KHC&amp;MH,TH))</f>
        <v>5685760</v>
      </c>
      <c r="K381" s="25">
        <f t="shared" si="27"/>
        <v>0</v>
      </c>
      <c r="L381" s="25">
        <f t="shared" si="28"/>
        <v>0</v>
      </c>
      <c r="M381" s="289" t="e">
        <f t="shared" si="29"/>
        <v>#DIV/0!</v>
      </c>
    </row>
    <row r="382" spans="1:16" ht="18.75" customHeight="1">
      <c r="A382" s="289" t="str">
        <f t="shared" si="25"/>
        <v>NL</v>
      </c>
      <c r="B382" s="753">
        <f t="shared" si="26"/>
        <v>371</v>
      </c>
      <c r="C382" s="292" t="s">
        <v>1565</v>
      </c>
      <c r="D382" s="291" t="s">
        <v>393</v>
      </c>
      <c r="E382" s="25"/>
      <c r="F382" s="25"/>
      <c r="G382" s="25">
        <f t="array" ref="G382">SUM(IF("156"&amp;C382=KHN&amp;MH,SL))</f>
        <v>20</v>
      </c>
      <c r="H382" s="25">
        <f t="array" ref="H382">SUM(IF("156"&amp;C382=KHN&amp;MH,TH))</f>
        <v>1500000</v>
      </c>
      <c r="I382" s="25">
        <f t="array" ref="I382">SUM(IF("156"&amp;C382=KHC&amp;MH,SL))</f>
        <v>20</v>
      </c>
      <c r="J382" s="25">
        <f t="array" ref="J382">SUM(IF("156"&amp;C382=KHC&amp;MH,TH))</f>
        <v>1500000</v>
      </c>
      <c r="K382" s="25">
        <f t="shared" si="27"/>
        <v>0</v>
      </c>
      <c r="L382" s="25">
        <f t="shared" si="28"/>
        <v>0</v>
      </c>
      <c r="M382" s="289" t="e">
        <f t="shared" si="29"/>
        <v>#DIV/0!</v>
      </c>
      <c r="O382" s="927"/>
      <c r="P382" s="927"/>
    </row>
    <row r="383" spans="1:16" ht="18.75" customHeight="1">
      <c r="A383" s="289" t="str">
        <f t="shared" si="25"/>
        <v>NL</v>
      </c>
      <c r="B383" s="753">
        <f t="shared" si="26"/>
        <v>372</v>
      </c>
      <c r="C383" s="188" t="s">
        <v>470</v>
      </c>
      <c r="D383" s="291" t="s">
        <v>393</v>
      </c>
      <c r="E383" s="25"/>
      <c r="F383" s="25"/>
      <c r="G383" s="25">
        <f t="array" ref="G383">SUM(IF("156"&amp;C383=KHN&amp;MH,SL))</f>
        <v>46</v>
      </c>
      <c r="H383" s="25">
        <f t="array" ref="H383">SUM(IF("156"&amp;C383=KHN&amp;MH,TH))</f>
        <v>4296994</v>
      </c>
      <c r="I383" s="25">
        <f t="array" ref="I383">SUM(IF("156"&amp;C383=KHC&amp;MH,SL))</f>
        <v>46</v>
      </c>
      <c r="J383" s="25">
        <f t="array" ref="J383">SUM(IF("156"&amp;C383=KHC&amp;MH,TH))</f>
        <v>4296994</v>
      </c>
      <c r="K383" s="25">
        <f t="shared" si="27"/>
        <v>0</v>
      </c>
      <c r="L383" s="25">
        <f t="shared" si="28"/>
        <v>0</v>
      </c>
      <c r="M383" s="289" t="e">
        <f t="shared" si="29"/>
        <v>#DIV/0!</v>
      </c>
      <c r="O383" s="927"/>
      <c r="P383" s="927"/>
    </row>
    <row r="384" spans="1:16" ht="18.75" customHeight="1">
      <c r="A384" s="289" t="str">
        <f t="shared" si="25"/>
        <v>NL</v>
      </c>
      <c r="B384" s="753">
        <f t="shared" si="26"/>
        <v>373</v>
      </c>
      <c r="C384" s="191" t="s">
        <v>976</v>
      </c>
      <c r="D384" s="291" t="s">
        <v>393</v>
      </c>
      <c r="E384" s="25"/>
      <c r="F384" s="25"/>
      <c r="G384" s="25">
        <f t="array" ref="G384">SUM(IF("156"&amp;C384=KHN&amp;MH,SL))</f>
        <v>5</v>
      </c>
      <c r="H384" s="25">
        <f t="array" ref="H384">SUM(IF("156"&amp;C384=KHN&amp;MH,TH))</f>
        <v>686620</v>
      </c>
      <c r="I384" s="25">
        <f t="array" ref="I384">SUM(IF("156"&amp;C384=KHC&amp;MH,SL))</f>
        <v>5</v>
      </c>
      <c r="J384" s="25">
        <f t="array" ref="J384">SUM(IF("156"&amp;C384=KHC&amp;MH,TH))</f>
        <v>686620</v>
      </c>
      <c r="K384" s="25">
        <f t="shared" si="27"/>
        <v>0</v>
      </c>
      <c r="L384" s="25">
        <f t="shared" si="28"/>
        <v>0</v>
      </c>
      <c r="M384" s="289" t="e">
        <f t="shared" si="29"/>
        <v>#DIV/0!</v>
      </c>
    </row>
    <row r="385" spans="1:16" ht="18.75" customHeight="1">
      <c r="A385" s="289" t="str">
        <f t="shared" si="25"/>
        <v>NL</v>
      </c>
      <c r="B385" s="753">
        <f t="shared" si="26"/>
        <v>374</v>
      </c>
      <c r="C385" s="188" t="s">
        <v>475</v>
      </c>
      <c r="D385" s="291" t="s">
        <v>393</v>
      </c>
      <c r="E385" s="25"/>
      <c r="F385" s="25"/>
      <c r="G385" s="25">
        <f t="array" ref="G385">SUM(IF("156"&amp;C385=KHN&amp;MH,SL))</f>
        <v>22</v>
      </c>
      <c r="H385" s="25">
        <f t="array" ref="H385">SUM(IF("156"&amp;C385=KHN&amp;MH,TH))</f>
        <v>1856780</v>
      </c>
      <c r="I385" s="25">
        <f t="array" ref="I385">SUM(IF("156"&amp;C385=KHC&amp;MH,SL))</f>
        <v>18</v>
      </c>
      <c r="J385" s="25">
        <f t="array" ref="J385">SUM(IF("156"&amp;C385=KHC&amp;MH,TH))</f>
        <v>1518420</v>
      </c>
      <c r="K385" s="25">
        <f t="shared" si="27"/>
        <v>4</v>
      </c>
      <c r="L385" s="25">
        <f t="shared" si="28"/>
        <v>338360</v>
      </c>
      <c r="M385" s="289">
        <f t="shared" si="29"/>
        <v>84590</v>
      </c>
    </row>
    <row r="386" spans="1:16" ht="18.75" customHeight="1">
      <c r="A386" s="289" t="str">
        <f t="shared" si="25"/>
        <v>NL</v>
      </c>
      <c r="B386" s="753">
        <f t="shared" si="26"/>
        <v>375</v>
      </c>
      <c r="C386" s="191" t="s">
        <v>870</v>
      </c>
      <c r="D386" s="291" t="s">
        <v>393</v>
      </c>
      <c r="E386" s="25"/>
      <c r="F386" s="25"/>
      <c r="G386" s="25">
        <f t="array" ref="G386">SUM(IF("156"&amp;C386=KHN&amp;MH,SL))</f>
        <v>5</v>
      </c>
      <c r="H386" s="25">
        <f t="array" ref="H386">SUM(IF("156"&amp;C386=KHN&amp;MH,TH))</f>
        <v>426695</v>
      </c>
      <c r="I386" s="25">
        <f t="array" ref="I386">SUM(IF("156"&amp;C386=KHC&amp;MH,SL))</f>
        <v>5</v>
      </c>
      <c r="J386" s="25">
        <f t="array" ref="J386">SUM(IF("156"&amp;C386=KHC&amp;MH,TH))</f>
        <v>426695</v>
      </c>
      <c r="K386" s="25">
        <f t="shared" si="27"/>
        <v>0</v>
      </c>
      <c r="L386" s="25">
        <f t="shared" si="28"/>
        <v>0</v>
      </c>
      <c r="M386" s="289" t="e">
        <f t="shared" si="29"/>
        <v>#DIV/0!</v>
      </c>
    </row>
    <row r="387" spans="1:16" ht="18.75" customHeight="1">
      <c r="A387" s="289" t="str">
        <f t="shared" si="25"/>
        <v>NL</v>
      </c>
      <c r="B387" s="753">
        <f t="shared" si="26"/>
        <v>376</v>
      </c>
      <c r="C387" s="40" t="s">
        <v>1483</v>
      </c>
      <c r="D387" s="291" t="s">
        <v>393</v>
      </c>
      <c r="E387" s="25"/>
      <c r="F387" s="25"/>
      <c r="G387" s="25">
        <f t="array" ref="G387">SUM(IF("156"&amp;C387=KHN&amp;MH,SL))</f>
        <v>90</v>
      </c>
      <c r="H387" s="25">
        <f t="array" ref="H387">SUM(IF("156"&amp;C387=KHN&amp;MH,TH))</f>
        <v>2970000</v>
      </c>
      <c r="I387" s="25">
        <f t="array" ref="I387">SUM(IF("156"&amp;C387=KHC&amp;MH,SL))</f>
        <v>90</v>
      </c>
      <c r="J387" s="25">
        <f t="array" ref="J387">SUM(IF("156"&amp;C387=KHC&amp;MH,TH))</f>
        <v>2970000</v>
      </c>
      <c r="K387" s="25">
        <f t="shared" si="27"/>
        <v>0</v>
      </c>
      <c r="L387" s="25">
        <f t="shared" si="28"/>
        <v>0</v>
      </c>
      <c r="M387" s="289" t="e">
        <f t="shared" si="29"/>
        <v>#DIV/0!</v>
      </c>
    </row>
    <row r="388" spans="1:16" ht="18.75" customHeight="1">
      <c r="A388" s="289" t="str">
        <f t="shared" si="25"/>
        <v>NL</v>
      </c>
      <c r="B388" s="753">
        <f t="shared" si="26"/>
        <v>377</v>
      </c>
      <c r="C388" s="40" t="s">
        <v>861</v>
      </c>
      <c r="D388" s="291" t="s">
        <v>393</v>
      </c>
      <c r="E388" s="25"/>
      <c r="F388" s="25"/>
      <c r="G388" s="25">
        <f t="array" ref="G388">SUM(IF("156"&amp;C388=KHN&amp;MH,SL))</f>
        <v>100</v>
      </c>
      <c r="H388" s="25">
        <f t="array" ref="H388">SUM(IF("156"&amp;C388=KHN&amp;MH,TH))</f>
        <v>812000</v>
      </c>
      <c r="I388" s="25">
        <f t="array" ref="I388">SUM(IF("156"&amp;C388=KHC&amp;MH,SL))</f>
        <v>100</v>
      </c>
      <c r="J388" s="25">
        <f t="array" ref="J388">SUM(IF("156"&amp;C388=KHC&amp;MH,TH))</f>
        <v>812000</v>
      </c>
      <c r="K388" s="25">
        <f t="shared" si="27"/>
        <v>0</v>
      </c>
      <c r="L388" s="25">
        <f t="shared" si="28"/>
        <v>0</v>
      </c>
      <c r="M388" s="289" t="e">
        <f t="shared" si="29"/>
        <v>#DIV/0!</v>
      </c>
    </row>
    <row r="389" spans="1:16" ht="18.75" customHeight="1">
      <c r="A389" s="289" t="str">
        <f t="shared" si="25"/>
        <v>NL</v>
      </c>
      <c r="B389" s="753">
        <f t="shared" si="26"/>
        <v>378</v>
      </c>
      <c r="C389" s="40" t="s">
        <v>1485</v>
      </c>
      <c r="D389" s="291" t="s">
        <v>393</v>
      </c>
      <c r="E389" s="25"/>
      <c r="F389" s="25"/>
      <c r="G389" s="25">
        <f t="array" ref="G389">SUM(IF("156"&amp;C389=KHN&amp;MH,SL))</f>
        <v>420</v>
      </c>
      <c r="H389" s="25">
        <f t="array" ref="H389">SUM(IF("156"&amp;C389=KHN&amp;MH,TH))</f>
        <v>16278847</v>
      </c>
      <c r="I389" s="25">
        <f t="array" ref="I389">SUM(IF("156"&amp;C389=KHC&amp;MH,SL))</f>
        <v>420</v>
      </c>
      <c r="J389" s="25">
        <f t="array" ref="J389">SUM(IF("156"&amp;C389=KHC&amp;MH,TH))</f>
        <v>16278847</v>
      </c>
      <c r="K389" s="25">
        <f t="shared" si="27"/>
        <v>0</v>
      </c>
      <c r="L389" s="25">
        <f t="shared" si="28"/>
        <v>0</v>
      </c>
      <c r="M389" s="289" t="e">
        <f t="shared" si="29"/>
        <v>#DIV/0!</v>
      </c>
    </row>
    <row r="390" spans="1:16" ht="18.75" customHeight="1">
      <c r="A390" s="289" t="str">
        <f t="shared" si="25"/>
        <v>NL</v>
      </c>
      <c r="B390" s="753">
        <f t="shared" si="26"/>
        <v>379</v>
      </c>
      <c r="C390" s="40" t="s">
        <v>862</v>
      </c>
      <c r="D390" s="291" t="s">
        <v>393</v>
      </c>
      <c r="E390" s="25"/>
      <c r="F390" s="25"/>
      <c r="G390" s="25">
        <f t="array" ref="G390">SUM(IF("156"&amp;C390=KHN&amp;MH,SL))</f>
        <v>100</v>
      </c>
      <c r="H390" s="25">
        <f t="array" ref="H390">SUM(IF("156"&amp;C390=KHN&amp;MH,TH))</f>
        <v>943900</v>
      </c>
      <c r="I390" s="25">
        <f t="array" ref="I390">SUM(IF("156"&amp;C390=KHC&amp;MH,SL))</f>
        <v>100</v>
      </c>
      <c r="J390" s="25">
        <f t="array" ref="J390">SUM(IF("156"&amp;C390=KHC&amp;MH,TH))</f>
        <v>943900</v>
      </c>
      <c r="K390" s="25">
        <f t="shared" si="27"/>
        <v>0</v>
      </c>
      <c r="L390" s="25">
        <f t="shared" si="28"/>
        <v>0</v>
      </c>
      <c r="M390" s="289" t="e">
        <f t="shared" si="29"/>
        <v>#DIV/0!</v>
      </c>
    </row>
    <row r="391" spans="1:16" ht="18.75" customHeight="1">
      <c r="A391" s="289" t="str">
        <f t="shared" si="25"/>
        <v>NL</v>
      </c>
      <c r="B391" s="753">
        <f t="shared" si="26"/>
        <v>380</v>
      </c>
      <c r="C391" s="191" t="s">
        <v>574</v>
      </c>
      <c r="D391" s="291" t="s">
        <v>393</v>
      </c>
      <c r="E391" s="25"/>
      <c r="F391" s="25"/>
      <c r="G391" s="25">
        <f t="array" ref="G391">SUM(IF("156"&amp;C391=KHN&amp;MH,SL))</f>
        <v>6</v>
      </c>
      <c r="H391" s="25">
        <f t="array" ref="H391">SUM(IF("156"&amp;C391=KHN&amp;MH,TH))</f>
        <v>1062336</v>
      </c>
      <c r="I391" s="25">
        <f t="array" ref="I391">SUM(IF("156"&amp;C391=KHC&amp;MH,SL))</f>
        <v>6</v>
      </c>
      <c r="J391" s="25">
        <f t="array" ref="J391">SUM(IF("156"&amp;C391=KHC&amp;MH,TH))</f>
        <v>1062336</v>
      </c>
      <c r="K391" s="25">
        <f t="shared" si="27"/>
        <v>0</v>
      </c>
      <c r="L391" s="25">
        <f t="shared" si="28"/>
        <v>0</v>
      </c>
      <c r="M391" s="289" t="e">
        <f t="shared" si="29"/>
        <v>#DIV/0!</v>
      </c>
    </row>
    <row r="392" spans="1:16" ht="18.75" customHeight="1">
      <c r="A392" s="289" t="str">
        <f t="shared" si="25"/>
        <v>NL</v>
      </c>
      <c r="B392" s="753">
        <f t="shared" si="26"/>
        <v>381</v>
      </c>
      <c r="C392" s="40" t="s">
        <v>781</v>
      </c>
      <c r="D392" s="291" t="s">
        <v>393</v>
      </c>
      <c r="E392" s="25"/>
      <c r="F392" s="25"/>
      <c r="G392" s="25">
        <f t="array" ref="G392">SUM(IF("156"&amp;C392=KHN&amp;MH,SL))</f>
        <v>300</v>
      </c>
      <c r="H392" s="25">
        <f t="array" ref="H392">SUM(IF("156"&amp;C392=KHN&amp;MH,TH))</f>
        <v>1479178</v>
      </c>
      <c r="I392" s="25">
        <f t="array" ref="I392">SUM(IF("156"&amp;C392=KHC&amp;MH,SL))</f>
        <v>300</v>
      </c>
      <c r="J392" s="25">
        <f t="array" ref="J392">SUM(IF("156"&amp;C392=KHC&amp;MH,TH))</f>
        <v>1479178</v>
      </c>
      <c r="K392" s="25">
        <f t="shared" si="27"/>
        <v>0</v>
      </c>
      <c r="L392" s="25">
        <f t="shared" si="28"/>
        <v>0</v>
      </c>
      <c r="M392" s="289" t="e">
        <f t="shared" si="29"/>
        <v>#DIV/0!</v>
      </c>
    </row>
    <row r="393" spans="1:16" ht="18.75" customHeight="1">
      <c r="A393" s="289" t="str">
        <f t="shared" si="25"/>
        <v>NL</v>
      </c>
      <c r="B393" s="753">
        <f t="shared" si="26"/>
        <v>382</v>
      </c>
      <c r="C393" s="191" t="s">
        <v>1776</v>
      </c>
      <c r="D393" s="291"/>
      <c r="E393" s="25"/>
      <c r="F393" s="25"/>
      <c r="G393" s="25">
        <f t="array" ref="G393">SUM(IF("156"&amp;C393=KHN&amp;MH,SL))</f>
        <v>0</v>
      </c>
      <c r="H393" s="25">
        <f t="array" ref="H393">SUM(IF("156"&amp;C393=KHN&amp;MH,TH))</f>
        <v>0</v>
      </c>
      <c r="I393" s="25">
        <f t="array" ref="I393">SUM(IF("156"&amp;C393=KHC&amp;MH,SL))</f>
        <v>0</v>
      </c>
      <c r="J393" s="25">
        <f t="array" ref="J393">SUM(IF("156"&amp;C393=KHC&amp;MH,TH))</f>
        <v>0</v>
      </c>
      <c r="K393" s="25">
        <f t="shared" si="27"/>
        <v>0</v>
      </c>
      <c r="L393" s="25">
        <f t="shared" si="28"/>
        <v>0</v>
      </c>
      <c r="M393" s="289" t="e">
        <f t="shared" si="29"/>
        <v>#DIV/0!</v>
      </c>
    </row>
    <row r="394" spans="1:16" ht="18.75" customHeight="1">
      <c r="A394" s="289" t="str">
        <f t="shared" si="25"/>
        <v>NL</v>
      </c>
      <c r="B394" s="753">
        <f t="shared" si="26"/>
        <v>383</v>
      </c>
      <c r="C394" s="191" t="s">
        <v>1778</v>
      </c>
      <c r="D394" s="291"/>
      <c r="E394" s="25"/>
      <c r="F394" s="25"/>
      <c r="G394" s="25">
        <f t="array" ref="G394">SUM(IF("156"&amp;C394=KHN&amp;MH,SL))</f>
        <v>0</v>
      </c>
      <c r="H394" s="25">
        <f t="array" ref="H394">SUM(IF("156"&amp;C394=KHN&amp;MH,TH))</f>
        <v>0</v>
      </c>
      <c r="I394" s="25">
        <f t="array" ref="I394">SUM(IF("156"&amp;C394=KHC&amp;MH,SL))</f>
        <v>0</v>
      </c>
      <c r="J394" s="25">
        <f t="array" ref="J394">SUM(IF("156"&amp;C394=KHC&amp;MH,TH))</f>
        <v>0</v>
      </c>
      <c r="K394" s="25">
        <f t="shared" si="27"/>
        <v>0</v>
      </c>
      <c r="L394" s="25">
        <f t="shared" si="28"/>
        <v>0</v>
      </c>
      <c r="M394" s="289" t="e">
        <f t="shared" si="29"/>
        <v>#DIV/0!</v>
      </c>
    </row>
    <row r="395" spans="1:16" ht="18.75" customHeight="1">
      <c r="A395" s="289" t="str">
        <f t="shared" si="25"/>
        <v>NL</v>
      </c>
      <c r="B395" s="753">
        <f t="shared" si="26"/>
        <v>384</v>
      </c>
      <c r="C395" s="188" t="s">
        <v>730</v>
      </c>
      <c r="D395" s="291" t="s">
        <v>393</v>
      </c>
      <c r="E395" s="25"/>
      <c r="F395" s="25"/>
      <c r="G395" s="25">
        <f t="array" ref="G395">SUM(IF("156"&amp;C395=KHN&amp;MH,SL))</f>
        <v>1050</v>
      </c>
      <c r="H395" s="25">
        <f t="array" ref="H395">SUM(IF("156"&amp;C395=KHN&amp;MH,TH))</f>
        <v>4255557</v>
      </c>
      <c r="I395" s="25">
        <f t="array" ref="I395">SUM(IF("156"&amp;C395=KHC&amp;MH,SL))</f>
        <v>1050</v>
      </c>
      <c r="J395" s="25">
        <f t="array" ref="J395">SUM(IF("156"&amp;C395=KHC&amp;MH,TH))</f>
        <v>4255557</v>
      </c>
      <c r="K395" s="25">
        <f t="shared" si="27"/>
        <v>0</v>
      </c>
      <c r="L395" s="25">
        <f t="shared" si="28"/>
        <v>0</v>
      </c>
      <c r="M395" s="289" t="e">
        <f t="shared" si="29"/>
        <v>#DIV/0!</v>
      </c>
    </row>
    <row r="396" spans="1:16" ht="18.75" customHeight="1">
      <c r="A396" s="289" t="str">
        <f t="shared" ref="A396:A459" si="30">IF(B396&lt;&gt;"","NL","")</f>
        <v>NL</v>
      </c>
      <c r="B396" s="753">
        <f t="shared" ref="B396:B459" si="31">IF(C396&lt;&gt;"",ROW()-11,"")</f>
        <v>385</v>
      </c>
      <c r="C396" s="40" t="s">
        <v>807</v>
      </c>
      <c r="D396" s="291" t="s">
        <v>393</v>
      </c>
      <c r="E396" s="25"/>
      <c r="F396" s="25"/>
      <c r="G396" s="25">
        <f t="array" ref="G396">SUM(IF("156"&amp;C396=KHN&amp;MH,SL))</f>
        <v>36</v>
      </c>
      <c r="H396" s="25">
        <f t="array" ref="H396">SUM(IF("156"&amp;C396=KHN&amp;MH,TH))</f>
        <v>271556</v>
      </c>
      <c r="I396" s="25">
        <f t="array" ref="I396">SUM(IF("156"&amp;C396=KHC&amp;MH,SL))</f>
        <v>36</v>
      </c>
      <c r="J396" s="25">
        <f t="array" ref="J396">SUM(IF("156"&amp;C396=KHC&amp;MH,TH))</f>
        <v>271556</v>
      </c>
      <c r="K396" s="25">
        <f t="shared" ref="K396:K459" si="32">E396+G396-I396</f>
        <v>0</v>
      </c>
      <c r="L396" s="25">
        <f t="shared" ref="L396:L459" si="33">F396+H396-J396</f>
        <v>0</v>
      </c>
      <c r="M396" s="289" t="e">
        <f t="shared" ref="M396:M459" si="34">L396/K396</f>
        <v>#DIV/0!</v>
      </c>
      <c r="O396" s="927"/>
      <c r="P396" s="927"/>
    </row>
    <row r="397" spans="1:16" ht="18.75" customHeight="1">
      <c r="A397" s="289" t="str">
        <f t="shared" si="30"/>
        <v>NL</v>
      </c>
      <c r="B397" s="753">
        <f t="shared" si="31"/>
        <v>386</v>
      </c>
      <c r="C397" s="191" t="s">
        <v>564</v>
      </c>
      <c r="D397" s="291" t="s">
        <v>393</v>
      </c>
      <c r="E397" s="25"/>
      <c r="F397" s="25"/>
      <c r="G397" s="25">
        <f t="array" ref="G397">SUM(IF("156"&amp;C397=KHN&amp;MH,SL))</f>
        <v>160</v>
      </c>
      <c r="H397" s="25">
        <f t="array" ref="H397">SUM(IF("156"&amp;C397=KHN&amp;MH,TH))</f>
        <v>1288864</v>
      </c>
      <c r="I397" s="25">
        <f t="array" ref="I397">SUM(IF("156"&amp;C397=KHC&amp;MH,SL))</f>
        <v>160</v>
      </c>
      <c r="J397" s="25">
        <f t="array" ref="J397">SUM(IF("156"&amp;C397=KHC&amp;MH,TH))</f>
        <v>1288864</v>
      </c>
      <c r="K397" s="25">
        <f t="shared" si="32"/>
        <v>0</v>
      </c>
      <c r="L397" s="25">
        <f t="shared" si="33"/>
        <v>0</v>
      </c>
      <c r="M397" s="289" t="e">
        <f t="shared" si="34"/>
        <v>#DIV/0!</v>
      </c>
      <c r="O397" s="927"/>
      <c r="P397" s="927"/>
    </row>
    <row r="398" spans="1:16" ht="18.75" customHeight="1">
      <c r="A398" s="289" t="str">
        <f t="shared" si="30"/>
        <v>NL</v>
      </c>
      <c r="B398" s="753">
        <f t="shared" si="31"/>
        <v>387</v>
      </c>
      <c r="C398" s="191" t="s">
        <v>495</v>
      </c>
      <c r="D398" s="291" t="s">
        <v>393</v>
      </c>
      <c r="E398" s="25"/>
      <c r="F398" s="25"/>
      <c r="G398" s="25">
        <f t="array" ref="G398">SUM(IF("156"&amp;C398=KHN&amp;MH,SL))</f>
        <v>198</v>
      </c>
      <c r="H398" s="25">
        <f t="array" ref="H398">SUM(IF("156"&amp;C398=KHN&amp;MH,TH))</f>
        <v>1531656</v>
      </c>
      <c r="I398" s="25">
        <f t="array" ref="I398">SUM(IF("156"&amp;C398=KHC&amp;MH,SL))</f>
        <v>198</v>
      </c>
      <c r="J398" s="25">
        <f t="array" ref="J398">SUM(IF("156"&amp;C398=KHC&amp;MH,TH))</f>
        <v>1531656</v>
      </c>
      <c r="K398" s="25">
        <f t="shared" si="32"/>
        <v>0</v>
      </c>
      <c r="L398" s="25">
        <f t="shared" si="33"/>
        <v>0</v>
      </c>
      <c r="M398" s="289" t="e">
        <f t="shared" si="34"/>
        <v>#DIV/0!</v>
      </c>
    </row>
    <row r="399" spans="1:16" ht="18.75" customHeight="1">
      <c r="A399" s="289" t="str">
        <f t="shared" si="30"/>
        <v>NL</v>
      </c>
      <c r="B399" s="753">
        <f t="shared" si="31"/>
        <v>388</v>
      </c>
      <c r="C399" s="188" t="s">
        <v>1304</v>
      </c>
      <c r="D399" s="291" t="s">
        <v>393</v>
      </c>
      <c r="E399" s="25"/>
      <c r="F399" s="25"/>
      <c r="G399" s="25">
        <f t="array" ref="G399">SUM(IF("156"&amp;C399=KHN&amp;MH,SL))</f>
        <v>250</v>
      </c>
      <c r="H399" s="25">
        <f t="array" ref="H399">SUM(IF("156"&amp;C399=KHN&amp;MH,TH))</f>
        <v>1478807</v>
      </c>
      <c r="I399" s="25">
        <f t="array" ref="I399">SUM(IF("156"&amp;C399=KHC&amp;MH,SL))</f>
        <v>250</v>
      </c>
      <c r="J399" s="25">
        <f t="array" ref="J399">SUM(IF("156"&amp;C399=KHC&amp;MH,TH))</f>
        <v>1478807</v>
      </c>
      <c r="K399" s="25">
        <f t="shared" si="32"/>
        <v>0</v>
      </c>
      <c r="L399" s="25">
        <f t="shared" si="33"/>
        <v>0</v>
      </c>
      <c r="M399" s="289" t="e">
        <f t="shared" si="34"/>
        <v>#DIV/0!</v>
      </c>
    </row>
    <row r="400" spans="1:16" ht="18.75" customHeight="1">
      <c r="A400" s="289" t="str">
        <f t="shared" si="30"/>
        <v>NL</v>
      </c>
      <c r="B400" s="753">
        <f t="shared" si="31"/>
        <v>389</v>
      </c>
      <c r="C400" s="188" t="s">
        <v>1305</v>
      </c>
      <c r="D400" s="291" t="s">
        <v>393</v>
      </c>
      <c r="E400" s="25"/>
      <c r="F400" s="25"/>
      <c r="G400" s="25">
        <f t="array" ref="G400">SUM(IF("156"&amp;C400=KHN&amp;MH,SL))</f>
        <v>3</v>
      </c>
      <c r="H400" s="25">
        <f t="array" ref="H400">SUM(IF("156"&amp;C400=KHN&amp;MH,TH))</f>
        <v>20004</v>
      </c>
      <c r="I400" s="25">
        <f t="array" ref="I400">SUM(IF("156"&amp;C400=KHC&amp;MH,SL))</f>
        <v>3</v>
      </c>
      <c r="J400" s="25">
        <f t="array" ref="J400">SUM(IF("156"&amp;C400=KHC&amp;MH,TH))</f>
        <v>20004</v>
      </c>
      <c r="K400" s="25">
        <f t="shared" si="32"/>
        <v>0</v>
      </c>
      <c r="L400" s="25">
        <f t="shared" si="33"/>
        <v>0</v>
      </c>
      <c r="M400" s="289" t="e">
        <f t="shared" si="34"/>
        <v>#DIV/0!</v>
      </c>
    </row>
    <row r="401" spans="1:16" ht="18.75" customHeight="1">
      <c r="A401" s="289" t="str">
        <f t="shared" si="30"/>
        <v>NL</v>
      </c>
      <c r="B401" s="753">
        <f t="shared" si="31"/>
        <v>390</v>
      </c>
      <c r="C401" s="191" t="s">
        <v>951</v>
      </c>
      <c r="D401" s="291" t="s">
        <v>393</v>
      </c>
      <c r="E401" s="25"/>
      <c r="F401" s="25"/>
      <c r="G401" s="25">
        <f t="array" ref="G401">SUM(IF("156"&amp;C401=KHN&amp;MH,SL))</f>
        <v>30</v>
      </c>
      <c r="H401" s="25">
        <f t="array" ref="H401">SUM(IF("156"&amp;C401=KHN&amp;MH,TH))</f>
        <v>2522520</v>
      </c>
      <c r="I401" s="25">
        <f t="array" ref="I401">SUM(IF("156"&amp;C401=KHC&amp;MH,SL))</f>
        <v>0</v>
      </c>
      <c r="J401" s="25">
        <f t="array" ref="J401">SUM(IF("156"&amp;C401=KHC&amp;MH,TH))</f>
        <v>0</v>
      </c>
      <c r="K401" s="25">
        <f t="shared" si="32"/>
        <v>30</v>
      </c>
      <c r="L401" s="25">
        <f t="shared" si="33"/>
        <v>2522520</v>
      </c>
      <c r="M401" s="289">
        <f t="shared" si="34"/>
        <v>84084</v>
      </c>
    </row>
    <row r="402" spans="1:16" ht="18.75" customHeight="1">
      <c r="A402" s="289" t="str">
        <f t="shared" si="30"/>
        <v>NL</v>
      </c>
      <c r="B402" s="753">
        <f t="shared" si="31"/>
        <v>391</v>
      </c>
      <c r="C402" s="191" t="s">
        <v>1781</v>
      </c>
      <c r="D402" s="291"/>
      <c r="E402" s="25"/>
      <c r="F402" s="25"/>
      <c r="G402" s="25">
        <f t="array" ref="G402">SUM(IF("156"&amp;C402=KHN&amp;MH,SL))</f>
        <v>22</v>
      </c>
      <c r="H402" s="25">
        <f t="array" ref="H402">SUM(IF("156"&amp;C402=KHN&amp;MH,TH))</f>
        <v>231934</v>
      </c>
      <c r="I402" s="25">
        <f t="array" ref="I402">SUM(IF("156"&amp;C402=KHC&amp;MH,SL))</f>
        <v>22</v>
      </c>
      <c r="J402" s="25">
        <f t="array" ref="J402">SUM(IF("156"&amp;C402=KHC&amp;MH,TH))</f>
        <v>231934</v>
      </c>
      <c r="K402" s="25">
        <f t="shared" si="32"/>
        <v>0</v>
      </c>
      <c r="L402" s="25">
        <f t="shared" si="33"/>
        <v>0</v>
      </c>
      <c r="M402" s="289" t="e">
        <f t="shared" si="34"/>
        <v>#DIV/0!</v>
      </c>
    </row>
    <row r="403" spans="1:16" ht="18.75" customHeight="1">
      <c r="A403" s="289" t="str">
        <f t="shared" si="30"/>
        <v>NL</v>
      </c>
      <c r="B403" s="753">
        <f t="shared" si="31"/>
        <v>392</v>
      </c>
      <c r="C403" s="191" t="s">
        <v>486</v>
      </c>
      <c r="D403" s="291" t="s">
        <v>393</v>
      </c>
      <c r="E403" s="25"/>
      <c r="F403" s="25"/>
      <c r="G403" s="25">
        <f t="array" ref="G403">SUM(IF("156"&amp;C403=KHN&amp;MH,SL))</f>
        <v>120</v>
      </c>
      <c r="H403" s="25">
        <f t="array" ref="H403">SUM(IF("156"&amp;C403=KHN&amp;MH,TH))</f>
        <v>1458807</v>
      </c>
      <c r="I403" s="25">
        <f t="array" ref="I403">SUM(IF("156"&amp;C403=KHC&amp;MH,SL))</f>
        <v>120</v>
      </c>
      <c r="J403" s="25">
        <f t="array" ref="J403">SUM(IF("156"&amp;C403=KHC&amp;MH,TH))</f>
        <v>1458807</v>
      </c>
      <c r="K403" s="25">
        <f t="shared" si="32"/>
        <v>0</v>
      </c>
      <c r="L403" s="25">
        <f t="shared" si="33"/>
        <v>0</v>
      </c>
      <c r="M403" s="289" t="e">
        <f t="shared" si="34"/>
        <v>#DIV/0!</v>
      </c>
    </row>
    <row r="404" spans="1:16" ht="18.75" customHeight="1">
      <c r="A404" s="289" t="str">
        <f t="shared" si="30"/>
        <v>NL</v>
      </c>
      <c r="B404" s="753">
        <f t="shared" si="31"/>
        <v>393</v>
      </c>
      <c r="C404" s="191" t="s">
        <v>531</v>
      </c>
      <c r="D404" s="291" t="s">
        <v>393</v>
      </c>
      <c r="E404" s="25"/>
      <c r="F404" s="25"/>
      <c r="G404" s="25">
        <f t="array" ref="G404">SUM(IF("156"&amp;C404=KHN&amp;MH,SL))</f>
        <v>10</v>
      </c>
      <c r="H404" s="25">
        <f t="array" ref="H404">SUM(IF("156"&amp;C404=KHN&amp;MH,TH))</f>
        <v>69700</v>
      </c>
      <c r="I404" s="25">
        <f t="array" ref="I404">SUM(IF("156"&amp;C404=KHC&amp;MH,SL))</f>
        <v>10</v>
      </c>
      <c r="J404" s="25">
        <f t="array" ref="J404">SUM(IF("156"&amp;C404=KHC&amp;MH,TH))</f>
        <v>69700</v>
      </c>
      <c r="K404" s="25">
        <f t="shared" si="32"/>
        <v>0</v>
      </c>
      <c r="L404" s="25">
        <f t="shared" si="33"/>
        <v>0</v>
      </c>
      <c r="M404" s="289" t="e">
        <f t="shared" si="34"/>
        <v>#DIV/0!</v>
      </c>
    </row>
    <row r="405" spans="1:16" ht="18.75" customHeight="1">
      <c r="A405" s="289" t="str">
        <f t="shared" si="30"/>
        <v>NL</v>
      </c>
      <c r="B405" s="753">
        <f t="shared" si="31"/>
        <v>394</v>
      </c>
      <c r="C405" s="40" t="s">
        <v>1479</v>
      </c>
      <c r="D405" s="291" t="s">
        <v>393</v>
      </c>
      <c r="E405" s="25"/>
      <c r="F405" s="25"/>
      <c r="G405" s="25">
        <f t="array" ref="G405">SUM(IF("156"&amp;C405=KHN&amp;MH,SL))</f>
        <v>400</v>
      </c>
      <c r="H405" s="25">
        <f t="array" ref="H405">SUM(IF("156"&amp;C405=KHN&amp;MH,TH))</f>
        <v>4713484</v>
      </c>
      <c r="I405" s="25">
        <f t="array" ref="I405">SUM(IF("156"&amp;C405=KHC&amp;MH,SL))</f>
        <v>400</v>
      </c>
      <c r="J405" s="25">
        <f t="array" ref="J405">SUM(IF("156"&amp;C405=KHC&amp;MH,TH))</f>
        <v>4713484</v>
      </c>
      <c r="K405" s="25">
        <f t="shared" si="32"/>
        <v>0</v>
      </c>
      <c r="L405" s="25">
        <f t="shared" si="33"/>
        <v>0</v>
      </c>
      <c r="M405" s="289" t="e">
        <f t="shared" si="34"/>
        <v>#DIV/0!</v>
      </c>
    </row>
    <row r="406" spans="1:16" ht="18.75" customHeight="1">
      <c r="A406" s="289" t="str">
        <f t="shared" si="30"/>
        <v>NL</v>
      </c>
      <c r="B406" s="753">
        <f t="shared" si="31"/>
        <v>395</v>
      </c>
      <c r="C406" s="191" t="s">
        <v>1001</v>
      </c>
      <c r="D406" s="291" t="s">
        <v>393</v>
      </c>
      <c r="E406" s="25"/>
      <c r="F406" s="25"/>
      <c r="G406" s="25">
        <f t="array" ref="G406">SUM(IF("156"&amp;C406=KHN&amp;MH,SL))</f>
        <v>6</v>
      </c>
      <c r="H406" s="25">
        <f t="array" ref="H406">SUM(IF("156"&amp;C406=KHN&amp;MH,TH))</f>
        <v>38880</v>
      </c>
      <c r="I406" s="25">
        <f t="array" ref="I406">SUM(IF("156"&amp;C406=KHC&amp;MH,SL))</f>
        <v>6</v>
      </c>
      <c r="J406" s="25">
        <f t="array" ref="J406">SUM(IF("156"&amp;C406=KHC&amp;MH,TH))</f>
        <v>38880</v>
      </c>
      <c r="K406" s="25">
        <f t="shared" si="32"/>
        <v>0</v>
      </c>
      <c r="L406" s="25">
        <f t="shared" si="33"/>
        <v>0</v>
      </c>
      <c r="M406" s="289" t="e">
        <f t="shared" si="34"/>
        <v>#DIV/0!</v>
      </c>
    </row>
    <row r="407" spans="1:16" ht="18.75" customHeight="1">
      <c r="A407" s="289" t="str">
        <f t="shared" si="30"/>
        <v>NL</v>
      </c>
      <c r="B407" s="753">
        <f t="shared" si="31"/>
        <v>396</v>
      </c>
      <c r="C407" s="292" t="s">
        <v>1563</v>
      </c>
      <c r="D407" s="291" t="s">
        <v>393</v>
      </c>
      <c r="E407" s="25"/>
      <c r="F407" s="25"/>
      <c r="G407" s="25">
        <f t="array" ref="G407">SUM(IF("156"&amp;C407=KHN&amp;MH,SL))</f>
        <v>18</v>
      </c>
      <c r="H407" s="25">
        <f t="array" ref="H407">SUM(IF("156"&amp;C407=KHN&amp;MH,TH))</f>
        <v>135000</v>
      </c>
      <c r="I407" s="25">
        <f t="array" ref="I407">SUM(IF("156"&amp;C407=KHC&amp;MH,SL))</f>
        <v>18</v>
      </c>
      <c r="J407" s="25">
        <f t="array" ref="J407">SUM(IF("156"&amp;C407=KHC&amp;MH,TH))</f>
        <v>135000</v>
      </c>
      <c r="K407" s="25">
        <f t="shared" si="32"/>
        <v>0</v>
      </c>
      <c r="L407" s="25">
        <f t="shared" si="33"/>
        <v>0</v>
      </c>
      <c r="M407" s="289" t="e">
        <f t="shared" si="34"/>
        <v>#DIV/0!</v>
      </c>
      <c r="O407" s="927"/>
      <c r="P407" s="927"/>
    </row>
    <row r="408" spans="1:16" ht="18.75" customHeight="1">
      <c r="A408" s="289" t="str">
        <f t="shared" si="30"/>
        <v>NL</v>
      </c>
      <c r="B408" s="753">
        <f t="shared" si="31"/>
        <v>397</v>
      </c>
      <c r="C408" s="191" t="s">
        <v>563</v>
      </c>
      <c r="D408" s="291" t="s">
        <v>393</v>
      </c>
      <c r="E408" s="25"/>
      <c r="F408" s="25"/>
      <c r="G408" s="25">
        <f t="array" ref="G408">SUM(IF("156"&amp;C408=KHN&amp;MH,SL))</f>
        <v>24</v>
      </c>
      <c r="H408" s="25">
        <f t="array" ref="H408">SUM(IF("156"&amp;C408=KHN&amp;MH,TH))</f>
        <v>203784</v>
      </c>
      <c r="I408" s="25">
        <f t="array" ref="I408">SUM(IF("156"&amp;C408=KHC&amp;MH,SL))</f>
        <v>24</v>
      </c>
      <c r="J408" s="25">
        <f t="array" ref="J408">SUM(IF("156"&amp;C408=KHC&amp;MH,TH))</f>
        <v>203784</v>
      </c>
      <c r="K408" s="25">
        <f t="shared" si="32"/>
        <v>0</v>
      </c>
      <c r="L408" s="25">
        <f t="shared" si="33"/>
        <v>0</v>
      </c>
      <c r="M408" s="289" t="e">
        <f t="shared" si="34"/>
        <v>#DIV/0!</v>
      </c>
    </row>
    <row r="409" spans="1:16" ht="18.75" customHeight="1">
      <c r="A409" s="289" t="str">
        <f t="shared" si="30"/>
        <v>NL</v>
      </c>
      <c r="B409" s="753">
        <f t="shared" si="31"/>
        <v>398</v>
      </c>
      <c r="C409" s="292" t="s">
        <v>1562</v>
      </c>
      <c r="D409" s="291" t="s">
        <v>393</v>
      </c>
      <c r="E409" s="25"/>
      <c r="F409" s="25"/>
      <c r="G409" s="25">
        <f t="array" ref="G409">SUM(IF("156"&amp;C409=KHN&amp;MH,SL))</f>
        <v>12</v>
      </c>
      <c r="H409" s="25">
        <f t="array" ref="H409">SUM(IF("156"&amp;C409=KHN&amp;MH,TH))</f>
        <v>122400</v>
      </c>
      <c r="I409" s="25">
        <f t="array" ref="I409">SUM(IF("156"&amp;C409=KHC&amp;MH,SL))</f>
        <v>12</v>
      </c>
      <c r="J409" s="25">
        <f t="array" ref="J409">SUM(IF("156"&amp;C409=KHC&amp;MH,TH))</f>
        <v>122400</v>
      </c>
      <c r="K409" s="25">
        <f t="shared" si="32"/>
        <v>0</v>
      </c>
      <c r="L409" s="25">
        <f t="shared" si="33"/>
        <v>0</v>
      </c>
      <c r="M409" s="289" t="e">
        <f t="shared" si="34"/>
        <v>#DIV/0!</v>
      </c>
      <c r="O409" s="927"/>
      <c r="P409" s="927"/>
    </row>
    <row r="410" spans="1:16" ht="18.75" customHeight="1">
      <c r="A410" s="289" t="str">
        <f t="shared" si="30"/>
        <v>NL</v>
      </c>
      <c r="B410" s="753">
        <f t="shared" si="31"/>
        <v>399</v>
      </c>
      <c r="C410" s="40" t="s">
        <v>808</v>
      </c>
      <c r="D410" s="291" t="s">
        <v>393</v>
      </c>
      <c r="E410" s="25"/>
      <c r="F410" s="25"/>
      <c r="G410" s="25">
        <f t="array" ref="G410">SUM(IF("156"&amp;C410=KHN&amp;MH,SL))</f>
        <v>124</v>
      </c>
      <c r="H410" s="25">
        <f t="array" ref="H410">SUM(IF("156"&amp;C410=KHN&amp;MH,TH))</f>
        <v>1461351</v>
      </c>
      <c r="I410" s="25">
        <f t="array" ref="I410">SUM(IF("156"&amp;C410=KHC&amp;MH,SL))</f>
        <v>124</v>
      </c>
      <c r="J410" s="25">
        <f t="array" ref="J410">SUM(IF("156"&amp;C410=KHC&amp;MH,TH))</f>
        <v>1461351</v>
      </c>
      <c r="K410" s="25">
        <f t="shared" si="32"/>
        <v>0</v>
      </c>
      <c r="L410" s="25">
        <f t="shared" si="33"/>
        <v>0</v>
      </c>
      <c r="M410" s="289" t="e">
        <f t="shared" si="34"/>
        <v>#DIV/0!</v>
      </c>
      <c r="O410" s="927"/>
      <c r="P410" s="927"/>
    </row>
    <row r="411" spans="1:16" ht="18.75" customHeight="1">
      <c r="A411" s="289" t="str">
        <f t="shared" si="30"/>
        <v>NL</v>
      </c>
      <c r="B411" s="753">
        <f t="shared" si="31"/>
        <v>400</v>
      </c>
      <c r="C411" s="191" t="s">
        <v>1784</v>
      </c>
      <c r="D411" s="291"/>
      <c r="E411" s="25"/>
      <c r="F411" s="25"/>
      <c r="G411" s="25">
        <f t="array" ref="G411">SUM(IF("156"&amp;C411=KHN&amp;MH,SL))</f>
        <v>4</v>
      </c>
      <c r="H411" s="25">
        <f t="array" ref="H411">SUM(IF("156"&amp;C411=KHN&amp;MH,TH))</f>
        <v>80989</v>
      </c>
      <c r="I411" s="25">
        <f t="array" ref="I411">SUM(IF("156"&amp;C411=KHC&amp;MH,SL))</f>
        <v>4</v>
      </c>
      <c r="J411" s="25">
        <f t="array" ref="J411">SUM(IF("156"&amp;C411=KHC&amp;MH,TH))</f>
        <v>80989</v>
      </c>
      <c r="K411" s="25">
        <f t="shared" si="32"/>
        <v>0</v>
      </c>
      <c r="L411" s="25">
        <f t="shared" si="33"/>
        <v>0</v>
      </c>
      <c r="M411" s="289" t="e">
        <f t="shared" si="34"/>
        <v>#DIV/0!</v>
      </c>
    </row>
    <row r="412" spans="1:16" ht="18.75" customHeight="1">
      <c r="A412" s="289" t="str">
        <f t="shared" si="30"/>
        <v>NL</v>
      </c>
      <c r="B412" s="753">
        <f t="shared" si="31"/>
        <v>401</v>
      </c>
      <c r="C412" s="191" t="s">
        <v>520</v>
      </c>
      <c r="D412" s="291" t="s">
        <v>393</v>
      </c>
      <c r="E412" s="25"/>
      <c r="F412" s="25"/>
      <c r="G412" s="25">
        <f t="array" ref="G412">SUM(IF("156"&amp;C412=KHN&amp;MH,SL))</f>
        <v>12</v>
      </c>
      <c r="H412" s="25">
        <f t="array" ref="H412">SUM(IF("156"&amp;C412=KHN&amp;MH,TH))</f>
        <v>188160</v>
      </c>
      <c r="I412" s="25">
        <f t="array" ref="I412">SUM(IF("156"&amp;C412=KHC&amp;MH,SL))</f>
        <v>12</v>
      </c>
      <c r="J412" s="25">
        <f t="array" ref="J412">SUM(IF("156"&amp;C412=KHC&amp;MH,TH))</f>
        <v>188160</v>
      </c>
      <c r="K412" s="25">
        <f t="shared" si="32"/>
        <v>0</v>
      </c>
      <c r="L412" s="25">
        <f t="shared" si="33"/>
        <v>0</v>
      </c>
      <c r="M412" s="289" t="e">
        <f t="shared" si="34"/>
        <v>#DIV/0!</v>
      </c>
    </row>
    <row r="413" spans="1:16" ht="18.75" customHeight="1">
      <c r="A413" s="289" t="str">
        <f t="shared" si="30"/>
        <v>NL</v>
      </c>
      <c r="B413" s="753">
        <f t="shared" si="31"/>
        <v>402</v>
      </c>
      <c r="C413" s="191" t="s">
        <v>568</v>
      </c>
      <c r="D413" s="291" t="s">
        <v>393</v>
      </c>
      <c r="E413" s="25"/>
      <c r="F413" s="25"/>
      <c r="G413" s="25">
        <f t="array" ref="G413">SUM(IF("156"&amp;C413=KHN&amp;MH,SL))</f>
        <v>60</v>
      </c>
      <c r="H413" s="25">
        <f t="array" ref="H413">SUM(IF("156"&amp;C413=KHN&amp;MH,TH))</f>
        <v>662685</v>
      </c>
      <c r="I413" s="25">
        <f t="array" ref="I413">SUM(IF("156"&amp;C413=KHC&amp;MH,SL))</f>
        <v>60</v>
      </c>
      <c r="J413" s="25">
        <f t="array" ref="J413">SUM(IF("156"&amp;C413=KHC&amp;MH,TH))</f>
        <v>662685</v>
      </c>
      <c r="K413" s="25">
        <f t="shared" si="32"/>
        <v>0</v>
      </c>
      <c r="L413" s="25">
        <f t="shared" si="33"/>
        <v>0</v>
      </c>
      <c r="M413" s="289" t="e">
        <f t="shared" si="34"/>
        <v>#DIV/0!</v>
      </c>
    </row>
    <row r="414" spans="1:16" ht="18.75" customHeight="1">
      <c r="A414" s="289" t="str">
        <f t="shared" si="30"/>
        <v>NL</v>
      </c>
      <c r="B414" s="753">
        <f t="shared" si="31"/>
        <v>403</v>
      </c>
      <c r="C414" s="292" t="s">
        <v>1690</v>
      </c>
      <c r="D414" s="291" t="s">
        <v>393</v>
      </c>
      <c r="E414" s="25"/>
      <c r="F414" s="25"/>
      <c r="G414" s="25">
        <f t="array" ref="G414">SUM(IF("156"&amp;C414=KHN&amp;MH,SL))</f>
        <v>4100</v>
      </c>
      <c r="H414" s="25">
        <f t="array" ref="H414">SUM(IF("156"&amp;C414=KHN&amp;MH,TH))</f>
        <v>29930000</v>
      </c>
      <c r="I414" s="25">
        <f t="array" ref="I414">SUM(IF("156"&amp;C414=KHC&amp;MH,SL))</f>
        <v>4100</v>
      </c>
      <c r="J414" s="25">
        <f t="array" ref="J414">SUM(IF("156"&amp;C414=KHC&amp;MH,TH))</f>
        <v>29930000</v>
      </c>
      <c r="K414" s="25">
        <f t="shared" si="32"/>
        <v>0</v>
      </c>
      <c r="L414" s="25">
        <f t="shared" si="33"/>
        <v>0</v>
      </c>
      <c r="M414" s="289" t="e">
        <f t="shared" si="34"/>
        <v>#DIV/0!</v>
      </c>
    </row>
    <row r="415" spans="1:16" ht="18.75" customHeight="1">
      <c r="A415" s="289" t="str">
        <f t="shared" si="30"/>
        <v>NL</v>
      </c>
      <c r="B415" s="753">
        <f t="shared" si="31"/>
        <v>404</v>
      </c>
      <c r="C415" s="40" t="s">
        <v>860</v>
      </c>
      <c r="D415" s="291" t="s">
        <v>393</v>
      </c>
      <c r="E415" s="25"/>
      <c r="F415" s="25"/>
      <c r="G415" s="25">
        <f t="array" ref="G415">SUM(IF("156"&amp;C415=KHN&amp;MH,SL))</f>
        <v>100</v>
      </c>
      <c r="H415" s="25">
        <f t="array" ref="H415">SUM(IF("156"&amp;C415=KHN&amp;MH,TH))</f>
        <v>1329200</v>
      </c>
      <c r="I415" s="25">
        <f t="array" ref="I415">SUM(IF("156"&amp;C415=KHC&amp;MH,SL))</f>
        <v>100</v>
      </c>
      <c r="J415" s="25">
        <f t="array" ref="J415">SUM(IF("156"&amp;C415=KHC&amp;MH,TH))</f>
        <v>1329200</v>
      </c>
      <c r="K415" s="25">
        <f t="shared" si="32"/>
        <v>0</v>
      </c>
      <c r="L415" s="25">
        <f t="shared" si="33"/>
        <v>0</v>
      </c>
      <c r="M415" s="289" t="e">
        <f t="shared" si="34"/>
        <v>#DIV/0!</v>
      </c>
    </row>
    <row r="416" spans="1:16" ht="18.75" customHeight="1">
      <c r="A416" s="289" t="str">
        <f t="shared" si="30"/>
        <v>NL</v>
      </c>
      <c r="B416" s="753">
        <f t="shared" si="31"/>
        <v>405</v>
      </c>
      <c r="C416" s="188" t="s">
        <v>699</v>
      </c>
      <c r="D416" s="291" t="s">
        <v>393</v>
      </c>
      <c r="E416" s="25"/>
      <c r="F416" s="25"/>
      <c r="G416" s="25">
        <f t="array" ref="G416">SUM(IF("156"&amp;C416=KHN&amp;MH,SL))</f>
        <v>146</v>
      </c>
      <c r="H416" s="25">
        <f t="array" ref="H416">SUM(IF("156"&amp;C416=KHN&amp;MH,TH))</f>
        <v>2059881</v>
      </c>
      <c r="I416" s="25">
        <f t="array" ref="I416">SUM(IF("156"&amp;C416=KHC&amp;MH,SL))</f>
        <v>134</v>
      </c>
      <c r="J416" s="25">
        <f t="array" ref="J416">SUM(IF("156"&amp;C416=KHC&amp;MH,TH))</f>
        <v>1896781</v>
      </c>
      <c r="K416" s="25">
        <f t="shared" si="32"/>
        <v>12</v>
      </c>
      <c r="L416" s="25">
        <f t="shared" si="33"/>
        <v>163100</v>
      </c>
      <c r="M416" s="289">
        <f t="shared" si="34"/>
        <v>13591.666666666666</v>
      </c>
    </row>
    <row r="417" spans="1:16" ht="18.75" customHeight="1">
      <c r="A417" s="289" t="str">
        <f t="shared" si="30"/>
        <v>NL</v>
      </c>
      <c r="B417" s="753">
        <f t="shared" si="31"/>
        <v>406</v>
      </c>
      <c r="C417" s="191" t="s">
        <v>1791</v>
      </c>
      <c r="D417" s="291"/>
      <c r="E417" s="25"/>
      <c r="F417" s="25"/>
      <c r="G417" s="25">
        <f t="array" ref="G417">SUM(IF("156"&amp;C417=KHN&amp;MH,SL))</f>
        <v>6</v>
      </c>
      <c r="H417" s="25">
        <f t="array" ref="H417">SUM(IF("156"&amp;C417=KHN&amp;MH,TH))</f>
        <v>119492</v>
      </c>
      <c r="I417" s="25">
        <f t="array" ref="I417">SUM(IF("156"&amp;C417=KHC&amp;MH,SL))</f>
        <v>6</v>
      </c>
      <c r="J417" s="25">
        <f t="array" ref="J417">SUM(IF("156"&amp;C417=KHC&amp;MH,TH))</f>
        <v>119492</v>
      </c>
      <c r="K417" s="25">
        <f t="shared" si="32"/>
        <v>0</v>
      </c>
      <c r="L417" s="25">
        <f t="shared" si="33"/>
        <v>0</v>
      </c>
      <c r="M417" s="289" t="e">
        <f t="shared" si="34"/>
        <v>#DIV/0!</v>
      </c>
    </row>
    <row r="418" spans="1:16" ht="18.75" customHeight="1">
      <c r="A418" s="289" t="str">
        <f t="shared" si="30"/>
        <v>NL</v>
      </c>
      <c r="B418" s="753">
        <f t="shared" si="31"/>
        <v>407</v>
      </c>
      <c r="C418" s="292" t="s">
        <v>1564</v>
      </c>
      <c r="D418" s="291" t="s">
        <v>393</v>
      </c>
      <c r="E418" s="25"/>
      <c r="F418" s="25"/>
      <c r="G418" s="25">
        <f t="array" ref="G418">SUM(IF("156"&amp;C418=KHN&amp;MH,SL))</f>
        <v>25</v>
      </c>
      <c r="H418" s="25">
        <f t="array" ref="H418">SUM(IF("156"&amp;C418=KHN&amp;MH,TH))</f>
        <v>202500</v>
      </c>
      <c r="I418" s="25">
        <f t="array" ref="I418">SUM(IF("156"&amp;C418=KHC&amp;MH,SL))</f>
        <v>25</v>
      </c>
      <c r="J418" s="25">
        <f t="array" ref="J418">SUM(IF("156"&amp;C418=KHC&amp;MH,TH))</f>
        <v>202500</v>
      </c>
      <c r="K418" s="25">
        <f t="shared" si="32"/>
        <v>0</v>
      </c>
      <c r="L418" s="25">
        <f t="shared" si="33"/>
        <v>0</v>
      </c>
      <c r="M418" s="289" t="e">
        <f t="shared" si="34"/>
        <v>#DIV/0!</v>
      </c>
      <c r="O418" s="927"/>
      <c r="P418" s="927"/>
    </row>
    <row r="419" spans="1:16" ht="18.75" customHeight="1">
      <c r="A419" s="289" t="str">
        <f t="shared" si="30"/>
        <v>NL</v>
      </c>
      <c r="B419" s="753">
        <f t="shared" si="31"/>
        <v>408</v>
      </c>
      <c r="C419" s="191" t="s">
        <v>567</v>
      </c>
      <c r="D419" s="291" t="s">
        <v>393</v>
      </c>
      <c r="E419" s="25"/>
      <c r="F419" s="25"/>
      <c r="G419" s="25">
        <f t="array" ref="G419">SUM(IF("156"&amp;C419=KHN&amp;MH,SL))</f>
        <v>50</v>
      </c>
      <c r="H419" s="25">
        <f t="array" ref="H419">SUM(IF("156"&amp;C419=KHN&amp;MH,TH))</f>
        <v>458000</v>
      </c>
      <c r="I419" s="25">
        <f t="array" ref="I419">SUM(IF("156"&amp;C419=KHC&amp;MH,SL))</f>
        <v>50</v>
      </c>
      <c r="J419" s="25">
        <f t="array" ref="J419">SUM(IF("156"&amp;C419=KHC&amp;MH,TH))</f>
        <v>458000</v>
      </c>
      <c r="K419" s="25">
        <f t="shared" si="32"/>
        <v>0</v>
      </c>
      <c r="L419" s="25">
        <f t="shared" si="33"/>
        <v>0</v>
      </c>
      <c r="M419" s="289" t="e">
        <f t="shared" si="34"/>
        <v>#DIV/0!</v>
      </c>
    </row>
    <row r="420" spans="1:16" ht="18.75" customHeight="1">
      <c r="A420" s="289" t="str">
        <f t="shared" si="30"/>
        <v>NL</v>
      </c>
      <c r="B420" s="753">
        <f t="shared" si="31"/>
        <v>409</v>
      </c>
      <c r="C420" s="191" t="s">
        <v>565</v>
      </c>
      <c r="D420" s="291" t="s">
        <v>393</v>
      </c>
      <c r="E420" s="25"/>
      <c r="F420" s="25"/>
      <c r="G420" s="25">
        <f t="array" ref="G420">SUM(IF("156"&amp;C420=KHN&amp;MH,SL))</f>
        <v>48</v>
      </c>
      <c r="H420" s="25">
        <f t="array" ref="H420">SUM(IF("156"&amp;C420=KHN&amp;MH,TH))</f>
        <v>452064</v>
      </c>
      <c r="I420" s="25">
        <f t="array" ref="I420">SUM(IF("156"&amp;C420=KHC&amp;MH,SL))</f>
        <v>48</v>
      </c>
      <c r="J420" s="25">
        <f t="array" ref="J420">SUM(IF("156"&amp;C420=KHC&amp;MH,TH))</f>
        <v>452064</v>
      </c>
      <c r="K420" s="25">
        <f t="shared" si="32"/>
        <v>0</v>
      </c>
      <c r="L420" s="25">
        <f t="shared" si="33"/>
        <v>0</v>
      </c>
      <c r="M420" s="289" t="e">
        <f t="shared" si="34"/>
        <v>#DIV/0!</v>
      </c>
      <c r="O420" s="927"/>
      <c r="P420" s="927"/>
    </row>
    <row r="421" spans="1:16" ht="18.75" customHeight="1">
      <c r="A421" s="289" t="str">
        <f t="shared" si="30"/>
        <v>NL</v>
      </c>
      <c r="B421" s="753">
        <f t="shared" si="31"/>
        <v>410</v>
      </c>
      <c r="C421" s="40" t="s">
        <v>810</v>
      </c>
      <c r="D421" s="291" t="s">
        <v>393</v>
      </c>
      <c r="E421" s="25"/>
      <c r="F421" s="25"/>
      <c r="G421" s="25">
        <f t="array" ref="G421">SUM(IF("156"&amp;C421=KHN&amp;MH,SL))</f>
        <v>16</v>
      </c>
      <c r="H421" s="25">
        <f t="array" ref="H421">SUM(IF("156"&amp;C421=KHN&amp;MH,TH))</f>
        <v>494882</v>
      </c>
      <c r="I421" s="25">
        <f t="array" ref="I421">SUM(IF("156"&amp;C421=KHC&amp;MH,SL))</f>
        <v>16</v>
      </c>
      <c r="J421" s="25">
        <f t="array" ref="J421">SUM(IF("156"&amp;C421=KHC&amp;MH,TH))</f>
        <v>494882</v>
      </c>
      <c r="K421" s="25">
        <f t="shared" si="32"/>
        <v>0</v>
      </c>
      <c r="L421" s="25">
        <f t="shared" si="33"/>
        <v>0</v>
      </c>
      <c r="M421" s="289" t="e">
        <f t="shared" si="34"/>
        <v>#DIV/0!</v>
      </c>
    </row>
    <row r="422" spans="1:16" ht="18.75" customHeight="1">
      <c r="A422" s="289" t="str">
        <f t="shared" si="30"/>
        <v>NL</v>
      </c>
      <c r="B422" s="753">
        <f t="shared" si="31"/>
        <v>411</v>
      </c>
      <c r="C422" s="191" t="s">
        <v>561</v>
      </c>
      <c r="D422" s="291" t="s">
        <v>393</v>
      </c>
      <c r="E422" s="25"/>
      <c r="F422" s="25"/>
      <c r="G422" s="25">
        <f t="array" ref="G422">SUM(IF("156"&amp;C422=KHN&amp;MH,SL))</f>
        <v>72</v>
      </c>
      <c r="H422" s="25">
        <f t="array" ref="H422">SUM(IF("156"&amp;C422=KHN&amp;MH,TH))</f>
        <v>664570</v>
      </c>
      <c r="I422" s="25">
        <f t="array" ref="I422">SUM(IF("156"&amp;C422=KHC&amp;MH,SL))</f>
        <v>72</v>
      </c>
      <c r="J422" s="25">
        <f t="array" ref="J422">SUM(IF("156"&amp;C422=KHC&amp;MH,TH))</f>
        <v>664570</v>
      </c>
      <c r="K422" s="25">
        <f t="shared" si="32"/>
        <v>0</v>
      </c>
      <c r="L422" s="25">
        <f t="shared" si="33"/>
        <v>0</v>
      </c>
      <c r="M422" s="289" t="e">
        <f t="shared" si="34"/>
        <v>#DIV/0!</v>
      </c>
    </row>
    <row r="423" spans="1:16" ht="18.75" customHeight="1">
      <c r="A423" s="289" t="str">
        <f t="shared" si="30"/>
        <v>NL</v>
      </c>
      <c r="B423" s="753">
        <f t="shared" si="31"/>
        <v>412</v>
      </c>
      <c r="C423" s="191" t="s">
        <v>1780</v>
      </c>
      <c r="D423" s="291"/>
      <c r="E423" s="25"/>
      <c r="F423" s="25"/>
      <c r="G423" s="25">
        <f t="array" ref="G423">SUM(IF("156"&amp;C423=KHN&amp;MH,SL))</f>
        <v>0</v>
      </c>
      <c r="H423" s="25">
        <f t="array" ref="H423">SUM(IF("156"&amp;C423=KHN&amp;MH,TH))</f>
        <v>0</v>
      </c>
      <c r="I423" s="25">
        <f t="array" ref="I423">SUM(IF("156"&amp;C423=KHC&amp;MH,SL))</f>
        <v>0</v>
      </c>
      <c r="J423" s="25">
        <f t="array" ref="J423">SUM(IF("156"&amp;C423=KHC&amp;MH,TH))</f>
        <v>0</v>
      </c>
      <c r="K423" s="25">
        <f t="shared" si="32"/>
        <v>0</v>
      </c>
      <c r="L423" s="25">
        <f t="shared" si="33"/>
        <v>0</v>
      </c>
      <c r="M423" s="289" t="e">
        <f t="shared" si="34"/>
        <v>#DIV/0!</v>
      </c>
    </row>
    <row r="424" spans="1:16" ht="18.75" customHeight="1">
      <c r="A424" s="289" t="str">
        <f t="shared" si="30"/>
        <v>NL</v>
      </c>
      <c r="B424" s="753">
        <f t="shared" si="31"/>
        <v>413</v>
      </c>
      <c r="C424" s="191" t="s">
        <v>1783</v>
      </c>
      <c r="D424" s="291"/>
      <c r="E424" s="25"/>
      <c r="F424" s="25"/>
      <c r="G424" s="25">
        <f t="array" ref="G424">SUM(IF("156"&amp;C424=KHN&amp;MH,SL))</f>
        <v>9</v>
      </c>
      <c r="H424" s="25">
        <f t="array" ref="H424">SUM(IF("156"&amp;C424=KHN&amp;MH,TH))</f>
        <v>110498</v>
      </c>
      <c r="I424" s="25">
        <f t="array" ref="I424">SUM(IF("156"&amp;C424=KHC&amp;MH,SL))</f>
        <v>9</v>
      </c>
      <c r="J424" s="25">
        <f t="array" ref="J424">SUM(IF("156"&amp;C424=KHC&amp;MH,TH))</f>
        <v>110498</v>
      </c>
      <c r="K424" s="25">
        <f t="shared" si="32"/>
        <v>0</v>
      </c>
      <c r="L424" s="25">
        <f t="shared" si="33"/>
        <v>0</v>
      </c>
      <c r="M424" s="289" t="e">
        <f t="shared" si="34"/>
        <v>#DIV/0!</v>
      </c>
    </row>
    <row r="425" spans="1:16" ht="18.75" customHeight="1">
      <c r="A425" s="289" t="str">
        <f t="shared" si="30"/>
        <v>NL</v>
      </c>
      <c r="B425" s="753">
        <f t="shared" si="31"/>
        <v>414</v>
      </c>
      <c r="C425" s="191" t="s">
        <v>550</v>
      </c>
      <c r="D425" s="291" t="s">
        <v>393</v>
      </c>
      <c r="E425" s="25"/>
      <c r="F425" s="25"/>
      <c r="G425" s="25">
        <f t="array" ref="G425">SUM(IF("156"&amp;C425=KHN&amp;MH,SL))</f>
        <v>26</v>
      </c>
      <c r="H425" s="25">
        <f t="array" ref="H425">SUM(IF("156"&amp;C425=KHN&amp;MH,TH))</f>
        <v>622440</v>
      </c>
      <c r="I425" s="25">
        <f t="array" ref="I425">SUM(IF("156"&amp;C425=KHC&amp;MH,SL))</f>
        <v>26</v>
      </c>
      <c r="J425" s="25">
        <f t="array" ref="J425">SUM(IF("156"&amp;C425=KHC&amp;MH,TH))</f>
        <v>622440</v>
      </c>
      <c r="K425" s="25">
        <f t="shared" si="32"/>
        <v>0</v>
      </c>
      <c r="L425" s="25">
        <f t="shared" si="33"/>
        <v>0</v>
      </c>
      <c r="M425" s="289" t="e">
        <f t="shared" si="34"/>
        <v>#DIV/0!</v>
      </c>
    </row>
    <row r="426" spans="1:16" ht="18.75" customHeight="1">
      <c r="A426" s="289" t="str">
        <f t="shared" si="30"/>
        <v>NL</v>
      </c>
      <c r="B426" s="753">
        <f t="shared" si="31"/>
        <v>415</v>
      </c>
      <c r="C426" s="191" t="s">
        <v>551</v>
      </c>
      <c r="D426" s="291" t="s">
        <v>393</v>
      </c>
      <c r="E426" s="25"/>
      <c r="F426" s="25"/>
      <c r="G426" s="25">
        <f t="array" ref="G426">SUM(IF("156"&amp;C426=KHN&amp;MH,SL))</f>
        <v>16</v>
      </c>
      <c r="H426" s="25">
        <f t="array" ref="H426">SUM(IF("156"&amp;C426=KHN&amp;MH,TH))</f>
        <v>469227</v>
      </c>
      <c r="I426" s="25">
        <f t="array" ref="I426">SUM(IF("156"&amp;C426=KHC&amp;MH,SL))</f>
        <v>16</v>
      </c>
      <c r="J426" s="25">
        <f t="array" ref="J426">SUM(IF("156"&amp;C426=KHC&amp;MH,TH))</f>
        <v>469227</v>
      </c>
      <c r="K426" s="25">
        <f t="shared" si="32"/>
        <v>0</v>
      </c>
      <c r="L426" s="25">
        <f t="shared" si="33"/>
        <v>0</v>
      </c>
      <c r="M426" s="289" t="e">
        <f t="shared" si="34"/>
        <v>#DIV/0!</v>
      </c>
    </row>
    <row r="427" spans="1:16" ht="18.75" customHeight="1">
      <c r="A427" s="289" t="str">
        <f t="shared" si="30"/>
        <v>NL</v>
      </c>
      <c r="B427" s="753">
        <f t="shared" si="31"/>
        <v>416</v>
      </c>
      <c r="C427" s="191" t="s">
        <v>1729</v>
      </c>
      <c r="D427" s="291"/>
      <c r="E427" s="25"/>
      <c r="F427" s="25"/>
      <c r="G427" s="25">
        <f t="array" ref="G427">SUM(IF("156"&amp;C427=KHN&amp;MH,SL))</f>
        <v>108</v>
      </c>
      <c r="H427" s="25">
        <f t="array" ref="H427">SUM(IF("156"&amp;C427=KHN&amp;MH,TH))</f>
        <v>2245875</v>
      </c>
      <c r="I427" s="25">
        <f t="array" ref="I427">SUM(IF("156"&amp;C427=KHC&amp;MH,SL))</f>
        <v>108</v>
      </c>
      <c r="J427" s="25">
        <f t="array" ref="J427">SUM(IF("156"&amp;C427=KHC&amp;MH,TH))</f>
        <v>2245875</v>
      </c>
      <c r="K427" s="25">
        <f t="shared" si="32"/>
        <v>0</v>
      </c>
      <c r="L427" s="25">
        <f t="shared" si="33"/>
        <v>0</v>
      </c>
      <c r="M427" s="289" t="e">
        <f t="shared" si="34"/>
        <v>#DIV/0!</v>
      </c>
    </row>
    <row r="428" spans="1:16" ht="18.75" customHeight="1">
      <c r="A428" s="289" t="str">
        <f t="shared" si="30"/>
        <v>NL</v>
      </c>
      <c r="B428" s="753">
        <f t="shared" si="31"/>
        <v>417</v>
      </c>
      <c r="C428" s="191" t="s">
        <v>984</v>
      </c>
      <c r="D428" s="291" t="s">
        <v>393</v>
      </c>
      <c r="E428" s="25"/>
      <c r="F428" s="25"/>
      <c r="G428" s="25">
        <f t="array" ref="G428">SUM(IF("156"&amp;C428=KHN&amp;MH,SL))</f>
        <v>8</v>
      </c>
      <c r="H428" s="25">
        <f t="array" ref="H428">SUM(IF("156"&amp;C428=KHN&amp;MH,TH))</f>
        <v>167960</v>
      </c>
      <c r="I428" s="25">
        <f t="array" ref="I428">SUM(IF("156"&amp;C428=KHC&amp;MH,SL))</f>
        <v>8</v>
      </c>
      <c r="J428" s="25">
        <f t="array" ref="J428">SUM(IF("156"&amp;C428=KHC&amp;MH,TH))</f>
        <v>167960</v>
      </c>
      <c r="K428" s="25">
        <f t="shared" si="32"/>
        <v>0</v>
      </c>
      <c r="L428" s="25">
        <f t="shared" si="33"/>
        <v>0</v>
      </c>
      <c r="M428" s="289" t="e">
        <f t="shared" si="34"/>
        <v>#DIV/0!</v>
      </c>
    </row>
    <row r="429" spans="1:16" ht="18.75" customHeight="1">
      <c r="A429" s="289" t="str">
        <f t="shared" si="30"/>
        <v>NL</v>
      </c>
      <c r="B429" s="753">
        <f t="shared" si="31"/>
        <v>418</v>
      </c>
      <c r="C429" s="292" t="s">
        <v>1697</v>
      </c>
      <c r="D429" s="291" t="s">
        <v>393</v>
      </c>
      <c r="E429" s="25"/>
      <c r="F429" s="25"/>
      <c r="G429" s="25">
        <f t="array" ref="G429">SUM(IF("156"&amp;C429=KHN&amp;MH,SL))</f>
        <v>2300</v>
      </c>
      <c r="H429" s="25">
        <f t="array" ref="H429">SUM(IF("156"&amp;C429=KHN&amp;MH,TH))</f>
        <v>13110000</v>
      </c>
      <c r="I429" s="25">
        <f t="array" ref="I429">SUM(IF("156"&amp;C429=KHC&amp;MH,SL))</f>
        <v>2300</v>
      </c>
      <c r="J429" s="25">
        <f t="array" ref="J429">SUM(IF("156"&amp;C429=KHC&amp;MH,TH))</f>
        <v>13110000</v>
      </c>
      <c r="K429" s="25">
        <f t="shared" si="32"/>
        <v>0</v>
      </c>
      <c r="L429" s="25">
        <f t="shared" si="33"/>
        <v>0</v>
      </c>
      <c r="M429" s="289" t="e">
        <f t="shared" si="34"/>
        <v>#DIV/0!</v>
      </c>
    </row>
    <row r="430" spans="1:16" ht="18.75" customHeight="1">
      <c r="A430" s="289" t="str">
        <f t="shared" si="30"/>
        <v>NL</v>
      </c>
      <c r="B430" s="753">
        <f t="shared" si="31"/>
        <v>419</v>
      </c>
      <c r="C430" s="191" t="s">
        <v>554</v>
      </c>
      <c r="D430" s="291" t="s">
        <v>393</v>
      </c>
      <c r="E430" s="25"/>
      <c r="F430" s="25"/>
      <c r="G430" s="25">
        <f t="array" ref="G430">SUM(IF("156"&amp;C430=KHN&amp;MH,SL))</f>
        <v>36</v>
      </c>
      <c r="H430" s="25">
        <f t="array" ref="H430">SUM(IF("156"&amp;C430=KHN&amp;MH,TH))</f>
        <v>592884</v>
      </c>
      <c r="I430" s="25">
        <f t="array" ref="I430">SUM(IF("156"&amp;C430=KHC&amp;MH,SL))</f>
        <v>36</v>
      </c>
      <c r="J430" s="25">
        <f t="array" ref="J430">SUM(IF("156"&amp;C430=KHC&amp;MH,TH))</f>
        <v>592884</v>
      </c>
      <c r="K430" s="25">
        <f t="shared" si="32"/>
        <v>0</v>
      </c>
      <c r="L430" s="25">
        <f t="shared" si="33"/>
        <v>0</v>
      </c>
      <c r="M430" s="289" t="e">
        <f t="shared" si="34"/>
        <v>#DIV/0!</v>
      </c>
    </row>
    <row r="431" spans="1:16" ht="18.75" customHeight="1">
      <c r="A431" s="289" t="str">
        <f t="shared" si="30"/>
        <v>NL</v>
      </c>
      <c r="B431" s="753">
        <f t="shared" si="31"/>
        <v>420</v>
      </c>
      <c r="C431" s="191" t="s">
        <v>1309</v>
      </c>
      <c r="D431" s="291" t="s">
        <v>393</v>
      </c>
      <c r="E431" s="25"/>
      <c r="F431" s="25"/>
      <c r="G431" s="25">
        <f t="array" ref="G431">SUM(IF("156"&amp;C431=KHN&amp;MH,SL))</f>
        <v>5000</v>
      </c>
      <c r="H431" s="25">
        <f t="array" ref="H431">SUM(IF("156"&amp;C431=KHN&amp;MH,TH))</f>
        <v>21250000</v>
      </c>
      <c r="I431" s="25">
        <f t="array" ref="I431">SUM(IF("156"&amp;C431=KHC&amp;MH,SL))</f>
        <v>0</v>
      </c>
      <c r="J431" s="25">
        <f t="array" ref="J431">SUM(IF("156"&amp;C431=KHC&amp;MH,TH))</f>
        <v>0</v>
      </c>
      <c r="K431" s="25">
        <f t="shared" si="32"/>
        <v>5000</v>
      </c>
      <c r="L431" s="25">
        <f t="shared" si="33"/>
        <v>21250000</v>
      </c>
      <c r="M431" s="289">
        <f t="shared" si="34"/>
        <v>4250</v>
      </c>
    </row>
    <row r="432" spans="1:16" ht="18.75" customHeight="1">
      <c r="A432" s="289" t="str">
        <f t="shared" si="30"/>
        <v>NL</v>
      </c>
      <c r="B432" s="753">
        <f t="shared" si="31"/>
        <v>421</v>
      </c>
      <c r="C432" s="191" t="s">
        <v>769</v>
      </c>
      <c r="D432" s="291" t="s">
        <v>393</v>
      </c>
      <c r="E432" s="25"/>
      <c r="F432" s="25"/>
      <c r="G432" s="25">
        <f t="array" ref="G432">SUM(IF("156"&amp;C432=KHN&amp;MH,SL))</f>
        <v>180</v>
      </c>
      <c r="H432" s="25">
        <f t="array" ref="H432">SUM(IF("156"&amp;C432=KHN&amp;MH,TH))</f>
        <v>2545380</v>
      </c>
      <c r="I432" s="25">
        <f t="array" ref="I432">SUM(IF("156"&amp;C432=KHC&amp;MH,SL))</f>
        <v>180</v>
      </c>
      <c r="J432" s="25">
        <f t="array" ref="J432">SUM(IF("156"&amp;C432=KHC&amp;MH,TH))</f>
        <v>2545380</v>
      </c>
      <c r="K432" s="25">
        <f t="shared" si="32"/>
        <v>0</v>
      </c>
      <c r="L432" s="25">
        <f t="shared" si="33"/>
        <v>0</v>
      </c>
      <c r="M432" s="289" t="e">
        <f t="shared" si="34"/>
        <v>#DIV/0!</v>
      </c>
    </row>
    <row r="433" spans="1:16" ht="18.75" customHeight="1">
      <c r="A433" s="289" t="str">
        <f t="shared" si="30"/>
        <v>NL</v>
      </c>
      <c r="B433" s="753">
        <f t="shared" si="31"/>
        <v>422</v>
      </c>
      <c r="C433" s="188" t="s">
        <v>690</v>
      </c>
      <c r="D433" s="291" t="s">
        <v>393</v>
      </c>
      <c r="E433" s="25"/>
      <c r="F433" s="25"/>
      <c r="G433" s="25">
        <f t="array" ref="G433">SUM(IF("156"&amp;C433=KHN&amp;MH,SL))</f>
        <v>600</v>
      </c>
      <c r="H433" s="25">
        <f t="array" ref="H433">SUM(IF("156"&amp;C433=KHN&amp;MH,TH))</f>
        <v>2737800</v>
      </c>
      <c r="I433" s="25">
        <f t="array" ref="I433">SUM(IF("156"&amp;C433=KHC&amp;MH,SL))</f>
        <v>500</v>
      </c>
      <c r="J433" s="25">
        <f t="array" ref="J433">SUM(IF("156"&amp;C433=KHC&amp;MH,TH))</f>
        <v>2278500</v>
      </c>
      <c r="K433" s="25">
        <f t="shared" si="32"/>
        <v>100</v>
      </c>
      <c r="L433" s="25">
        <f t="shared" si="33"/>
        <v>459300</v>
      </c>
      <c r="M433" s="289">
        <f t="shared" si="34"/>
        <v>4593</v>
      </c>
    </row>
    <row r="434" spans="1:16" ht="18.75" customHeight="1">
      <c r="A434" s="289" t="str">
        <f t="shared" si="30"/>
        <v>NL</v>
      </c>
      <c r="B434" s="753">
        <f t="shared" si="31"/>
        <v>423</v>
      </c>
      <c r="C434" s="191" t="s">
        <v>656</v>
      </c>
      <c r="D434" s="291" t="s">
        <v>393</v>
      </c>
      <c r="E434" s="25"/>
      <c r="F434" s="25"/>
      <c r="G434" s="25">
        <f t="array" ref="G434">SUM(IF("156"&amp;C434=KHN&amp;MH,SL))</f>
        <v>14609</v>
      </c>
      <c r="H434" s="25">
        <f t="array" ref="H434">SUM(IF("156"&amp;C434=KHN&amp;MH,TH))</f>
        <v>64454274</v>
      </c>
      <c r="I434" s="25">
        <f t="array" ref="I434">SUM(IF("156"&amp;C434=KHC&amp;MH,SL))</f>
        <v>13532</v>
      </c>
      <c r="J434" s="25">
        <f t="array" ref="J434">SUM(IF("156"&amp;C434=KHC&amp;MH,TH))</f>
        <v>59875947</v>
      </c>
      <c r="K434" s="25">
        <f t="shared" si="32"/>
        <v>1077</v>
      </c>
      <c r="L434" s="25">
        <f t="shared" si="33"/>
        <v>4578327</v>
      </c>
      <c r="M434" s="289">
        <f t="shared" si="34"/>
        <v>4251</v>
      </c>
    </row>
    <row r="435" spans="1:16" ht="18.75" customHeight="1">
      <c r="A435" s="289" t="str">
        <f t="shared" si="30"/>
        <v>NL</v>
      </c>
      <c r="B435" s="753">
        <f t="shared" si="31"/>
        <v>424</v>
      </c>
      <c r="C435" s="191" t="s">
        <v>566</v>
      </c>
      <c r="D435" s="291" t="s">
        <v>393</v>
      </c>
      <c r="E435" s="25"/>
      <c r="F435" s="25"/>
      <c r="G435" s="25">
        <f t="array" ref="G435">SUM(IF("156"&amp;C435=KHN&amp;MH,SL))</f>
        <v>33</v>
      </c>
      <c r="H435" s="25">
        <f t="array" ref="H435">SUM(IF("156"&amp;C435=KHN&amp;MH,TH))</f>
        <v>196680</v>
      </c>
      <c r="I435" s="25">
        <f t="array" ref="I435">SUM(IF("156"&amp;C435=KHC&amp;MH,SL))</f>
        <v>33</v>
      </c>
      <c r="J435" s="25">
        <f t="array" ref="J435">SUM(IF("156"&amp;C435=KHC&amp;MH,TH))</f>
        <v>196680</v>
      </c>
      <c r="K435" s="25">
        <f t="shared" si="32"/>
        <v>0</v>
      </c>
      <c r="L435" s="25">
        <f t="shared" si="33"/>
        <v>0</v>
      </c>
      <c r="M435" s="289" t="e">
        <f t="shared" si="34"/>
        <v>#DIV/0!</v>
      </c>
    </row>
    <row r="436" spans="1:16" ht="18.75" customHeight="1">
      <c r="A436" s="289" t="str">
        <f t="shared" si="30"/>
        <v>NL</v>
      </c>
      <c r="B436" s="753">
        <f t="shared" si="31"/>
        <v>425</v>
      </c>
      <c r="C436" s="292" t="s">
        <v>1517</v>
      </c>
      <c r="D436" s="291" t="s">
        <v>393</v>
      </c>
      <c r="E436" s="25"/>
      <c r="F436" s="25"/>
      <c r="G436" s="25">
        <f t="array" ref="G436">SUM(IF("156"&amp;C436=KHN&amp;MH,SL))</f>
        <v>1400</v>
      </c>
      <c r="H436" s="25">
        <f t="array" ref="H436">SUM(IF("156"&amp;C436=KHN&amp;MH,TH))</f>
        <v>6196180</v>
      </c>
      <c r="I436" s="25">
        <f t="array" ref="I436">SUM(IF("156"&amp;C436=KHC&amp;MH,SL))</f>
        <v>1400</v>
      </c>
      <c r="J436" s="25">
        <f t="array" ref="J436">SUM(IF("156"&amp;C436=KHC&amp;MH,TH))</f>
        <v>6196180</v>
      </c>
      <c r="K436" s="25">
        <f t="shared" si="32"/>
        <v>0</v>
      </c>
      <c r="L436" s="25">
        <f t="shared" si="33"/>
        <v>0</v>
      </c>
      <c r="M436" s="289" t="e">
        <f t="shared" si="34"/>
        <v>#DIV/0!</v>
      </c>
      <c r="O436" s="927"/>
      <c r="P436" s="927"/>
    </row>
    <row r="437" spans="1:16" ht="18.75" customHeight="1">
      <c r="A437" s="289" t="str">
        <f t="shared" si="30"/>
        <v>NL</v>
      </c>
      <c r="B437" s="753">
        <f t="shared" si="31"/>
        <v>426</v>
      </c>
      <c r="C437" s="191" t="s">
        <v>572</v>
      </c>
      <c r="D437" s="291" t="s">
        <v>393</v>
      </c>
      <c r="E437" s="25"/>
      <c r="F437" s="25"/>
      <c r="G437" s="25">
        <f t="array" ref="G437">SUM(IF("156"&amp;C437=KHN&amp;MH,SL))</f>
        <v>1000</v>
      </c>
      <c r="H437" s="25">
        <f t="array" ref="H437">SUM(IF("156"&amp;C437=KHN&amp;MH,TH))</f>
        <v>11970907</v>
      </c>
      <c r="I437" s="25">
        <f t="array" ref="I437">SUM(IF("156"&amp;C437=KHC&amp;MH,SL))</f>
        <v>1000</v>
      </c>
      <c r="J437" s="25">
        <f t="array" ref="J437">SUM(IF("156"&amp;C437=KHC&amp;MH,TH))</f>
        <v>11970907</v>
      </c>
      <c r="K437" s="25">
        <f t="shared" si="32"/>
        <v>0</v>
      </c>
      <c r="L437" s="25">
        <f t="shared" si="33"/>
        <v>0</v>
      </c>
      <c r="M437" s="289" t="e">
        <f t="shared" si="34"/>
        <v>#DIV/0!</v>
      </c>
    </row>
    <row r="438" spans="1:16" ht="18.75" customHeight="1">
      <c r="A438" s="289" t="str">
        <f t="shared" si="30"/>
        <v>NL</v>
      </c>
      <c r="B438" s="753">
        <f t="shared" si="31"/>
        <v>427</v>
      </c>
      <c r="C438" s="191" t="s">
        <v>1790</v>
      </c>
      <c r="D438" s="291"/>
      <c r="E438" s="25"/>
      <c r="F438" s="25"/>
      <c r="G438" s="25">
        <f t="array" ref="G438">SUM(IF("156"&amp;C438=KHN&amp;MH,SL))</f>
        <v>9</v>
      </c>
      <c r="H438" s="25">
        <f t="array" ref="H438">SUM(IF("156"&amp;C438=KHN&amp;MH,TH))</f>
        <v>179237</v>
      </c>
      <c r="I438" s="25">
        <f t="array" ref="I438">SUM(IF("156"&amp;C438=KHC&amp;MH,SL))</f>
        <v>9</v>
      </c>
      <c r="J438" s="25">
        <f t="array" ref="J438">SUM(IF("156"&amp;C438=KHC&amp;MH,TH))</f>
        <v>179237</v>
      </c>
      <c r="K438" s="25">
        <f t="shared" si="32"/>
        <v>0</v>
      </c>
      <c r="L438" s="25">
        <f t="shared" si="33"/>
        <v>0</v>
      </c>
      <c r="M438" s="289" t="e">
        <f t="shared" si="34"/>
        <v>#DIV/0!</v>
      </c>
    </row>
    <row r="439" spans="1:16" ht="18.75" customHeight="1">
      <c r="A439" s="289" t="str">
        <f t="shared" si="30"/>
        <v>NL</v>
      </c>
      <c r="B439" s="753">
        <f t="shared" si="31"/>
        <v>428</v>
      </c>
      <c r="C439" s="191" t="s">
        <v>547</v>
      </c>
      <c r="D439" s="291" t="s">
        <v>393</v>
      </c>
      <c r="E439" s="25"/>
      <c r="F439" s="25"/>
      <c r="G439" s="25">
        <f t="array" ref="G439">SUM(IF("156"&amp;C439=KHN&amp;MH,SL))</f>
        <v>108</v>
      </c>
      <c r="H439" s="25">
        <f t="array" ref="H439">SUM(IF("156"&amp;C439=KHN&amp;MH,TH))</f>
        <v>1808213</v>
      </c>
      <c r="I439" s="25">
        <f t="array" ref="I439">SUM(IF("156"&amp;C439=KHC&amp;MH,SL))</f>
        <v>108</v>
      </c>
      <c r="J439" s="25">
        <f t="array" ref="J439">SUM(IF("156"&amp;C439=KHC&amp;MH,TH))</f>
        <v>1808213</v>
      </c>
      <c r="K439" s="25">
        <f t="shared" si="32"/>
        <v>0</v>
      </c>
      <c r="L439" s="25">
        <f t="shared" si="33"/>
        <v>0</v>
      </c>
      <c r="M439" s="289" t="e">
        <f t="shared" si="34"/>
        <v>#DIV/0!</v>
      </c>
      <c r="O439" s="927"/>
      <c r="P439" s="927"/>
    </row>
    <row r="440" spans="1:16" ht="18.75" customHeight="1">
      <c r="A440" s="289" t="str">
        <f t="shared" si="30"/>
        <v>NL</v>
      </c>
      <c r="B440" s="753">
        <f t="shared" si="31"/>
        <v>429</v>
      </c>
      <c r="C440" s="191" t="s">
        <v>525</v>
      </c>
      <c r="D440" s="291" t="s">
        <v>393</v>
      </c>
      <c r="E440" s="25"/>
      <c r="F440" s="25"/>
      <c r="G440" s="25">
        <f t="array" ref="G440">SUM(IF("156"&amp;C440=KHN&amp;MH,SL))</f>
        <v>2005</v>
      </c>
      <c r="H440" s="25">
        <f t="array" ref="H440">SUM(IF("156"&amp;C440=KHN&amp;MH,TH))</f>
        <v>34398437</v>
      </c>
      <c r="I440" s="25">
        <f t="array" ref="I440">SUM(IF("156"&amp;C440=KHC&amp;MH,SL))</f>
        <v>2005</v>
      </c>
      <c r="J440" s="25">
        <f t="array" ref="J440">SUM(IF("156"&amp;C440=KHC&amp;MH,TH))</f>
        <v>34398437</v>
      </c>
      <c r="K440" s="25">
        <f t="shared" si="32"/>
        <v>0</v>
      </c>
      <c r="L440" s="25">
        <f t="shared" si="33"/>
        <v>0</v>
      </c>
      <c r="M440" s="289" t="e">
        <f t="shared" si="34"/>
        <v>#DIV/0!</v>
      </c>
      <c r="O440" s="927"/>
      <c r="P440" s="927"/>
    </row>
    <row r="441" spans="1:16" ht="18.75" customHeight="1">
      <c r="A441" s="289" t="str">
        <f t="shared" si="30"/>
        <v>NL</v>
      </c>
      <c r="B441" s="753">
        <f t="shared" si="31"/>
        <v>430</v>
      </c>
      <c r="C441" s="191" t="s">
        <v>517</v>
      </c>
      <c r="D441" s="291" t="s">
        <v>393</v>
      </c>
      <c r="E441" s="25"/>
      <c r="F441" s="25"/>
      <c r="G441" s="25">
        <f t="array" ref="G441">SUM(IF("156"&amp;C441=KHN&amp;MH,SL))</f>
        <v>36</v>
      </c>
      <c r="H441" s="25">
        <f t="array" ref="H441">SUM(IF("156"&amp;C441=KHN&amp;MH,TH))</f>
        <v>607320</v>
      </c>
      <c r="I441" s="25">
        <f t="array" ref="I441">SUM(IF("156"&amp;C441=KHC&amp;MH,SL))</f>
        <v>36</v>
      </c>
      <c r="J441" s="25">
        <f t="array" ref="J441">SUM(IF("156"&amp;C441=KHC&amp;MH,TH))</f>
        <v>607320</v>
      </c>
      <c r="K441" s="25">
        <f t="shared" si="32"/>
        <v>0</v>
      </c>
      <c r="L441" s="25">
        <f t="shared" si="33"/>
        <v>0</v>
      </c>
      <c r="M441" s="289" t="e">
        <f t="shared" si="34"/>
        <v>#DIV/0!</v>
      </c>
    </row>
    <row r="442" spans="1:16" ht="18.75" customHeight="1">
      <c r="A442" s="289" t="str">
        <f t="shared" si="30"/>
        <v>NL</v>
      </c>
      <c r="B442" s="753">
        <f t="shared" si="31"/>
        <v>431</v>
      </c>
      <c r="C442" s="40" t="s">
        <v>716</v>
      </c>
      <c r="D442" s="291" t="s">
        <v>393</v>
      </c>
      <c r="E442" s="25"/>
      <c r="F442" s="25"/>
      <c r="G442" s="25">
        <f t="array" ref="G442">SUM(IF("156"&amp;C442=KHN&amp;MH,SL))</f>
        <v>12</v>
      </c>
      <c r="H442" s="25">
        <f t="array" ref="H442">SUM(IF("156"&amp;C442=KHN&amp;MH,TH))</f>
        <v>271616</v>
      </c>
      <c r="I442" s="25">
        <f t="array" ref="I442">SUM(IF("156"&amp;C442=KHC&amp;MH,SL))</f>
        <v>12</v>
      </c>
      <c r="J442" s="25">
        <f t="array" ref="J442">SUM(IF("156"&amp;C442=KHC&amp;MH,TH))</f>
        <v>271616</v>
      </c>
      <c r="K442" s="25">
        <f t="shared" si="32"/>
        <v>0</v>
      </c>
      <c r="L442" s="25">
        <f t="shared" si="33"/>
        <v>0</v>
      </c>
      <c r="M442" s="289" t="e">
        <f t="shared" si="34"/>
        <v>#DIV/0!</v>
      </c>
    </row>
    <row r="443" spans="1:16" ht="18.75" customHeight="1">
      <c r="A443" s="289" t="str">
        <f t="shared" si="30"/>
        <v>NL</v>
      </c>
      <c r="B443" s="753">
        <f t="shared" si="31"/>
        <v>432</v>
      </c>
      <c r="C443" s="292" t="s">
        <v>1698</v>
      </c>
      <c r="D443" s="291" t="s">
        <v>393</v>
      </c>
      <c r="E443" s="25"/>
      <c r="F443" s="25"/>
      <c r="G443" s="25">
        <f t="array" ref="G443">SUM(IF("156"&amp;C443=KHN&amp;MH,SL))</f>
        <v>12400</v>
      </c>
      <c r="H443" s="25">
        <f t="array" ref="H443">SUM(IF("156"&amp;C443=KHN&amp;MH,TH))</f>
        <v>155930323</v>
      </c>
      <c r="I443" s="25">
        <f t="array" ref="I443">SUM(IF("156"&amp;C443=KHC&amp;MH,SL))</f>
        <v>12400</v>
      </c>
      <c r="J443" s="25">
        <f t="array" ref="J443">SUM(IF("156"&amp;C443=KHC&amp;MH,TH))</f>
        <v>155930323</v>
      </c>
      <c r="K443" s="25">
        <f t="shared" si="32"/>
        <v>0</v>
      </c>
      <c r="L443" s="25">
        <f t="shared" si="33"/>
        <v>0</v>
      </c>
      <c r="M443" s="289" t="e">
        <f t="shared" si="34"/>
        <v>#DIV/0!</v>
      </c>
    </row>
    <row r="444" spans="1:16" ht="18.75" customHeight="1">
      <c r="A444" s="289" t="str">
        <f t="shared" si="30"/>
        <v>NL</v>
      </c>
      <c r="B444" s="753">
        <f t="shared" si="31"/>
        <v>433</v>
      </c>
      <c r="C444" s="191" t="s">
        <v>962</v>
      </c>
      <c r="D444" s="291" t="s">
        <v>393</v>
      </c>
      <c r="E444" s="25"/>
      <c r="F444" s="25"/>
      <c r="G444" s="25">
        <f t="array" ref="G444">SUM(IF("156"&amp;C444=KHN&amp;MH,SL))</f>
        <v>500</v>
      </c>
      <c r="H444" s="25">
        <f t="array" ref="H444">SUM(IF("156"&amp;C444=KHN&amp;MH,TH))</f>
        <v>3014500</v>
      </c>
      <c r="I444" s="25">
        <f t="array" ref="I444">SUM(IF("156"&amp;C444=KHC&amp;MH,SL))</f>
        <v>500</v>
      </c>
      <c r="J444" s="25">
        <f t="array" ref="J444">SUM(IF("156"&amp;C444=KHC&amp;MH,TH))</f>
        <v>3014500</v>
      </c>
      <c r="K444" s="25">
        <f t="shared" si="32"/>
        <v>0</v>
      </c>
      <c r="L444" s="25">
        <f t="shared" si="33"/>
        <v>0</v>
      </c>
      <c r="M444" s="289" t="e">
        <f t="shared" si="34"/>
        <v>#DIV/0!</v>
      </c>
    </row>
    <row r="445" spans="1:16" ht="18.75" customHeight="1">
      <c r="A445" s="289" t="str">
        <f t="shared" si="30"/>
        <v>NL</v>
      </c>
      <c r="B445" s="753">
        <f t="shared" si="31"/>
        <v>434</v>
      </c>
      <c r="C445" s="188" t="s">
        <v>681</v>
      </c>
      <c r="D445" s="291" t="s">
        <v>393</v>
      </c>
      <c r="E445" s="25"/>
      <c r="F445" s="25"/>
      <c r="G445" s="25">
        <f t="array" ref="G445">SUM(IF("156"&amp;C445=KHN&amp;MH,SL))</f>
        <v>500</v>
      </c>
      <c r="H445" s="25">
        <f t="array" ref="H445">SUM(IF("156"&amp;C445=KHN&amp;MH,TH))</f>
        <v>4799000</v>
      </c>
      <c r="I445" s="25">
        <f t="array" ref="I445">SUM(IF("156"&amp;C445=KHC&amp;MH,SL))</f>
        <v>26</v>
      </c>
      <c r="J445" s="25">
        <f t="array" ref="J445">SUM(IF("156"&amp;C445=KHC&amp;MH,TH))</f>
        <v>249548</v>
      </c>
      <c r="K445" s="25">
        <f t="shared" si="32"/>
        <v>474</v>
      </c>
      <c r="L445" s="25">
        <f t="shared" si="33"/>
        <v>4549452</v>
      </c>
      <c r="M445" s="289">
        <f t="shared" si="34"/>
        <v>9598</v>
      </c>
    </row>
    <row r="446" spans="1:16" ht="18.75" customHeight="1">
      <c r="A446" s="289" t="str">
        <f t="shared" si="30"/>
        <v>NL</v>
      </c>
      <c r="B446" s="753">
        <f t="shared" si="31"/>
        <v>435</v>
      </c>
      <c r="C446" s="40" t="s">
        <v>812</v>
      </c>
      <c r="D446" s="291" t="s">
        <v>393</v>
      </c>
      <c r="E446" s="25"/>
      <c r="F446" s="25"/>
      <c r="G446" s="25">
        <f t="array" ref="G446">SUM(IF("156"&amp;C446=KHN&amp;MH,SL))</f>
        <v>4000</v>
      </c>
      <c r="H446" s="25">
        <f t="array" ref="H446">SUM(IF("156"&amp;C446=KHN&amp;MH,TH))</f>
        <v>100142615</v>
      </c>
      <c r="I446" s="25">
        <f t="array" ref="I446">SUM(IF("156"&amp;C446=KHC&amp;MH,SL))</f>
        <v>4000</v>
      </c>
      <c r="J446" s="25">
        <f t="array" ref="J446">SUM(IF("156"&amp;C446=KHC&amp;MH,TH))</f>
        <v>100142615</v>
      </c>
      <c r="K446" s="25">
        <f t="shared" si="32"/>
        <v>0</v>
      </c>
      <c r="L446" s="25">
        <f t="shared" si="33"/>
        <v>0</v>
      </c>
      <c r="M446" s="289" t="e">
        <f t="shared" si="34"/>
        <v>#DIV/0!</v>
      </c>
      <c r="O446" s="927"/>
      <c r="P446" s="927"/>
    </row>
    <row r="447" spans="1:16" ht="18.75" customHeight="1">
      <c r="A447" s="289" t="str">
        <f t="shared" si="30"/>
        <v>NL</v>
      </c>
      <c r="B447" s="753">
        <f t="shared" si="31"/>
        <v>436</v>
      </c>
      <c r="C447" s="191" t="s">
        <v>711</v>
      </c>
      <c r="D447" s="291" t="s">
        <v>393</v>
      </c>
      <c r="E447" s="25"/>
      <c r="F447" s="25"/>
      <c r="G447" s="25">
        <f t="array" ref="G447">SUM(IF("156"&amp;C447=KHN&amp;MH,SL))</f>
        <v>78</v>
      </c>
      <c r="H447" s="25">
        <f t="array" ref="H447">SUM(IF("156"&amp;C447=KHN&amp;MH,TH))</f>
        <v>1354229</v>
      </c>
      <c r="I447" s="25">
        <f t="array" ref="I447">SUM(IF("156"&amp;C447=KHC&amp;MH,SL))</f>
        <v>78</v>
      </c>
      <c r="J447" s="25">
        <f t="array" ref="J447">SUM(IF("156"&amp;C447=KHC&amp;MH,TH))</f>
        <v>1354229</v>
      </c>
      <c r="K447" s="25">
        <f t="shared" si="32"/>
        <v>0</v>
      </c>
      <c r="L447" s="25">
        <f t="shared" si="33"/>
        <v>0</v>
      </c>
      <c r="M447" s="289" t="e">
        <f t="shared" si="34"/>
        <v>#DIV/0!</v>
      </c>
    </row>
    <row r="448" spans="1:16" ht="18.75" customHeight="1">
      <c r="A448" s="289" t="str">
        <f t="shared" si="30"/>
        <v>NL</v>
      </c>
      <c r="B448" s="753">
        <f t="shared" si="31"/>
        <v>437</v>
      </c>
      <c r="C448" s="191" t="s">
        <v>548</v>
      </c>
      <c r="D448" s="291" t="s">
        <v>393</v>
      </c>
      <c r="E448" s="25"/>
      <c r="F448" s="25"/>
      <c r="G448" s="25">
        <f t="array" ref="G448">SUM(IF("156"&amp;C448=KHN&amp;MH,SL))</f>
        <v>54</v>
      </c>
      <c r="H448" s="25">
        <f t="array" ref="H448">SUM(IF("156"&amp;C448=KHN&amp;MH,TH))</f>
        <v>949914</v>
      </c>
      <c r="I448" s="25">
        <f t="array" ref="I448">SUM(IF("156"&amp;C448=KHC&amp;MH,SL))</f>
        <v>54</v>
      </c>
      <c r="J448" s="25">
        <f t="array" ref="J448">SUM(IF("156"&amp;C448=KHC&amp;MH,TH))</f>
        <v>949914</v>
      </c>
      <c r="K448" s="25">
        <f t="shared" si="32"/>
        <v>0</v>
      </c>
      <c r="L448" s="25">
        <f t="shared" si="33"/>
        <v>0</v>
      </c>
      <c r="M448" s="289" t="e">
        <f t="shared" si="34"/>
        <v>#DIV/0!</v>
      </c>
    </row>
    <row r="449" spans="1:16" ht="18.75" customHeight="1">
      <c r="A449" s="289" t="str">
        <f t="shared" si="30"/>
        <v>NL</v>
      </c>
      <c r="B449" s="753">
        <f t="shared" si="31"/>
        <v>438</v>
      </c>
      <c r="C449" s="40" t="s">
        <v>874</v>
      </c>
      <c r="D449" s="291" t="s">
        <v>393</v>
      </c>
      <c r="E449" s="25"/>
      <c r="F449" s="25"/>
      <c r="G449" s="25">
        <f t="array" ref="G449">SUM(IF("156"&amp;C449=KHN&amp;MH,SL))</f>
        <v>18</v>
      </c>
      <c r="H449" s="25">
        <f t="array" ref="H449">SUM(IF("156"&amp;C449=KHN&amp;MH,TH))</f>
        <v>619704</v>
      </c>
      <c r="I449" s="25">
        <f t="array" ref="I449">SUM(IF("156"&amp;C449=KHC&amp;MH,SL))</f>
        <v>18</v>
      </c>
      <c r="J449" s="25">
        <f t="array" ref="J449">SUM(IF("156"&amp;C449=KHC&amp;MH,TH))</f>
        <v>619704</v>
      </c>
      <c r="K449" s="25">
        <f t="shared" si="32"/>
        <v>0</v>
      </c>
      <c r="L449" s="25">
        <f t="shared" si="33"/>
        <v>0</v>
      </c>
      <c r="M449" s="289" t="e">
        <f t="shared" si="34"/>
        <v>#DIV/0!</v>
      </c>
      <c r="O449" s="927"/>
      <c r="P449" s="927"/>
    </row>
    <row r="450" spans="1:16" ht="18.75" customHeight="1">
      <c r="A450" s="289" t="str">
        <f t="shared" si="30"/>
        <v>NL</v>
      </c>
      <c r="B450" s="753">
        <f t="shared" si="31"/>
        <v>439</v>
      </c>
      <c r="C450" s="191" t="s">
        <v>512</v>
      </c>
      <c r="D450" s="291" t="s">
        <v>393</v>
      </c>
      <c r="E450" s="25"/>
      <c r="F450" s="25"/>
      <c r="G450" s="25">
        <f t="array" ref="G450">SUM(IF("156"&amp;C450=KHN&amp;MH,SL))</f>
        <v>68</v>
      </c>
      <c r="H450" s="25">
        <f t="array" ref="H450">SUM(IF("156"&amp;C450=KHN&amp;MH,TH))</f>
        <v>1238732</v>
      </c>
      <c r="I450" s="25">
        <f t="array" ref="I450">SUM(IF("156"&amp;C450=KHC&amp;MH,SL))</f>
        <v>68</v>
      </c>
      <c r="J450" s="25">
        <f t="array" ref="J450">SUM(IF("156"&amp;C450=KHC&amp;MH,TH))</f>
        <v>1238732</v>
      </c>
      <c r="K450" s="25">
        <f t="shared" si="32"/>
        <v>0</v>
      </c>
      <c r="L450" s="25">
        <f t="shared" si="33"/>
        <v>0</v>
      </c>
      <c r="M450" s="289" t="e">
        <f t="shared" si="34"/>
        <v>#DIV/0!</v>
      </c>
    </row>
    <row r="451" spans="1:16" ht="18.75" customHeight="1">
      <c r="A451" s="289" t="str">
        <f t="shared" si="30"/>
        <v>NL</v>
      </c>
      <c r="B451" s="753">
        <f t="shared" si="31"/>
        <v>440</v>
      </c>
      <c r="C451" s="188" t="s">
        <v>933</v>
      </c>
      <c r="D451" s="291" t="s">
        <v>393</v>
      </c>
      <c r="E451" s="25"/>
      <c r="F451" s="25"/>
      <c r="G451" s="25">
        <f t="array" ref="G451">SUM(IF("156"&amp;C451=KHN&amp;MH,SL))</f>
        <v>500</v>
      </c>
      <c r="H451" s="25">
        <f t="array" ref="H451">SUM(IF("156"&amp;C451=KHN&amp;MH,TH))</f>
        <v>3104500</v>
      </c>
      <c r="I451" s="25">
        <f t="array" ref="I451">SUM(IF("156"&amp;C451=KHC&amp;MH,SL))</f>
        <v>0</v>
      </c>
      <c r="J451" s="25">
        <f t="array" ref="J451">SUM(IF("156"&amp;C451=KHC&amp;MH,TH))</f>
        <v>0</v>
      </c>
      <c r="K451" s="25">
        <f t="shared" si="32"/>
        <v>500</v>
      </c>
      <c r="L451" s="25">
        <f t="shared" si="33"/>
        <v>3104500</v>
      </c>
      <c r="M451" s="289">
        <f t="shared" si="34"/>
        <v>6209</v>
      </c>
    </row>
    <row r="452" spans="1:16" ht="18.75" customHeight="1">
      <c r="A452" s="289" t="str">
        <f t="shared" si="30"/>
        <v>NL</v>
      </c>
      <c r="B452" s="753">
        <f t="shared" si="31"/>
        <v>441</v>
      </c>
      <c r="C452" s="191" t="s">
        <v>655</v>
      </c>
      <c r="D452" s="291" t="s">
        <v>393</v>
      </c>
      <c r="E452" s="25"/>
      <c r="F452" s="25"/>
      <c r="G452" s="25">
        <f t="array" ref="G452">SUM(IF("156"&amp;C452=KHN&amp;MH,SL))</f>
        <v>3713</v>
      </c>
      <c r="H452" s="25">
        <f t="array" ref="H452">SUM(IF("156"&amp;C452=KHN&amp;MH,TH))</f>
        <v>25000785</v>
      </c>
      <c r="I452" s="25">
        <f t="array" ref="I452">SUM(IF("156"&amp;C452=KHC&amp;MH,SL))</f>
        <v>2663</v>
      </c>
      <c r="J452" s="25">
        <f t="array" ref="J452">SUM(IF("156"&amp;C452=KHC&amp;MH,TH))</f>
        <v>18121185</v>
      </c>
      <c r="K452" s="25">
        <f t="shared" si="32"/>
        <v>1050</v>
      </c>
      <c r="L452" s="25">
        <f t="shared" si="33"/>
        <v>6879600</v>
      </c>
      <c r="M452" s="289">
        <f t="shared" si="34"/>
        <v>6552</v>
      </c>
    </row>
    <row r="453" spans="1:16" ht="18.75" customHeight="1">
      <c r="A453" s="289" t="str">
        <f t="shared" si="30"/>
        <v>NL</v>
      </c>
      <c r="B453" s="753">
        <f t="shared" si="31"/>
        <v>442</v>
      </c>
      <c r="C453" s="40" t="s">
        <v>627</v>
      </c>
      <c r="D453" s="291" t="s">
        <v>393</v>
      </c>
      <c r="E453" s="25"/>
      <c r="F453" s="25"/>
      <c r="G453" s="25">
        <f t="array" ref="G453">SUM(IF("156"&amp;C453=KHN&amp;MH,SL))</f>
        <v>17840</v>
      </c>
      <c r="H453" s="25">
        <f t="array" ref="H453">SUM(IF("156"&amp;C453=KHN&amp;MH,TH))</f>
        <v>115572094</v>
      </c>
      <c r="I453" s="25">
        <f t="array" ref="I453">SUM(IF("156"&amp;C453=KHC&amp;MH,SL))</f>
        <v>17590</v>
      </c>
      <c r="J453" s="25">
        <f t="array" ref="J453">SUM(IF("156"&amp;C453=KHC&amp;MH,TH))</f>
        <v>114019844</v>
      </c>
      <c r="K453" s="25">
        <f t="shared" si="32"/>
        <v>250</v>
      </c>
      <c r="L453" s="25">
        <f t="shared" si="33"/>
        <v>1552250</v>
      </c>
      <c r="M453" s="289">
        <f t="shared" si="34"/>
        <v>6209</v>
      </c>
    </row>
    <row r="454" spans="1:16" ht="18.75" customHeight="1">
      <c r="A454" s="289" t="str">
        <f t="shared" si="30"/>
        <v>NL</v>
      </c>
      <c r="B454" s="753">
        <f t="shared" si="31"/>
        <v>443</v>
      </c>
      <c r="C454" s="292" t="s">
        <v>1696</v>
      </c>
      <c r="D454" s="291" t="s">
        <v>393</v>
      </c>
      <c r="E454" s="25"/>
      <c r="F454" s="25"/>
      <c r="G454" s="25">
        <f t="array" ref="G454">SUM(IF("156"&amp;C454=KHN&amp;MH,SL))</f>
        <v>10000</v>
      </c>
      <c r="H454" s="25">
        <f t="array" ref="H454">SUM(IF("156"&amp;C454=KHN&amp;MH,TH))</f>
        <v>75289037</v>
      </c>
      <c r="I454" s="25">
        <f t="array" ref="I454">SUM(IF("156"&amp;C454=KHC&amp;MH,SL))</f>
        <v>10000</v>
      </c>
      <c r="J454" s="25">
        <f t="array" ref="J454">SUM(IF("156"&amp;C454=KHC&amp;MH,TH))</f>
        <v>75289037</v>
      </c>
      <c r="K454" s="25">
        <f t="shared" si="32"/>
        <v>0</v>
      </c>
      <c r="L454" s="25">
        <f t="shared" si="33"/>
        <v>0</v>
      </c>
      <c r="M454" s="289" t="e">
        <f t="shared" si="34"/>
        <v>#DIV/0!</v>
      </c>
    </row>
    <row r="455" spans="1:16" ht="18.75" customHeight="1">
      <c r="A455" s="289" t="str">
        <f t="shared" si="30"/>
        <v>NL</v>
      </c>
      <c r="B455" s="753">
        <f t="shared" si="31"/>
        <v>444</v>
      </c>
      <c r="C455" s="191" t="s">
        <v>1003</v>
      </c>
      <c r="D455" s="291" t="s">
        <v>393</v>
      </c>
      <c r="E455" s="25"/>
      <c r="F455" s="25"/>
      <c r="G455" s="25">
        <f t="array" ref="G455">SUM(IF("156"&amp;C455=KHN&amp;MH,SL))</f>
        <v>60</v>
      </c>
      <c r="H455" s="25">
        <f t="array" ref="H455">SUM(IF("156"&amp;C455=KHN&amp;MH,TH))</f>
        <v>1215360</v>
      </c>
      <c r="I455" s="25">
        <f t="array" ref="I455">SUM(IF("156"&amp;C455=KHC&amp;MH,SL))</f>
        <v>60</v>
      </c>
      <c r="J455" s="25">
        <f t="array" ref="J455">SUM(IF("156"&amp;C455=KHC&amp;MH,TH))</f>
        <v>1215360</v>
      </c>
      <c r="K455" s="25">
        <f t="shared" si="32"/>
        <v>0</v>
      </c>
      <c r="L455" s="25">
        <f t="shared" si="33"/>
        <v>0</v>
      </c>
      <c r="M455" s="289" t="e">
        <f t="shared" si="34"/>
        <v>#DIV/0!</v>
      </c>
    </row>
    <row r="456" spans="1:16" ht="18.75" customHeight="1">
      <c r="A456" s="289" t="str">
        <f t="shared" si="30"/>
        <v>NL</v>
      </c>
      <c r="B456" s="753">
        <f t="shared" si="31"/>
        <v>445</v>
      </c>
      <c r="C456" s="188" t="s">
        <v>472</v>
      </c>
      <c r="D456" s="291" t="s">
        <v>393</v>
      </c>
      <c r="E456" s="25"/>
      <c r="F456" s="25"/>
      <c r="G456" s="25">
        <f t="array" ref="G456">SUM(IF("156"&amp;C456=KHN&amp;MH,SL))</f>
        <v>52</v>
      </c>
      <c r="H456" s="25">
        <f t="array" ref="H456">SUM(IF("156"&amp;C456=KHN&amp;MH,TH))</f>
        <v>938080</v>
      </c>
      <c r="I456" s="25">
        <f t="array" ref="I456">SUM(IF("156"&amp;C456=KHC&amp;MH,SL))</f>
        <v>52</v>
      </c>
      <c r="J456" s="25">
        <f t="array" ref="J456">SUM(IF("156"&amp;C456=KHC&amp;MH,TH))</f>
        <v>938080</v>
      </c>
      <c r="K456" s="25">
        <f t="shared" si="32"/>
        <v>0</v>
      </c>
      <c r="L456" s="25">
        <f t="shared" si="33"/>
        <v>0</v>
      </c>
      <c r="M456" s="289" t="e">
        <f t="shared" si="34"/>
        <v>#DIV/0!</v>
      </c>
    </row>
    <row r="457" spans="1:16" ht="18.75" customHeight="1">
      <c r="A457" s="289" t="str">
        <f t="shared" si="30"/>
        <v>NL</v>
      </c>
      <c r="B457" s="753">
        <f t="shared" si="31"/>
        <v>446</v>
      </c>
      <c r="C457" s="191" t="s">
        <v>513</v>
      </c>
      <c r="D457" s="291" t="s">
        <v>393</v>
      </c>
      <c r="E457" s="25"/>
      <c r="F457" s="25"/>
      <c r="G457" s="25">
        <f t="array" ref="G457">SUM(IF("156"&amp;C457=KHN&amp;MH,SL))</f>
        <v>48</v>
      </c>
      <c r="H457" s="25">
        <f t="array" ref="H457">SUM(IF("156"&amp;C457=KHN&amp;MH,TH))</f>
        <v>902688</v>
      </c>
      <c r="I457" s="25">
        <f t="array" ref="I457">SUM(IF("156"&amp;C457=KHC&amp;MH,SL))</f>
        <v>48</v>
      </c>
      <c r="J457" s="25">
        <f t="array" ref="J457">SUM(IF("156"&amp;C457=KHC&amp;MH,TH))</f>
        <v>902688</v>
      </c>
      <c r="K457" s="25">
        <f t="shared" si="32"/>
        <v>0</v>
      </c>
      <c r="L457" s="25">
        <f t="shared" si="33"/>
        <v>0</v>
      </c>
      <c r="M457" s="289" t="e">
        <f t="shared" si="34"/>
        <v>#DIV/0!</v>
      </c>
    </row>
    <row r="458" spans="1:16" ht="18.75" customHeight="1">
      <c r="A458" s="289" t="str">
        <f t="shared" si="30"/>
        <v>NL</v>
      </c>
      <c r="B458" s="753">
        <f t="shared" si="31"/>
        <v>447</v>
      </c>
      <c r="C458" s="783" t="s">
        <v>982</v>
      </c>
      <c r="D458" s="291" t="s">
        <v>393</v>
      </c>
      <c r="E458" s="25"/>
      <c r="F458" s="25"/>
      <c r="G458" s="25">
        <f t="array" ref="G458">SUM(IF("156"&amp;C458=KHN&amp;MH,SL))</f>
        <v>12</v>
      </c>
      <c r="H458" s="25">
        <f t="array" ref="H458">SUM(IF("156"&amp;C458=KHN&amp;MH,TH))</f>
        <v>366576</v>
      </c>
      <c r="I458" s="25">
        <f t="array" ref="I458">SUM(IF("156"&amp;C458=KHC&amp;MH,SL))</f>
        <v>12</v>
      </c>
      <c r="J458" s="25">
        <f t="array" ref="J458">SUM(IF("156"&amp;C458=KHC&amp;MH,TH))</f>
        <v>366576</v>
      </c>
      <c r="K458" s="25">
        <f t="shared" si="32"/>
        <v>0</v>
      </c>
      <c r="L458" s="25">
        <f t="shared" si="33"/>
        <v>0</v>
      </c>
      <c r="M458" s="289" t="e">
        <f t="shared" si="34"/>
        <v>#DIV/0!</v>
      </c>
    </row>
    <row r="459" spans="1:16" ht="18.75" customHeight="1">
      <c r="A459" s="289" t="str">
        <f t="shared" si="30"/>
        <v>NL</v>
      </c>
      <c r="B459" s="753">
        <f t="shared" si="31"/>
        <v>448</v>
      </c>
      <c r="C459" s="191" t="s">
        <v>558</v>
      </c>
      <c r="D459" s="291" t="s">
        <v>393</v>
      </c>
      <c r="E459" s="25"/>
      <c r="F459" s="25"/>
      <c r="G459" s="25">
        <f t="array" ref="G459">SUM(IF("156"&amp;C459=KHN&amp;MH,SL))</f>
        <v>24</v>
      </c>
      <c r="H459" s="25">
        <f t="array" ref="H459">SUM(IF("156"&amp;C459=KHN&amp;MH,TH))</f>
        <v>843283</v>
      </c>
      <c r="I459" s="25">
        <f t="array" ref="I459">SUM(IF("156"&amp;C459=KHC&amp;MH,SL))</f>
        <v>24</v>
      </c>
      <c r="J459" s="25">
        <f t="array" ref="J459">SUM(IF("156"&amp;C459=KHC&amp;MH,TH))</f>
        <v>843283</v>
      </c>
      <c r="K459" s="25">
        <f t="shared" si="32"/>
        <v>0</v>
      </c>
      <c r="L459" s="25">
        <f t="shared" si="33"/>
        <v>0</v>
      </c>
      <c r="M459" s="289" t="e">
        <f t="shared" si="34"/>
        <v>#DIV/0!</v>
      </c>
    </row>
    <row r="460" spans="1:16" ht="18.75" customHeight="1">
      <c r="A460" s="289" t="str">
        <f t="shared" ref="A460:A523" si="35">IF(B460&lt;&gt;"","NL","")</f>
        <v>NL</v>
      </c>
      <c r="B460" s="753">
        <f t="shared" ref="B460:B523" si="36">IF(C460&lt;&gt;"",ROW()-11,"")</f>
        <v>449</v>
      </c>
      <c r="C460" s="191" t="s">
        <v>729</v>
      </c>
      <c r="D460" s="291" t="s">
        <v>393</v>
      </c>
      <c r="E460" s="25"/>
      <c r="F460" s="25"/>
      <c r="G460" s="25">
        <f t="array" ref="G460">SUM(IF("156"&amp;C460=KHN&amp;MH,SL))</f>
        <v>500</v>
      </c>
      <c r="H460" s="25">
        <f t="array" ref="H460">SUM(IF("156"&amp;C460=KHN&amp;MH,TH))</f>
        <v>3194500</v>
      </c>
      <c r="I460" s="25">
        <f t="array" ref="I460">SUM(IF("156"&amp;C460=KHC&amp;MH,SL))</f>
        <v>500</v>
      </c>
      <c r="J460" s="25">
        <f t="array" ref="J460">SUM(IF("156"&amp;C460=KHC&amp;MH,TH))</f>
        <v>3194500</v>
      </c>
      <c r="K460" s="25">
        <f t="shared" ref="K460:K523" si="37">E460+G460-I460</f>
        <v>0</v>
      </c>
      <c r="L460" s="25">
        <f t="shared" ref="L460:L523" si="38">F460+H460-J460</f>
        <v>0</v>
      </c>
      <c r="M460" s="289" t="e">
        <f t="shared" ref="M460:M523" si="39">L460/K460</f>
        <v>#DIV/0!</v>
      </c>
    </row>
    <row r="461" spans="1:16" ht="18.75" customHeight="1">
      <c r="A461" s="289" t="str">
        <f t="shared" si="35"/>
        <v>NL</v>
      </c>
      <c r="B461" s="753">
        <f t="shared" si="36"/>
        <v>450</v>
      </c>
      <c r="C461" s="191" t="s">
        <v>1777</v>
      </c>
      <c r="D461" s="291"/>
      <c r="E461" s="25"/>
      <c r="F461" s="25"/>
      <c r="G461" s="25">
        <f t="array" ref="G461">SUM(IF("156"&amp;C461=KHN&amp;MH,SL))</f>
        <v>0</v>
      </c>
      <c r="H461" s="25">
        <f t="array" ref="H461">SUM(IF("156"&amp;C461=KHN&amp;MH,TH))</f>
        <v>0</v>
      </c>
      <c r="I461" s="25">
        <f t="array" ref="I461">SUM(IF("156"&amp;C461=KHC&amp;MH,SL))</f>
        <v>0</v>
      </c>
      <c r="J461" s="25">
        <f t="array" ref="J461">SUM(IF("156"&amp;C461=KHC&amp;MH,TH))</f>
        <v>0</v>
      </c>
      <c r="K461" s="25">
        <f t="shared" si="37"/>
        <v>0</v>
      </c>
      <c r="L461" s="25">
        <f t="shared" si="38"/>
        <v>0</v>
      </c>
      <c r="M461" s="289" t="e">
        <f t="shared" si="39"/>
        <v>#DIV/0!</v>
      </c>
    </row>
    <row r="462" spans="1:16" ht="18.75" customHeight="1">
      <c r="A462" s="289" t="str">
        <f t="shared" si="35"/>
        <v>NL</v>
      </c>
      <c r="B462" s="753">
        <f t="shared" si="36"/>
        <v>451</v>
      </c>
      <c r="C462" s="191" t="s">
        <v>570</v>
      </c>
      <c r="D462" s="291" t="s">
        <v>393</v>
      </c>
      <c r="E462" s="25"/>
      <c r="F462" s="25"/>
      <c r="G462" s="25">
        <f t="array" ref="G462">SUM(IF("156"&amp;C462=KHN&amp;MH,SL))</f>
        <v>12</v>
      </c>
      <c r="H462" s="25">
        <f t="array" ref="H462">SUM(IF("156"&amp;C462=KHN&amp;MH,TH))</f>
        <v>136848</v>
      </c>
      <c r="I462" s="25">
        <f t="array" ref="I462">SUM(IF("156"&amp;C462=KHC&amp;MH,SL))</f>
        <v>12</v>
      </c>
      <c r="J462" s="25">
        <f t="array" ref="J462">SUM(IF("156"&amp;C462=KHC&amp;MH,TH))</f>
        <v>136848</v>
      </c>
      <c r="K462" s="25">
        <f t="shared" si="37"/>
        <v>0</v>
      </c>
      <c r="L462" s="25">
        <f t="shared" si="38"/>
        <v>0</v>
      </c>
      <c r="M462" s="289" t="e">
        <f t="shared" si="39"/>
        <v>#DIV/0!</v>
      </c>
    </row>
    <row r="463" spans="1:16" ht="18.75" customHeight="1">
      <c r="A463" s="289" t="str">
        <f t="shared" si="35"/>
        <v>NL</v>
      </c>
      <c r="B463" s="753">
        <f t="shared" si="36"/>
        <v>452</v>
      </c>
      <c r="C463" s="292" t="s">
        <v>1469</v>
      </c>
      <c r="D463" s="291" t="s">
        <v>393</v>
      </c>
      <c r="E463" s="25"/>
      <c r="F463" s="25"/>
      <c r="G463" s="25">
        <f t="array" ref="G463">SUM(IF("156"&amp;C463=KHN&amp;MH,SL))</f>
        <v>9</v>
      </c>
      <c r="H463" s="25">
        <f t="array" ref="H463">SUM(IF("156"&amp;C463=KHN&amp;MH,TH))</f>
        <v>108360</v>
      </c>
      <c r="I463" s="25">
        <f t="array" ref="I463">SUM(IF("156"&amp;C463=KHC&amp;MH,SL))</f>
        <v>9</v>
      </c>
      <c r="J463" s="25">
        <f t="array" ref="J463">SUM(IF("156"&amp;C463=KHC&amp;MH,TH))</f>
        <v>108360</v>
      </c>
      <c r="K463" s="25">
        <f t="shared" si="37"/>
        <v>0</v>
      </c>
      <c r="L463" s="25">
        <f t="shared" si="38"/>
        <v>0</v>
      </c>
      <c r="M463" s="289" t="e">
        <f t="shared" si="39"/>
        <v>#DIV/0!</v>
      </c>
      <c r="O463" s="927"/>
      <c r="P463" s="927"/>
    </row>
    <row r="464" spans="1:16" ht="18.75" customHeight="1">
      <c r="A464" s="289" t="str">
        <f t="shared" si="35"/>
        <v>NL</v>
      </c>
      <c r="B464" s="753">
        <f t="shared" si="36"/>
        <v>453</v>
      </c>
      <c r="C464" s="188" t="s">
        <v>473</v>
      </c>
      <c r="D464" s="291" t="s">
        <v>393</v>
      </c>
      <c r="E464" s="25"/>
      <c r="F464" s="25"/>
      <c r="G464" s="25">
        <f t="array" ref="G464">SUM(IF("156"&amp;C464=KHN&amp;MH,SL))</f>
        <v>21</v>
      </c>
      <c r="H464" s="25">
        <f t="array" ref="H464">SUM(IF("156"&amp;C464=KHN&amp;MH,TH))</f>
        <v>392994</v>
      </c>
      <c r="I464" s="25">
        <f t="array" ref="I464">SUM(IF("156"&amp;C464=KHC&amp;MH,SL))</f>
        <v>21</v>
      </c>
      <c r="J464" s="25">
        <f t="array" ref="J464">SUM(IF("156"&amp;C464=KHC&amp;MH,TH))</f>
        <v>392994</v>
      </c>
      <c r="K464" s="25">
        <f t="shared" si="37"/>
        <v>0</v>
      </c>
      <c r="L464" s="25">
        <f t="shared" si="38"/>
        <v>0</v>
      </c>
      <c r="M464" s="289" t="e">
        <f t="shared" si="39"/>
        <v>#DIV/0!</v>
      </c>
    </row>
    <row r="465" spans="1:16" ht="18.75" customHeight="1">
      <c r="A465" s="289" t="str">
        <f t="shared" si="35"/>
        <v>NL</v>
      </c>
      <c r="B465" s="753">
        <f t="shared" si="36"/>
        <v>454</v>
      </c>
      <c r="C465" s="191" t="s">
        <v>869</v>
      </c>
      <c r="D465" s="291" t="s">
        <v>393</v>
      </c>
      <c r="E465" s="25"/>
      <c r="F465" s="25"/>
      <c r="G465" s="25">
        <f t="array" ref="G465">SUM(IF("156"&amp;C465=KHN&amp;MH,SL))</f>
        <v>56</v>
      </c>
      <c r="H465" s="25">
        <f t="array" ref="H465">SUM(IF("156"&amp;C465=KHN&amp;MH,TH))</f>
        <v>1073904</v>
      </c>
      <c r="I465" s="25">
        <f t="array" ref="I465">SUM(IF("156"&amp;C465=KHC&amp;MH,SL))</f>
        <v>56</v>
      </c>
      <c r="J465" s="25">
        <f t="array" ref="J465">SUM(IF("156"&amp;C465=KHC&amp;MH,TH))</f>
        <v>1073904</v>
      </c>
      <c r="K465" s="25">
        <f t="shared" si="37"/>
        <v>0</v>
      </c>
      <c r="L465" s="25">
        <f t="shared" si="38"/>
        <v>0</v>
      </c>
      <c r="M465" s="289" t="e">
        <f t="shared" si="39"/>
        <v>#DIV/0!</v>
      </c>
      <c r="O465" s="927"/>
      <c r="P465" s="927"/>
    </row>
    <row r="466" spans="1:16" ht="18.75" customHeight="1">
      <c r="A466" s="289" t="str">
        <f t="shared" si="35"/>
        <v>NL</v>
      </c>
      <c r="B466" s="753">
        <f t="shared" si="36"/>
        <v>455</v>
      </c>
      <c r="C466" s="191" t="s">
        <v>725</v>
      </c>
      <c r="D466" s="291" t="s">
        <v>393</v>
      </c>
      <c r="E466" s="25"/>
      <c r="F466" s="25"/>
      <c r="G466" s="25">
        <f t="array" ref="G466">SUM(IF("156"&amp;C466=KHN&amp;MH,SL))</f>
        <v>376</v>
      </c>
      <c r="H466" s="25">
        <f t="array" ref="H466">SUM(IF("156"&amp;C466=KHN&amp;MH,TH))</f>
        <v>7052424</v>
      </c>
      <c r="I466" s="25">
        <f t="array" ref="I466">SUM(IF("156"&amp;C466=KHC&amp;MH,SL))</f>
        <v>376</v>
      </c>
      <c r="J466" s="25">
        <f t="array" ref="J466">SUM(IF("156"&amp;C466=KHC&amp;MH,TH))</f>
        <v>7052424</v>
      </c>
      <c r="K466" s="25">
        <f t="shared" si="37"/>
        <v>0</v>
      </c>
      <c r="L466" s="25">
        <f t="shared" si="38"/>
        <v>0</v>
      </c>
      <c r="M466" s="289" t="e">
        <f t="shared" si="39"/>
        <v>#DIV/0!</v>
      </c>
      <c r="O466" s="927"/>
      <c r="P466" s="927"/>
    </row>
    <row r="467" spans="1:16" ht="18.75" customHeight="1">
      <c r="A467" s="289" t="str">
        <f t="shared" si="35"/>
        <v>NL</v>
      </c>
      <c r="B467" s="753">
        <f t="shared" si="36"/>
        <v>456</v>
      </c>
      <c r="C467" s="191" t="s">
        <v>467</v>
      </c>
      <c r="D467" s="291" t="s">
        <v>393</v>
      </c>
      <c r="E467" s="25"/>
      <c r="F467" s="25"/>
      <c r="G467" s="25">
        <f t="array" ref="G467">SUM(IF("156"&amp;C467=KHN&amp;MH,SL))</f>
        <v>134</v>
      </c>
      <c r="H467" s="25">
        <f t="array" ref="H467">SUM(IF("156"&amp;C467=KHN&amp;MH,TH))</f>
        <v>2787242</v>
      </c>
      <c r="I467" s="25">
        <f t="array" ref="I467">SUM(IF("156"&amp;C467=KHC&amp;MH,SL))</f>
        <v>122</v>
      </c>
      <c r="J467" s="25">
        <f t="array" ref="J467">SUM(IF("156"&amp;C467=KHC&amp;MH,TH))</f>
        <v>2426870</v>
      </c>
      <c r="K467" s="25">
        <f t="shared" si="37"/>
        <v>12</v>
      </c>
      <c r="L467" s="25">
        <f t="shared" si="38"/>
        <v>360372</v>
      </c>
      <c r="M467" s="289">
        <f t="shared" si="39"/>
        <v>30031</v>
      </c>
    </row>
    <row r="468" spans="1:16" ht="18.75" customHeight="1">
      <c r="A468" s="289" t="str">
        <f t="shared" si="35"/>
        <v>NL</v>
      </c>
      <c r="B468" s="753">
        <f t="shared" si="36"/>
        <v>457</v>
      </c>
      <c r="C468" s="191" t="s">
        <v>511</v>
      </c>
      <c r="D468" s="291" t="s">
        <v>393</v>
      </c>
      <c r="E468" s="25"/>
      <c r="F468" s="25"/>
      <c r="G468" s="25">
        <f t="array" ref="G468">SUM(IF("156"&amp;C468=KHN&amp;MH,SL))</f>
        <v>494</v>
      </c>
      <c r="H468" s="25">
        <f t="array" ref="H468">SUM(IF("156"&amp;C468=KHN&amp;MH,TH))</f>
        <v>13089564</v>
      </c>
      <c r="I468" s="25">
        <f t="array" ref="I468">SUM(IF("156"&amp;C468=KHC&amp;MH,SL))</f>
        <v>494</v>
      </c>
      <c r="J468" s="25">
        <f t="array" ref="J468">SUM(IF("156"&amp;C468=KHC&amp;MH,TH))</f>
        <v>13089564</v>
      </c>
      <c r="K468" s="25">
        <f t="shared" si="37"/>
        <v>0</v>
      </c>
      <c r="L468" s="25">
        <f t="shared" si="38"/>
        <v>0</v>
      </c>
      <c r="M468" s="289" t="e">
        <f t="shared" si="39"/>
        <v>#DIV/0!</v>
      </c>
      <c r="O468" s="927"/>
      <c r="P468" s="927"/>
    </row>
    <row r="469" spans="1:16" ht="18.75" customHeight="1">
      <c r="A469" s="289" t="str">
        <f t="shared" si="35"/>
        <v>NL</v>
      </c>
      <c r="B469" s="753">
        <f t="shared" si="36"/>
        <v>458</v>
      </c>
      <c r="C469" s="40" t="s">
        <v>717</v>
      </c>
      <c r="D469" s="291" t="s">
        <v>393</v>
      </c>
      <c r="E469" s="25"/>
      <c r="F469" s="25"/>
      <c r="G469" s="25">
        <f t="array" ref="G469">SUM(IF("156"&amp;C469=KHN&amp;MH,SL))</f>
        <v>12</v>
      </c>
      <c r="H469" s="25">
        <f t="array" ref="H469">SUM(IF("156"&amp;C469=KHN&amp;MH,TH))</f>
        <v>484306</v>
      </c>
      <c r="I469" s="25">
        <f t="array" ref="I469">SUM(IF("156"&amp;C469=KHC&amp;MH,SL))</f>
        <v>12</v>
      </c>
      <c r="J469" s="25">
        <f t="array" ref="J469">SUM(IF("156"&amp;C469=KHC&amp;MH,TH))</f>
        <v>484306</v>
      </c>
      <c r="K469" s="25">
        <f t="shared" si="37"/>
        <v>0</v>
      </c>
      <c r="L469" s="25">
        <f t="shared" si="38"/>
        <v>0</v>
      </c>
      <c r="M469" s="289" t="e">
        <f t="shared" si="39"/>
        <v>#DIV/0!</v>
      </c>
    </row>
    <row r="470" spans="1:16" ht="18.75" customHeight="1">
      <c r="A470" s="289" t="str">
        <f t="shared" si="35"/>
        <v>NL</v>
      </c>
      <c r="B470" s="753">
        <f t="shared" si="36"/>
        <v>459</v>
      </c>
      <c r="C470" s="40" t="s">
        <v>811</v>
      </c>
      <c r="D470" s="291" t="s">
        <v>393</v>
      </c>
      <c r="E470" s="25"/>
      <c r="F470" s="25"/>
      <c r="G470" s="25">
        <f t="array" ref="G470">SUM(IF("156"&amp;C470=KHN&amp;MH,SL))</f>
        <v>5</v>
      </c>
      <c r="H470" s="25">
        <f t="array" ref="H470">SUM(IF("156"&amp;C470=KHN&amp;MH,TH))</f>
        <v>202013</v>
      </c>
      <c r="I470" s="25">
        <f t="array" ref="I470">SUM(IF("156"&amp;C470=KHC&amp;MH,SL))</f>
        <v>5</v>
      </c>
      <c r="J470" s="25">
        <f t="array" ref="J470">SUM(IF("156"&amp;C470=KHC&amp;MH,TH))</f>
        <v>202013</v>
      </c>
      <c r="K470" s="25">
        <f t="shared" si="37"/>
        <v>0</v>
      </c>
      <c r="L470" s="25">
        <f t="shared" si="38"/>
        <v>0</v>
      </c>
      <c r="M470" s="289" t="e">
        <f t="shared" si="39"/>
        <v>#DIV/0!</v>
      </c>
    </row>
    <row r="471" spans="1:16" ht="18.75" customHeight="1">
      <c r="A471" s="289" t="str">
        <f t="shared" si="35"/>
        <v>NL</v>
      </c>
      <c r="B471" s="753">
        <f t="shared" si="36"/>
        <v>460</v>
      </c>
      <c r="C471" s="188" t="s">
        <v>479</v>
      </c>
      <c r="D471" s="291" t="s">
        <v>393</v>
      </c>
      <c r="E471" s="25"/>
      <c r="F471" s="25"/>
      <c r="G471" s="25">
        <f t="array" ref="G471">SUM(IF("156"&amp;C471=KHN&amp;MH,SL))</f>
        <v>1790</v>
      </c>
      <c r="H471" s="25">
        <f t="array" ref="H471">SUM(IF("156"&amp;C471=KHN&amp;MH,TH))</f>
        <v>14012542</v>
      </c>
      <c r="I471" s="25">
        <f t="array" ref="I471">SUM(IF("156"&amp;C471=KHC&amp;MH,SL))</f>
        <v>1490</v>
      </c>
      <c r="J471" s="25">
        <f t="array" ref="J471">SUM(IF("156"&amp;C471=KHC&amp;MH,TH))</f>
        <v>11724142</v>
      </c>
      <c r="K471" s="25">
        <f t="shared" si="37"/>
        <v>300</v>
      </c>
      <c r="L471" s="25">
        <f t="shared" si="38"/>
        <v>2288400</v>
      </c>
      <c r="M471" s="289">
        <f t="shared" si="39"/>
        <v>7628</v>
      </c>
      <c r="O471" s="927"/>
      <c r="P471" s="927"/>
    </row>
    <row r="472" spans="1:16" ht="18.75" customHeight="1">
      <c r="A472" s="289" t="str">
        <f t="shared" si="35"/>
        <v>NL</v>
      </c>
      <c r="B472" s="753">
        <f t="shared" si="36"/>
        <v>461</v>
      </c>
      <c r="C472" s="191" t="s">
        <v>744</v>
      </c>
      <c r="D472" s="291" t="s">
        <v>393</v>
      </c>
      <c r="E472" s="25"/>
      <c r="F472" s="25"/>
      <c r="G472" s="25">
        <f t="array" ref="G472">SUM(IF("156"&amp;C472=KHN&amp;MH,SL))</f>
        <v>54</v>
      </c>
      <c r="H472" s="25">
        <f t="array" ref="H472">SUM(IF("156"&amp;C472=KHN&amp;MH,TH))</f>
        <v>920268</v>
      </c>
      <c r="I472" s="25">
        <f t="array" ref="I472">SUM(IF("156"&amp;C472=KHC&amp;MH,SL))</f>
        <v>54</v>
      </c>
      <c r="J472" s="25">
        <f t="array" ref="J472">SUM(IF("156"&amp;C472=KHC&amp;MH,TH))</f>
        <v>920268</v>
      </c>
      <c r="K472" s="25">
        <f t="shared" si="37"/>
        <v>0</v>
      </c>
      <c r="L472" s="25">
        <f t="shared" si="38"/>
        <v>0</v>
      </c>
      <c r="M472" s="289" t="e">
        <f t="shared" si="39"/>
        <v>#DIV/0!</v>
      </c>
    </row>
    <row r="473" spans="1:16" ht="18.75" customHeight="1">
      <c r="A473" s="289" t="str">
        <f t="shared" si="35"/>
        <v>NL</v>
      </c>
      <c r="B473" s="753">
        <f t="shared" si="36"/>
        <v>462</v>
      </c>
      <c r="C473" s="191" t="s">
        <v>555</v>
      </c>
      <c r="D473" s="291" t="s">
        <v>393</v>
      </c>
      <c r="E473" s="25"/>
      <c r="F473" s="25"/>
      <c r="G473" s="25">
        <f t="array" ref="G473">SUM(IF("156"&amp;C473=KHN&amp;MH,SL))</f>
        <v>36</v>
      </c>
      <c r="H473" s="25">
        <f t="array" ref="H473">SUM(IF("156"&amp;C473=KHN&amp;MH,TH))</f>
        <v>699444</v>
      </c>
      <c r="I473" s="25">
        <f t="array" ref="I473">SUM(IF("156"&amp;C473=KHC&amp;MH,SL))</f>
        <v>36</v>
      </c>
      <c r="J473" s="25">
        <f t="array" ref="J473">SUM(IF("156"&amp;C473=KHC&amp;MH,TH))</f>
        <v>699444</v>
      </c>
      <c r="K473" s="25">
        <f t="shared" si="37"/>
        <v>0</v>
      </c>
      <c r="L473" s="25">
        <f t="shared" si="38"/>
        <v>0</v>
      </c>
      <c r="M473" s="289" t="e">
        <f t="shared" si="39"/>
        <v>#DIV/0!</v>
      </c>
    </row>
    <row r="474" spans="1:16" ht="18.75" customHeight="1">
      <c r="A474" s="289" t="str">
        <f t="shared" si="35"/>
        <v>NL</v>
      </c>
      <c r="B474" s="753">
        <f t="shared" si="36"/>
        <v>463</v>
      </c>
      <c r="C474" s="191" t="s">
        <v>637</v>
      </c>
      <c r="D474" s="291" t="s">
        <v>393</v>
      </c>
      <c r="E474" s="25"/>
      <c r="F474" s="25"/>
      <c r="G474" s="25">
        <f t="array" ref="G474">SUM(IF("156"&amp;C474=KHN&amp;MH,SL))</f>
        <v>10150</v>
      </c>
      <c r="H474" s="25">
        <f t="array" ref="H474">SUM(IF("156"&amp;C474=KHN&amp;MH,TH))</f>
        <v>61051948</v>
      </c>
      <c r="I474" s="25">
        <f t="array" ref="I474">SUM(IF("156"&amp;C474=KHC&amp;MH,SL))</f>
        <v>10100</v>
      </c>
      <c r="J474" s="25">
        <f t="array" ref="J474">SUM(IF("156"&amp;C474=KHC&amp;MH,TH))</f>
        <v>60769998</v>
      </c>
      <c r="K474" s="25">
        <f t="shared" si="37"/>
        <v>50</v>
      </c>
      <c r="L474" s="25">
        <f t="shared" si="38"/>
        <v>281950</v>
      </c>
      <c r="M474" s="289">
        <f t="shared" si="39"/>
        <v>5639</v>
      </c>
    </row>
    <row r="475" spans="1:16" ht="18.75" customHeight="1">
      <c r="A475" s="289" t="str">
        <f t="shared" si="35"/>
        <v>NL</v>
      </c>
      <c r="B475" s="753">
        <f t="shared" si="36"/>
        <v>464</v>
      </c>
      <c r="C475" s="191" t="s">
        <v>768</v>
      </c>
      <c r="D475" s="291" t="s">
        <v>393</v>
      </c>
      <c r="E475" s="25"/>
      <c r="F475" s="25"/>
      <c r="G475" s="25">
        <f t="array" ref="G475">SUM(IF("156"&amp;C475=KHN&amp;MH,SL))</f>
        <v>100</v>
      </c>
      <c r="H475" s="25">
        <f t="array" ref="H475">SUM(IF("156"&amp;C475=KHN&amp;MH,TH))</f>
        <v>615300</v>
      </c>
      <c r="I475" s="25">
        <f t="array" ref="I475">SUM(IF("156"&amp;C475=KHC&amp;MH,SL))</f>
        <v>100</v>
      </c>
      <c r="J475" s="25">
        <f t="array" ref="J475">SUM(IF("156"&amp;C475=KHC&amp;MH,TH))</f>
        <v>615300</v>
      </c>
      <c r="K475" s="25">
        <f t="shared" si="37"/>
        <v>0</v>
      </c>
      <c r="L475" s="25">
        <f t="shared" si="38"/>
        <v>0</v>
      </c>
      <c r="M475" s="289" t="e">
        <f t="shared" si="39"/>
        <v>#DIV/0!</v>
      </c>
    </row>
    <row r="476" spans="1:16" ht="18.75" customHeight="1">
      <c r="A476" s="289" t="str">
        <f t="shared" si="35"/>
        <v>NL</v>
      </c>
      <c r="B476" s="753">
        <f t="shared" si="36"/>
        <v>465</v>
      </c>
      <c r="C476" s="188" t="s">
        <v>767</v>
      </c>
      <c r="D476" s="291" t="s">
        <v>393</v>
      </c>
      <c r="E476" s="25"/>
      <c r="F476" s="25"/>
      <c r="G476" s="25">
        <f t="array" ref="G476">SUM(IF("156"&amp;C476=KHN&amp;MH,SL))</f>
        <v>100</v>
      </c>
      <c r="H476" s="25">
        <f t="array" ref="H476">SUM(IF("156"&amp;C476=KHN&amp;MH,TH))</f>
        <v>615300</v>
      </c>
      <c r="I476" s="25">
        <f t="array" ref="I476">SUM(IF("156"&amp;C476=KHC&amp;MH,SL))</f>
        <v>100</v>
      </c>
      <c r="J476" s="25">
        <f t="array" ref="J476">SUM(IF("156"&amp;C476=KHC&amp;MH,TH))</f>
        <v>615300</v>
      </c>
      <c r="K476" s="25">
        <f t="shared" si="37"/>
        <v>0</v>
      </c>
      <c r="L476" s="25">
        <f t="shared" si="38"/>
        <v>0</v>
      </c>
      <c r="M476" s="289" t="e">
        <f t="shared" si="39"/>
        <v>#DIV/0!</v>
      </c>
    </row>
    <row r="477" spans="1:16" ht="18.75" customHeight="1">
      <c r="A477" s="289" t="str">
        <f t="shared" si="35"/>
        <v>NL</v>
      </c>
      <c r="B477" s="753">
        <f t="shared" si="36"/>
        <v>466</v>
      </c>
      <c r="C477" s="292" t="s">
        <v>1699</v>
      </c>
      <c r="D477" s="291" t="s">
        <v>393</v>
      </c>
      <c r="E477" s="25"/>
      <c r="F477" s="25"/>
      <c r="G477" s="25">
        <f t="array" ref="G477">SUM(IF("156"&amp;C477=KHN&amp;MH,SL))</f>
        <v>2500</v>
      </c>
      <c r="H477" s="25">
        <f t="array" ref="H477">SUM(IF("156"&amp;C477=KHN&amp;MH,TH))</f>
        <v>21000000</v>
      </c>
      <c r="I477" s="25">
        <f t="array" ref="I477">SUM(IF("156"&amp;C477=KHC&amp;MH,SL))</f>
        <v>2500</v>
      </c>
      <c r="J477" s="25">
        <f t="array" ref="J477">SUM(IF("156"&amp;C477=KHC&amp;MH,TH))</f>
        <v>21000000</v>
      </c>
      <c r="K477" s="25">
        <f t="shared" si="37"/>
        <v>0</v>
      </c>
      <c r="L477" s="25">
        <f t="shared" si="38"/>
        <v>0</v>
      </c>
      <c r="M477" s="289" t="e">
        <f t="shared" si="39"/>
        <v>#DIV/0!</v>
      </c>
    </row>
    <row r="478" spans="1:16" ht="18.75" customHeight="1">
      <c r="A478" s="289" t="str">
        <f t="shared" si="35"/>
        <v>NL</v>
      </c>
      <c r="B478" s="753">
        <f t="shared" si="36"/>
        <v>467</v>
      </c>
      <c r="C478" s="292" t="s">
        <v>1687</v>
      </c>
      <c r="D478" s="291" t="s">
        <v>393</v>
      </c>
      <c r="E478" s="25"/>
      <c r="F478" s="25"/>
      <c r="G478" s="25">
        <f t="array" ref="G478">SUM(IF("156"&amp;C478=KHN&amp;MH,SL))</f>
        <v>9900</v>
      </c>
      <c r="H478" s="25">
        <f t="array" ref="H478">SUM(IF("156"&amp;C478=KHN&amp;MH,TH))</f>
        <v>87476899</v>
      </c>
      <c r="I478" s="25">
        <f t="array" ref="I478">SUM(IF("156"&amp;C478=KHC&amp;MH,SL))</f>
        <v>9900</v>
      </c>
      <c r="J478" s="25">
        <f t="array" ref="J478">SUM(IF("156"&amp;C478=KHC&amp;MH,TH))</f>
        <v>87476899</v>
      </c>
      <c r="K478" s="25">
        <f t="shared" si="37"/>
        <v>0</v>
      </c>
      <c r="L478" s="25">
        <f t="shared" si="38"/>
        <v>0</v>
      </c>
      <c r="M478" s="289" t="e">
        <f t="shared" si="39"/>
        <v>#DIV/0!</v>
      </c>
    </row>
    <row r="479" spans="1:16" ht="18.75" customHeight="1">
      <c r="A479" s="289" t="str">
        <f t="shared" si="35"/>
        <v>NL</v>
      </c>
      <c r="B479" s="753">
        <f t="shared" si="36"/>
        <v>468</v>
      </c>
      <c r="C479" s="191" t="s">
        <v>1738</v>
      </c>
      <c r="D479" s="291"/>
      <c r="E479" s="25"/>
      <c r="F479" s="25"/>
      <c r="G479" s="25">
        <f t="array" ref="G479">SUM(IF("156"&amp;C479=KHN&amp;MH,SL))</f>
        <v>120</v>
      </c>
      <c r="H479" s="25">
        <f t="array" ref="H479">SUM(IF("156"&amp;C479=KHN&amp;MH,TH))</f>
        <v>2640000</v>
      </c>
      <c r="I479" s="25">
        <f t="array" ref="I479">SUM(IF("156"&amp;C479=KHC&amp;MH,SL))</f>
        <v>120</v>
      </c>
      <c r="J479" s="25">
        <f t="array" ref="J479">SUM(IF("156"&amp;C479=KHC&amp;MH,TH))</f>
        <v>2640000</v>
      </c>
      <c r="K479" s="25">
        <f t="shared" si="37"/>
        <v>0</v>
      </c>
      <c r="L479" s="25">
        <f t="shared" si="38"/>
        <v>0</v>
      </c>
      <c r="M479" s="289" t="e">
        <f t="shared" si="39"/>
        <v>#DIV/0!</v>
      </c>
    </row>
    <row r="480" spans="1:16" ht="18.75" customHeight="1">
      <c r="A480" s="289" t="str">
        <f t="shared" si="35"/>
        <v>NL</v>
      </c>
      <c r="B480" s="753">
        <f t="shared" si="36"/>
        <v>469</v>
      </c>
      <c r="C480" s="188" t="s">
        <v>701</v>
      </c>
      <c r="D480" s="291" t="s">
        <v>393</v>
      </c>
      <c r="E480" s="25"/>
      <c r="F480" s="25"/>
      <c r="G480" s="25">
        <f t="array" ref="G480">SUM(IF("156"&amp;C480=KHN&amp;MH,SL))</f>
        <v>4</v>
      </c>
      <c r="H480" s="25">
        <f t="array" ref="H480">SUM(IF("156"&amp;C480=KHN&amp;MH,TH))</f>
        <v>119411</v>
      </c>
      <c r="I480" s="25">
        <f t="array" ref="I480">SUM(IF("156"&amp;C480=KHC&amp;MH,SL))</f>
        <v>4</v>
      </c>
      <c r="J480" s="25">
        <f t="array" ref="J480">SUM(IF("156"&amp;C480=KHC&amp;MH,TH))</f>
        <v>119411</v>
      </c>
      <c r="K480" s="25">
        <f t="shared" si="37"/>
        <v>0</v>
      </c>
      <c r="L480" s="25">
        <f t="shared" si="38"/>
        <v>0</v>
      </c>
      <c r="M480" s="289" t="e">
        <f t="shared" si="39"/>
        <v>#DIV/0!</v>
      </c>
    </row>
    <row r="481" spans="1:16" ht="18.75" customHeight="1">
      <c r="A481" s="289" t="str">
        <f t="shared" si="35"/>
        <v>NL</v>
      </c>
      <c r="B481" s="753">
        <f t="shared" si="36"/>
        <v>470</v>
      </c>
      <c r="C481" s="191" t="s">
        <v>863</v>
      </c>
      <c r="D481" s="291" t="s">
        <v>393</v>
      </c>
      <c r="E481" s="25"/>
      <c r="F481" s="25"/>
      <c r="G481" s="25">
        <f t="array" ref="G481">SUM(IF("156"&amp;C481=KHN&amp;MH,SL))</f>
        <v>168</v>
      </c>
      <c r="H481" s="25">
        <f t="array" ref="H481">SUM(IF("156"&amp;C481=KHN&amp;MH,TH))</f>
        <v>3262501</v>
      </c>
      <c r="I481" s="25">
        <f t="array" ref="I481">SUM(IF("156"&amp;C481=KHC&amp;MH,SL))</f>
        <v>168</v>
      </c>
      <c r="J481" s="25">
        <f t="array" ref="J481">SUM(IF("156"&amp;C481=KHC&amp;MH,TH))</f>
        <v>3262501</v>
      </c>
      <c r="K481" s="25">
        <f t="shared" si="37"/>
        <v>0</v>
      </c>
      <c r="L481" s="25">
        <f t="shared" si="38"/>
        <v>0</v>
      </c>
      <c r="M481" s="289" t="e">
        <f t="shared" si="39"/>
        <v>#DIV/0!</v>
      </c>
      <c r="O481" s="927"/>
      <c r="P481" s="927"/>
    </row>
    <row r="482" spans="1:16" ht="18.75" customHeight="1">
      <c r="A482" s="289" t="str">
        <f t="shared" si="35"/>
        <v>NL</v>
      </c>
      <c r="B482" s="753">
        <f t="shared" si="36"/>
        <v>471</v>
      </c>
      <c r="C482" s="292" t="s">
        <v>1460</v>
      </c>
      <c r="D482" s="291" t="s">
        <v>393</v>
      </c>
      <c r="E482" s="25"/>
      <c r="F482" s="25"/>
      <c r="G482" s="25">
        <f t="array" ref="G482">SUM(IF("156"&amp;C482=KHN&amp;MH,SL))</f>
        <v>50</v>
      </c>
      <c r="H482" s="25">
        <f t="array" ref="H482">SUM(IF("156"&amp;C482=KHN&amp;MH,TH))</f>
        <v>1985000</v>
      </c>
      <c r="I482" s="25">
        <f t="array" ref="I482">SUM(IF("156"&amp;C482=KHC&amp;MH,SL))</f>
        <v>50</v>
      </c>
      <c r="J482" s="25">
        <f t="array" ref="J482">SUM(IF("156"&amp;C482=KHC&amp;MH,TH))</f>
        <v>1985000</v>
      </c>
      <c r="K482" s="25">
        <f t="shared" si="37"/>
        <v>0</v>
      </c>
      <c r="L482" s="25">
        <f t="shared" si="38"/>
        <v>0</v>
      </c>
      <c r="M482" s="289" t="e">
        <f t="shared" si="39"/>
        <v>#DIV/0!</v>
      </c>
      <c r="O482" s="927"/>
      <c r="P482" s="927"/>
    </row>
    <row r="483" spans="1:16" ht="18.75" customHeight="1">
      <c r="A483" s="289" t="str">
        <f t="shared" si="35"/>
        <v>NL</v>
      </c>
      <c r="B483" s="753">
        <f t="shared" si="36"/>
        <v>472</v>
      </c>
      <c r="C483" s="191" t="s">
        <v>659</v>
      </c>
      <c r="D483" s="291" t="s">
        <v>393</v>
      </c>
      <c r="E483" s="25">
        <v>1000</v>
      </c>
      <c r="F483" s="25">
        <v>8771000</v>
      </c>
      <c r="G483" s="25">
        <f t="array" ref="G483">SUM(IF("156"&amp;C483=KHN&amp;MH,SL))</f>
        <v>12968</v>
      </c>
      <c r="H483" s="25">
        <f t="array" ref="H483">SUM(IF("156"&amp;C483=KHN&amp;MH,TH))</f>
        <v>121575725</v>
      </c>
      <c r="I483" s="25">
        <f t="array" ref="I483">SUM(IF("156"&amp;C483=KHC&amp;MH,SL))</f>
        <v>13968</v>
      </c>
      <c r="J483" s="25">
        <f t="array" ref="J483">SUM(IF("156"&amp;C483=KHC&amp;MH,TH))</f>
        <v>130346725</v>
      </c>
      <c r="K483" s="25">
        <f t="shared" si="37"/>
        <v>0</v>
      </c>
      <c r="L483" s="25">
        <f t="shared" si="38"/>
        <v>0</v>
      </c>
      <c r="M483" s="289" t="e">
        <f t="shared" si="39"/>
        <v>#DIV/0!</v>
      </c>
    </row>
    <row r="484" spans="1:16" ht="18.75" customHeight="1">
      <c r="A484" s="289" t="str">
        <f t="shared" si="35"/>
        <v>NL</v>
      </c>
      <c r="B484" s="753">
        <f t="shared" si="36"/>
        <v>473</v>
      </c>
      <c r="C484" s="191" t="s">
        <v>921</v>
      </c>
      <c r="D484" s="291" t="s">
        <v>393</v>
      </c>
      <c r="E484" s="25"/>
      <c r="F484" s="25"/>
      <c r="G484" s="25">
        <f t="array" ref="G484">SUM(IF("156"&amp;C484=KHN&amp;MH,SL))</f>
        <v>19916</v>
      </c>
      <c r="H484" s="25">
        <f t="array" ref="H484">SUM(IF("156"&amp;C484=KHN&amp;MH,TH))</f>
        <v>155937922</v>
      </c>
      <c r="I484" s="25">
        <f t="array" ref="I484">SUM(IF("156"&amp;C484=KHC&amp;MH,SL))</f>
        <v>19916</v>
      </c>
      <c r="J484" s="25">
        <f t="array" ref="J484">SUM(IF("156"&amp;C484=KHC&amp;MH,TH))</f>
        <v>155937922</v>
      </c>
      <c r="K484" s="25">
        <f t="shared" si="37"/>
        <v>0</v>
      </c>
      <c r="L484" s="25">
        <f t="shared" si="38"/>
        <v>0</v>
      </c>
      <c r="M484" s="289" t="e">
        <f t="shared" si="39"/>
        <v>#DIV/0!</v>
      </c>
    </row>
    <row r="485" spans="1:16" ht="18.75" customHeight="1">
      <c r="A485" s="289" t="str">
        <f t="shared" si="35"/>
        <v>NL</v>
      </c>
      <c r="B485" s="753">
        <f t="shared" si="36"/>
        <v>474</v>
      </c>
      <c r="C485" s="191" t="s">
        <v>952</v>
      </c>
      <c r="D485" s="291" t="s">
        <v>393</v>
      </c>
      <c r="E485" s="25"/>
      <c r="F485" s="25"/>
      <c r="G485" s="25">
        <f t="array" ref="G485">SUM(IF("156"&amp;C485=KHN&amp;MH,SL))</f>
        <v>72</v>
      </c>
      <c r="H485" s="25">
        <f t="array" ref="H485">SUM(IF("156"&amp;C485=KHN&amp;MH,TH))</f>
        <v>1630152</v>
      </c>
      <c r="I485" s="25">
        <f t="array" ref="I485">SUM(IF("156"&amp;C485=KHC&amp;MH,SL))</f>
        <v>0</v>
      </c>
      <c r="J485" s="25">
        <f t="array" ref="J485">SUM(IF("156"&amp;C485=KHC&amp;MH,TH))</f>
        <v>0</v>
      </c>
      <c r="K485" s="25">
        <f t="shared" si="37"/>
        <v>72</v>
      </c>
      <c r="L485" s="25">
        <f t="shared" si="38"/>
        <v>1630152</v>
      </c>
      <c r="M485" s="289">
        <f t="shared" si="39"/>
        <v>22641</v>
      </c>
    </row>
    <row r="486" spans="1:16" ht="18.75" customHeight="1">
      <c r="A486" s="289" t="str">
        <f t="shared" si="35"/>
        <v>NL</v>
      </c>
      <c r="B486" s="753">
        <f t="shared" si="36"/>
        <v>475</v>
      </c>
      <c r="C486" s="188" t="s">
        <v>942</v>
      </c>
      <c r="D486" s="291" t="s">
        <v>393</v>
      </c>
      <c r="E486" s="25"/>
      <c r="F486" s="25"/>
      <c r="G486" s="25">
        <f t="array" ref="G486">SUM(IF("156"&amp;C486=KHN&amp;MH,SL))</f>
        <v>90</v>
      </c>
      <c r="H486" s="25">
        <f t="array" ref="H486">SUM(IF("156"&amp;C486=KHN&amp;MH,TH))</f>
        <v>4357800</v>
      </c>
      <c r="I486" s="25">
        <f t="array" ref="I486">SUM(IF("156"&amp;C486=KHC&amp;MH,SL))</f>
        <v>0</v>
      </c>
      <c r="J486" s="25">
        <f t="array" ref="J486">SUM(IF("156"&amp;C486=KHC&amp;MH,TH))</f>
        <v>0</v>
      </c>
      <c r="K486" s="25">
        <f t="shared" si="37"/>
        <v>90</v>
      </c>
      <c r="L486" s="25">
        <f t="shared" si="38"/>
        <v>4357800</v>
      </c>
      <c r="M486" s="289">
        <f t="shared" si="39"/>
        <v>48420</v>
      </c>
    </row>
    <row r="487" spans="1:16" ht="18.75" customHeight="1">
      <c r="A487" s="289" t="str">
        <f t="shared" si="35"/>
        <v>NL</v>
      </c>
      <c r="B487" s="753">
        <f t="shared" si="36"/>
        <v>476</v>
      </c>
      <c r="C487" s="191" t="s">
        <v>459</v>
      </c>
      <c r="D487" s="291" t="s">
        <v>393</v>
      </c>
      <c r="E487" s="25"/>
      <c r="F487" s="25"/>
      <c r="G487" s="25">
        <f t="array" ref="G487">SUM(IF("156"&amp;C487=KHN&amp;MH,SL))</f>
        <v>465</v>
      </c>
      <c r="H487" s="25">
        <f t="array" ref="H487">SUM(IF("156"&amp;C487=KHN&amp;MH,TH))</f>
        <v>8803690</v>
      </c>
      <c r="I487" s="25">
        <f t="array" ref="I487">SUM(IF("156"&amp;C487=KHC&amp;MH,SL))</f>
        <v>310</v>
      </c>
      <c r="J487" s="25">
        <f t="array" ref="J487">SUM(IF("156"&amp;C487=KHC&amp;MH,TH))</f>
        <v>4108895</v>
      </c>
      <c r="K487" s="25">
        <f t="shared" si="37"/>
        <v>155</v>
      </c>
      <c r="L487" s="25">
        <f t="shared" si="38"/>
        <v>4694795</v>
      </c>
      <c r="M487" s="289">
        <f t="shared" si="39"/>
        <v>30289</v>
      </c>
    </row>
    <row r="488" spans="1:16" ht="18.75" customHeight="1">
      <c r="A488" s="289" t="str">
        <f t="shared" si="35"/>
        <v>NL</v>
      </c>
      <c r="B488" s="753">
        <f t="shared" si="36"/>
        <v>477</v>
      </c>
      <c r="C488" s="191" t="s">
        <v>949</v>
      </c>
      <c r="D488" s="291" t="s">
        <v>393</v>
      </c>
      <c r="E488" s="25"/>
      <c r="F488" s="25"/>
      <c r="G488" s="25">
        <f t="array" ref="G488">SUM(IF("156"&amp;C488=KHN&amp;MH,SL))</f>
        <v>36</v>
      </c>
      <c r="H488" s="25">
        <f t="array" ref="H488">SUM(IF("156"&amp;C488=KHN&amp;MH,TH))</f>
        <v>1989504</v>
      </c>
      <c r="I488" s="25">
        <f t="array" ref="I488">SUM(IF("156"&amp;C488=KHC&amp;MH,SL))</f>
        <v>0</v>
      </c>
      <c r="J488" s="25">
        <f t="array" ref="J488">SUM(IF("156"&amp;C488=KHC&amp;MH,TH))</f>
        <v>0</v>
      </c>
      <c r="K488" s="25">
        <f t="shared" si="37"/>
        <v>36</v>
      </c>
      <c r="L488" s="25">
        <f t="shared" si="38"/>
        <v>1989504</v>
      </c>
      <c r="M488" s="289">
        <f t="shared" si="39"/>
        <v>55264</v>
      </c>
    </row>
    <row r="489" spans="1:16" ht="18.75" customHeight="1">
      <c r="A489" s="289" t="str">
        <f t="shared" si="35"/>
        <v>NL</v>
      </c>
      <c r="B489" s="753">
        <f t="shared" si="36"/>
        <v>478</v>
      </c>
      <c r="C489" s="40" t="s">
        <v>1481</v>
      </c>
      <c r="D489" s="291" t="s">
        <v>393</v>
      </c>
      <c r="E489" s="25"/>
      <c r="F489" s="25"/>
      <c r="G489" s="25">
        <f t="array" ref="G489">SUM(IF("156"&amp;C489=KHN&amp;MH,SL))</f>
        <v>10000</v>
      </c>
      <c r="H489" s="25">
        <f t="array" ref="H489">SUM(IF("156"&amp;C489=KHN&amp;MH,TH))</f>
        <v>88022807</v>
      </c>
      <c r="I489" s="25">
        <f t="array" ref="I489">SUM(IF("156"&amp;C489=KHC&amp;MH,SL))</f>
        <v>10000</v>
      </c>
      <c r="J489" s="25">
        <f t="array" ref="J489">SUM(IF("156"&amp;C489=KHC&amp;MH,TH))</f>
        <v>88022807</v>
      </c>
      <c r="K489" s="25">
        <f t="shared" si="37"/>
        <v>0</v>
      </c>
      <c r="L489" s="25">
        <f t="shared" si="38"/>
        <v>0</v>
      </c>
      <c r="M489" s="289" t="e">
        <f t="shared" si="39"/>
        <v>#DIV/0!</v>
      </c>
    </row>
    <row r="490" spans="1:16" ht="18.75" customHeight="1">
      <c r="A490" s="289" t="str">
        <f t="shared" si="35"/>
        <v>NL</v>
      </c>
      <c r="B490" s="753">
        <f t="shared" si="36"/>
        <v>479</v>
      </c>
      <c r="C490" s="292" t="s">
        <v>1521</v>
      </c>
      <c r="D490" s="291" t="s">
        <v>393</v>
      </c>
      <c r="E490" s="25"/>
      <c r="F490" s="25"/>
      <c r="G490" s="25">
        <f t="array" ref="G490">SUM(IF("156"&amp;C490=KHN&amp;MH,SL))</f>
        <v>400</v>
      </c>
      <c r="H490" s="25">
        <f t="array" ref="H490">SUM(IF("156"&amp;C490=KHN&amp;MH,TH))</f>
        <v>3760000</v>
      </c>
      <c r="I490" s="25">
        <f t="array" ref="I490">SUM(IF("156"&amp;C490=KHC&amp;MH,SL))</f>
        <v>400</v>
      </c>
      <c r="J490" s="25">
        <f t="array" ref="J490">SUM(IF("156"&amp;C490=KHC&amp;MH,TH))</f>
        <v>3760000</v>
      </c>
      <c r="K490" s="25">
        <f t="shared" si="37"/>
        <v>0</v>
      </c>
      <c r="L490" s="25">
        <f t="shared" si="38"/>
        <v>0</v>
      </c>
      <c r="M490" s="289" t="e">
        <f t="shared" si="39"/>
        <v>#DIV/0!</v>
      </c>
      <c r="O490" s="927"/>
      <c r="P490" s="927"/>
    </row>
    <row r="491" spans="1:16" ht="18.75" customHeight="1">
      <c r="A491" s="289" t="str">
        <f t="shared" si="35"/>
        <v>NL</v>
      </c>
      <c r="B491" s="753">
        <f t="shared" si="36"/>
        <v>480</v>
      </c>
      <c r="C491" s="292" t="s">
        <v>1675</v>
      </c>
      <c r="D491" s="291" t="s">
        <v>393</v>
      </c>
      <c r="E491" s="25"/>
      <c r="F491" s="25"/>
      <c r="G491" s="25">
        <f t="array" ref="G491">SUM(IF("156"&amp;C491=KHN&amp;MH,SL))</f>
        <v>1960</v>
      </c>
      <c r="H491" s="25">
        <f t="array" ref="H491">SUM(IF("156"&amp;C491=KHN&amp;MH,TH))</f>
        <v>23981161</v>
      </c>
      <c r="I491" s="25">
        <f t="array" ref="I491">SUM(IF("156"&amp;C491=KHC&amp;MH,SL))</f>
        <v>1960</v>
      </c>
      <c r="J491" s="25">
        <f t="array" ref="J491">SUM(IF("156"&amp;C491=KHC&amp;MH,TH))</f>
        <v>23981161</v>
      </c>
      <c r="K491" s="25">
        <f t="shared" si="37"/>
        <v>0</v>
      </c>
      <c r="L491" s="25">
        <f t="shared" si="38"/>
        <v>0</v>
      </c>
      <c r="M491" s="289" t="e">
        <f t="shared" si="39"/>
        <v>#DIV/0!</v>
      </c>
      <c r="O491" s="927"/>
      <c r="P491" s="927"/>
    </row>
    <row r="492" spans="1:16" ht="18.75" customHeight="1">
      <c r="A492" s="289" t="str">
        <f t="shared" si="35"/>
        <v>NL</v>
      </c>
      <c r="B492" s="753">
        <f t="shared" si="36"/>
        <v>481</v>
      </c>
      <c r="C492" s="40" t="s">
        <v>866</v>
      </c>
      <c r="D492" s="291" t="s">
        <v>393</v>
      </c>
      <c r="E492" s="25"/>
      <c r="F492" s="25"/>
      <c r="G492" s="25">
        <f t="array" ref="G492">SUM(IF("156"&amp;C492=KHN&amp;MH,SL))</f>
        <v>25</v>
      </c>
      <c r="H492" s="25">
        <f t="array" ref="H492">SUM(IF("156"&amp;C492=KHN&amp;MH,TH))</f>
        <v>784925</v>
      </c>
      <c r="I492" s="25">
        <f t="array" ref="I492">SUM(IF("156"&amp;C492=KHC&amp;MH,SL))</f>
        <v>25</v>
      </c>
      <c r="J492" s="25">
        <f t="array" ref="J492">SUM(IF("156"&amp;C492=KHC&amp;MH,TH))</f>
        <v>784925</v>
      </c>
      <c r="K492" s="25">
        <f t="shared" si="37"/>
        <v>0</v>
      </c>
      <c r="L492" s="25">
        <f t="shared" si="38"/>
        <v>0</v>
      </c>
      <c r="M492" s="289" t="e">
        <f t="shared" si="39"/>
        <v>#DIV/0!</v>
      </c>
    </row>
    <row r="493" spans="1:16" ht="18.75" customHeight="1">
      <c r="A493" s="289" t="str">
        <f t="shared" si="35"/>
        <v>NL</v>
      </c>
      <c r="B493" s="753">
        <f t="shared" si="36"/>
        <v>482</v>
      </c>
      <c r="C493" s="191" t="s">
        <v>1785</v>
      </c>
      <c r="D493" s="291"/>
      <c r="E493" s="25"/>
      <c r="F493" s="25"/>
      <c r="G493" s="25">
        <f t="array" ref="G493">SUM(IF("156"&amp;C493=KHN&amp;MH,SL))</f>
        <v>6</v>
      </c>
      <c r="H493" s="25">
        <f t="array" ref="H493">SUM(IF("156"&amp;C493=KHN&amp;MH,TH))</f>
        <v>121484</v>
      </c>
      <c r="I493" s="25">
        <f t="array" ref="I493">SUM(IF("156"&amp;C493=KHC&amp;MH,SL))</f>
        <v>6</v>
      </c>
      <c r="J493" s="25">
        <f t="array" ref="J493">SUM(IF("156"&amp;C493=KHC&amp;MH,TH))</f>
        <v>121484</v>
      </c>
      <c r="K493" s="25">
        <f t="shared" si="37"/>
        <v>0</v>
      </c>
      <c r="L493" s="25">
        <f t="shared" si="38"/>
        <v>0</v>
      </c>
      <c r="M493" s="289" t="e">
        <f t="shared" si="39"/>
        <v>#DIV/0!</v>
      </c>
    </row>
    <row r="494" spans="1:16" ht="18.75" customHeight="1">
      <c r="A494" s="289" t="str">
        <f t="shared" si="35"/>
        <v>NL</v>
      </c>
      <c r="B494" s="753">
        <f t="shared" si="36"/>
        <v>483</v>
      </c>
      <c r="C494" s="191" t="s">
        <v>1786</v>
      </c>
      <c r="D494" s="291"/>
      <c r="E494" s="25"/>
      <c r="F494" s="25"/>
      <c r="G494" s="25">
        <f t="array" ref="G494">SUM(IF("156"&amp;C494=KHN&amp;MH,SL))</f>
        <v>14</v>
      </c>
      <c r="H494" s="25">
        <f t="array" ref="H494">SUM(IF("156"&amp;C494=KHN&amp;MH,TH))</f>
        <v>303429</v>
      </c>
      <c r="I494" s="25">
        <f t="array" ref="I494">SUM(IF("156"&amp;C494=KHC&amp;MH,SL))</f>
        <v>14</v>
      </c>
      <c r="J494" s="25">
        <f t="array" ref="J494">SUM(IF("156"&amp;C494=KHC&amp;MH,TH))</f>
        <v>303429</v>
      </c>
      <c r="K494" s="25">
        <f t="shared" si="37"/>
        <v>0</v>
      </c>
      <c r="L494" s="25">
        <f t="shared" si="38"/>
        <v>0</v>
      </c>
      <c r="M494" s="289" t="e">
        <f t="shared" si="39"/>
        <v>#DIV/0!</v>
      </c>
    </row>
    <row r="495" spans="1:16" ht="18.75" customHeight="1">
      <c r="A495" s="289" t="str">
        <f t="shared" si="35"/>
        <v>NL</v>
      </c>
      <c r="B495" s="753">
        <f t="shared" si="36"/>
        <v>484</v>
      </c>
      <c r="C495" s="191" t="s">
        <v>496</v>
      </c>
      <c r="D495" s="291" t="s">
        <v>393</v>
      </c>
      <c r="E495" s="25"/>
      <c r="F495" s="25"/>
      <c r="G495" s="25">
        <f t="array" ref="G495">SUM(IF("156"&amp;C495=KHN&amp;MH,SL))</f>
        <v>442</v>
      </c>
      <c r="H495" s="25">
        <f t="array" ref="H495">SUM(IF("156"&amp;C495=KHN&amp;MH,TH))</f>
        <v>7484236</v>
      </c>
      <c r="I495" s="25">
        <f t="array" ref="I495">SUM(IF("156"&amp;C495=KHC&amp;MH,SL))</f>
        <v>442</v>
      </c>
      <c r="J495" s="25">
        <f t="array" ref="J495">SUM(IF("156"&amp;C495=KHC&amp;MH,TH))</f>
        <v>7484236</v>
      </c>
      <c r="K495" s="25">
        <f t="shared" si="37"/>
        <v>0</v>
      </c>
      <c r="L495" s="25">
        <f t="shared" si="38"/>
        <v>0</v>
      </c>
      <c r="M495" s="289" t="e">
        <f t="shared" si="39"/>
        <v>#DIV/0!</v>
      </c>
    </row>
    <row r="496" spans="1:16" ht="18.75" customHeight="1">
      <c r="A496" s="289" t="str">
        <f t="shared" si="35"/>
        <v>NL</v>
      </c>
      <c r="B496" s="753">
        <f t="shared" si="36"/>
        <v>485</v>
      </c>
      <c r="C496" s="191" t="s">
        <v>1730</v>
      </c>
      <c r="D496" s="291"/>
      <c r="E496" s="25"/>
      <c r="F496" s="25"/>
      <c r="G496" s="25">
        <f t="array" ref="G496">SUM(IF("156"&amp;C496=KHN&amp;MH,SL))</f>
        <v>14</v>
      </c>
      <c r="H496" s="25">
        <f t="array" ref="H496">SUM(IF("156"&amp;C496=KHN&amp;MH,TH))</f>
        <v>267400</v>
      </c>
      <c r="I496" s="25">
        <f t="array" ref="I496">SUM(IF("156"&amp;C496=KHC&amp;MH,SL))</f>
        <v>14</v>
      </c>
      <c r="J496" s="25">
        <f t="array" ref="J496">SUM(IF("156"&amp;C496=KHC&amp;MH,TH))</f>
        <v>267400</v>
      </c>
      <c r="K496" s="25">
        <f t="shared" si="37"/>
        <v>0</v>
      </c>
      <c r="L496" s="25">
        <f t="shared" si="38"/>
        <v>0</v>
      </c>
      <c r="M496" s="289" t="e">
        <f t="shared" si="39"/>
        <v>#DIV/0!</v>
      </c>
    </row>
    <row r="497" spans="1:16" ht="18.75" customHeight="1">
      <c r="A497" s="289" t="str">
        <f t="shared" si="35"/>
        <v>NL</v>
      </c>
      <c r="B497" s="753">
        <f t="shared" si="36"/>
        <v>486</v>
      </c>
      <c r="C497" s="191" t="s">
        <v>700</v>
      </c>
      <c r="D497" s="291" t="s">
        <v>393</v>
      </c>
      <c r="E497" s="25"/>
      <c r="F497" s="25"/>
      <c r="G497" s="25">
        <f t="array" ref="G497">SUM(IF("156"&amp;C497=KHN&amp;MH,SL))</f>
        <v>174</v>
      </c>
      <c r="H497" s="25">
        <f t="array" ref="H497">SUM(IF("156"&amp;C497=KHN&amp;MH,TH))</f>
        <v>3508426</v>
      </c>
      <c r="I497" s="25">
        <f t="array" ref="I497">SUM(IF("156"&amp;C497=KHC&amp;MH,SL))</f>
        <v>174</v>
      </c>
      <c r="J497" s="25">
        <f t="array" ref="J497">SUM(IF("156"&amp;C497=KHC&amp;MH,TH))</f>
        <v>3508426</v>
      </c>
      <c r="K497" s="25">
        <f t="shared" si="37"/>
        <v>0</v>
      </c>
      <c r="L497" s="25">
        <f t="shared" si="38"/>
        <v>0</v>
      </c>
      <c r="M497" s="289" t="e">
        <f t="shared" si="39"/>
        <v>#DIV/0!</v>
      </c>
      <c r="O497" s="927"/>
      <c r="P497" s="927"/>
    </row>
    <row r="498" spans="1:16" ht="18.75" customHeight="1">
      <c r="A498" s="289" t="str">
        <f t="shared" si="35"/>
        <v>NL</v>
      </c>
      <c r="B498" s="753">
        <f t="shared" si="36"/>
        <v>487</v>
      </c>
      <c r="C498" s="292" t="s">
        <v>1561</v>
      </c>
      <c r="D498" s="291" t="s">
        <v>393</v>
      </c>
      <c r="E498" s="25"/>
      <c r="F498" s="25"/>
      <c r="G498" s="25">
        <f t="array" ref="G498">SUM(IF("156"&amp;C498=KHN&amp;MH,SL))</f>
        <v>18</v>
      </c>
      <c r="H498" s="25">
        <f t="array" ref="H498">SUM(IF("156"&amp;C498=KHN&amp;MH,TH))</f>
        <v>367200</v>
      </c>
      <c r="I498" s="25">
        <f t="array" ref="I498">SUM(IF("156"&amp;C498=KHC&amp;MH,SL))</f>
        <v>18</v>
      </c>
      <c r="J498" s="25">
        <f t="array" ref="J498">SUM(IF("156"&amp;C498=KHC&amp;MH,TH))</f>
        <v>367200</v>
      </c>
      <c r="K498" s="25">
        <f t="shared" si="37"/>
        <v>0</v>
      </c>
      <c r="L498" s="25">
        <f t="shared" si="38"/>
        <v>0</v>
      </c>
      <c r="M498" s="289" t="e">
        <f t="shared" si="39"/>
        <v>#DIV/0!</v>
      </c>
      <c r="O498" s="927"/>
      <c r="P498" s="927"/>
    </row>
    <row r="499" spans="1:16" ht="18.75" customHeight="1">
      <c r="A499" s="289" t="str">
        <f t="shared" si="35"/>
        <v>NL</v>
      </c>
      <c r="B499" s="753">
        <f t="shared" si="36"/>
        <v>488</v>
      </c>
      <c r="C499" s="40" t="s">
        <v>814</v>
      </c>
      <c r="D499" s="291" t="s">
        <v>393</v>
      </c>
      <c r="E499" s="25"/>
      <c r="F499" s="25"/>
      <c r="G499" s="25">
        <f t="array" ref="G499">SUM(IF("156"&amp;C499=KHN&amp;MH,SL))</f>
        <v>24</v>
      </c>
      <c r="H499" s="25">
        <f t="array" ref="H499">SUM(IF("156"&amp;C499=KHN&amp;MH,TH))</f>
        <v>483679</v>
      </c>
      <c r="I499" s="25">
        <f t="array" ref="I499">SUM(IF("156"&amp;C499=KHC&amp;MH,SL))</f>
        <v>24</v>
      </c>
      <c r="J499" s="25">
        <f t="array" ref="J499">SUM(IF("156"&amp;C499=KHC&amp;MH,TH))</f>
        <v>483679</v>
      </c>
      <c r="K499" s="25">
        <f t="shared" si="37"/>
        <v>0</v>
      </c>
      <c r="L499" s="25">
        <f t="shared" si="38"/>
        <v>0</v>
      </c>
      <c r="M499" s="289" t="e">
        <f t="shared" si="39"/>
        <v>#DIV/0!</v>
      </c>
    </row>
    <row r="500" spans="1:16" ht="18.75" customHeight="1">
      <c r="A500" s="289" t="str">
        <f t="shared" si="35"/>
        <v>NL</v>
      </c>
      <c r="B500" s="753">
        <f t="shared" si="36"/>
        <v>489</v>
      </c>
      <c r="C500" s="191" t="s">
        <v>498</v>
      </c>
      <c r="D500" s="291" t="s">
        <v>393</v>
      </c>
      <c r="E500" s="25"/>
      <c r="F500" s="25"/>
      <c r="G500" s="25">
        <f t="array" ref="G500">SUM(IF("156"&amp;C500=KHN&amp;MH,SL))</f>
        <v>193</v>
      </c>
      <c r="H500" s="25">
        <f t="array" ref="H500">SUM(IF("156"&amp;C500=KHN&amp;MH,TH))</f>
        <v>4183688</v>
      </c>
      <c r="I500" s="25">
        <f t="array" ref="I500">SUM(IF("156"&amp;C500=KHC&amp;MH,SL))</f>
        <v>193</v>
      </c>
      <c r="J500" s="25">
        <f t="array" ref="J500">SUM(IF("156"&amp;C500=KHC&amp;MH,TH))</f>
        <v>4183688</v>
      </c>
      <c r="K500" s="25">
        <f t="shared" si="37"/>
        <v>0</v>
      </c>
      <c r="L500" s="25">
        <f t="shared" si="38"/>
        <v>0</v>
      </c>
      <c r="M500" s="289" t="e">
        <f t="shared" si="39"/>
        <v>#DIV/0!</v>
      </c>
    </row>
    <row r="501" spans="1:16" ht="18.75" customHeight="1">
      <c r="A501" s="289" t="str">
        <f t="shared" si="35"/>
        <v>NL</v>
      </c>
      <c r="B501" s="753">
        <f t="shared" si="36"/>
        <v>490</v>
      </c>
      <c r="C501" s="191" t="s">
        <v>522</v>
      </c>
      <c r="D501" s="291" t="s">
        <v>393</v>
      </c>
      <c r="E501" s="25"/>
      <c r="F501" s="25"/>
      <c r="G501" s="25">
        <f t="array" ref="G501">SUM(IF("156"&amp;C501=KHN&amp;MH,SL))</f>
        <v>7</v>
      </c>
      <c r="H501" s="25">
        <f t="array" ref="H501">SUM(IF("156"&amp;C501=KHN&amp;MH,TH))</f>
        <v>156961</v>
      </c>
      <c r="I501" s="25">
        <f t="array" ref="I501">SUM(IF("156"&amp;C501=KHC&amp;MH,SL))</f>
        <v>7</v>
      </c>
      <c r="J501" s="25">
        <f t="array" ref="J501">SUM(IF("156"&amp;C501=KHC&amp;MH,TH))</f>
        <v>156961</v>
      </c>
      <c r="K501" s="25">
        <f t="shared" si="37"/>
        <v>0</v>
      </c>
      <c r="L501" s="25">
        <f t="shared" si="38"/>
        <v>0</v>
      </c>
      <c r="M501" s="289" t="e">
        <f t="shared" si="39"/>
        <v>#DIV/0!</v>
      </c>
    </row>
    <row r="502" spans="1:16" ht="18.75" customHeight="1">
      <c r="A502" s="289" t="str">
        <f t="shared" si="35"/>
        <v>NL</v>
      </c>
      <c r="B502" s="753">
        <f t="shared" si="36"/>
        <v>491</v>
      </c>
      <c r="C502" s="191" t="s">
        <v>868</v>
      </c>
      <c r="D502" s="291" t="s">
        <v>393</v>
      </c>
      <c r="E502" s="25"/>
      <c r="F502" s="25"/>
      <c r="G502" s="25">
        <f t="array" ref="G502">SUM(IF("156"&amp;C502=KHN&amp;MH,SL))</f>
        <v>19</v>
      </c>
      <c r="H502" s="25">
        <f t="array" ref="H502">SUM(IF("156"&amp;C502=KHN&amp;MH,TH))</f>
        <v>489234</v>
      </c>
      <c r="I502" s="25">
        <f t="array" ref="I502">SUM(IF("156"&amp;C502=KHC&amp;MH,SL))</f>
        <v>19</v>
      </c>
      <c r="J502" s="25">
        <f t="array" ref="J502">SUM(IF("156"&amp;C502=KHC&amp;MH,TH))</f>
        <v>489234</v>
      </c>
      <c r="K502" s="25">
        <f t="shared" si="37"/>
        <v>0</v>
      </c>
      <c r="L502" s="25">
        <f t="shared" si="38"/>
        <v>0</v>
      </c>
      <c r="M502" s="289" t="e">
        <f t="shared" si="39"/>
        <v>#DIV/0!</v>
      </c>
    </row>
    <row r="503" spans="1:16" ht="18.75" customHeight="1">
      <c r="A503" s="289" t="str">
        <f t="shared" si="35"/>
        <v>NL</v>
      </c>
      <c r="B503" s="753">
        <f t="shared" si="36"/>
        <v>492</v>
      </c>
      <c r="C503" s="40" t="s">
        <v>721</v>
      </c>
      <c r="D503" s="291" t="s">
        <v>393</v>
      </c>
      <c r="E503" s="25"/>
      <c r="F503" s="25"/>
      <c r="G503" s="25">
        <f t="array" ref="G503">SUM(IF("156"&amp;C503=KHN&amp;MH,SL))</f>
        <v>12</v>
      </c>
      <c r="H503" s="25">
        <f t="array" ref="H503">SUM(IF("156"&amp;C503=KHN&amp;MH,TH))</f>
        <v>319189</v>
      </c>
      <c r="I503" s="25">
        <f t="array" ref="I503">SUM(IF("156"&amp;C503=KHC&amp;MH,SL))</f>
        <v>12</v>
      </c>
      <c r="J503" s="25">
        <f t="array" ref="J503">SUM(IF("156"&amp;C503=KHC&amp;MH,TH))</f>
        <v>319189</v>
      </c>
      <c r="K503" s="25">
        <f t="shared" si="37"/>
        <v>0</v>
      </c>
      <c r="L503" s="25">
        <f t="shared" si="38"/>
        <v>0</v>
      </c>
      <c r="M503" s="289" t="e">
        <f t="shared" si="39"/>
        <v>#DIV/0!</v>
      </c>
    </row>
    <row r="504" spans="1:16" ht="18.75" customHeight="1">
      <c r="A504" s="289" t="str">
        <f t="shared" si="35"/>
        <v>NL</v>
      </c>
      <c r="B504" s="753">
        <f t="shared" si="36"/>
        <v>493</v>
      </c>
      <c r="C504" s="40" t="s">
        <v>888</v>
      </c>
      <c r="D504" s="291" t="s">
        <v>393</v>
      </c>
      <c r="E504" s="25"/>
      <c r="F504" s="25"/>
      <c r="G504" s="25">
        <f t="array" ref="G504">SUM(IF("156"&amp;C504=KHN&amp;MH,SL))</f>
        <v>24</v>
      </c>
      <c r="H504" s="25">
        <f t="array" ref="H504">SUM(IF("156"&amp;C504=KHN&amp;MH,TH))</f>
        <v>479347</v>
      </c>
      <c r="I504" s="25">
        <f t="array" ref="I504">SUM(IF("156"&amp;C504=KHC&amp;MH,SL))</f>
        <v>24</v>
      </c>
      <c r="J504" s="25">
        <f t="array" ref="J504">SUM(IF("156"&amp;C504=KHC&amp;MH,TH))</f>
        <v>479347</v>
      </c>
      <c r="K504" s="25">
        <f t="shared" si="37"/>
        <v>0</v>
      </c>
      <c r="L504" s="25">
        <f t="shared" si="38"/>
        <v>0</v>
      </c>
      <c r="M504" s="289" t="e">
        <f t="shared" si="39"/>
        <v>#DIV/0!</v>
      </c>
    </row>
    <row r="505" spans="1:16" ht="18.75" customHeight="1">
      <c r="A505" s="289" t="str">
        <f t="shared" si="35"/>
        <v>NL</v>
      </c>
      <c r="B505" s="753">
        <f t="shared" si="36"/>
        <v>494</v>
      </c>
      <c r="C505" s="191" t="s">
        <v>530</v>
      </c>
      <c r="D505" s="291" t="s">
        <v>393</v>
      </c>
      <c r="E505" s="25"/>
      <c r="F505" s="25"/>
      <c r="G505" s="25">
        <f t="array" ref="G505">SUM(IF("156"&amp;C505=KHN&amp;MH,SL))</f>
        <v>10</v>
      </c>
      <c r="H505" s="25">
        <f t="array" ref="H505">SUM(IF("156"&amp;C505=KHN&amp;MH,TH))</f>
        <v>114310</v>
      </c>
      <c r="I505" s="25">
        <f t="array" ref="I505">SUM(IF("156"&amp;C505=KHC&amp;MH,SL))</f>
        <v>10</v>
      </c>
      <c r="J505" s="25">
        <f t="array" ref="J505">SUM(IF("156"&amp;C505=KHC&amp;MH,TH))</f>
        <v>114310</v>
      </c>
      <c r="K505" s="25">
        <f t="shared" si="37"/>
        <v>0</v>
      </c>
      <c r="L505" s="25">
        <f t="shared" si="38"/>
        <v>0</v>
      </c>
      <c r="M505" s="289" t="e">
        <f t="shared" si="39"/>
        <v>#DIV/0!</v>
      </c>
    </row>
    <row r="506" spans="1:16" ht="18.75" customHeight="1">
      <c r="A506" s="289" t="str">
        <f t="shared" si="35"/>
        <v>NL</v>
      </c>
      <c r="B506" s="753">
        <f t="shared" si="36"/>
        <v>495</v>
      </c>
      <c r="C506" s="191" t="s">
        <v>999</v>
      </c>
      <c r="D506" s="291" t="s">
        <v>393</v>
      </c>
      <c r="E506" s="25"/>
      <c r="F506" s="25"/>
      <c r="G506" s="25">
        <f t="array" ref="G506">SUM(IF("156"&amp;C506=KHN&amp;MH,SL))</f>
        <v>15</v>
      </c>
      <c r="H506" s="25">
        <f t="array" ref="H506">SUM(IF("156"&amp;C506=KHN&amp;MH,TH))</f>
        <v>466920</v>
      </c>
      <c r="I506" s="25">
        <f t="array" ref="I506">SUM(IF("156"&amp;C506=KHC&amp;MH,SL))</f>
        <v>15</v>
      </c>
      <c r="J506" s="25">
        <f t="array" ref="J506">SUM(IF("156"&amp;C506=KHC&amp;MH,TH))</f>
        <v>466920</v>
      </c>
      <c r="K506" s="25">
        <f t="shared" si="37"/>
        <v>0</v>
      </c>
      <c r="L506" s="25">
        <f t="shared" si="38"/>
        <v>0</v>
      </c>
      <c r="M506" s="289" t="e">
        <f t="shared" si="39"/>
        <v>#DIV/0!</v>
      </c>
    </row>
    <row r="507" spans="1:16" ht="18.75" customHeight="1">
      <c r="A507" s="289" t="str">
        <f t="shared" si="35"/>
        <v>NL</v>
      </c>
      <c r="B507" s="753">
        <f t="shared" si="36"/>
        <v>496</v>
      </c>
      <c r="C507" s="191" t="s">
        <v>706</v>
      </c>
      <c r="D507" s="291" t="s">
        <v>393</v>
      </c>
      <c r="E507" s="25"/>
      <c r="F507" s="25"/>
      <c r="G507" s="25">
        <f t="array" ref="G507">SUM(IF("156"&amp;C507=KHN&amp;MH,SL))</f>
        <v>12</v>
      </c>
      <c r="H507" s="25">
        <f t="array" ref="H507">SUM(IF("156"&amp;C507=KHN&amp;MH,TH))</f>
        <v>169928</v>
      </c>
      <c r="I507" s="25">
        <f t="array" ref="I507">SUM(IF("156"&amp;C507=KHC&amp;MH,SL))</f>
        <v>12</v>
      </c>
      <c r="J507" s="25">
        <f t="array" ref="J507">SUM(IF("156"&amp;C507=KHC&amp;MH,TH))</f>
        <v>169928</v>
      </c>
      <c r="K507" s="25">
        <f t="shared" si="37"/>
        <v>0</v>
      </c>
      <c r="L507" s="25">
        <f t="shared" si="38"/>
        <v>0</v>
      </c>
      <c r="M507" s="289" t="e">
        <f t="shared" si="39"/>
        <v>#DIV/0!</v>
      </c>
    </row>
    <row r="508" spans="1:16" ht="18.75" customHeight="1">
      <c r="A508" s="289" t="str">
        <f t="shared" si="35"/>
        <v>NL</v>
      </c>
      <c r="B508" s="753">
        <f t="shared" si="36"/>
        <v>497</v>
      </c>
      <c r="C508" s="191" t="s">
        <v>1789</v>
      </c>
      <c r="D508" s="291"/>
      <c r="E508" s="25"/>
      <c r="F508" s="25"/>
      <c r="G508" s="25">
        <f t="array" ref="G508">SUM(IF("156"&amp;C508=KHN&amp;MH,SL))</f>
        <v>3</v>
      </c>
      <c r="H508" s="25">
        <f t="array" ref="H508">SUM(IF("156"&amp;C508=KHN&amp;MH,TH))</f>
        <v>56616</v>
      </c>
      <c r="I508" s="25">
        <f t="array" ref="I508">SUM(IF("156"&amp;C508=KHC&amp;MH,SL))</f>
        <v>3</v>
      </c>
      <c r="J508" s="25">
        <f t="array" ref="J508">SUM(IF("156"&amp;C508=KHC&amp;MH,TH))</f>
        <v>56616</v>
      </c>
      <c r="K508" s="25">
        <f t="shared" si="37"/>
        <v>0</v>
      </c>
      <c r="L508" s="25">
        <f t="shared" si="38"/>
        <v>0</v>
      </c>
      <c r="M508" s="289" t="e">
        <f t="shared" si="39"/>
        <v>#DIV/0!</v>
      </c>
    </row>
    <row r="509" spans="1:16" ht="18.75" customHeight="1">
      <c r="A509" s="289" t="str">
        <f t="shared" si="35"/>
        <v>NL</v>
      </c>
      <c r="B509" s="753">
        <f t="shared" si="36"/>
        <v>498</v>
      </c>
      <c r="C509" s="191" t="s">
        <v>805</v>
      </c>
      <c r="D509" s="291" t="s">
        <v>393</v>
      </c>
      <c r="E509" s="25"/>
      <c r="F509" s="25"/>
      <c r="G509" s="25">
        <f t="array" ref="G509">SUM(IF("156"&amp;C509=KHN&amp;MH,SL))</f>
        <v>24</v>
      </c>
      <c r="H509" s="25">
        <f t="array" ref="H509">SUM(IF("156"&amp;C509=KHN&amp;MH,TH))</f>
        <v>489653</v>
      </c>
      <c r="I509" s="25">
        <f t="array" ref="I509">SUM(IF("156"&amp;C509=KHC&amp;MH,SL))</f>
        <v>24</v>
      </c>
      <c r="J509" s="25">
        <f t="array" ref="J509">SUM(IF("156"&amp;C509=KHC&amp;MH,TH))</f>
        <v>489653</v>
      </c>
      <c r="K509" s="25">
        <f t="shared" si="37"/>
        <v>0</v>
      </c>
      <c r="L509" s="25">
        <f t="shared" si="38"/>
        <v>0</v>
      </c>
      <c r="M509" s="289" t="e">
        <f t="shared" si="39"/>
        <v>#DIV/0!</v>
      </c>
    </row>
    <row r="510" spans="1:16" ht="18.75" customHeight="1">
      <c r="A510" s="289" t="str">
        <f t="shared" si="35"/>
        <v>NL</v>
      </c>
      <c r="B510" s="753">
        <f t="shared" si="36"/>
        <v>499</v>
      </c>
      <c r="C510" s="191" t="s">
        <v>712</v>
      </c>
      <c r="D510" s="291" t="s">
        <v>393</v>
      </c>
      <c r="E510" s="25"/>
      <c r="F510" s="25"/>
      <c r="G510" s="25">
        <f t="array" ref="G510">SUM(IF("156"&amp;C510=KHN&amp;MH,SL))</f>
        <v>24</v>
      </c>
      <c r="H510" s="25">
        <f t="array" ref="H510">SUM(IF("156"&amp;C510=KHN&amp;MH,TH))</f>
        <v>511536</v>
      </c>
      <c r="I510" s="25">
        <f t="array" ref="I510">SUM(IF("156"&amp;C510=KHC&amp;MH,SL))</f>
        <v>24</v>
      </c>
      <c r="J510" s="25">
        <f t="array" ref="J510">SUM(IF("156"&amp;C510=KHC&amp;MH,TH))</f>
        <v>511536</v>
      </c>
      <c r="K510" s="25">
        <f t="shared" si="37"/>
        <v>0</v>
      </c>
      <c r="L510" s="25">
        <f t="shared" si="38"/>
        <v>0</v>
      </c>
      <c r="M510" s="289" t="e">
        <f t="shared" si="39"/>
        <v>#DIV/0!</v>
      </c>
      <c r="O510" s="927"/>
      <c r="P510" s="927"/>
    </row>
    <row r="511" spans="1:16" ht="18.75" customHeight="1">
      <c r="A511" s="289" t="str">
        <f t="shared" si="35"/>
        <v>NL</v>
      </c>
      <c r="B511" s="753">
        <f t="shared" si="36"/>
        <v>500</v>
      </c>
      <c r="C511" s="188" t="s">
        <v>865</v>
      </c>
      <c r="D511" s="291" t="s">
        <v>393</v>
      </c>
      <c r="E511" s="25"/>
      <c r="F511" s="25"/>
      <c r="G511" s="25">
        <f t="array" ref="G511">SUM(IF("156"&amp;C511=KHN&amp;MH,SL))</f>
        <v>30</v>
      </c>
      <c r="H511" s="25">
        <f t="array" ref="H511">SUM(IF("156"&amp;C511=KHN&amp;MH,TH))</f>
        <v>664080</v>
      </c>
      <c r="I511" s="25">
        <f t="array" ref="I511">SUM(IF("156"&amp;C511=KHC&amp;MH,SL))</f>
        <v>30</v>
      </c>
      <c r="J511" s="25">
        <f t="array" ref="J511">SUM(IF("156"&amp;C511=KHC&amp;MH,TH))</f>
        <v>664080</v>
      </c>
      <c r="K511" s="25">
        <f t="shared" si="37"/>
        <v>0</v>
      </c>
      <c r="L511" s="25">
        <f t="shared" si="38"/>
        <v>0</v>
      </c>
      <c r="M511" s="289" t="e">
        <f t="shared" si="39"/>
        <v>#DIV/0!</v>
      </c>
    </row>
    <row r="512" spans="1:16" ht="18.75" customHeight="1">
      <c r="A512" s="289" t="str">
        <f t="shared" si="35"/>
        <v>NL</v>
      </c>
      <c r="B512" s="753">
        <f t="shared" si="36"/>
        <v>501</v>
      </c>
      <c r="C512" s="292" t="s">
        <v>1693</v>
      </c>
      <c r="D512" s="291" t="s">
        <v>393</v>
      </c>
      <c r="E512" s="25"/>
      <c r="F512" s="25"/>
      <c r="G512" s="25">
        <f t="array" ref="G512">SUM(IF("156"&amp;C512=KHN&amp;MH,SL))</f>
        <v>300</v>
      </c>
      <c r="H512" s="25">
        <f t="array" ref="H512">SUM(IF("156"&amp;C512=KHN&amp;MH,TH))</f>
        <v>2370000</v>
      </c>
      <c r="I512" s="25">
        <f t="array" ref="I512">SUM(IF("156"&amp;C512=KHC&amp;MH,SL))</f>
        <v>300</v>
      </c>
      <c r="J512" s="25">
        <f t="array" ref="J512">SUM(IF("156"&amp;C512=KHC&amp;MH,TH))</f>
        <v>2370000</v>
      </c>
      <c r="K512" s="25">
        <f t="shared" si="37"/>
        <v>0</v>
      </c>
      <c r="L512" s="25">
        <f t="shared" si="38"/>
        <v>0</v>
      </c>
      <c r="M512" s="289" t="e">
        <f t="shared" si="39"/>
        <v>#DIV/0!</v>
      </c>
    </row>
    <row r="513" spans="1:16" ht="18.75" customHeight="1">
      <c r="A513" s="289" t="str">
        <f t="shared" si="35"/>
        <v>NL</v>
      </c>
      <c r="B513" s="753">
        <f t="shared" si="36"/>
        <v>502</v>
      </c>
      <c r="C513" s="191" t="s">
        <v>556</v>
      </c>
      <c r="D513" s="291" t="s">
        <v>393</v>
      </c>
      <c r="E513" s="25"/>
      <c r="F513" s="25"/>
      <c r="G513" s="25">
        <f t="array" ref="G513">SUM(IF("156"&amp;C513=KHN&amp;MH,SL))</f>
        <v>24</v>
      </c>
      <c r="H513" s="25">
        <f t="array" ref="H513">SUM(IF("156"&amp;C513=KHN&amp;MH,TH))</f>
        <v>500176</v>
      </c>
      <c r="I513" s="25">
        <f t="array" ref="I513">SUM(IF("156"&amp;C513=KHC&amp;MH,SL))</f>
        <v>24</v>
      </c>
      <c r="J513" s="25">
        <f t="array" ref="J513">SUM(IF("156"&amp;C513=KHC&amp;MH,TH))</f>
        <v>500176</v>
      </c>
      <c r="K513" s="25">
        <f t="shared" si="37"/>
        <v>0</v>
      </c>
      <c r="L513" s="25">
        <f t="shared" si="38"/>
        <v>0</v>
      </c>
      <c r="M513" s="289" t="e">
        <f t="shared" si="39"/>
        <v>#DIV/0!</v>
      </c>
    </row>
    <row r="514" spans="1:16" ht="18.75" customHeight="1">
      <c r="A514" s="289" t="str">
        <f t="shared" si="35"/>
        <v>NL</v>
      </c>
      <c r="B514" s="753">
        <f t="shared" si="36"/>
        <v>503</v>
      </c>
      <c r="C514" s="290" t="s">
        <v>1468</v>
      </c>
      <c r="D514" s="291" t="s">
        <v>393</v>
      </c>
      <c r="E514" s="25"/>
      <c r="F514" s="25"/>
      <c r="G514" s="25">
        <f t="array" ref="G514">SUM(IF("156"&amp;C514=KHN&amp;MH,SL))</f>
        <v>12</v>
      </c>
      <c r="H514" s="25">
        <f t="array" ref="H514">SUM(IF("156"&amp;C514=KHN&amp;MH,TH))</f>
        <v>254400</v>
      </c>
      <c r="I514" s="25">
        <f t="array" ref="I514">SUM(IF("156"&amp;C514=KHC&amp;MH,SL))</f>
        <v>12</v>
      </c>
      <c r="J514" s="25">
        <f t="array" ref="J514">SUM(IF("156"&amp;C514=KHC&amp;MH,TH))</f>
        <v>254400</v>
      </c>
      <c r="K514" s="25">
        <f t="shared" si="37"/>
        <v>0</v>
      </c>
      <c r="L514" s="25">
        <f t="shared" si="38"/>
        <v>0</v>
      </c>
      <c r="M514" s="289" t="e">
        <f t="shared" si="39"/>
        <v>#DIV/0!</v>
      </c>
      <c r="O514" s="927"/>
      <c r="P514" s="927"/>
    </row>
    <row r="515" spans="1:16" ht="18.75" customHeight="1">
      <c r="A515" s="289" t="str">
        <f t="shared" si="35"/>
        <v>NL</v>
      </c>
      <c r="B515" s="753">
        <f t="shared" si="36"/>
        <v>504</v>
      </c>
      <c r="C515" s="191" t="s">
        <v>552</v>
      </c>
      <c r="D515" s="291" t="s">
        <v>393</v>
      </c>
      <c r="E515" s="25"/>
      <c r="F515" s="25"/>
      <c r="G515" s="25">
        <f t="array" ref="G515">SUM(IF("156"&amp;C515=KHN&amp;MH,SL))</f>
        <v>292</v>
      </c>
      <c r="H515" s="25">
        <f t="array" ref="H515">SUM(IF("156"&amp;C515=KHN&amp;MH,TH))</f>
        <v>9274857</v>
      </c>
      <c r="I515" s="25">
        <f t="array" ref="I515">SUM(IF("156"&amp;C515=KHC&amp;MH,SL))</f>
        <v>292</v>
      </c>
      <c r="J515" s="25">
        <f t="array" ref="J515">SUM(IF("156"&amp;C515=KHC&amp;MH,TH))</f>
        <v>9274857</v>
      </c>
      <c r="K515" s="25">
        <f t="shared" si="37"/>
        <v>0</v>
      </c>
      <c r="L515" s="25">
        <f t="shared" si="38"/>
        <v>0</v>
      </c>
      <c r="M515" s="289" t="e">
        <f t="shared" si="39"/>
        <v>#DIV/0!</v>
      </c>
      <c r="O515" s="927"/>
      <c r="P515" s="927"/>
    </row>
    <row r="516" spans="1:16" ht="18.75" customHeight="1">
      <c r="A516" s="289" t="str">
        <f t="shared" si="35"/>
        <v>NL</v>
      </c>
      <c r="B516" s="753">
        <f t="shared" si="36"/>
        <v>505</v>
      </c>
      <c r="C516" s="191" t="s">
        <v>766</v>
      </c>
      <c r="D516" s="291" t="s">
        <v>393</v>
      </c>
      <c r="E516" s="25"/>
      <c r="F516" s="25"/>
      <c r="G516" s="25">
        <f t="array" ref="G516">SUM(IF("156"&amp;C516=KHN&amp;MH,SL))</f>
        <v>2000</v>
      </c>
      <c r="H516" s="25">
        <f t="array" ref="H516">SUM(IF("156"&amp;C516=KHN&amp;MH,TH))</f>
        <v>27022994</v>
      </c>
      <c r="I516" s="25">
        <f t="array" ref="I516">SUM(IF("156"&amp;C516=KHC&amp;MH,SL))</f>
        <v>2000</v>
      </c>
      <c r="J516" s="25">
        <f t="array" ref="J516">SUM(IF("156"&amp;C516=KHC&amp;MH,TH))</f>
        <v>27022994</v>
      </c>
      <c r="K516" s="25">
        <f t="shared" si="37"/>
        <v>0</v>
      </c>
      <c r="L516" s="25">
        <f t="shared" si="38"/>
        <v>0</v>
      </c>
      <c r="M516" s="289" t="e">
        <f t="shared" si="39"/>
        <v>#DIV/0!</v>
      </c>
    </row>
    <row r="517" spans="1:16" ht="18.75" customHeight="1">
      <c r="A517" s="289" t="str">
        <f t="shared" si="35"/>
        <v>NL</v>
      </c>
      <c r="B517" s="753">
        <f t="shared" si="36"/>
        <v>506</v>
      </c>
      <c r="C517" s="191" t="s">
        <v>696</v>
      </c>
      <c r="D517" s="291" t="s">
        <v>393</v>
      </c>
      <c r="E517" s="25"/>
      <c r="F517" s="25"/>
      <c r="G517" s="25">
        <f t="array" ref="G517">SUM(IF("156"&amp;C517=KHN&amp;MH,SL))</f>
        <v>5100</v>
      </c>
      <c r="H517" s="25">
        <f t="array" ref="H517">SUM(IF("156"&amp;C517=KHN&amp;MH,TH))</f>
        <v>62297510</v>
      </c>
      <c r="I517" s="25">
        <f t="array" ref="I517">SUM(IF("156"&amp;C517=KHC&amp;MH,SL))</f>
        <v>5100</v>
      </c>
      <c r="J517" s="25">
        <f t="array" ref="J517">SUM(IF("156"&amp;C517=KHC&amp;MH,TH))</f>
        <v>62297510</v>
      </c>
      <c r="K517" s="25">
        <f t="shared" si="37"/>
        <v>0</v>
      </c>
      <c r="L517" s="25">
        <f t="shared" si="38"/>
        <v>0</v>
      </c>
      <c r="M517" s="289" t="e">
        <f t="shared" si="39"/>
        <v>#DIV/0!</v>
      </c>
      <c r="O517" s="927"/>
      <c r="P517" s="927"/>
    </row>
    <row r="518" spans="1:16" ht="18.75" customHeight="1">
      <c r="A518" s="289" t="str">
        <f t="shared" si="35"/>
        <v>NL</v>
      </c>
      <c r="B518" s="753">
        <f t="shared" si="36"/>
        <v>507</v>
      </c>
      <c r="C518" s="292" t="s">
        <v>1444</v>
      </c>
      <c r="D518" s="291" t="s">
        <v>393</v>
      </c>
      <c r="E518" s="25"/>
      <c r="F518" s="25"/>
      <c r="G518" s="25">
        <f t="array" ref="G518">SUM(IF("156"&amp;C518=KHN&amp;MH,SL))</f>
        <v>200</v>
      </c>
      <c r="H518" s="25">
        <f t="array" ref="H518">SUM(IF("156"&amp;C518=KHN&amp;MH,TH))</f>
        <v>2466000</v>
      </c>
      <c r="I518" s="25">
        <f t="array" ref="I518">SUM(IF("156"&amp;C518=KHC&amp;MH,SL))</f>
        <v>200</v>
      </c>
      <c r="J518" s="25">
        <f t="array" ref="J518">SUM(IF("156"&amp;C518=KHC&amp;MH,TH))</f>
        <v>2466000</v>
      </c>
      <c r="K518" s="25">
        <f t="shared" si="37"/>
        <v>0</v>
      </c>
      <c r="L518" s="25">
        <f t="shared" si="38"/>
        <v>0</v>
      </c>
      <c r="M518" s="289" t="e">
        <f t="shared" si="39"/>
        <v>#DIV/0!</v>
      </c>
    </row>
    <row r="519" spans="1:16" ht="18.75" customHeight="1">
      <c r="A519" s="289" t="str">
        <f t="shared" si="35"/>
        <v>NL</v>
      </c>
      <c r="B519" s="753">
        <f t="shared" si="36"/>
        <v>508</v>
      </c>
      <c r="C519" s="292" t="s">
        <v>1560</v>
      </c>
      <c r="D519" s="291" t="s">
        <v>393</v>
      </c>
      <c r="E519" s="25"/>
      <c r="F519" s="25"/>
      <c r="G519" s="25">
        <f t="array" ref="G519">SUM(IF("156"&amp;C519=KHN&amp;MH,SL))</f>
        <v>40</v>
      </c>
      <c r="H519" s="25">
        <f t="array" ref="H519">SUM(IF("156"&amp;C519=KHN&amp;MH,TH))</f>
        <v>2160000</v>
      </c>
      <c r="I519" s="25">
        <f t="array" ref="I519">SUM(IF("156"&amp;C519=KHC&amp;MH,SL))</f>
        <v>40</v>
      </c>
      <c r="J519" s="25">
        <f t="array" ref="J519">SUM(IF("156"&amp;C519=KHC&amp;MH,TH))</f>
        <v>2160000</v>
      </c>
      <c r="K519" s="25">
        <f t="shared" si="37"/>
        <v>0</v>
      </c>
      <c r="L519" s="25">
        <f t="shared" si="38"/>
        <v>0</v>
      </c>
      <c r="M519" s="289" t="e">
        <f t="shared" si="39"/>
        <v>#DIV/0!</v>
      </c>
      <c r="O519" s="927"/>
      <c r="P519" s="927"/>
    </row>
    <row r="520" spans="1:16" ht="18.75" customHeight="1">
      <c r="A520" s="289" t="str">
        <f t="shared" si="35"/>
        <v>NL</v>
      </c>
      <c r="B520" s="753">
        <f t="shared" si="36"/>
        <v>509</v>
      </c>
      <c r="C520" s="191" t="s">
        <v>1737</v>
      </c>
      <c r="D520" s="291"/>
      <c r="E520" s="25"/>
      <c r="F520" s="25"/>
      <c r="G520" s="25">
        <f t="array" ref="G520">SUM(IF("156"&amp;C520=KHN&amp;MH,SL))</f>
        <v>72</v>
      </c>
      <c r="H520" s="25">
        <f t="array" ref="H520">SUM(IF("156"&amp;C520=KHN&amp;MH,TH))</f>
        <v>1512000</v>
      </c>
      <c r="I520" s="25">
        <f t="array" ref="I520">SUM(IF("156"&amp;C520=KHC&amp;MH,SL))</f>
        <v>72</v>
      </c>
      <c r="J520" s="25">
        <f t="array" ref="J520">SUM(IF("156"&amp;C520=KHC&amp;MH,TH))</f>
        <v>1512000</v>
      </c>
      <c r="K520" s="25">
        <f t="shared" si="37"/>
        <v>0</v>
      </c>
      <c r="L520" s="25">
        <f t="shared" si="38"/>
        <v>0</v>
      </c>
      <c r="M520" s="289" t="e">
        <f t="shared" si="39"/>
        <v>#DIV/0!</v>
      </c>
    </row>
    <row r="521" spans="1:16" ht="18.75" customHeight="1">
      <c r="A521" s="289" t="str">
        <f t="shared" si="35"/>
        <v>NL</v>
      </c>
      <c r="B521" s="753">
        <f t="shared" si="36"/>
        <v>510</v>
      </c>
      <c r="C521" s="40" t="s">
        <v>806</v>
      </c>
      <c r="D521" s="291" t="s">
        <v>393</v>
      </c>
      <c r="E521" s="25"/>
      <c r="F521" s="25"/>
      <c r="G521" s="25">
        <f t="array" ref="G521">SUM(IF("156"&amp;C521=KHN&amp;MH,SL))</f>
        <v>36</v>
      </c>
      <c r="H521" s="25">
        <f t="array" ref="H521">SUM(IF("156"&amp;C521=KHN&amp;MH,TH))</f>
        <v>1111945</v>
      </c>
      <c r="I521" s="25">
        <f t="array" ref="I521">SUM(IF("156"&amp;C521=KHC&amp;MH,SL))</f>
        <v>36</v>
      </c>
      <c r="J521" s="25">
        <f t="array" ref="J521">SUM(IF("156"&amp;C521=KHC&amp;MH,TH))</f>
        <v>1111945</v>
      </c>
      <c r="K521" s="25">
        <f t="shared" si="37"/>
        <v>0</v>
      </c>
      <c r="L521" s="25">
        <f t="shared" si="38"/>
        <v>0</v>
      </c>
      <c r="M521" s="289" t="e">
        <f t="shared" si="39"/>
        <v>#DIV/0!</v>
      </c>
    </row>
    <row r="522" spans="1:16" ht="18.75" customHeight="1">
      <c r="A522" s="289" t="str">
        <f t="shared" si="35"/>
        <v>NL</v>
      </c>
      <c r="B522" s="753">
        <f t="shared" si="36"/>
        <v>511</v>
      </c>
      <c r="C522" s="292" t="s">
        <v>1466</v>
      </c>
      <c r="D522" s="291" t="s">
        <v>393</v>
      </c>
      <c r="E522" s="25"/>
      <c r="F522" s="25"/>
      <c r="G522" s="25">
        <f t="array" ref="G522">SUM(IF("156"&amp;C522=KHN&amp;MH,SL))</f>
        <v>50</v>
      </c>
      <c r="H522" s="25">
        <f t="array" ref="H522">SUM(IF("156"&amp;C522=KHN&amp;MH,TH))</f>
        <v>1650000</v>
      </c>
      <c r="I522" s="25">
        <f t="array" ref="I522">SUM(IF("156"&amp;C522=KHC&amp;MH,SL))</f>
        <v>50</v>
      </c>
      <c r="J522" s="25">
        <f t="array" ref="J522">SUM(IF("156"&amp;C522=KHC&amp;MH,TH))</f>
        <v>1650000</v>
      </c>
      <c r="K522" s="25">
        <f t="shared" si="37"/>
        <v>0</v>
      </c>
      <c r="L522" s="25">
        <f t="shared" si="38"/>
        <v>0</v>
      </c>
      <c r="M522" s="289" t="e">
        <f t="shared" si="39"/>
        <v>#DIV/0!</v>
      </c>
      <c r="O522" s="927"/>
      <c r="P522" s="927"/>
    </row>
    <row r="523" spans="1:16" ht="18.75" customHeight="1">
      <c r="A523" s="289" t="str">
        <f t="shared" si="35"/>
        <v>NL</v>
      </c>
      <c r="B523" s="753">
        <f t="shared" si="36"/>
        <v>512</v>
      </c>
      <c r="C523" s="191" t="s">
        <v>500</v>
      </c>
      <c r="D523" s="291" t="s">
        <v>393</v>
      </c>
      <c r="E523" s="25"/>
      <c r="F523" s="25"/>
      <c r="G523" s="25">
        <f t="array" ref="G523">SUM(IF("156"&amp;C523=KHN&amp;MH,SL))</f>
        <v>36</v>
      </c>
      <c r="H523" s="25">
        <f t="array" ref="H523">SUM(IF("156"&amp;C523=KHN&amp;MH,TH))</f>
        <v>767484</v>
      </c>
      <c r="I523" s="25">
        <f t="array" ref="I523">SUM(IF("156"&amp;C523=KHC&amp;MH,SL))</f>
        <v>36</v>
      </c>
      <c r="J523" s="25">
        <f t="array" ref="J523">SUM(IF("156"&amp;C523=KHC&amp;MH,TH))</f>
        <v>767484</v>
      </c>
      <c r="K523" s="25">
        <f t="shared" si="37"/>
        <v>0</v>
      </c>
      <c r="L523" s="25">
        <f t="shared" si="38"/>
        <v>0</v>
      </c>
      <c r="M523" s="289" t="e">
        <f t="shared" si="39"/>
        <v>#DIV/0!</v>
      </c>
    </row>
    <row r="524" spans="1:16" ht="18.75" customHeight="1">
      <c r="A524" s="289" t="str">
        <f t="shared" ref="A524:A587" si="40">IF(B524&lt;&gt;"","NL","")</f>
        <v>NL</v>
      </c>
      <c r="B524" s="753">
        <f t="shared" ref="B524:B587" si="41">IF(C524&lt;&gt;"",ROW()-11,"")</f>
        <v>513</v>
      </c>
      <c r="C524" s="191" t="s">
        <v>1739</v>
      </c>
      <c r="D524" s="291"/>
      <c r="E524" s="25"/>
      <c r="F524" s="25"/>
      <c r="G524" s="25">
        <f t="array" ref="G524">SUM(IF("156"&amp;C524=KHN&amp;MH,SL))</f>
        <v>46</v>
      </c>
      <c r="H524" s="25">
        <f t="array" ref="H524">SUM(IF("156"&amp;C524=KHN&amp;MH,TH))</f>
        <v>1048800</v>
      </c>
      <c r="I524" s="25">
        <f t="array" ref="I524">SUM(IF("156"&amp;C524=KHC&amp;MH,SL))</f>
        <v>46</v>
      </c>
      <c r="J524" s="25">
        <f t="array" ref="J524">SUM(IF("156"&amp;C524=KHC&amp;MH,TH))</f>
        <v>1048800</v>
      </c>
      <c r="K524" s="25">
        <f t="shared" ref="K524:K587" si="42">E524+G524-I524</f>
        <v>0</v>
      </c>
      <c r="L524" s="25">
        <f t="shared" ref="L524:L587" si="43">F524+H524-J524</f>
        <v>0</v>
      </c>
      <c r="M524" s="289" t="e">
        <f t="shared" ref="M524:M587" si="44">L524/K524</f>
        <v>#DIV/0!</v>
      </c>
    </row>
    <row r="525" spans="1:16" ht="18.75" customHeight="1">
      <c r="A525" s="289" t="str">
        <f t="shared" si="40"/>
        <v>NL</v>
      </c>
      <c r="B525" s="753">
        <f t="shared" si="41"/>
        <v>514</v>
      </c>
      <c r="C525" s="191" t="s">
        <v>560</v>
      </c>
      <c r="D525" s="291" t="s">
        <v>393</v>
      </c>
      <c r="E525" s="25"/>
      <c r="F525" s="25"/>
      <c r="G525" s="25">
        <f t="array" ref="G525">SUM(IF("156"&amp;C525=KHN&amp;MH,SL))</f>
        <v>36</v>
      </c>
      <c r="H525" s="25">
        <f t="array" ref="H525">SUM(IF("156"&amp;C525=KHN&amp;MH,TH))</f>
        <v>1273295</v>
      </c>
      <c r="I525" s="25">
        <f t="array" ref="I525">SUM(IF("156"&amp;C525=KHC&amp;MH,SL))</f>
        <v>36</v>
      </c>
      <c r="J525" s="25">
        <f t="array" ref="J525">SUM(IF("156"&amp;C525=KHC&amp;MH,TH))</f>
        <v>1273295</v>
      </c>
      <c r="K525" s="25">
        <f t="shared" si="42"/>
        <v>0</v>
      </c>
      <c r="L525" s="25">
        <f t="shared" si="43"/>
        <v>0</v>
      </c>
      <c r="M525" s="289" t="e">
        <f t="shared" si="44"/>
        <v>#DIV/0!</v>
      </c>
    </row>
    <row r="526" spans="1:16" ht="18.75" customHeight="1">
      <c r="A526" s="289" t="str">
        <f t="shared" si="40"/>
        <v>NL</v>
      </c>
      <c r="B526" s="753">
        <f t="shared" si="41"/>
        <v>515</v>
      </c>
      <c r="C526" s="191" t="s">
        <v>824</v>
      </c>
      <c r="D526" s="291" t="s">
        <v>393</v>
      </c>
      <c r="E526" s="25"/>
      <c r="F526" s="25"/>
      <c r="G526" s="25">
        <f t="array" ref="G526">SUM(IF("156"&amp;C526=KHN&amp;MH,SL))</f>
        <v>44</v>
      </c>
      <c r="H526" s="25">
        <f t="array" ref="H526">SUM(IF("156"&amp;C526=KHN&amp;MH,TH))</f>
        <v>1580049</v>
      </c>
      <c r="I526" s="25">
        <f t="array" ref="I526">SUM(IF("156"&amp;C526=KHC&amp;MH,SL))</f>
        <v>44</v>
      </c>
      <c r="J526" s="25">
        <f t="array" ref="J526">SUM(IF("156"&amp;C526=KHC&amp;MH,TH))</f>
        <v>1580049</v>
      </c>
      <c r="K526" s="25">
        <f t="shared" si="42"/>
        <v>0</v>
      </c>
      <c r="L526" s="25">
        <f t="shared" si="43"/>
        <v>0</v>
      </c>
      <c r="M526" s="289" t="e">
        <f t="shared" si="44"/>
        <v>#DIV/0!</v>
      </c>
    </row>
    <row r="527" spans="1:16" ht="18.75" customHeight="1">
      <c r="A527" s="289" t="str">
        <f t="shared" si="40"/>
        <v>NL</v>
      </c>
      <c r="B527" s="753">
        <f t="shared" si="41"/>
        <v>516</v>
      </c>
      <c r="C527" s="40" t="s">
        <v>704</v>
      </c>
      <c r="D527" s="291" t="s">
        <v>393</v>
      </c>
      <c r="E527" s="25"/>
      <c r="F527" s="25"/>
      <c r="G527" s="25">
        <f t="array" ref="G527">SUM(IF("156"&amp;C527=KHN&amp;MH,SL))</f>
        <v>38</v>
      </c>
      <c r="H527" s="25">
        <f t="array" ref="H527">SUM(IF("156"&amp;C527=KHN&amp;MH,TH))</f>
        <v>1345670</v>
      </c>
      <c r="I527" s="25">
        <f t="array" ref="I527">SUM(IF("156"&amp;C527=KHC&amp;MH,SL))</f>
        <v>38</v>
      </c>
      <c r="J527" s="25">
        <f t="array" ref="J527">SUM(IF("156"&amp;C527=KHC&amp;MH,TH))</f>
        <v>1345670</v>
      </c>
      <c r="K527" s="25">
        <f t="shared" si="42"/>
        <v>0</v>
      </c>
      <c r="L527" s="25">
        <f t="shared" si="43"/>
        <v>0</v>
      </c>
      <c r="M527" s="289" t="e">
        <f t="shared" si="44"/>
        <v>#DIV/0!</v>
      </c>
    </row>
    <row r="528" spans="1:16" ht="18.75" customHeight="1">
      <c r="A528" s="289" t="str">
        <f t="shared" si="40"/>
        <v>NL</v>
      </c>
      <c r="B528" s="753">
        <f t="shared" si="41"/>
        <v>517</v>
      </c>
      <c r="C528" s="40" t="s">
        <v>719</v>
      </c>
      <c r="D528" s="291" t="s">
        <v>393</v>
      </c>
      <c r="E528" s="25"/>
      <c r="F528" s="25"/>
      <c r="G528" s="25">
        <f t="array" ref="G528">SUM(IF("156"&amp;C528=KHN&amp;MH,SL))</f>
        <v>16</v>
      </c>
      <c r="H528" s="25">
        <f t="array" ref="H528">SUM(IF("156"&amp;C528=KHN&amp;MH,TH))</f>
        <v>583475</v>
      </c>
      <c r="I528" s="25">
        <f t="array" ref="I528">SUM(IF("156"&amp;C528=KHC&amp;MH,SL))</f>
        <v>16</v>
      </c>
      <c r="J528" s="25">
        <f t="array" ref="J528">SUM(IF("156"&amp;C528=KHC&amp;MH,TH))</f>
        <v>583475</v>
      </c>
      <c r="K528" s="25">
        <f t="shared" si="42"/>
        <v>0</v>
      </c>
      <c r="L528" s="25">
        <f t="shared" si="43"/>
        <v>0</v>
      </c>
      <c r="M528" s="289" t="e">
        <f t="shared" si="44"/>
        <v>#DIV/0!</v>
      </c>
    </row>
    <row r="529" spans="1:16" ht="18.75" customHeight="1">
      <c r="A529" s="289" t="str">
        <f t="shared" si="40"/>
        <v>NL</v>
      </c>
      <c r="B529" s="753">
        <f t="shared" si="41"/>
        <v>518</v>
      </c>
      <c r="C529" s="191" t="s">
        <v>825</v>
      </c>
      <c r="D529" s="291" t="s">
        <v>393</v>
      </c>
      <c r="E529" s="25"/>
      <c r="F529" s="25"/>
      <c r="G529" s="25">
        <f t="array" ref="G529">SUM(IF("156"&amp;C529=KHN&amp;MH,SL))</f>
        <v>86</v>
      </c>
      <c r="H529" s="25">
        <f t="array" ref="H529">SUM(IF("156"&amp;C529=KHN&amp;MH,TH))</f>
        <v>3170043</v>
      </c>
      <c r="I529" s="25">
        <f t="array" ref="I529">SUM(IF("156"&amp;C529=KHC&amp;MH,SL))</f>
        <v>86</v>
      </c>
      <c r="J529" s="25">
        <f t="array" ref="J529">SUM(IF("156"&amp;C529=KHC&amp;MH,TH))</f>
        <v>3170043</v>
      </c>
      <c r="K529" s="25">
        <f t="shared" si="42"/>
        <v>0</v>
      </c>
      <c r="L529" s="25">
        <f t="shared" si="43"/>
        <v>0</v>
      </c>
      <c r="M529" s="289" t="e">
        <f t="shared" si="44"/>
        <v>#DIV/0!</v>
      </c>
    </row>
    <row r="530" spans="1:16" ht="18.75" customHeight="1">
      <c r="A530" s="289" t="str">
        <f t="shared" si="40"/>
        <v>NL</v>
      </c>
      <c r="B530" s="753">
        <f t="shared" si="41"/>
        <v>519</v>
      </c>
      <c r="C530" s="40" t="s">
        <v>718</v>
      </c>
      <c r="D530" s="291" t="s">
        <v>393</v>
      </c>
      <c r="E530" s="25"/>
      <c r="F530" s="25"/>
      <c r="G530" s="25">
        <f t="array" ref="G530">SUM(IF("156"&amp;C530=KHN&amp;MH,SL))</f>
        <v>10</v>
      </c>
      <c r="H530" s="25">
        <f t="array" ref="H530">SUM(IF("156"&amp;C530=KHN&amp;MH,TH))</f>
        <v>435908</v>
      </c>
      <c r="I530" s="25">
        <f t="array" ref="I530">SUM(IF("156"&amp;C530=KHC&amp;MH,SL))</f>
        <v>10</v>
      </c>
      <c r="J530" s="25">
        <f t="array" ref="J530">SUM(IF("156"&amp;C530=KHC&amp;MH,TH))</f>
        <v>435908</v>
      </c>
      <c r="K530" s="25">
        <f t="shared" si="42"/>
        <v>0</v>
      </c>
      <c r="L530" s="25">
        <f t="shared" si="43"/>
        <v>0</v>
      </c>
      <c r="M530" s="289" t="e">
        <f t="shared" si="44"/>
        <v>#DIV/0!</v>
      </c>
    </row>
    <row r="531" spans="1:16" ht="18.75" customHeight="1">
      <c r="A531" s="289" t="str">
        <f t="shared" si="40"/>
        <v>NL</v>
      </c>
      <c r="B531" s="753">
        <f t="shared" si="41"/>
        <v>520</v>
      </c>
      <c r="C531" s="188" t="s">
        <v>703</v>
      </c>
      <c r="D531" s="291" t="s">
        <v>393</v>
      </c>
      <c r="E531" s="25"/>
      <c r="F531" s="25"/>
      <c r="G531" s="25">
        <f t="array" ref="G531">SUM(IF("156"&amp;C531=KHN&amp;MH,SL))</f>
        <v>36</v>
      </c>
      <c r="H531" s="25">
        <f t="array" ref="H531">SUM(IF("156"&amp;C531=KHN&amp;MH,TH))</f>
        <v>1625776</v>
      </c>
      <c r="I531" s="25">
        <f t="array" ref="I531">SUM(IF("156"&amp;C531=KHC&amp;MH,SL))</f>
        <v>36</v>
      </c>
      <c r="J531" s="25">
        <f t="array" ref="J531">SUM(IF("156"&amp;C531=KHC&amp;MH,TH))</f>
        <v>1625776</v>
      </c>
      <c r="K531" s="25">
        <f t="shared" si="42"/>
        <v>0</v>
      </c>
      <c r="L531" s="25">
        <f t="shared" si="43"/>
        <v>0</v>
      </c>
      <c r="M531" s="289" t="e">
        <f t="shared" si="44"/>
        <v>#DIV/0!</v>
      </c>
    </row>
    <row r="532" spans="1:16" ht="18.75" customHeight="1">
      <c r="A532" s="289" t="str">
        <f t="shared" si="40"/>
        <v>NL</v>
      </c>
      <c r="B532" s="753">
        <f t="shared" si="41"/>
        <v>521</v>
      </c>
      <c r="C532" s="191" t="s">
        <v>1744</v>
      </c>
      <c r="D532" s="291"/>
      <c r="E532" s="25"/>
      <c r="F532" s="25"/>
      <c r="G532" s="25">
        <f t="array" ref="G532">SUM(IF("156"&amp;C532=KHN&amp;MH,SL))</f>
        <v>40</v>
      </c>
      <c r="H532" s="25">
        <f t="array" ref="H532">SUM(IF("156"&amp;C532=KHN&amp;MH,TH))</f>
        <v>1244000</v>
      </c>
      <c r="I532" s="25">
        <f t="array" ref="I532">SUM(IF("156"&amp;C532=KHC&amp;MH,SL))</f>
        <v>40</v>
      </c>
      <c r="J532" s="25">
        <f t="array" ref="J532">SUM(IF("156"&amp;C532=KHC&amp;MH,TH))</f>
        <v>1244000</v>
      </c>
      <c r="K532" s="25">
        <f t="shared" si="42"/>
        <v>0</v>
      </c>
      <c r="L532" s="25">
        <f t="shared" si="43"/>
        <v>0</v>
      </c>
      <c r="M532" s="289" t="e">
        <f t="shared" si="44"/>
        <v>#DIV/0!</v>
      </c>
    </row>
    <row r="533" spans="1:16" ht="18.75" customHeight="1">
      <c r="A533" s="289" t="str">
        <f t="shared" si="40"/>
        <v>NL</v>
      </c>
      <c r="B533" s="753">
        <f t="shared" si="41"/>
        <v>522</v>
      </c>
      <c r="C533" s="40" t="s">
        <v>748</v>
      </c>
      <c r="D533" s="291" t="s">
        <v>393</v>
      </c>
      <c r="E533" s="25"/>
      <c r="F533" s="25"/>
      <c r="G533" s="25">
        <f t="array" ref="G533">SUM(IF("156"&amp;C533=KHN&amp;MH,SL))</f>
        <v>22</v>
      </c>
      <c r="H533" s="25">
        <f t="array" ref="H533">SUM(IF("156"&amp;C533=KHN&amp;MH,TH))</f>
        <v>365376</v>
      </c>
      <c r="I533" s="25">
        <f t="array" ref="I533">SUM(IF("156"&amp;C533=KHC&amp;MH,SL))</f>
        <v>22</v>
      </c>
      <c r="J533" s="25">
        <f t="array" ref="J533">SUM(IF("156"&amp;C533=KHC&amp;MH,TH))</f>
        <v>365376</v>
      </c>
      <c r="K533" s="25">
        <f t="shared" si="42"/>
        <v>0</v>
      </c>
      <c r="L533" s="25">
        <f t="shared" si="43"/>
        <v>0</v>
      </c>
      <c r="M533" s="289" t="e">
        <f t="shared" si="44"/>
        <v>#DIV/0!</v>
      </c>
    </row>
    <row r="534" spans="1:16" ht="18.75" customHeight="1">
      <c r="A534" s="289" t="str">
        <f t="shared" si="40"/>
        <v>NL</v>
      </c>
      <c r="B534" s="753">
        <f t="shared" si="41"/>
        <v>523</v>
      </c>
      <c r="C534" s="191" t="s">
        <v>492</v>
      </c>
      <c r="D534" s="291" t="s">
        <v>393</v>
      </c>
      <c r="E534" s="25"/>
      <c r="F534" s="25"/>
      <c r="G534" s="25">
        <f t="array" ref="G534">SUM(IF("156"&amp;C534=KHN&amp;MH,SL))</f>
        <v>12</v>
      </c>
      <c r="H534" s="25">
        <f t="array" ref="H534">SUM(IF("156"&amp;C534=KHN&amp;MH,TH))</f>
        <v>457488</v>
      </c>
      <c r="I534" s="25">
        <f t="array" ref="I534">SUM(IF("156"&amp;C534=KHC&amp;MH,SL))</f>
        <v>12</v>
      </c>
      <c r="J534" s="25">
        <f t="array" ref="J534">SUM(IF("156"&amp;C534=KHC&amp;MH,TH))</f>
        <v>457488</v>
      </c>
      <c r="K534" s="25">
        <f t="shared" si="42"/>
        <v>0</v>
      </c>
      <c r="L534" s="25">
        <f t="shared" si="43"/>
        <v>0</v>
      </c>
      <c r="M534" s="289" t="e">
        <f t="shared" si="44"/>
        <v>#DIV/0!</v>
      </c>
    </row>
    <row r="535" spans="1:16" ht="18.75" customHeight="1">
      <c r="A535" s="289" t="str">
        <f t="shared" si="40"/>
        <v>NL</v>
      </c>
      <c r="B535" s="753">
        <f t="shared" si="41"/>
        <v>524</v>
      </c>
      <c r="C535" s="191" t="s">
        <v>756</v>
      </c>
      <c r="D535" s="291" t="s">
        <v>393</v>
      </c>
      <c r="E535" s="25"/>
      <c r="F535" s="25"/>
      <c r="G535" s="25">
        <f t="array" ref="G535">SUM(IF("156"&amp;C535=KHN&amp;MH,SL))</f>
        <v>64</v>
      </c>
      <c r="H535" s="25">
        <f t="array" ref="H535">SUM(IF("156"&amp;C535=KHN&amp;MH,TH))</f>
        <v>3296506</v>
      </c>
      <c r="I535" s="25">
        <f t="array" ref="I535">SUM(IF("156"&amp;C535=KHC&amp;MH,SL))</f>
        <v>50</v>
      </c>
      <c r="J535" s="25">
        <f t="array" ref="J535">SUM(IF("156"&amp;C535=KHC&amp;MH,TH))</f>
        <v>2570900</v>
      </c>
      <c r="K535" s="25">
        <f t="shared" si="42"/>
        <v>14</v>
      </c>
      <c r="L535" s="25">
        <f t="shared" si="43"/>
        <v>725606</v>
      </c>
      <c r="M535" s="289">
        <f t="shared" si="44"/>
        <v>51829</v>
      </c>
    </row>
    <row r="536" spans="1:16" ht="18.75" customHeight="1">
      <c r="A536" s="289" t="str">
        <f t="shared" si="40"/>
        <v>NL</v>
      </c>
      <c r="B536" s="753">
        <f t="shared" si="41"/>
        <v>525</v>
      </c>
      <c r="C536" s="191" t="s">
        <v>672</v>
      </c>
      <c r="D536" s="291" t="s">
        <v>393</v>
      </c>
      <c r="E536" s="25"/>
      <c r="F536" s="25"/>
      <c r="G536" s="25">
        <f t="array" ref="G536">SUM(IF("156"&amp;C536=KHN&amp;MH,SL))</f>
        <v>134</v>
      </c>
      <c r="H536" s="25">
        <f t="array" ref="H536">SUM(IF("156"&amp;C536=KHN&amp;MH,TH))</f>
        <v>6765682</v>
      </c>
      <c r="I536" s="25">
        <f t="array" ref="I536">SUM(IF("156"&amp;C536=KHC&amp;MH,SL))</f>
        <v>134</v>
      </c>
      <c r="J536" s="25">
        <f t="array" ref="J536">SUM(IF("156"&amp;C536=KHC&amp;MH,TH))</f>
        <v>6765682</v>
      </c>
      <c r="K536" s="25">
        <f t="shared" si="42"/>
        <v>0</v>
      </c>
      <c r="L536" s="25">
        <f t="shared" si="43"/>
        <v>0</v>
      </c>
      <c r="M536" s="289" t="e">
        <f t="shared" si="44"/>
        <v>#DIV/0!</v>
      </c>
    </row>
    <row r="537" spans="1:16" ht="18.75" customHeight="1">
      <c r="A537" s="289" t="str">
        <f t="shared" si="40"/>
        <v>NL</v>
      </c>
      <c r="B537" s="753">
        <f t="shared" si="41"/>
        <v>526</v>
      </c>
      <c r="C537" s="188" t="s">
        <v>760</v>
      </c>
      <c r="D537" s="291" t="s">
        <v>393</v>
      </c>
      <c r="E537" s="25"/>
      <c r="F537" s="25"/>
      <c r="G537" s="25">
        <f t="array" ref="G537">SUM(IF("156"&amp;C537=KHN&amp;MH,SL))</f>
        <v>100</v>
      </c>
      <c r="H537" s="25">
        <f t="array" ref="H537">SUM(IF("156"&amp;C537=KHN&amp;MH,TH))</f>
        <v>4057992</v>
      </c>
      <c r="I537" s="25">
        <f t="array" ref="I537">SUM(IF("156"&amp;C537=KHC&amp;MH,SL))</f>
        <v>68</v>
      </c>
      <c r="J537" s="25">
        <f t="array" ref="J537">SUM(IF("156"&amp;C537=KHC&amp;MH,TH))</f>
        <v>2776392</v>
      </c>
      <c r="K537" s="25">
        <f t="shared" si="42"/>
        <v>32</v>
      </c>
      <c r="L537" s="25">
        <f t="shared" si="43"/>
        <v>1281600</v>
      </c>
      <c r="M537" s="289">
        <f t="shared" si="44"/>
        <v>40050</v>
      </c>
    </row>
    <row r="538" spans="1:16" ht="18.75" customHeight="1">
      <c r="A538" s="289" t="str">
        <f t="shared" si="40"/>
        <v>NL</v>
      </c>
      <c r="B538" s="753">
        <f t="shared" si="41"/>
        <v>527</v>
      </c>
      <c r="C538" s="188" t="s">
        <v>920</v>
      </c>
      <c r="D538" s="291" t="s">
        <v>393</v>
      </c>
      <c r="E538" s="25"/>
      <c r="F538" s="25"/>
      <c r="G538" s="25">
        <f t="array" ref="G538">SUM(IF("156"&amp;C538=KHN&amp;MH,SL))</f>
        <v>500</v>
      </c>
      <c r="H538" s="25">
        <f t="array" ref="H538">SUM(IF("156"&amp;C538=KHN&amp;MH,TH))</f>
        <v>4817500</v>
      </c>
      <c r="I538" s="25">
        <f t="array" ref="I538">SUM(IF("156"&amp;C538=KHC&amp;MH,SL))</f>
        <v>0</v>
      </c>
      <c r="J538" s="25">
        <f t="array" ref="J538">SUM(IF("156"&amp;C538=KHC&amp;MH,TH))</f>
        <v>0</v>
      </c>
      <c r="K538" s="25">
        <f t="shared" si="42"/>
        <v>500</v>
      </c>
      <c r="L538" s="25">
        <f t="shared" si="43"/>
        <v>4817500</v>
      </c>
      <c r="M538" s="289">
        <f t="shared" si="44"/>
        <v>9635</v>
      </c>
    </row>
    <row r="539" spans="1:16" ht="18.75" customHeight="1">
      <c r="A539" s="289" t="str">
        <f t="shared" si="40"/>
        <v>NL</v>
      </c>
      <c r="B539" s="753">
        <f t="shared" si="41"/>
        <v>528</v>
      </c>
      <c r="C539" s="191" t="s">
        <v>505</v>
      </c>
      <c r="D539" s="291" t="s">
        <v>393</v>
      </c>
      <c r="E539" s="25"/>
      <c r="F539" s="25"/>
      <c r="G539" s="25">
        <f t="array" ref="G539">SUM(IF("156"&amp;C539=KHN&amp;MH,SL))</f>
        <v>10</v>
      </c>
      <c r="H539" s="25">
        <f t="array" ref="H539">SUM(IF("156"&amp;C539=KHN&amp;MH,TH))</f>
        <v>393020</v>
      </c>
      <c r="I539" s="25">
        <f t="array" ref="I539">SUM(IF("156"&amp;C539=KHC&amp;MH,SL))</f>
        <v>10</v>
      </c>
      <c r="J539" s="25">
        <f t="array" ref="J539">SUM(IF("156"&amp;C539=KHC&amp;MH,TH))</f>
        <v>393020</v>
      </c>
      <c r="K539" s="25">
        <f t="shared" si="42"/>
        <v>0</v>
      </c>
      <c r="L539" s="25">
        <f t="shared" si="43"/>
        <v>0</v>
      </c>
      <c r="M539" s="289" t="e">
        <f t="shared" si="44"/>
        <v>#DIV/0!</v>
      </c>
    </row>
    <row r="540" spans="1:16" ht="18.75" customHeight="1">
      <c r="A540" s="289" t="str">
        <f t="shared" si="40"/>
        <v>NL</v>
      </c>
      <c r="B540" s="753">
        <f t="shared" si="41"/>
        <v>529</v>
      </c>
      <c r="C540" s="191" t="s">
        <v>993</v>
      </c>
      <c r="D540" s="291" t="s">
        <v>393</v>
      </c>
      <c r="E540" s="25"/>
      <c r="F540" s="25"/>
      <c r="G540" s="25">
        <f t="array" ref="G540">SUM(IF("156"&amp;C540=KHN&amp;MH,SL))</f>
        <v>20</v>
      </c>
      <c r="H540" s="25">
        <f t="array" ref="H540">SUM(IF("156"&amp;C540=KHN&amp;MH,TH))</f>
        <v>815760</v>
      </c>
      <c r="I540" s="25">
        <f t="array" ref="I540">SUM(IF("156"&amp;C540=KHC&amp;MH,SL))</f>
        <v>20</v>
      </c>
      <c r="J540" s="25">
        <f t="array" ref="J540">SUM(IF("156"&amp;C540=KHC&amp;MH,TH))</f>
        <v>815760</v>
      </c>
      <c r="K540" s="25">
        <f t="shared" si="42"/>
        <v>0</v>
      </c>
      <c r="L540" s="25">
        <f t="shared" si="43"/>
        <v>0</v>
      </c>
      <c r="M540" s="289" t="e">
        <f t="shared" si="44"/>
        <v>#DIV/0!</v>
      </c>
    </row>
    <row r="541" spans="1:16" ht="18.75" customHeight="1">
      <c r="A541" s="289" t="str">
        <f t="shared" si="40"/>
        <v>NL</v>
      </c>
      <c r="B541" s="753">
        <f t="shared" si="41"/>
        <v>530</v>
      </c>
      <c r="C541" s="191" t="s">
        <v>1733</v>
      </c>
      <c r="D541" s="291"/>
      <c r="E541" s="25"/>
      <c r="F541" s="25"/>
      <c r="G541" s="25">
        <f t="array" ref="G541">SUM(IF("156"&amp;C541=KHN&amp;MH,SL))</f>
        <v>30</v>
      </c>
      <c r="H541" s="25">
        <f t="array" ref="H541">SUM(IF("156"&amp;C541=KHN&amp;MH,TH))</f>
        <v>609000</v>
      </c>
      <c r="I541" s="25">
        <f t="array" ref="I541">SUM(IF("156"&amp;C541=KHC&amp;MH,SL))</f>
        <v>30</v>
      </c>
      <c r="J541" s="25">
        <f t="array" ref="J541">SUM(IF("156"&amp;C541=KHC&amp;MH,TH))</f>
        <v>609000</v>
      </c>
      <c r="K541" s="25">
        <f t="shared" si="42"/>
        <v>0</v>
      </c>
      <c r="L541" s="25">
        <f t="shared" si="43"/>
        <v>0</v>
      </c>
      <c r="M541" s="289" t="e">
        <f t="shared" si="44"/>
        <v>#DIV/0!</v>
      </c>
    </row>
    <row r="542" spans="1:16" ht="18.75" customHeight="1">
      <c r="A542" s="289" t="str">
        <f t="shared" si="40"/>
        <v>NL</v>
      </c>
      <c r="B542" s="753">
        <f t="shared" si="41"/>
        <v>531</v>
      </c>
      <c r="C542" s="292" t="s">
        <v>1467</v>
      </c>
      <c r="D542" s="291" t="s">
        <v>393</v>
      </c>
      <c r="E542" s="25"/>
      <c r="F542" s="25"/>
      <c r="G542" s="25">
        <f t="array" ref="G542">SUM(IF("156"&amp;C542=KHN&amp;MH,SL))</f>
        <v>20</v>
      </c>
      <c r="H542" s="25">
        <f t="array" ref="H542">SUM(IF("156"&amp;C542=KHN&amp;MH,TH))</f>
        <v>770000</v>
      </c>
      <c r="I542" s="25">
        <f t="array" ref="I542">SUM(IF("156"&amp;C542=KHC&amp;MH,SL))</f>
        <v>20</v>
      </c>
      <c r="J542" s="25">
        <f t="array" ref="J542">SUM(IF("156"&amp;C542=KHC&amp;MH,TH))</f>
        <v>770000</v>
      </c>
      <c r="K542" s="25">
        <f t="shared" si="42"/>
        <v>0</v>
      </c>
      <c r="L542" s="25">
        <f t="shared" si="43"/>
        <v>0</v>
      </c>
      <c r="M542" s="289" t="e">
        <f t="shared" si="44"/>
        <v>#DIV/0!</v>
      </c>
      <c r="O542" s="927"/>
      <c r="P542" s="927"/>
    </row>
    <row r="543" spans="1:16" ht="18.75" customHeight="1">
      <c r="A543" s="289" t="str">
        <f t="shared" si="40"/>
        <v>NL</v>
      </c>
      <c r="B543" s="753">
        <f t="shared" si="41"/>
        <v>532</v>
      </c>
      <c r="C543" s="191" t="s">
        <v>809</v>
      </c>
      <c r="D543" s="291" t="s">
        <v>393</v>
      </c>
      <c r="E543" s="25"/>
      <c r="F543" s="25"/>
      <c r="G543" s="25">
        <f t="array" ref="G543">SUM(IF("156"&amp;C543=KHN&amp;MH,SL))</f>
        <v>734</v>
      </c>
      <c r="H543" s="25">
        <f t="array" ref="H543">SUM(IF("156"&amp;C543=KHN&amp;MH,TH))</f>
        <v>30524708</v>
      </c>
      <c r="I543" s="25">
        <f t="array" ref="I543">SUM(IF("156"&amp;C543=KHC&amp;MH,SL))</f>
        <v>734</v>
      </c>
      <c r="J543" s="25">
        <f t="array" ref="J543">SUM(IF("156"&amp;C543=KHC&amp;MH,TH))</f>
        <v>30524708</v>
      </c>
      <c r="K543" s="25">
        <f t="shared" si="42"/>
        <v>0</v>
      </c>
      <c r="L543" s="25">
        <f t="shared" si="43"/>
        <v>0</v>
      </c>
      <c r="M543" s="289" t="e">
        <f t="shared" si="44"/>
        <v>#DIV/0!</v>
      </c>
      <c r="O543" s="927"/>
      <c r="P543" s="927"/>
    </row>
    <row r="544" spans="1:16" ht="18.75" customHeight="1">
      <c r="A544" s="289" t="str">
        <f t="shared" si="40"/>
        <v>NL</v>
      </c>
      <c r="B544" s="753">
        <f t="shared" si="41"/>
        <v>533</v>
      </c>
      <c r="C544" s="292" t="s">
        <v>1456</v>
      </c>
      <c r="D544" s="291" t="s">
        <v>393</v>
      </c>
      <c r="E544" s="25"/>
      <c r="F544" s="25"/>
      <c r="G544" s="25">
        <f t="array" ref="G544">SUM(IF("156"&amp;C544=KHN&amp;MH,SL))</f>
        <v>12</v>
      </c>
      <c r="H544" s="25">
        <f t="array" ref="H544">SUM(IF("156"&amp;C544=KHN&amp;MH,TH))</f>
        <v>543600</v>
      </c>
      <c r="I544" s="25">
        <f t="array" ref="I544">SUM(IF("156"&amp;C544=KHC&amp;MH,SL))</f>
        <v>12</v>
      </c>
      <c r="J544" s="25">
        <f t="array" ref="J544">SUM(IF("156"&amp;C544=KHC&amp;MH,TH))</f>
        <v>543600</v>
      </c>
      <c r="K544" s="25">
        <f t="shared" si="42"/>
        <v>0</v>
      </c>
      <c r="L544" s="25">
        <f t="shared" si="43"/>
        <v>0</v>
      </c>
      <c r="M544" s="289" t="e">
        <f t="shared" si="44"/>
        <v>#DIV/0!</v>
      </c>
      <c r="O544" s="927"/>
      <c r="P544" s="927"/>
    </row>
    <row r="545" spans="1:16" ht="18.75" customHeight="1">
      <c r="A545" s="289" t="str">
        <f t="shared" si="40"/>
        <v>NL</v>
      </c>
      <c r="B545" s="753">
        <f t="shared" si="41"/>
        <v>534</v>
      </c>
      <c r="C545" s="188" t="s">
        <v>474</v>
      </c>
      <c r="D545" s="291" t="s">
        <v>393</v>
      </c>
      <c r="E545" s="25"/>
      <c r="F545" s="25"/>
      <c r="G545" s="25">
        <f t="array" ref="G545">SUM(IF("156"&amp;C545=KHN&amp;MH,SL))</f>
        <v>25</v>
      </c>
      <c r="H545" s="25">
        <f t="array" ref="H545">SUM(IF("156"&amp;C545=KHN&amp;MH,TH))</f>
        <v>715698</v>
      </c>
      <c r="I545" s="25">
        <f t="array" ref="I545">SUM(IF("156"&amp;C545=KHC&amp;MH,SL))</f>
        <v>25</v>
      </c>
      <c r="J545" s="25">
        <f t="array" ref="J545">SUM(IF("156"&amp;C545=KHC&amp;MH,TH))</f>
        <v>715698</v>
      </c>
      <c r="K545" s="25">
        <f t="shared" si="42"/>
        <v>0</v>
      </c>
      <c r="L545" s="25">
        <f t="shared" si="43"/>
        <v>0</v>
      </c>
      <c r="M545" s="289" t="e">
        <f t="shared" si="44"/>
        <v>#DIV/0!</v>
      </c>
    </row>
    <row r="546" spans="1:16" ht="18.75" customHeight="1">
      <c r="A546" s="289" t="str">
        <f t="shared" si="40"/>
        <v>NL</v>
      </c>
      <c r="B546" s="753">
        <f t="shared" si="41"/>
        <v>535</v>
      </c>
      <c r="C546" s="191" t="s">
        <v>514</v>
      </c>
      <c r="D546" s="291" t="s">
        <v>393</v>
      </c>
      <c r="E546" s="25"/>
      <c r="F546" s="25"/>
      <c r="G546" s="25">
        <f t="array" ref="G546">SUM(IF("156"&amp;C546=KHN&amp;MH,SL))</f>
        <v>65</v>
      </c>
      <c r="H546" s="25">
        <f t="array" ref="H546">SUM(IF("156"&amp;C546=KHN&amp;MH,TH))</f>
        <v>1874573</v>
      </c>
      <c r="I546" s="25">
        <f t="array" ref="I546">SUM(IF("156"&amp;C546=KHC&amp;MH,SL))</f>
        <v>65</v>
      </c>
      <c r="J546" s="25">
        <f t="array" ref="J546">SUM(IF("156"&amp;C546=KHC&amp;MH,TH))</f>
        <v>1874573</v>
      </c>
      <c r="K546" s="25">
        <f t="shared" si="42"/>
        <v>0</v>
      </c>
      <c r="L546" s="25">
        <f t="shared" si="43"/>
        <v>0</v>
      </c>
      <c r="M546" s="289" t="e">
        <f t="shared" si="44"/>
        <v>#DIV/0!</v>
      </c>
      <c r="O546" s="927"/>
      <c r="P546" s="927"/>
    </row>
    <row r="547" spans="1:16" ht="18.75" customHeight="1">
      <c r="A547" s="289" t="str">
        <f t="shared" si="40"/>
        <v>NL</v>
      </c>
      <c r="B547" s="753">
        <f t="shared" si="41"/>
        <v>536</v>
      </c>
      <c r="C547" s="40" t="s">
        <v>780</v>
      </c>
      <c r="D547" s="291" t="s">
        <v>393</v>
      </c>
      <c r="E547" s="25"/>
      <c r="F547" s="25"/>
      <c r="G547" s="25">
        <f t="array" ref="G547">SUM(IF("156"&amp;C547=KHN&amp;MH,SL))</f>
        <v>75</v>
      </c>
      <c r="H547" s="25">
        <f t="array" ref="H547">SUM(IF("156"&amp;C547=KHN&amp;MH,TH))</f>
        <v>1171394</v>
      </c>
      <c r="I547" s="25">
        <f t="array" ref="I547">SUM(IF("156"&amp;C547=KHC&amp;MH,SL))</f>
        <v>75</v>
      </c>
      <c r="J547" s="25">
        <f t="array" ref="J547">SUM(IF("156"&amp;C547=KHC&amp;MH,TH))</f>
        <v>1171394</v>
      </c>
      <c r="K547" s="25">
        <f t="shared" si="42"/>
        <v>0</v>
      </c>
      <c r="L547" s="25">
        <f t="shared" si="43"/>
        <v>0</v>
      </c>
      <c r="M547" s="289" t="e">
        <f t="shared" si="44"/>
        <v>#DIV/0!</v>
      </c>
    </row>
    <row r="548" spans="1:16" ht="18.75" customHeight="1">
      <c r="A548" s="289" t="str">
        <f t="shared" si="40"/>
        <v>NL</v>
      </c>
      <c r="B548" s="753">
        <f t="shared" si="41"/>
        <v>537</v>
      </c>
      <c r="C548" s="191" t="s">
        <v>975</v>
      </c>
      <c r="D548" s="291" t="s">
        <v>393</v>
      </c>
      <c r="E548" s="25"/>
      <c r="F548" s="25"/>
      <c r="G548" s="25">
        <f t="array" ref="G548">SUM(IF("156"&amp;C548=KHN&amp;MH,SL))</f>
        <v>36</v>
      </c>
      <c r="H548" s="25">
        <f t="array" ref="H548">SUM(IF("156"&amp;C548=KHN&amp;MH,TH))</f>
        <v>1524420</v>
      </c>
      <c r="I548" s="25">
        <f t="array" ref="I548">SUM(IF("156"&amp;C548=KHC&amp;MH,SL))</f>
        <v>36</v>
      </c>
      <c r="J548" s="25">
        <f t="array" ref="J548">SUM(IF("156"&amp;C548=KHC&amp;MH,TH))</f>
        <v>1524420</v>
      </c>
      <c r="K548" s="25">
        <f t="shared" si="42"/>
        <v>0</v>
      </c>
      <c r="L548" s="25">
        <f t="shared" si="43"/>
        <v>0</v>
      </c>
      <c r="M548" s="289" t="e">
        <f t="shared" si="44"/>
        <v>#DIV/0!</v>
      </c>
    </row>
    <row r="549" spans="1:16" ht="18.75" customHeight="1">
      <c r="A549" s="289" t="str">
        <f t="shared" si="40"/>
        <v>NL</v>
      </c>
      <c r="B549" s="753">
        <f t="shared" si="41"/>
        <v>538</v>
      </c>
      <c r="C549" s="191" t="s">
        <v>947</v>
      </c>
      <c r="D549" s="291" t="s">
        <v>393</v>
      </c>
      <c r="E549" s="25"/>
      <c r="F549" s="25"/>
      <c r="G549" s="25">
        <f t="array" ref="G549">SUM(IF("156"&amp;C549=KHN&amp;MH,SL))</f>
        <v>300</v>
      </c>
      <c r="H549" s="25">
        <f t="array" ref="H549">SUM(IF("156"&amp;C549=KHN&amp;MH,TH))</f>
        <v>3825600</v>
      </c>
      <c r="I549" s="25">
        <f t="array" ref="I549">SUM(IF("156"&amp;C549=KHC&amp;MH,SL))</f>
        <v>0</v>
      </c>
      <c r="J549" s="25">
        <f t="array" ref="J549">SUM(IF("156"&amp;C549=KHC&amp;MH,TH))</f>
        <v>0</v>
      </c>
      <c r="K549" s="25">
        <f t="shared" si="42"/>
        <v>300</v>
      </c>
      <c r="L549" s="25">
        <f t="shared" si="43"/>
        <v>3825600</v>
      </c>
      <c r="M549" s="289">
        <f t="shared" si="44"/>
        <v>12752</v>
      </c>
    </row>
    <row r="550" spans="1:16" ht="18.75" customHeight="1">
      <c r="A550" s="289" t="str">
        <f t="shared" si="40"/>
        <v>NL</v>
      </c>
      <c r="B550" s="753">
        <f t="shared" si="41"/>
        <v>539</v>
      </c>
      <c r="C550" s="191" t="s">
        <v>934</v>
      </c>
      <c r="D550" s="291" t="s">
        <v>393</v>
      </c>
      <c r="E550" s="25"/>
      <c r="F550" s="25"/>
      <c r="G550" s="25">
        <f t="array" ref="G550">SUM(IF("156"&amp;C550=KHN&amp;MH,SL))</f>
        <v>180</v>
      </c>
      <c r="H550" s="25">
        <f t="array" ref="H550">SUM(IF("156"&amp;C550=KHN&amp;MH,TH))</f>
        <v>6328080</v>
      </c>
      <c r="I550" s="25">
        <f t="array" ref="I550">SUM(IF("156"&amp;C550=KHC&amp;MH,SL))</f>
        <v>0</v>
      </c>
      <c r="J550" s="25">
        <f t="array" ref="J550">SUM(IF("156"&amp;C550=KHC&amp;MH,TH))</f>
        <v>0</v>
      </c>
      <c r="K550" s="25">
        <f t="shared" si="42"/>
        <v>180</v>
      </c>
      <c r="L550" s="25">
        <f t="shared" si="43"/>
        <v>6328080</v>
      </c>
      <c r="M550" s="289">
        <f t="shared" si="44"/>
        <v>35156</v>
      </c>
    </row>
    <row r="551" spans="1:16" ht="18.75" customHeight="1">
      <c r="A551" s="289" t="str">
        <f t="shared" si="40"/>
        <v>NL</v>
      </c>
      <c r="B551" s="753">
        <f t="shared" si="41"/>
        <v>540</v>
      </c>
      <c r="C551" s="292" t="s">
        <v>1570</v>
      </c>
      <c r="D551" s="291" t="s">
        <v>393</v>
      </c>
      <c r="E551" s="25"/>
      <c r="F551" s="25"/>
      <c r="G551" s="25">
        <f t="array" ref="G551">SUM(IF("156"&amp;C551=KHN&amp;MH,SL))</f>
        <v>8</v>
      </c>
      <c r="H551" s="25">
        <f t="array" ref="H551">SUM(IF("156"&amp;C551=KHN&amp;MH,TH))</f>
        <v>345600</v>
      </c>
      <c r="I551" s="25">
        <f t="array" ref="I551">SUM(IF("156"&amp;C551=KHC&amp;MH,SL))</f>
        <v>8</v>
      </c>
      <c r="J551" s="25">
        <f t="array" ref="J551">SUM(IF("156"&amp;C551=KHC&amp;MH,TH))</f>
        <v>345600</v>
      </c>
      <c r="K551" s="25">
        <f t="shared" si="42"/>
        <v>0</v>
      </c>
      <c r="L551" s="25">
        <f t="shared" si="43"/>
        <v>0</v>
      </c>
      <c r="M551" s="289" t="e">
        <f t="shared" si="44"/>
        <v>#DIV/0!</v>
      </c>
      <c r="O551" s="927"/>
      <c r="P551" s="927"/>
    </row>
    <row r="552" spans="1:16" ht="18.75" customHeight="1">
      <c r="A552" s="289" t="str">
        <f t="shared" si="40"/>
        <v>NL</v>
      </c>
      <c r="B552" s="753">
        <f t="shared" si="41"/>
        <v>541</v>
      </c>
      <c r="C552" s="191" t="s">
        <v>553</v>
      </c>
      <c r="D552" s="291" t="s">
        <v>393</v>
      </c>
      <c r="E552" s="25"/>
      <c r="F552" s="25"/>
      <c r="G552" s="25">
        <f t="array" ref="G552">SUM(IF("156"&amp;C552=KHN&amp;MH,SL))</f>
        <v>156</v>
      </c>
      <c r="H552" s="25">
        <f t="array" ref="H552">SUM(IF("156"&amp;C552=KHN&amp;MH,TH))</f>
        <v>5881349</v>
      </c>
      <c r="I552" s="25">
        <f t="array" ref="I552">SUM(IF("156"&amp;C552=KHC&amp;MH,SL))</f>
        <v>156</v>
      </c>
      <c r="J552" s="25">
        <f t="array" ref="J552">SUM(IF("156"&amp;C552=KHC&amp;MH,TH))</f>
        <v>5881349</v>
      </c>
      <c r="K552" s="25">
        <f t="shared" si="42"/>
        <v>0</v>
      </c>
      <c r="L552" s="25">
        <f t="shared" si="43"/>
        <v>0</v>
      </c>
      <c r="M552" s="289" t="e">
        <f t="shared" si="44"/>
        <v>#DIV/0!</v>
      </c>
      <c r="O552" s="927"/>
      <c r="P552" s="927"/>
    </row>
    <row r="553" spans="1:16" ht="18.75" customHeight="1">
      <c r="A553" s="289" t="str">
        <f t="shared" si="40"/>
        <v>NL</v>
      </c>
      <c r="B553" s="753">
        <f t="shared" si="41"/>
        <v>542</v>
      </c>
      <c r="C553" s="191" t="s">
        <v>972</v>
      </c>
      <c r="D553" s="291" t="s">
        <v>393</v>
      </c>
      <c r="E553" s="25"/>
      <c r="F553" s="25"/>
      <c r="G553" s="25">
        <f t="array" ref="G553">SUM(IF("156"&amp;C553=KHN&amp;MH,SL))</f>
        <v>50</v>
      </c>
      <c r="H553" s="25">
        <f t="array" ref="H553">SUM(IF("156"&amp;C553=KHN&amp;MH,TH))</f>
        <v>1873900</v>
      </c>
      <c r="I553" s="25">
        <f t="array" ref="I553">SUM(IF("156"&amp;C553=KHC&amp;MH,SL))</f>
        <v>50</v>
      </c>
      <c r="J553" s="25">
        <f t="array" ref="J553">SUM(IF("156"&amp;C553=KHC&amp;MH,TH))</f>
        <v>1873900</v>
      </c>
      <c r="K553" s="25">
        <f t="shared" si="42"/>
        <v>0</v>
      </c>
      <c r="L553" s="25">
        <f t="shared" si="43"/>
        <v>0</v>
      </c>
      <c r="M553" s="289" t="e">
        <f t="shared" si="44"/>
        <v>#DIV/0!</v>
      </c>
    </row>
    <row r="554" spans="1:16" ht="18.75" customHeight="1">
      <c r="A554" s="289" t="str">
        <f t="shared" si="40"/>
        <v>NL</v>
      </c>
      <c r="B554" s="753">
        <f t="shared" si="41"/>
        <v>543</v>
      </c>
      <c r="C554" s="191" t="s">
        <v>1004</v>
      </c>
      <c r="D554" s="291" t="s">
        <v>393</v>
      </c>
      <c r="E554" s="25"/>
      <c r="F554" s="25"/>
      <c r="G554" s="25">
        <f t="array" ref="G554">SUM(IF("156"&amp;C554=KHN&amp;MH,SL))</f>
        <v>86</v>
      </c>
      <c r="H554" s="25">
        <f t="array" ref="H554">SUM(IF("156"&amp;C554=KHN&amp;MH,TH))</f>
        <v>3526840</v>
      </c>
      <c r="I554" s="25">
        <f t="array" ref="I554">SUM(IF("156"&amp;C554=KHC&amp;MH,SL))</f>
        <v>86</v>
      </c>
      <c r="J554" s="25">
        <f t="array" ref="J554">SUM(IF("156"&amp;C554=KHC&amp;MH,TH))</f>
        <v>3526840</v>
      </c>
      <c r="K554" s="25">
        <f t="shared" si="42"/>
        <v>0</v>
      </c>
      <c r="L554" s="25">
        <f t="shared" si="43"/>
        <v>0</v>
      </c>
      <c r="M554" s="289" t="e">
        <f t="shared" si="44"/>
        <v>#DIV/0!</v>
      </c>
      <c r="O554" s="927"/>
      <c r="P554" s="927"/>
    </row>
    <row r="555" spans="1:16" ht="18.75" customHeight="1">
      <c r="A555" s="289" t="str">
        <f t="shared" si="40"/>
        <v>NL</v>
      </c>
      <c r="B555" s="753">
        <f t="shared" si="41"/>
        <v>544</v>
      </c>
      <c r="C555" s="191" t="s">
        <v>542</v>
      </c>
      <c r="D555" s="291" t="s">
        <v>393</v>
      </c>
      <c r="E555" s="25"/>
      <c r="F555" s="25"/>
      <c r="G555" s="25">
        <f t="array" ref="G555">SUM(IF("156"&amp;C555=KHN&amp;MH,SL))</f>
        <v>648</v>
      </c>
      <c r="H555" s="25">
        <f t="array" ref="H555">SUM(IF("156"&amp;C555=KHN&amp;MH,TH))</f>
        <v>25690223</v>
      </c>
      <c r="I555" s="25">
        <f t="array" ref="I555">SUM(IF("156"&amp;C555=KHC&amp;MH,SL))</f>
        <v>648</v>
      </c>
      <c r="J555" s="25">
        <f t="array" ref="J555">SUM(IF("156"&amp;C555=KHC&amp;MH,TH))</f>
        <v>25690223</v>
      </c>
      <c r="K555" s="25">
        <f t="shared" si="42"/>
        <v>0</v>
      </c>
      <c r="L555" s="25">
        <f t="shared" si="43"/>
        <v>0</v>
      </c>
      <c r="M555" s="289" t="e">
        <f t="shared" si="44"/>
        <v>#DIV/0!</v>
      </c>
      <c r="O555" s="927"/>
      <c r="P555" s="927"/>
    </row>
    <row r="556" spans="1:16" ht="18.75" customHeight="1">
      <c r="A556" s="289" t="str">
        <f t="shared" si="40"/>
        <v>NL</v>
      </c>
      <c r="B556" s="753">
        <f t="shared" si="41"/>
        <v>545</v>
      </c>
      <c r="C556" s="292" t="s">
        <v>876</v>
      </c>
      <c r="D556" s="291" t="s">
        <v>393</v>
      </c>
      <c r="E556" s="25"/>
      <c r="F556" s="25"/>
      <c r="G556" s="25">
        <f t="array" ref="G556">SUM(IF("156"&amp;C556=KHN&amp;MH,SL))</f>
        <v>12</v>
      </c>
      <c r="H556" s="25">
        <f t="array" ref="H556">SUM(IF("156"&amp;C556=KHN&amp;MH,TH))</f>
        <v>526896</v>
      </c>
      <c r="I556" s="25">
        <f t="array" ref="I556">SUM(IF("156"&amp;C556=KHC&amp;MH,SL))</f>
        <v>0</v>
      </c>
      <c r="J556" s="25">
        <f t="array" ref="J556">SUM(IF("156"&amp;C556=KHC&amp;MH,TH))</f>
        <v>0</v>
      </c>
      <c r="K556" s="25">
        <f t="shared" si="42"/>
        <v>12</v>
      </c>
      <c r="L556" s="25">
        <f t="shared" si="43"/>
        <v>526896</v>
      </c>
      <c r="M556" s="289">
        <f t="shared" si="44"/>
        <v>43908</v>
      </c>
    </row>
    <row r="557" spans="1:16" ht="18.75" customHeight="1">
      <c r="A557" s="289" t="str">
        <f t="shared" si="40"/>
        <v>NL</v>
      </c>
      <c r="B557" s="753">
        <f t="shared" si="41"/>
        <v>546</v>
      </c>
      <c r="C557" s="191" t="s">
        <v>463</v>
      </c>
      <c r="D557" s="291" t="s">
        <v>393</v>
      </c>
      <c r="E557" s="25"/>
      <c r="F557" s="25"/>
      <c r="G557" s="25">
        <f t="array" ref="G557">SUM(IF("156"&amp;C557=KHN&amp;MH,SL))</f>
        <v>228</v>
      </c>
      <c r="H557" s="25">
        <f t="array" ref="H557">SUM(IF("156"&amp;C557=KHN&amp;MH,TH))</f>
        <v>8732169</v>
      </c>
      <c r="I557" s="25">
        <f t="array" ref="I557">SUM(IF("156"&amp;C557=KHC&amp;MH,SL))</f>
        <v>204</v>
      </c>
      <c r="J557" s="25">
        <f t="array" ref="J557">SUM(IF("156"&amp;C557=KHC&amp;MH,TH))</f>
        <v>7692081</v>
      </c>
      <c r="K557" s="25">
        <f t="shared" si="42"/>
        <v>24</v>
      </c>
      <c r="L557" s="25">
        <f t="shared" si="43"/>
        <v>1040088</v>
      </c>
      <c r="M557" s="289">
        <f t="shared" si="44"/>
        <v>43337</v>
      </c>
    </row>
    <row r="558" spans="1:16" ht="18.75" customHeight="1">
      <c r="A558" s="289" t="str">
        <f t="shared" si="40"/>
        <v>NL</v>
      </c>
      <c r="B558" s="753">
        <f t="shared" si="41"/>
        <v>547</v>
      </c>
      <c r="C558" s="188" t="s">
        <v>1306</v>
      </c>
      <c r="D558" s="291" t="s">
        <v>393</v>
      </c>
      <c r="E558" s="25"/>
      <c r="F558" s="25"/>
      <c r="G558" s="25">
        <f t="array" ref="G558">SUM(IF("156"&amp;C558=KHN&amp;MH,SL))</f>
        <v>4</v>
      </c>
      <c r="H558" s="25">
        <f t="array" ref="H558">SUM(IF("156"&amp;C558=KHN&amp;MH,TH))</f>
        <v>65534</v>
      </c>
      <c r="I558" s="25">
        <f t="array" ref="I558">SUM(IF("156"&amp;C558=KHC&amp;MH,SL))</f>
        <v>4</v>
      </c>
      <c r="J558" s="25">
        <f t="array" ref="J558">SUM(IF("156"&amp;C558=KHC&amp;MH,TH))</f>
        <v>65534</v>
      </c>
      <c r="K558" s="25">
        <f t="shared" si="42"/>
        <v>0</v>
      </c>
      <c r="L558" s="25">
        <f t="shared" si="43"/>
        <v>0</v>
      </c>
      <c r="M558" s="289" t="e">
        <f t="shared" si="44"/>
        <v>#DIV/0!</v>
      </c>
    </row>
    <row r="559" spans="1:16" ht="18.75" customHeight="1">
      <c r="A559" s="289" t="str">
        <f t="shared" si="40"/>
        <v>NL</v>
      </c>
      <c r="B559" s="753">
        <f t="shared" si="41"/>
        <v>548</v>
      </c>
      <c r="C559" s="188" t="s">
        <v>1307</v>
      </c>
      <c r="D559" s="291" t="s">
        <v>393</v>
      </c>
      <c r="E559" s="25"/>
      <c r="F559" s="25"/>
      <c r="G559" s="25">
        <f t="array" ref="G559">SUM(IF("156"&amp;C559=KHN&amp;MH,SL))</f>
        <v>5</v>
      </c>
      <c r="H559" s="25">
        <f t="array" ref="H559">SUM(IF("156"&amp;C559=KHN&amp;MH,TH))</f>
        <v>967003</v>
      </c>
      <c r="I559" s="25">
        <f t="array" ref="I559">SUM(IF("156"&amp;C559=KHC&amp;MH,SL))</f>
        <v>5</v>
      </c>
      <c r="J559" s="25">
        <f t="array" ref="J559">SUM(IF("156"&amp;C559=KHC&amp;MH,TH))</f>
        <v>967003</v>
      </c>
      <c r="K559" s="25">
        <f t="shared" si="42"/>
        <v>0</v>
      </c>
      <c r="L559" s="25">
        <f t="shared" si="43"/>
        <v>0</v>
      </c>
      <c r="M559" s="289" t="e">
        <f t="shared" si="44"/>
        <v>#DIV/0!</v>
      </c>
    </row>
    <row r="560" spans="1:16" ht="18.75" customHeight="1">
      <c r="A560" s="289" t="str">
        <f t="shared" si="40"/>
        <v>NL</v>
      </c>
      <c r="B560" s="753">
        <f t="shared" si="41"/>
        <v>549</v>
      </c>
      <c r="C560" s="188" t="s">
        <v>1308</v>
      </c>
      <c r="D560" s="291" t="s">
        <v>393</v>
      </c>
      <c r="E560" s="25"/>
      <c r="F560" s="25"/>
      <c r="G560" s="25">
        <f t="array" ref="G560">SUM(IF("156"&amp;C560=KHN&amp;MH,SL))</f>
        <v>25</v>
      </c>
      <c r="H560" s="25">
        <f t="array" ref="H560">SUM(IF("156"&amp;C560=KHN&amp;MH,TH))</f>
        <v>626665</v>
      </c>
      <c r="I560" s="25">
        <f t="array" ref="I560">SUM(IF("156"&amp;C560=KHC&amp;MH,SL))</f>
        <v>25</v>
      </c>
      <c r="J560" s="25">
        <f t="array" ref="J560">SUM(IF("156"&amp;C560=KHC&amp;MH,TH))</f>
        <v>626665</v>
      </c>
      <c r="K560" s="25">
        <f t="shared" si="42"/>
        <v>0</v>
      </c>
      <c r="L560" s="25">
        <f t="shared" si="43"/>
        <v>0</v>
      </c>
      <c r="M560" s="289" t="e">
        <f t="shared" si="44"/>
        <v>#DIV/0!</v>
      </c>
    </row>
    <row r="561" spans="1:16" ht="18.75" customHeight="1">
      <c r="A561" s="289" t="str">
        <f t="shared" si="40"/>
        <v>NL</v>
      </c>
      <c r="B561" s="753">
        <f t="shared" si="41"/>
        <v>550</v>
      </c>
      <c r="C561" s="191" t="s">
        <v>1302</v>
      </c>
      <c r="D561" s="291" t="s">
        <v>393</v>
      </c>
      <c r="E561" s="25"/>
      <c r="F561" s="25"/>
      <c r="G561" s="25">
        <f t="array" ref="G561">SUM(IF("156"&amp;C561=KHN&amp;MH,SL))</f>
        <v>2126</v>
      </c>
      <c r="H561" s="25">
        <f t="array" ref="H561">SUM(IF("156"&amp;C561=KHN&amp;MH,TH))</f>
        <v>66844689</v>
      </c>
      <c r="I561" s="25">
        <f t="array" ref="I561">SUM(IF("156"&amp;C561=KHC&amp;MH,SL))</f>
        <v>2108</v>
      </c>
      <c r="J561" s="25">
        <f t="array" ref="J561">SUM(IF("156"&amp;C561=KHC&amp;MH,TH))</f>
        <v>66474033</v>
      </c>
      <c r="K561" s="25">
        <f t="shared" si="42"/>
        <v>18</v>
      </c>
      <c r="L561" s="25">
        <f t="shared" si="43"/>
        <v>370656</v>
      </c>
      <c r="M561" s="289">
        <f t="shared" si="44"/>
        <v>20592</v>
      </c>
    </row>
    <row r="562" spans="1:16" ht="18.75" customHeight="1">
      <c r="A562" s="289" t="str">
        <f t="shared" si="40"/>
        <v>NL</v>
      </c>
      <c r="B562" s="753">
        <f t="shared" si="41"/>
        <v>551</v>
      </c>
      <c r="C562" s="191" t="s">
        <v>1179</v>
      </c>
      <c r="D562" s="291" t="s">
        <v>393</v>
      </c>
      <c r="E562" s="25">
        <v>650</v>
      </c>
      <c r="F562" s="25">
        <v>20473034</v>
      </c>
      <c r="G562" s="25">
        <f t="array" ref="G562">SUM(IF("156"&amp;C562=KHN&amp;MH,SL))</f>
        <v>20200</v>
      </c>
      <c r="H562" s="25">
        <f t="array" ref="H562">SUM(IF("156"&amp;C562=KHN&amp;MH,TH))</f>
        <v>637115769</v>
      </c>
      <c r="I562" s="25">
        <f t="array" ref="I562">SUM(IF("156"&amp;C562=KHC&amp;MH,SL))</f>
        <v>20850</v>
      </c>
      <c r="J562" s="25">
        <f t="array" ref="J562">SUM(IF("156"&amp;C562=KHC&amp;MH,TH))</f>
        <v>657588803</v>
      </c>
      <c r="K562" s="25">
        <f t="shared" si="42"/>
        <v>0</v>
      </c>
      <c r="L562" s="25">
        <f t="shared" si="43"/>
        <v>0</v>
      </c>
      <c r="M562" s="289" t="e">
        <f t="shared" si="44"/>
        <v>#DIV/0!</v>
      </c>
    </row>
    <row r="563" spans="1:16" ht="18.75" customHeight="1">
      <c r="A563" s="289" t="str">
        <f t="shared" si="40"/>
        <v>NL</v>
      </c>
      <c r="B563" s="753">
        <f t="shared" si="41"/>
        <v>552</v>
      </c>
      <c r="C563" s="191" t="s">
        <v>1303</v>
      </c>
      <c r="D563" s="291" t="s">
        <v>393</v>
      </c>
      <c r="E563" s="25"/>
      <c r="F563" s="25"/>
      <c r="G563" s="25">
        <f t="array" ref="G563">SUM(IF("156"&amp;C563=KHN&amp;MH,SL))</f>
        <v>70</v>
      </c>
      <c r="H563" s="25">
        <f t="array" ref="H563">SUM(IF("156"&amp;C563=KHN&amp;MH,TH))</f>
        <v>2036507</v>
      </c>
      <c r="I563" s="25">
        <f t="array" ref="I563">SUM(IF("156"&amp;C563=KHC&amp;MH,SL))</f>
        <v>70</v>
      </c>
      <c r="J563" s="25">
        <f t="array" ref="J563">SUM(IF("156"&amp;C563=KHC&amp;MH,TH))</f>
        <v>2036507</v>
      </c>
      <c r="K563" s="25">
        <f t="shared" si="42"/>
        <v>0</v>
      </c>
      <c r="L563" s="25">
        <f t="shared" si="43"/>
        <v>0</v>
      </c>
      <c r="M563" s="289" t="e">
        <f t="shared" si="44"/>
        <v>#DIV/0!</v>
      </c>
    </row>
    <row r="564" spans="1:16" ht="18.75" customHeight="1">
      <c r="A564" s="289" t="str">
        <f t="shared" si="40"/>
        <v>NL</v>
      </c>
      <c r="B564" s="753">
        <f t="shared" si="41"/>
        <v>553</v>
      </c>
      <c r="C564" s="191" t="s">
        <v>1178</v>
      </c>
      <c r="D564" s="291" t="s">
        <v>393</v>
      </c>
      <c r="E564" s="25">
        <v>650</v>
      </c>
      <c r="F564" s="25">
        <v>20068750</v>
      </c>
      <c r="G564" s="25">
        <f t="array" ref="G564">SUM(IF("156"&amp;C564=KHN&amp;MH,SL))</f>
        <v>24415</v>
      </c>
      <c r="H564" s="25">
        <f t="array" ref="H564">SUM(IF("156"&amp;C564=KHN&amp;MH,TH))</f>
        <v>802593210</v>
      </c>
      <c r="I564" s="25">
        <f t="array" ref="I564">SUM(IF("156"&amp;C564=KHC&amp;MH,SL))</f>
        <v>25065</v>
      </c>
      <c r="J564" s="25">
        <f t="array" ref="J564">SUM(IF("156"&amp;C564=KHC&amp;MH,TH))</f>
        <v>822661960</v>
      </c>
      <c r="K564" s="25">
        <f t="shared" si="42"/>
        <v>0</v>
      </c>
      <c r="L564" s="25">
        <f t="shared" si="43"/>
        <v>0</v>
      </c>
      <c r="M564" s="289" t="e">
        <f t="shared" si="44"/>
        <v>#DIV/0!</v>
      </c>
    </row>
    <row r="565" spans="1:16" ht="18.75" customHeight="1">
      <c r="A565" s="289" t="str">
        <f t="shared" si="40"/>
        <v>NL</v>
      </c>
      <c r="B565" s="753">
        <f t="shared" si="41"/>
        <v>554</v>
      </c>
      <c r="C565" s="188" t="s">
        <v>815</v>
      </c>
      <c r="D565" s="291" t="s">
        <v>393</v>
      </c>
      <c r="E565" s="25"/>
      <c r="F565" s="25"/>
      <c r="G565" s="25">
        <f t="array" ref="G565">SUM(IF("156"&amp;C565=KHN&amp;MH,SL))</f>
        <v>24</v>
      </c>
      <c r="H565" s="25">
        <f t="array" ref="H565">SUM(IF("156"&amp;C565=KHN&amp;MH,TH))</f>
        <v>1042439</v>
      </c>
      <c r="I565" s="25">
        <f t="array" ref="I565">SUM(IF("156"&amp;C565=KHC&amp;MH,SL))</f>
        <v>24</v>
      </c>
      <c r="J565" s="25">
        <f t="array" ref="J565">SUM(IF("156"&amp;C565=KHC&amp;MH,TH))</f>
        <v>1042439</v>
      </c>
      <c r="K565" s="25">
        <f t="shared" si="42"/>
        <v>0</v>
      </c>
      <c r="L565" s="25">
        <f t="shared" si="43"/>
        <v>0</v>
      </c>
      <c r="M565" s="289" t="e">
        <f t="shared" si="44"/>
        <v>#DIV/0!</v>
      </c>
    </row>
    <row r="566" spans="1:16" ht="18.75" customHeight="1">
      <c r="A566" s="289" t="str">
        <f t="shared" si="40"/>
        <v>NL</v>
      </c>
      <c r="B566" s="753">
        <f t="shared" si="41"/>
        <v>555</v>
      </c>
      <c r="C566" s="40" t="s">
        <v>873</v>
      </c>
      <c r="D566" s="291" t="s">
        <v>393</v>
      </c>
      <c r="E566" s="25"/>
      <c r="F566" s="25"/>
      <c r="G566" s="25">
        <f t="array" ref="G566">SUM(IF("156"&amp;C566=KHN&amp;MH,SL))</f>
        <v>12</v>
      </c>
      <c r="H566" s="25">
        <f t="array" ref="H566">SUM(IF("156"&amp;C566=KHN&amp;MH,TH))</f>
        <v>518196</v>
      </c>
      <c r="I566" s="25">
        <f t="array" ref="I566">SUM(IF("156"&amp;C566=KHC&amp;MH,SL))</f>
        <v>12</v>
      </c>
      <c r="J566" s="25">
        <f t="array" ref="J566">SUM(IF("156"&amp;C566=KHC&amp;MH,TH))</f>
        <v>518196</v>
      </c>
      <c r="K566" s="25">
        <f t="shared" si="42"/>
        <v>0</v>
      </c>
      <c r="L566" s="25">
        <f t="shared" si="43"/>
        <v>0</v>
      </c>
      <c r="M566" s="289" t="e">
        <f t="shared" si="44"/>
        <v>#DIV/0!</v>
      </c>
    </row>
    <row r="567" spans="1:16" ht="18.75" customHeight="1">
      <c r="A567" s="289" t="str">
        <f t="shared" si="40"/>
        <v>NL</v>
      </c>
      <c r="B567" s="753">
        <f t="shared" si="41"/>
        <v>556</v>
      </c>
      <c r="C567" s="188" t="s">
        <v>878</v>
      </c>
      <c r="D567" s="291" t="s">
        <v>393</v>
      </c>
      <c r="E567" s="25"/>
      <c r="F567" s="25"/>
      <c r="G567" s="25">
        <f t="array" ref="G567">SUM(IF("156"&amp;C567=KHN&amp;MH,SL))</f>
        <v>14</v>
      </c>
      <c r="H567" s="25">
        <f t="array" ref="H567">SUM(IF("156"&amp;C567=KHN&amp;MH,TH))</f>
        <v>606998</v>
      </c>
      <c r="I567" s="25">
        <f t="array" ref="I567">SUM(IF("156"&amp;C567=KHC&amp;MH,SL))</f>
        <v>14</v>
      </c>
      <c r="J567" s="25">
        <f t="array" ref="J567">SUM(IF("156"&amp;C567=KHC&amp;MH,TH))</f>
        <v>606998</v>
      </c>
      <c r="K567" s="25">
        <f t="shared" si="42"/>
        <v>0</v>
      </c>
      <c r="L567" s="25">
        <f t="shared" si="43"/>
        <v>0</v>
      </c>
      <c r="M567" s="289" t="e">
        <f t="shared" si="44"/>
        <v>#DIV/0!</v>
      </c>
    </row>
    <row r="568" spans="1:16" ht="18.75" customHeight="1">
      <c r="A568" s="289" t="str">
        <f t="shared" si="40"/>
        <v>NL</v>
      </c>
      <c r="B568" s="753">
        <f t="shared" si="41"/>
        <v>557</v>
      </c>
      <c r="C568" s="188" t="s">
        <v>821</v>
      </c>
      <c r="D568" s="291" t="s">
        <v>393</v>
      </c>
      <c r="E568" s="25"/>
      <c r="F568" s="25"/>
      <c r="G568" s="25">
        <f t="array" ref="G568">SUM(IF("156"&amp;C568=KHN&amp;MH,SL))</f>
        <v>48</v>
      </c>
      <c r="H568" s="25">
        <f t="array" ref="H568">SUM(IF("156"&amp;C568=KHN&amp;MH,TH))</f>
        <v>2249894</v>
      </c>
      <c r="I568" s="25">
        <f t="array" ref="I568">SUM(IF("156"&amp;C568=KHC&amp;MH,SL))</f>
        <v>48</v>
      </c>
      <c r="J568" s="25">
        <f t="array" ref="J568">SUM(IF("156"&amp;C568=KHC&amp;MH,TH))</f>
        <v>2249894</v>
      </c>
      <c r="K568" s="25">
        <f t="shared" si="42"/>
        <v>0</v>
      </c>
      <c r="L568" s="25">
        <f t="shared" si="43"/>
        <v>0</v>
      </c>
      <c r="M568" s="289" t="e">
        <f t="shared" si="44"/>
        <v>#DIV/0!</v>
      </c>
      <c r="O568" s="927"/>
      <c r="P568" s="927"/>
    </row>
    <row r="569" spans="1:16" ht="18.75" customHeight="1">
      <c r="A569" s="289" t="str">
        <f t="shared" si="40"/>
        <v>NL</v>
      </c>
      <c r="B569" s="753">
        <f t="shared" si="41"/>
        <v>558</v>
      </c>
      <c r="C569" s="191" t="s">
        <v>576</v>
      </c>
      <c r="D569" s="291" t="s">
        <v>393</v>
      </c>
      <c r="E569" s="25"/>
      <c r="F569" s="25"/>
      <c r="G569" s="25">
        <f t="array" ref="G569">SUM(IF("156"&amp;C569=KHN&amp;MH,SL))</f>
        <v>94</v>
      </c>
      <c r="H569" s="25">
        <f t="array" ref="H569">SUM(IF("156"&amp;C569=KHN&amp;MH,TH))</f>
        <v>4712690</v>
      </c>
      <c r="I569" s="25">
        <f t="array" ref="I569">SUM(IF("156"&amp;C569=KHC&amp;MH,SL))</f>
        <v>94</v>
      </c>
      <c r="J569" s="25">
        <f t="array" ref="J569">SUM(IF("156"&amp;C569=KHC&amp;MH,TH))</f>
        <v>4712690</v>
      </c>
      <c r="K569" s="25">
        <f t="shared" si="42"/>
        <v>0</v>
      </c>
      <c r="L569" s="25">
        <f t="shared" si="43"/>
        <v>0</v>
      </c>
      <c r="M569" s="289" t="e">
        <f t="shared" si="44"/>
        <v>#DIV/0!</v>
      </c>
    </row>
    <row r="570" spans="1:16" ht="18.75" customHeight="1">
      <c r="A570" s="289" t="str">
        <f t="shared" si="40"/>
        <v>NL</v>
      </c>
      <c r="B570" s="753">
        <f t="shared" si="41"/>
        <v>559</v>
      </c>
      <c r="C570" s="40" t="s">
        <v>1475</v>
      </c>
      <c r="D570" s="291" t="s">
        <v>393</v>
      </c>
      <c r="E570" s="25"/>
      <c r="F570" s="25"/>
      <c r="G570" s="25">
        <f t="array" ref="G570">SUM(IF("156"&amp;C570=KHN&amp;MH,SL))</f>
        <v>200</v>
      </c>
      <c r="H570" s="25">
        <f t="array" ref="H570">SUM(IF("156"&amp;C570=KHN&amp;MH,TH))</f>
        <v>1360000</v>
      </c>
      <c r="I570" s="25">
        <f t="array" ref="I570">SUM(IF("156"&amp;C570=KHC&amp;MH,SL))</f>
        <v>200</v>
      </c>
      <c r="J570" s="25">
        <f t="array" ref="J570">SUM(IF("156"&amp;C570=KHC&amp;MH,TH))</f>
        <v>1360000</v>
      </c>
      <c r="K570" s="25">
        <f t="shared" si="42"/>
        <v>0</v>
      </c>
      <c r="L570" s="25">
        <f t="shared" si="43"/>
        <v>0</v>
      </c>
      <c r="M570" s="289" t="e">
        <f t="shared" si="44"/>
        <v>#DIV/0!</v>
      </c>
    </row>
    <row r="571" spans="1:16" ht="18.75" customHeight="1">
      <c r="A571" s="289" t="str">
        <f t="shared" si="40"/>
        <v>NL</v>
      </c>
      <c r="B571" s="753">
        <f t="shared" si="41"/>
        <v>560</v>
      </c>
      <c r="C571" s="40" t="s">
        <v>1476</v>
      </c>
      <c r="D571" s="291" t="s">
        <v>393</v>
      </c>
      <c r="E571" s="25"/>
      <c r="F571" s="25"/>
      <c r="G571" s="25">
        <f t="array" ref="G571">SUM(IF("156"&amp;C571=KHN&amp;MH,SL))</f>
        <v>300</v>
      </c>
      <c r="H571" s="25">
        <f t="array" ref="H571">SUM(IF("156"&amp;C571=KHN&amp;MH,TH))</f>
        <v>2160000</v>
      </c>
      <c r="I571" s="25">
        <f t="array" ref="I571">SUM(IF("156"&amp;C571=KHC&amp;MH,SL))</f>
        <v>300</v>
      </c>
      <c r="J571" s="25">
        <f t="array" ref="J571">SUM(IF("156"&amp;C571=KHC&amp;MH,TH))</f>
        <v>2160000</v>
      </c>
      <c r="K571" s="25">
        <f t="shared" si="42"/>
        <v>0</v>
      </c>
      <c r="L571" s="25">
        <f t="shared" si="43"/>
        <v>0</v>
      </c>
      <c r="M571" s="289" t="e">
        <f t="shared" si="44"/>
        <v>#DIV/0!</v>
      </c>
    </row>
    <row r="572" spans="1:16" ht="18.75" customHeight="1">
      <c r="A572" s="289" t="str">
        <f t="shared" si="40"/>
        <v>NL</v>
      </c>
      <c r="B572" s="753">
        <f t="shared" si="41"/>
        <v>561</v>
      </c>
      <c r="C572" s="40" t="s">
        <v>745</v>
      </c>
      <c r="D572" s="291" t="s">
        <v>393</v>
      </c>
      <c r="E572" s="25"/>
      <c r="F572" s="25"/>
      <c r="G572" s="25">
        <f t="array" ref="G572">SUM(IF("156"&amp;C572=KHN&amp;MH,SL))</f>
        <v>80</v>
      </c>
      <c r="H572" s="25">
        <f t="array" ref="H572">SUM(IF("156"&amp;C572=KHN&amp;MH,TH))</f>
        <v>2071280</v>
      </c>
      <c r="I572" s="25">
        <f t="array" ref="I572">SUM(IF("156"&amp;C572=KHC&amp;MH,SL))</f>
        <v>80</v>
      </c>
      <c r="J572" s="25">
        <f t="array" ref="J572">SUM(IF("156"&amp;C572=KHC&amp;MH,TH))</f>
        <v>2071280</v>
      </c>
      <c r="K572" s="25">
        <f t="shared" si="42"/>
        <v>0</v>
      </c>
      <c r="L572" s="25">
        <f t="shared" si="43"/>
        <v>0</v>
      </c>
      <c r="M572" s="289" t="e">
        <f t="shared" si="44"/>
        <v>#DIV/0!</v>
      </c>
    </row>
    <row r="573" spans="1:16" ht="18.75" customHeight="1">
      <c r="A573" s="289" t="str">
        <f t="shared" si="40"/>
        <v>NL</v>
      </c>
      <c r="B573" s="753">
        <f t="shared" si="41"/>
        <v>562</v>
      </c>
      <c r="C573" s="191" t="s">
        <v>773</v>
      </c>
      <c r="D573" s="291" t="s">
        <v>393</v>
      </c>
      <c r="E573" s="25"/>
      <c r="F573" s="25"/>
      <c r="G573" s="25">
        <f t="array" ref="G573">SUM(IF("156"&amp;C573=KHN&amp;MH,SL))</f>
        <v>75</v>
      </c>
      <c r="H573" s="25">
        <f t="array" ref="H573">SUM(IF("156"&amp;C573=KHN&amp;MH,TH))</f>
        <v>1992525</v>
      </c>
      <c r="I573" s="25">
        <f t="array" ref="I573">SUM(IF("156"&amp;C573=KHC&amp;MH,SL))</f>
        <v>75</v>
      </c>
      <c r="J573" s="25">
        <f t="array" ref="J573">SUM(IF("156"&amp;C573=KHC&amp;MH,TH))</f>
        <v>1992525</v>
      </c>
      <c r="K573" s="25">
        <f t="shared" si="42"/>
        <v>0</v>
      </c>
      <c r="L573" s="25">
        <f t="shared" si="43"/>
        <v>0</v>
      </c>
      <c r="M573" s="289" t="e">
        <f t="shared" si="44"/>
        <v>#DIV/0!</v>
      </c>
    </row>
    <row r="574" spans="1:16" ht="18.75" customHeight="1">
      <c r="A574" s="289" t="str">
        <f t="shared" si="40"/>
        <v>NL</v>
      </c>
      <c r="B574" s="753">
        <f t="shared" si="41"/>
        <v>563</v>
      </c>
      <c r="C574" s="188" t="s">
        <v>955</v>
      </c>
      <c r="D574" s="291" t="s">
        <v>393</v>
      </c>
      <c r="E574" s="25"/>
      <c r="F574" s="25"/>
      <c r="G574" s="25">
        <f t="array" ref="G574">SUM(IF("156"&amp;C574=KHN&amp;MH,SL))</f>
        <v>200</v>
      </c>
      <c r="H574" s="25">
        <f t="array" ref="H574">SUM(IF("156"&amp;C574=KHN&amp;MH,TH))</f>
        <v>1350000</v>
      </c>
      <c r="I574" s="25">
        <f t="array" ref="I574">SUM(IF("156"&amp;C574=KHC&amp;MH,SL))</f>
        <v>200</v>
      </c>
      <c r="J574" s="25">
        <f t="array" ref="J574">SUM(IF("156"&amp;C574=KHC&amp;MH,TH))</f>
        <v>1350000</v>
      </c>
      <c r="K574" s="25">
        <f t="shared" si="42"/>
        <v>0</v>
      </c>
      <c r="L574" s="25">
        <f t="shared" si="43"/>
        <v>0</v>
      </c>
      <c r="M574" s="289" t="e">
        <f t="shared" si="44"/>
        <v>#DIV/0!</v>
      </c>
    </row>
    <row r="575" spans="1:16" ht="18.75" customHeight="1">
      <c r="A575" s="289" t="str">
        <f t="shared" si="40"/>
        <v>NL</v>
      </c>
      <c r="B575" s="753">
        <f t="shared" si="41"/>
        <v>564</v>
      </c>
      <c r="C575" s="191" t="s">
        <v>731</v>
      </c>
      <c r="D575" s="291" t="s">
        <v>393</v>
      </c>
      <c r="E575" s="25"/>
      <c r="F575" s="25"/>
      <c r="G575" s="25">
        <f t="array" ref="G575">SUM(IF("156"&amp;C575=KHN&amp;MH,SL))</f>
        <v>500</v>
      </c>
      <c r="H575" s="25">
        <f t="array" ref="H575">SUM(IF("156"&amp;C575=KHN&amp;MH,TH))</f>
        <v>2414000</v>
      </c>
      <c r="I575" s="25">
        <f t="array" ref="I575">SUM(IF("156"&amp;C575=KHC&amp;MH,SL))</f>
        <v>500</v>
      </c>
      <c r="J575" s="25">
        <f t="array" ref="J575">SUM(IF("156"&amp;C575=KHC&amp;MH,TH))</f>
        <v>2414000</v>
      </c>
      <c r="K575" s="25">
        <f t="shared" si="42"/>
        <v>0</v>
      </c>
      <c r="L575" s="25">
        <f t="shared" si="43"/>
        <v>0</v>
      </c>
      <c r="M575" s="289" t="e">
        <f t="shared" si="44"/>
        <v>#DIV/0!</v>
      </c>
    </row>
    <row r="576" spans="1:16" ht="18.75" customHeight="1">
      <c r="A576" s="289" t="str">
        <f t="shared" si="40"/>
        <v>NL</v>
      </c>
      <c r="B576" s="753">
        <f t="shared" si="41"/>
        <v>565</v>
      </c>
      <c r="C576" s="191" t="s">
        <v>728</v>
      </c>
      <c r="D576" s="291" t="s">
        <v>393</v>
      </c>
      <c r="E576" s="25"/>
      <c r="F576" s="25"/>
      <c r="G576" s="25">
        <f t="array" ref="G576">SUM(IF("156"&amp;C576=KHN&amp;MH,SL))</f>
        <v>500</v>
      </c>
      <c r="H576" s="25">
        <f t="array" ref="H576">SUM(IF("156"&amp;C576=KHN&amp;MH,TH))</f>
        <v>3294500</v>
      </c>
      <c r="I576" s="25">
        <f t="array" ref="I576">SUM(IF("156"&amp;C576=KHC&amp;MH,SL))</f>
        <v>500</v>
      </c>
      <c r="J576" s="25">
        <f t="array" ref="J576">SUM(IF("156"&amp;C576=KHC&amp;MH,TH))</f>
        <v>3294500</v>
      </c>
      <c r="K576" s="25">
        <f t="shared" si="42"/>
        <v>0</v>
      </c>
      <c r="L576" s="25">
        <f t="shared" si="43"/>
        <v>0</v>
      </c>
      <c r="M576" s="289" t="e">
        <f t="shared" si="44"/>
        <v>#DIV/0!</v>
      </c>
    </row>
    <row r="577" spans="1:16" ht="18.75" customHeight="1">
      <c r="A577" s="289" t="str">
        <f t="shared" si="40"/>
        <v>NL</v>
      </c>
      <c r="B577" s="753">
        <f t="shared" si="41"/>
        <v>566</v>
      </c>
      <c r="C577" s="292" t="s">
        <v>1462</v>
      </c>
      <c r="D577" s="291" t="s">
        <v>393</v>
      </c>
      <c r="E577" s="25"/>
      <c r="F577" s="25"/>
      <c r="G577" s="25">
        <f t="array" ref="G577">SUM(IF("156"&amp;C577=KHN&amp;MH,SL))</f>
        <v>30</v>
      </c>
      <c r="H577" s="25">
        <f t="array" ref="H577">SUM(IF("156"&amp;C577=KHN&amp;MH,TH))</f>
        <v>2025000</v>
      </c>
      <c r="I577" s="25">
        <f t="array" ref="I577">SUM(IF("156"&amp;C577=KHC&amp;MH,SL))</f>
        <v>30</v>
      </c>
      <c r="J577" s="25">
        <f t="array" ref="J577">SUM(IF("156"&amp;C577=KHC&amp;MH,TH))</f>
        <v>2025000</v>
      </c>
      <c r="K577" s="25">
        <f t="shared" si="42"/>
        <v>0</v>
      </c>
      <c r="L577" s="25">
        <f t="shared" si="43"/>
        <v>0</v>
      </c>
      <c r="M577" s="289" t="e">
        <f t="shared" si="44"/>
        <v>#DIV/0!</v>
      </c>
      <c r="O577" s="927"/>
      <c r="P577" s="927"/>
    </row>
    <row r="578" spans="1:16" ht="18.75" customHeight="1">
      <c r="A578" s="289" t="str">
        <f t="shared" si="40"/>
        <v>NL</v>
      </c>
      <c r="B578" s="753">
        <f t="shared" si="41"/>
        <v>567</v>
      </c>
      <c r="C578" s="191" t="s">
        <v>1009</v>
      </c>
      <c r="D578" s="291" t="s">
        <v>393</v>
      </c>
      <c r="E578" s="25"/>
      <c r="F578" s="25"/>
      <c r="G578" s="25">
        <f t="array" ref="G578">SUM(IF("156"&amp;C578=KHN&amp;MH,SL))</f>
        <v>7</v>
      </c>
      <c r="H578" s="25">
        <f t="array" ref="H578">SUM(IF("156"&amp;C578=KHN&amp;MH,TH))</f>
        <v>298109</v>
      </c>
      <c r="I578" s="25">
        <f t="array" ref="I578">SUM(IF("156"&amp;C578=KHC&amp;MH,SL))</f>
        <v>7</v>
      </c>
      <c r="J578" s="25">
        <f t="array" ref="J578">SUM(IF("156"&amp;C578=KHC&amp;MH,TH))</f>
        <v>298109</v>
      </c>
      <c r="K578" s="25">
        <f t="shared" si="42"/>
        <v>0</v>
      </c>
      <c r="L578" s="25">
        <f t="shared" si="43"/>
        <v>0</v>
      </c>
      <c r="M578" s="289" t="e">
        <f t="shared" si="44"/>
        <v>#DIV/0!</v>
      </c>
    </row>
    <row r="579" spans="1:16" ht="18.75" customHeight="1">
      <c r="A579" s="289" t="str">
        <f t="shared" si="40"/>
        <v>NL</v>
      </c>
      <c r="B579" s="753">
        <f t="shared" si="41"/>
        <v>568</v>
      </c>
      <c r="C579" s="292" t="s">
        <v>1757</v>
      </c>
      <c r="D579" s="291"/>
      <c r="E579" s="25"/>
      <c r="F579" s="25"/>
      <c r="G579" s="25">
        <f t="array" ref="G579">SUM(IF("156"&amp;C579=KHN&amp;MH,SL))</f>
        <v>20</v>
      </c>
      <c r="H579" s="25">
        <f t="array" ref="H579">SUM(IF("156"&amp;C579=KHN&amp;MH,TH))</f>
        <v>1100020</v>
      </c>
      <c r="I579" s="25">
        <f t="array" ref="I579">SUM(IF("156"&amp;C579=KHC&amp;MH,SL))</f>
        <v>20</v>
      </c>
      <c r="J579" s="25">
        <f t="array" ref="J579">SUM(IF("156"&amp;C579=KHC&amp;MH,TH))</f>
        <v>1100020</v>
      </c>
      <c r="K579" s="25">
        <f t="shared" si="42"/>
        <v>0</v>
      </c>
      <c r="L579" s="25">
        <f t="shared" si="43"/>
        <v>0</v>
      </c>
      <c r="M579" s="289" t="e">
        <f t="shared" si="44"/>
        <v>#DIV/0!</v>
      </c>
    </row>
    <row r="580" spans="1:16" ht="18.75" customHeight="1">
      <c r="A580" s="289" t="str">
        <f t="shared" si="40"/>
        <v>NL</v>
      </c>
      <c r="B580" s="753">
        <f t="shared" si="41"/>
        <v>569</v>
      </c>
      <c r="C580" s="191" t="s">
        <v>985</v>
      </c>
      <c r="D580" s="291" t="s">
        <v>393</v>
      </c>
      <c r="E580" s="25"/>
      <c r="F580" s="25"/>
      <c r="G580" s="25">
        <f t="array" ref="G580">SUM(IF("156"&amp;C580=KHN&amp;MH,SL))</f>
        <v>6</v>
      </c>
      <c r="H580" s="25">
        <f t="array" ref="H580">SUM(IF("156"&amp;C580=KHN&amp;MH,TH))</f>
        <v>202920</v>
      </c>
      <c r="I580" s="25">
        <f t="array" ref="I580">SUM(IF("156"&amp;C580=KHC&amp;MH,SL))</f>
        <v>6</v>
      </c>
      <c r="J580" s="25">
        <f t="array" ref="J580">SUM(IF("156"&amp;C580=KHC&amp;MH,TH))</f>
        <v>202920</v>
      </c>
      <c r="K580" s="25">
        <f t="shared" si="42"/>
        <v>0</v>
      </c>
      <c r="L580" s="25">
        <f t="shared" si="43"/>
        <v>0</v>
      </c>
      <c r="M580" s="289" t="e">
        <f t="shared" si="44"/>
        <v>#DIV/0!</v>
      </c>
    </row>
    <row r="581" spans="1:16" ht="18.75" customHeight="1">
      <c r="A581" s="289" t="str">
        <f t="shared" si="40"/>
        <v>NL</v>
      </c>
      <c r="B581" s="753">
        <f t="shared" si="41"/>
        <v>570</v>
      </c>
      <c r="C581" s="292" t="s">
        <v>1439</v>
      </c>
      <c r="D581" s="291" t="s">
        <v>393</v>
      </c>
      <c r="E581" s="25"/>
      <c r="F581" s="25"/>
      <c r="G581" s="25">
        <f t="array" ref="G581">SUM(IF("156"&amp;C581=KHN&amp;MH,SL))</f>
        <v>12</v>
      </c>
      <c r="H581" s="25">
        <f t="array" ref="H581">SUM(IF("156"&amp;C581=KHN&amp;MH,TH))</f>
        <v>474732</v>
      </c>
      <c r="I581" s="25">
        <f t="array" ref="I581">SUM(IF("156"&amp;C581=KHC&amp;MH,SL))</f>
        <v>12</v>
      </c>
      <c r="J581" s="25">
        <f t="array" ref="J581">SUM(IF("156"&amp;C581=KHC&amp;MH,TH))</f>
        <v>474732</v>
      </c>
      <c r="K581" s="25">
        <f t="shared" si="42"/>
        <v>0</v>
      </c>
      <c r="L581" s="25">
        <f t="shared" si="43"/>
        <v>0</v>
      </c>
      <c r="M581" s="289" t="e">
        <f t="shared" si="44"/>
        <v>#DIV/0!</v>
      </c>
    </row>
    <row r="582" spans="1:16" ht="18.75" customHeight="1">
      <c r="A582" s="289" t="str">
        <f t="shared" si="40"/>
        <v>NL</v>
      </c>
      <c r="B582" s="753">
        <f t="shared" si="41"/>
        <v>571</v>
      </c>
      <c r="C582" s="292" t="s">
        <v>1461</v>
      </c>
      <c r="D582" s="291" t="s">
        <v>393</v>
      </c>
      <c r="E582" s="25"/>
      <c r="F582" s="25"/>
      <c r="G582" s="25">
        <f t="array" ref="G582">SUM(IF("156"&amp;C582=KHN&amp;MH,SL))</f>
        <v>30</v>
      </c>
      <c r="H582" s="25">
        <f t="array" ref="H582">SUM(IF("156"&amp;C582=KHN&amp;MH,TH))</f>
        <v>1845000</v>
      </c>
      <c r="I582" s="25">
        <f t="array" ref="I582">SUM(IF("156"&amp;C582=KHC&amp;MH,SL))</f>
        <v>30</v>
      </c>
      <c r="J582" s="25">
        <f t="array" ref="J582">SUM(IF("156"&amp;C582=KHC&amp;MH,TH))</f>
        <v>1845000</v>
      </c>
      <c r="K582" s="25">
        <f t="shared" si="42"/>
        <v>0</v>
      </c>
      <c r="L582" s="25">
        <f t="shared" si="43"/>
        <v>0</v>
      </c>
      <c r="M582" s="289" t="e">
        <f t="shared" si="44"/>
        <v>#DIV/0!</v>
      </c>
      <c r="O582" s="927"/>
      <c r="P582" s="927"/>
    </row>
    <row r="583" spans="1:16" ht="18.75" customHeight="1">
      <c r="A583" s="289" t="str">
        <f t="shared" si="40"/>
        <v>NL</v>
      </c>
      <c r="B583" s="753">
        <f t="shared" si="41"/>
        <v>572</v>
      </c>
      <c r="C583" s="188" t="s">
        <v>954</v>
      </c>
      <c r="D583" s="291" t="s">
        <v>393</v>
      </c>
      <c r="E583" s="25"/>
      <c r="F583" s="25"/>
      <c r="G583" s="25">
        <f t="array" ref="G583">SUM(IF("156"&amp;C583=KHN&amp;MH,SL))</f>
        <v>1000</v>
      </c>
      <c r="H583" s="25">
        <f t="array" ref="H583">SUM(IF("156"&amp;C583=KHN&amp;MH,TH))</f>
        <v>20464244</v>
      </c>
      <c r="I583" s="25">
        <f t="array" ref="I583">SUM(IF("156"&amp;C583=KHC&amp;MH,SL))</f>
        <v>1000</v>
      </c>
      <c r="J583" s="25">
        <f t="array" ref="J583">SUM(IF("156"&amp;C583=KHC&amp;MH,TH))</f>
        <v>20464244</v>
      </c>
      <c r="K583" s="25">
        <f t="shared" si="42"/>
        <v>0</v>
      </c>
      <c r="L583" s="25">
        <f t="shared" si="43"/>
        <v>0</v>
      </c>
      <c r="M583" s="289" t="e">
        <f t="shared" si="44"/>
        <v>#DIV/0!</v>
      </c>
    </row>
    <row r="584" spans="1:16" ht="18.75" customHeight="1">
      <c r="A584" s="289" t="str">
        <f t="shared" si="40"/>
        <v>NL</v>
      </c>
      <c r="B584" s="753">
        <f t="shared" si="41"/>
        <v>573</v>
      </c>
      <c r="C584" s="191" t="s">
        <v>1000</v>
      </c>
      <c r="D584" s="291" t="s">
        <v>393</v>
      </c>
      <c r="E584" s="25"/>
      <c r="F584" s="25"/>
      <c r="G584" s="25">
        <f t="array" ref="G584">SUM(IF("156"&amp;C584=KHN&amp;MH,SL))</f>
        <v>6</v>
      </c>
      <c r="H584" s="25">
        <f t="array" ref="H584">SUM(IF("156"&amp;C584=KHN&amp;MH,TH))</f>
        <v>26844</v>
      </c>
      <c r="I584" s="25">
        <f t="array" ref="I584">SUM(IF("156"&amp;C584=KHC&amp;MH,SL))</f>
        <v>6</v>
      </c>
      <c r="J584" s="25">
        <f t="array" ref="J584">SUM(IF("156"&amp;C584=KHC&amp;MH,TH))</f>
        <v>26844</v>
      </c>
      <c r="K584" s="25">
        <f t="shared" si="42"/>
        <v>0</v>
      </c>
      <c r="L584" s="25">
        <f t="shared" si="43"/>
        <v>0</v>
      </c>
      <c r="M584" s="289" t="e">
        <f t="shared" si="44"/>
        <v>#DIV/0!</v>
      </c>
    </row>
    <row r="585" spans="1:16" ht="18.75" customHeight="1">
      <c r="A585" s="289" t="str">
        <f t="shared" si="40"/>
        <v>NL</v>
      </c>
      <c r="B585" s="753">
        <f t="shared" si="41"/>
        <v>574</v>
      </c>
      <c r="C585" s="191" t="s">
        <v>1782</v>
      </c>
      <c r="D585" s="291"/>
      <c r="E585" s="25"/>
      <c r="F585" s="25"/>
      <c r="G585" s="25">
        <f t="array" ref="G585">SUM(IF("156"&amp;C585=KHN&amp;MH,SL))</f>
        <v>42</v>
      </c>
      <c r="H585" s="25">
        <f t="array" ref="H585">SUM(IF("156"&amp;C585=KHN&amp;MH,TH))</f>
        <v>512387</v>
      </c>
      <c r="I585" s="25">
        <f t="array" ref="I585">SUM(IF("156"&amp;C585=KHC&amp;MH,SL))</f>
        <v>42</v>
      </c>
      <c r="J585" s="25">
        <f t="array" ref="J585">SUM(IF("156"&amp;C585=KHC&amp;MH,TH))</f>
        <v>512387</v>
      </c>
      <c r="K585" s="25">
        <f t="shared" si="42"/>
        <v>0</v>
      </c>
      <c r="L585" s="25">
        <f t="shared" si="43"/>
        <v>0</v>
      </c>
      <c r="M585" s="289" t="e">
        <f t="shared" si="44"/>
        <v>#DIV/0!</v>
      </c>
    </row>
    <row r="586" spans="1:16" ht="18.75" customHeight="1">
      <c r="A586" s="289" t="str">
        <f t="shared" si="40"/>
        <v>NL</v>
      </c>
      <c r="B586" s="753">
        <f t="shared" si="41"/>
        <v>575</v>
      </c>
      <c r="C586" s="191" t="s">
        <v>569</v>
      </c>
      <c r="D586" s="291" t="s">
        <v>393</v>
      </c>
      <c r="E586" s="25"/>
      <c r="F586" s="25"/>
      <c r="G586" s="25">
        <f t="array" ref="G586">SUM(IF("156"&amp;C586=KHN&amp;MH,SL))</f>
        <v>24</v>
      </c>
      <c r="H586" s="25">
        <f t="array" ref="H586">SUM(IF("156"&amp;C586=KHN&amp;MH,TH))</f>
        <v>209160</v>
      </c>
      <c r="I586" s="25">
        <f t="array" ref="I586">SUM(IF("156"&amp;C586=KHC&amp;MH,SL))</f>
        <v>24</v>
      </c>
      <c r="J586" s="25">
        <f t="array" ref="J586">SUM(IF("156"&amp;C586=KHC&amp;MH,TH))</f>
        <v>209160</v>
      </c>
      <c r="K586" s="25">
        <f t="shared" si="42"/>
        <v>0</v>
      </c>
      <c r="L586" s="25">
        <f t="shared" si="43"/>
        <v>0</v>
      </c>
      <c r="M586" s="289" t="e">
        <f t="shared" si="44"/>
        <v>#DIV/0!</v>
      </c>
    </row>
    <row r="587" spans="1:16" ht="18.75" customHeight="1">
      <c r="A587" s="289" t="str">
        <f t="shared" si="40"/>
        <v>NL</v>
      </c>
      <c r="B587" s="753">
        <f t="shared" si="41"/>
        <v>576</v>
      </c>
      <c r="C587" s="191" t="s">
        <v>1779</v>
      </c>
      <c r="D587" s="291"/>
      <c r="E587" s="25"/>
      <c r="F587" s="25"/>
      <c r="G587" s="25">
        <f t="array" ref="G587">SUM(IF("156"&amp;C587=KHN&amp;MH,SL))</f>
        <v>4</v>
      </c>
      <c r="H587" s="25">
        <f t="array" ref="H587">SUM(IF("156"&amp;C587=KHN&amp;MH,TH))</f>
        <v>50201</v>
      </c>
      <c r="I587" s="25">
        <f t="array" ref="I587">SUM(IF("156"&amp;C587=KHC&amp;MH,SL))</f>
        <v>4</v>
      </c>
      <c r="J587" s="25">
        <f t="array" ref="J587">SUM(IF("156"&amp;C587=KHC&amp;MH,TH))</f>
        <v>50201</v>
      </c>
      <c r="K587" s="25">
        <f t="shared" si="42"/>
        <v>0</v>
      </c>
      <c r="L587" s="25">
        <f t="shared" si="43"/>
        <v>0</v>
      </c>
      <c r="M587" s="289" t="e">
        <f t="shared" si="44"/>
        <v>#DIV/0!</v>
      </c>
    </row>
    <row r="588" spans="1:16" ht="18.75" customHeight="1">
      <c r="A588" s="289" t="str">
        <f t="shared" ref="A588:A651" si="45">IF(B588&lt;&gt;"","NL","")</f>
        <v>NL</v>
      </c>
      <c r="B588" s="753">
        <f t="shared" ref="B588:B651" si="46">IF(C588&lt;&gt;"",ROW()-11,"")</f>
        <v>577</v>
      </c>
      <c r="C588" s="851" t="s">
        <v>832</v>
      </c>
      <c r="D588" s="291" t="s">
        <v>393</v>
      </c>
      <c r="E588" s="25"/>
      <c r="F588" s="25"/>
      <c r="G588" s="25">
        <f t="array" ref="G588">SUM(IF("156"&amp;C588=KHN&amp;MH,SL))</f>
        <v>40</v>
      </c>
      <c r="H588" s="25">
        <f t="array" ref="H588">SUM(IF("156"&amp;C588=KHN&amp;MH,TH))</f>
        <v>863760</v>
      </c>
      <c r="I588" s="25">
        <f t="array" ref="I588">SUM(IF("156"&amp;C588=KHC&amp;MH,SL))</f>
        <v>40</v>
      </c>
      <c r="J588" s="25">
        <f t="array" ref="J588">SUM(IF("156"&amp;C588=KHC&amp;MH,TH))</f>
        <v>863760</v>
      </c>
      <c r="K588" s="25">
        <f t="shared" ref="K588:K651" si="47">E588+G588-I588</f>
        <v>0</v>
      </c>
      <c r="L588" s="25">
        <f t="shared" ref="L588:L651" si="48">F588+H588-J588</f>
        <v>0</v>
      </c>
      <c r="M588" s="289" t="e">
        <f t="shared" ref="M588:M651" si="49">L588/K588</f>
        <v>#DIV/0!</v>
      </c>
    </row>
    <row r="589" spans="1:16" ht="18.75" customHeight="1">
      <c r="A589" s="289" t="str">
        <f t="shared" si="45"/>
        <v>NL</v>
      </c>
      <c r="B589" s="753">
        <f t="shared" si="46"/>
        <v>578</v>
      </c>
      <c r="C589" s="786" t="s">
        <v>792</v>
      </c>
      <c r="D589" s="291" t="s">
        <v>393</v>
      </c>
      <c r="E589" s="25"/>
      <c r="F589" s="25"/>
      <c r="G589" s="25">
        <f t="array" ref="G589">SUM(IF("156"&amp;C589=KHN&amp;MH,SL))</f>
        <v>304</v>
      </c>
      <c r="H589" s="25">
        <f t="array" ref="H589">SUM(IF("156"&amp;C589=KHN&amp;MH,TH))</f>
        <v>9410502</v>
      </c>
      <c r="I589" s="25">
        <f t="array" ref="I589">SUM(IF("156"&amp;C589=KHC&amp;MH,SL))</f>
        <v>304</v>
      </c>
      <c r="J589" s="25">
        <f t="array" ref="J589">SUM(IF("156"&amp;C589=KHC&amp;MH,TH))</f>
        <v>9410502</v>
      </c>
      <c r="K589" s="25">
        <f t="shared" si="47"/>
        <v>0</v>
      </c>
      <c r="L589" s="25">
        <f t="shared" si="48"/>
        <v>0</v>
      </c>
      <c r="M589" s="289" t="e">
        <f t="shared" si="49"/>
        <v>#DIV/0!</v>
      </c>
    </row>
    <row r="590" spans="1:16" ht="18.75" customHeight="1">
      <c r="A590" s="289" t="str">
        <f t="shared" si="45"/>
        <v>NL</v>
      </c>
      <c r="B590" s="753">
        <f t="shared" si="46"/>
        <v>579</v>
      </c>
      <c r="C590" s="290" t="s">
        <v>1571</v>
      </c>
      <c r="D590" s="291" t="s">
        <v>393</v>
      </c>
      <c r="E590" s="25"/>
      <c r="F590" s="25"/>
      <c r="G590" s="25">
        <f t="array" ref="G590">SUM(IF("156"&amp;C590=KHN&amp;MH,SL))</f>
        <v>54</v>
      </c>
      <c r="H590" s="25">
        <f t="array" ref="H590">SUM(IF("156"&amp;C590=KHN&amp;MH,TH))</f>
        <v>2322000</v>
      </c>
      <c r="I590" s="25">
        <f t="array" ref="I590">SUM(IF("156"&amp;C590=KHC&amp;MH,SL))</f>
        <v>54</v>
      </c>
      <c r="J590" s="25">
        <f t="array" ref="J590">SUM(IF("156"&amp;C590=KHC&amp;MH,TH))</f>
        <v>2322000</v>
      </c>
      <c r="K590" s="25">
        <f t="shared" si="47"/>
        <v>0</v>
      </c>
      <c r="L590" s="25">
        <f t="shared" si="48"/>
        <v>0</v>
      </c>
      <c r="M590" s="289" t="e">
        <f t="shared" si="49"/>
        <v>#DIV/0!</v>
      </c>
      <c r="O590" s="927"/>
      <c r="P590" s="927"/>
    </row>
    <row r="591" spans="1:16" ht="18.75" customHeight="1">
      <c r="A591" s="289" t="str">
        <f t="shared" si="45"/>
        <v>NL</v>
      </c>
      <c r="B591" s="753">
        <f t="shared" si="46"/>
        <v>580</v>
      </c>
      <c r="C591" s="783" t="s">
        <v>675</v>
      </c>
      <c r="D591" s="291" t="s">
        <v>393</v>
      </c>
      <c r="E591" s="25"/>
      <c r="F591" s="25"/>
      <c r="G591" s="25">
        <f t="array" ref="G591">SUM(IF("156"&amp;C591=KHN&amp;MH,SL))</f>
        <v>90</v>
      </c>
      <c r="H591" s="25">
        <f t="array" ref="H591">SUM(IF("156"&amp;C591=KHN&amp;MH,TH))</f>
        <v>3487674</v>
      </c>
      <c r="I591" s="25">
        <f t="array" ref="I591">SUM(IF("156"&amp;C591=KHC&amp;MH,SL))</f>
        <v>90</v>
      </c>
      <c r="J591" s="25">
        <f t="array" ref="J591">SUM(IF("156"&amp;C591=KHC&amp;MH,TH))</f>
        <v>3487674</v>
      </c>
      <c r="K591" s="25">
        <f t="shared" si="47"/>
        <v>0</v>
      </c>
      <c r="L591" s="25">
        <f t="shared" si="48"/>
        <v>0</v>
      </c>
      <c r="M591" s="289" t="e">
        <f t="shared" si="49"/>
        <v>#DIV/0!</v>
      </c>
    </row>
    <row r="592" spans="1:16" ht="18.75" customHeight="1">
      <c r="A592" s="289" t="str">
        <f t="shared" si="45"/>
        <v>NL</v>
      </c>
      <c r="B592" s="753">
        <f t="shared" si="46"/>
        <v>581</v>
      </c>
      <c r="C592" s="783" t="s">
        <v>1740</v>
      </c>
      <c r="D592" s="291"/>
      <c r="E592" s="25"/>
      <c r="F592" s="25"/>
      <c r="G592" s="25">
        <f t="array" ref="G592">SUM(IF("156"&amp;C592=KHN&amp;MH,SL))</f>
        <v>6</v>
      </c>
      <c r="H592" s="25">
        <f t="array" ref="H592">SUM(IF("156"&amp;C592=KHN&amp;MH,TH))</f>
        <v>137400</v>
      </c>
      <c r="I592" s="25">
        <f t="array" ref="I592">SUM(IF("156"&amp;C592=KHC&amp;MH,SL))</f>
        <v>6</v>
      </c>
      <c r="J592" s="25">
        <f t="array" ref="J592">SUM(IF("156"&amp;C592=KHC&amp;MH,TH))</f>
        <v>137400</v>
      </c>
      <c r="K592" s="25">
        <f t="shared" si="47"/>
        <v>0</v>
      </c>
      <c r="L592" s="25">
        <f t="shared" si="48"/>
        <v>0</v>
      </c>
      <c r="M592" s="289" t="e">
        <f t="shared" si="49"/>
        <v>#DIV/0!</v>
      </c>
    </row>
    <row r="593" spans="1:16" ht="18.75" customHeight="1">
      <c r="A593" s="289" t="str">
        <f t="shared" si="45"/>
        <v>NL</v>
      </c>
      <c r="B593" s="753">
        <f t="shared" si="46"/>
        <v>582</v>
      </c>
      <c r="C593" s="290" t="s">
        <v>1574</v>
      </c>
      <c r="D593" s="291" t="s">
        <v>393</v>
      </c>
      <c r="E593" s="25"/>
      <c r="F593" s="25"/>
      <c r="G593" s="25">
        <f t="array" ref="G593">SUM(IF("156"&amp;C593=KHN&amp;MH,SL))</f>
        <v>8</v>
      </c>
      <c r="H593" s="25">
        <f t="array" ref="H593">SUM(IF("156"&amp;C593=KHN&amp;MH,TH))</f>
        <v>197600</v>
      </c>
      <c r="I593" s="25">
        <f t="array" ref="I593">SUM(IF("156"&amp;C593=KHC&amp;MH,SL))</f>
        <v>8</v>
      </c>
      <c r="J593" s="25">
        <f t="array" ref="J593">SUM(IF("156"&amp;C593=KHC&amp;MH,TH))</f>
        <v>197600</v>
      </c>
      <c r="K593" s="25">
        <f t="shared" si="47"/>
        <v>0</v>
      </c>
      <c r="L593" s="25">
        <f t="shared" si="48"/>
        <v>0</v>
      </c>
      <c r="M593" s="289" t="e">
        <f t="shared" si="49"/>
        <v>#DIV/0!</v>
      </c>
      <c r="O593" s="927"/>
      <c r="P593" s="927"/>
    </row>
    <row r="594" spans="1:16" ht="18.75" customHeight="1">
      <c r="A594" s="289" t="str">
        <f t="shared" si="45"/>
        <v>NL</v>
      </c>
      <c r="B594" s="753">
        <f t="shared" si="46"/>
        <v>583</v>
      </c>
      <c r="C594" s="851" t="s">
        <v>867</v>
      </c>
      <c r="D594" s="291" t="s">
        <v>393</v>
      </c>
      <c r="E594" s="25"/>
      <c r="F594" s="25"/>
      <c r="G594" s="25">
        <f t="array" ref="G594">SUM(IF("156"&amp;C594=KHN&amp;MH,SL))</f>
        <v>80</v>
      </c>
      <c r="H594" s="25">
        <f t="array" ref="H594">SUM(IF("156"&amp;C594=KHN&amp;MH,TH))</f>
        <v>2122128</v>
      </c>
      <c r="I594" s="25">
        <f t="array" ref="I594">SUM(IF("156"&amp;C594=KHC&amp;MH,SL))</f>
        <v>80</v>
      </c>
      <c r="J594" s="25">
        <f t="array" ref="J594">SUM(IF("156"&amp;C594=KHC&amp;MH,TH))</f>
        <v>2122128</v>
      </c>
      <c r="K594" s="25">
        <f t="shared" si="47"/>
        <v>0</v>
      </c>
      <c r="L594" s="25">
        <f t="shared" si="48"/>
        <v>0</v>
      </c>
      <c r="M594" s="289" t="e">
        <f t="shared" si="49"/>
        <v>#DIV/0!</v>
      </c>
    </row>
    <row r="595" spans="1:16" ht="18.75" customHeight="1">
      <c r="A595" s="289" t="str">
        <f t="shared" si="45"/>
        <v>NL</v>
      </c>
      <c r="B595" s="753">
        <f t="shared" si="46"/>
        <v>584</v>
      </c>
      <c r="C595" s="783" t="s">
        <v>523</v>
      </c>
      <c r="D595" s="291" t="s">
        <v>393</v>
      </c>
      <c r="E595" s="25"/>
      <c r="F595" s="25"/>
      <c r="G595" s="25">
        <f t="array" ref="G595">SUM(IF("156"&amp;C595=KHN&amp;MH,SL))</f>
        <v>32</v>
      </c>
      <c r="H595" s="25">
        <f t="array" ref="H595">SUM(IF("156"&amp;C595=KHN&amp;MH,TH))</f>
        <v>896384</v>
      </c>
      <c r="I595" s="25">
        <f t="array" ref="I595">SUM(IF("156"&amp;C595=KHC&amp;MH,SL))</f>
        <v>32</v>
      </c>
      <c r="J595" s="25">
        <f t="array" ref="J595">SUM(IF("156"&amp;C595=KHC&amp;MH,TH))</f>
        <v>896384</v>
      </c>
      <c r="K595" s="25">
        <f t="shared" si="47"/>
        <v>0</v>
      </c>
      <c r="L595" s="25">
        <f t="shared" si="48"/>
        <v>0</v>
      </c>
      <c r="M595" s="289" t="e">
        <f t="shared" si="49"/>
        <v>#DIV/0!</v>
      </c>
    </row>
    <row r="596" spans="1:16" ht="18.75" customHeight="1">
      <c r="A596" s="289" t="str">
        <f t="shared" si="45"/>
        <v>NL</v>
      </c>
      <c r="B596" s="753">
        <f t="shared" si="46"/>
        <v>585</v>
      </c>
      <c r="C596" s="783" t="s">
        <v>545</v>
      </c>
      <c r="D596" s="291" t="s">
        <v>393</v>
      </c>
      <c r="E596" s="25"/>
      <c r="F596" s="25"/>
      <c r="G596" s="25">
        <f t="array" ref="G596">SUM(IF("156"&amp;C596=KHN&amp;MH,SL))</f>
        <v>80</v>
      </c>
      <c r="H596" s="25">
        <f t="array" ref="H596">SUM(IF("156"&amp;C596=KHN&amp;MH,TH))</f>
        <v>3460960</v>
      </c>
      <c r="I596" s="25">
        <f t="array" ref="I596">SUM(IF("156"&amp;C596=KHC&amp;MH,SL))</f>
        <v>0</v>
      </c>
      <c r="J596" s="25">
        <f t="array" ref="J596">SUM(IF("156"&amp;C596=KHC&amp;MH,TH))</f>
        <v>0</v>
      </c>
      <c r="K596" s="25">
        <f t="shared" si="47"/>
        <v>80</v>
      </c>
      <c r="L596" s="25">
        <f t="shared" si="48"/>
        <v>3460960</v>
      </c>
      <c r="M596" s="289">
        <f t="shared" si="49"/>
        <v>43262</v>
      </c>
    </row>
    <row r="597" spans="1:16" ht="18.75" customHeight="1">
      <c r="A597" s="289" t="str">
        <f t="shared" si="45"/>
        <v>NL</v>
      </c>
      <c r="B597" s="753">
        <f t="shared" si="46"/>
        <v>586</v>
      </c>
      <c r="C597" s="783" t="s">
        <v>544</v>
      </c>
      <c r="D597" s="291" t="s">
        <v>393</v>
      </c>
      <c r="E597" s="25"/>
      <c r="F597" s="25"/>
      <c r="G597" s="25">
        <f t="array" ref="G597">SUM(IF("156"&amp;C597=KHN&amp;MH,SL))</f>
        <v>32</v>
      </c>
      <c r="H597" s="25">
        <f t="array" ref="H597">SUM(IF("156"&amp;C597=KHN&amp;MH,TH))</f>
        <v>1441760</v>
      </c>
      <c r="I597" s="25">
        <f t="array" ref="I597">SUM(IF("156"&amp;C597=KHC&amp;MH,SL))</f>
        <v>32</v>
      </c>
      <c r="J597" s="25">
        <f t="array" ref="J597">SUM(IF("156"&amp;C597=KHC&amp;MH,TH))</f>
        <v>1441760</v>
      </c>
      <c r="K597" s="25">
        <f t="shared" si="47"/>
        <v>0</v>
      </c>
      <c r="L597" s="25">
        <f t="shared" si="48"/>
        <v>0</v>
      </c>
      <c r="M597" s="289" t="e">
        <f t="shared" si="49"/>
        <v>#DIV/0!</v>
      </c>
    </row>
    <row r="598" spans="1:16" ht="18.75" customHeight="1">
      <c r="A598" s="289" t="str">
        <f t="shared" si="45"/>
        <v>NL</v>
      </c>
      <c r="B598" s="753">
        <f t="shared" si="46"/>
        <v>587</v>
      </c>
      <c r="C598" s="783" t="s">
        <v>529</v>
      </c>
      <c r="D598" s="291" t="s">
        <v>393</v>
      </c>
      <c r="E598" s="25"/>
      <c r="F598" s="25"/>
      <c r="G598" s="25">
        <f t="array" ref="G598">SUM(IF("156"&amp;C598=KHN&amp;MH,SL))</f>
        <v>10</v>
      </c>
      <c r="H598" s="25">
        <f t="array" ref="H598">SUM(IF("156"&amp;C598=KHN&amp;MH,TH))</f>
        <v>166920</v>
      </c>
      <c r="I598" s="25">
        <f t="array" ref="I598">SUM(IF("156"&amp;C598=KHC&amp;MH,SL))</f>
        <v>10</v>
      </c>
      <c r="J598" s="25">
        <f t="array" ref="J598">SUM(IF("156"&amp;C598=KHC&amp;MH,TH))</f>
        <v>166920</v>
      </c>
      <c r="K598" s="25">
        <f t="shared" si="47"/>
        <v>0</v>
      </c>
      <c r="L598" s="25">
        <f t="shared" si="48"/>
        <v>0</v>
      </c>
      <c r="M598" s="289" t="e">
        <f t="shared" si="49"/>
        <v>#DIV/0!</v>
      </c>
    </row>
    <row r="599" spans="1:16" ht="18.75" customHeight="1">
      <c r="A599" s="289" t="str">
        <f t="shared" si="45"/>
        <v>NL</v>
      </c>
      <c r="B599" s="753">
        <f t="shared" si="46"/>
        <v>588</v>
      </c>
      <c r="C599" s="290" t="s">
        <v>1762</v>
      </c>
      <c r="D599" s="291"/>
      <c r="E599" s="25"/>
      <c r="F599" s="25"/>
      <c r="G599" s="25">
        <f t="array" ref="G599">SUM(IF("156"&amp;C599=KHN&amp;MH,SL))</f>
        <v>23</v>
      </c>
      <c r="H599" s="25">
        <f t="array" ref="H599">SUM(IF("156"&amp;C599=KHN&amp;MH,TH))</f>
        <v>1468780</v>
      </c>
      <c r="I599" s="25">
        <f t="array" ref="I599">SUM(IF("156"&amp;C599=KHC&amp;MH,SL))</f>
        <v>23</v>
      </c>
      <c r="J599" s="25">
        <f t="array" ref="J599">SUM(IF("156"&amp;C599=KHC&amp;MH,TH))</f>
        <v>1468780</v>
      </c>
      <c r="K599" s="25">
        <f t="shared" si="47"/>
        <v>0</v>
      </c>
      <c r="L599" s="25">
        <f t="shared" si="48"/>
        <v>0</v>
      </c>
      <c r="M599" s="289" t="e">
        <f t="shared" si="49"/>
        <v>#DIV/0!</v>
      </c>
    </row>
    <row r="600" spans="1:16" ht="18.75" customHeight="1">
      <c r="A600" s="289" t="str">
        <f t="shared" si="45"/>
        <v>NL</v>
      </c>
      <c r="B600" s="753">
        <f t="shared" si="46"/>
        <v>589</v>
      </c>
      <c r="C600" s="851" t="s">
        <v>770</v>
      </c>
      <c r="D600" s="291" t="s">
        <v>393</v>
      </c>
      <c r="E600" s="25"/>
      <c r="F600" s="25"/>
      <c r="G600" s="25">
        <f t="array" ref="G600">SUM(IF("156"&amp;C600=KHN&amp;MH,SL))</f>
        <v>60</v>
      </c>
      <c r="H600" s="25">
        <f t="array" ref="H600">SUM(IF("156"&amp;C600=KHN&amp;MH,TH))</f>
        <v>1494420</v>
      </c>
      <c r="I600" s="25">
        <f t="array" ref="I600">SUM(IF("156"&amp;C600=KHC&amp;MH,SL))</f>
        <v>60</v>
      </c>
      <c r="J600" s="25">
        <f t="array" ref="J600">SUM(IF("156"&amp;C600=KHC&amp;MH,TH))</f>
        <v>1494420</v>
      </c>
      <c r="K600" s="25">
        <f t="shared" si="47"/>
        <v>0</v>
      </c>
      <c r="L600" s="25">
        <f t="shared" si="48"/>
        <v>0</v>
      </c>
      <c r="M600" s="289" t="e">
        <f t="shared" si="49"/>
        <v>#DIV/0!</v>
      </c>
    </row>
    <row r="601" spans="1:16" ht="18.75" customHeight="1">
      <c r="A601" s="289" t="str">
        <f t="shared" si="45"/>
        <v>NL</v>
      </c>
      <c r="B601" s="753">
        <f t="shared" si="46"/>
        <v>590</v>
      </c>
      <c r="C601" s="783" t="s">
        <v>673</v>
      </c>
      <c r="D601" s="291" t="s">
        <v>393</v>
      </c>
      <c r="E601" s="25"/>
      <c r="F601" s="25"/>
      <c r="G601" s="25">
        <f t="array" ref="G601">SUM(IF("156"&amp;C601=KHN&amp;MH,SL))</f>
        <v>128</v>
      </c>
      <c r="H601" s="25">
        <f t="array" ref="H601">SUM(IF("156"&amp;C601=KHN&amp;MH,TH))</f>
        <v>5109558</v>
      </c>
      <c r="I601" s="25">
        <f t="array" ref="I601">SUM(IF("156"&amp;C601=KHC&amp;MH,SL))</f>
        <v>128</v>
      </c>
      <c r="J601" s="25">
        <f t="array" ref="J601">SUM(IF("156"&amp;C601=KHC&amp;MH,TH))</f>
        <v>5109558</v>
      </c>
      <c r="K601" s="25">
        <f t="shared" si="47"/>
        <v>0</v>
      </c>
      <c r="L601" s="25">
        <f t="shared" si="48"/>
        <v>0</v>
      </c>
      <c r="M601" s="289" t="e">
        <f t="shared" si="49"/>
        <v>#DIV/0!</v>
      </c>
    </row>
    <row r="602" spans="1:16" ht="18.75" customHeight="1">
      <c r="A602" s="289" t="str">
        <f t="shared" si="45"/>
        <v>NL</v>
      </c>
      <c r="B602" s="753">
        <f t="shared" si="46"/>
        <v>591</v>
      </c>
      <c r="C602" s="783" t="s">
        <v>674</v>
      </c>
      <c r="D602" s="291" t="s">
        <v>393</v>
      </c>
      <c r="E602" s="25"/>
      <c r="F602" s="25"/>
      <c r="G602" s="25">
        <f t="array" ref="G602">SUM(IF("156"&amp;C602=KHN&amp;MH,SL))</f>
        <v>60</v>
      </c>
      <c r="H602" s="25">
        <f t="array" ref="H602">SUM(IF("156"&amp;C602=KHN&amp;MH,TH))</f>
        <v>2430660</v>
      </c>
      <c r="I602" s="25">
        <f t="array" ref="I602">SUM(IF("156"&amp;C602=KHC&amp;MH,SL))</f>
        <v>60</v>
      </c>
      <c r="J602" s="25">
        <f t="array" ref="J602">SUM(IF("156"&amp;C602=KHC&amp;MH,TH))</f>
        <v>2430660</v>
      </c>
      <c r="K602" s="25">
        <f t="shared" si="47"/>
        <v>0</v>
      </c>
      <c r="L602" s="25">
        <f t="shared" si="48"/>
        <v>0</v>
      </c>
      <c r="M602" s="289" t="e">
        <f t="shared" si="49"/>
        <v>#DIV/0!</v>
      </c>
    </row>
    <row r="603" spans="1:16" ht="18.75" customHeight="1">
      <c r="A603" s="289" t="str">
        <f t="shared" si="45"/>
        <v>NL</v>
      </c>
      <c r="B603" s="753">
        <f t="shared" si="46"/>
        <v>592</v>
      </c>
      <c r="C603" s="783" t="s">
        <v>1735</v>
      </c>
      <c r="D603" s="291"/>
      <c r="E603" s="25"/>
      <c r="F603" s="25"/>
      <c r="G603" s="25">
        <f t="array" ref="G603">SUM(IF("156"&amp;C603=KHN&amp;MH,SL))</f>
        <v>14</v>
      </c>
      <c r="H603" s="25">
        <f t="array" ref="H603">SUM(IF("156"&amp;C603=KHN&amp;MH,TH))</f>
        <v>289800</v>
      </c>
      <c r="I603" s="25">
        <f t="array" ref="I603">SUM(IF("156"&amp;C603=KHC&amp;MH,SL))</f>
        <v>14</v>
      </c>
      <c r="J603" s="25">
        <f t="array" ref="J603">SUM(IF("156"&amp;C603=KHC&amp;MH,TH))</f>
        <v>289800</v>
      </c>
      <c r="K603" s="25">
        <f t="shared" si="47"/>
        <v>0</v>
      </c>
      <c r="L603" s="25">
        <f t="shared" si="48"/>
        <v>0</v>
      </c>
      <c r="M603" s="289" t="e">
        <f t="shared" si="49"/>
        <v>#DIV/0!</v>
      </c>
    </row>
    <row r="604" spans="1:16" ht="18.75" customHeight="1">
      <c r="A604" s="289" t="str">
        <f t="shared" si="45"/>
        <v>NL</v>
      </c>
      <c r="B604" s="753">
        <f t="shared" si="46"/>
        <v>593</v>
      </c>
      <c r="C604" s="783" t="s">
        <v>1010</v>
      </c>
      <c r="D604" s="291" t="s">
        <v>393</v>
      </c>
      <c r="E604" s="25"/>
      <c r="F604" s="25"/>
      <c r="G604" s="25">
        <f t="array" ref="G604">SUM(IF("156"&amp;C604=KHN&amp;MH,SL))</f>
        <v>20</v>
      </c>
      <c r="H604" s="25">
        <f t="array" ref="H604">SUM(IF("156"&amp;C604=KHN&amp;MH,TH))</f>
        <v>946188</v>
      </c>
      <c r="I604" s="25">
        <f t="array" ref="I604">SUM(IF("156"&amp;C604=KHC&amp;MH,SL))</f>
        <v>20</v>
      </c>
      <c r="J604" s="25">
        <f t="array" ref="J604">SUM(IF("156"&amp;C604=KHC&amp;MH,TH))</f>
        <v>946188</v>
      </c>
      <c r="K604" s="25">
        <f t="shared" si="47"/>
        <v>0</v>
      </c>
      <c r="L604" s="25">
        <f t="shared" si="48"/>
        <v>0</v>
      </c>
      <c r="M604" s="289" t="e">
        <f t="shared" si="49"/>
        <v>#DIV/0!</v>
      </c>
    </row>
    <row r="605" spans="1:16" ht="18.75" customHeight="1">
      <c r="A605" s="289" t="str">
        <f t="shared" si="45"/>
        <v>NL</v>
      </c>
      <c r="B605" s="753">
        <f t="shared" si="46"/>
        <v>594</v>
      </c>
      <c r="C605" s="783" t="s">
        <v>973</v>
      </c>
      <c r="D605" s="291" t="s">
        <v>393</v>
      </c>
      <c r="E605" s="25"/>
      <c r="F605" s="25"/>
      <c r="G605" s="25">
        <f t="array" ref="G605">SUM(IF("156"&amp;C605=KHN&amp;MH,SL))</f>
        <v>14</v>
      </c>
      <c r="H605" s="25">
        <f t="array" ref="H605">SUM(IF("156"&amp;C605=KHN&amp;MH,TH))</f>
        <v>806610</v>
      </c>
      <c r="I605" s="25">
        <f t="array" ref="I605">SUM(IF("156"&amp;C605=KHC&amp;MH,SL))</f>
        <v>14</v>
      </c>
      <c r="J605" s="25">
        <f t="array" ref="J605">SUM(IF("156"&amp;C605=KHC&amp;MH,TH))</f>
        <v>806610</v>
      </c>
      <c r="K605" s="25">
        <f t="shared" si="47"/>
        <v>0</v>
      </c>
      <c r="L605" s="25">
        <f t="shared" si="48"/>
        <v>0</v>
      </c>
      <c r="M605" s="289" t="e">
        <f t="shared" si="49"/>
        <v>#DIV/0!</v>
      </c>
    </row>
    <row r="606" spans="1:16" ht="18.75" customHeight="1">
      <c r="A606" s="289" t="str">
        <f t="shared" si="45"/>
        <v>NL</v>
      </c>
      <c r="B606" s="753">
        <f t="shared" si="46"/>
        <v>595</v>
      </c>
      <c r="C606" s="783" t="s">
        <v>713</v>
      </c>
      <c r="D606" s="291" t="s">
        <v>393</v>
      </c>
      <c r="E606" s="25"/>
      <c r="F606" s="25"/>
      <c r="G606" s="25">
        <f t="array" ref="G606">SUM(IF("156"&amp;C606=KHN&amp;MH,SL))</f>
        <v>24</v>
      </c>
      <c r="H606" s="25">
        <f t="array" ref="H606">SUM(IF("156"&amp;C606=KHN&amp;MH,TH))</f>
        <v>214160</v>
      </c>
      <c r="I606" s="25">
        <f t="array" ref="I606">SUM(IF("156"&amp;C606=KHC&amp;MH,SL))</f>
        <v>24</v>
      </c>
      <c r="J606" s="25">
        <f t="array" ref="J606">SUM(IF("156"&amp;C606=KHC&amp;MH,TH))</f>
        <v>214160</v>
      </c>
      <c r="K606" s="25">
        <f t="shared" si="47"/>
        <v>0</v>
      </c>
      <c r="L606" s="25">
        <f t="shared" si="48"/>
        <v>0</v>
      </c>
      <c r="M606" s="289" t="e">
        <f t="shared" si="49"/>
        <v>#DIV/0!</v>
      </c>
    </row>
    <row r="607" spans="1:16" ht="18.75" customHeight="1">
      <c r="A607" s="289" t="str">
        <f t="shared" si="45"/>
        <v>NL</v>
      </c>
      <c r="B607" s="753">
        <f t="shared" si="46"/>
        <v>596</v>
      </c>
      <c r="C607" s="783" t="s">
        <v>543</v>
      </c>
      <c r="D607" s="291" t="s">
        <v>393</v>
      </c>
      <c r="E607" s="25"/>
      <c r="F607" s="25"/>
      <c r="G607" s="25">
        <f t="array" ref="G607">SUM(IF("156"&amp;C607=KHN&amp;MH,SL))</f>
        <v>20</v>
      </c>
      <c r="H607" s="25">
        <f t="array" ref="H607">SUM(IF("156"&amp;C607=KHN&amp;MH,TH))</f>
        <v>914400</v>
      </c>
      <c r="I607" s="25">
        <f t="array" ref="I607">SUM(IF("156"&amp;C607=KHC&amp;MH,SL))</f>
        <v>0</v>
      </c>
      <c r="J607" s="25">
        <f t="array" ref="J607">SUM(IF("156"&amp;C607=KHC&amp;MH,TH))</f>
        <v>0</v>
      </c>
      <c r="K607" s="25">
        <f t="shared" si="47"/>
        <v>20</v>
      </c>
      <c r="L607" s="25">
        <f t="shared" si="48"/>
        <v>914400</v>
      </c>
      <c r="M607" s="289">
        <f t="shared" si="49"/>
        <v>45720</v>
      </c>
    </row>
    <row r="608" spans="1:16" ht="18.75" customHeight="1">
      <c r="A608" s="289" t="str">
        <f t="shared" si="45"/>
        <v>NL</v>
      </c>
      <c r="B608" s="753">
        <f t="shared" si="46"/>
        <v>597</v>
      </c>
      <c r="C608" s="290" t="s">
        <v>1569</v>
      </c>
      <c r="D608" s="291" t="s">
        <v>393</v>
      </c>
      <c r="E608" s="25"/>
      <c r="F608" s="25"/>
      <c r="G608" s="25">
        <f t="array" ref="G608">SUM(IF("156"&amp;C608=KHN&amp;MH,SL))</f>
        <v>10</v>
      </c>
      <c r="H608" s="25">
        <f t="array" ref="H608">SUM(IF("156"&amp;C608=KHN&amp;MH,TH))</f>
        <v>558000</v>
      </c>
      <c r="I608" s="25">
        <f t="array" ref="I608">SUM(IF("156"&amp;C608=KHC&amp;MH,SL))</f>
        <v>10</v>
      </c>
      <c r="J608" s="25">
        <f t="array" ref="J608">SUM(IF("156"&amp;C608=KHC&amp;MH,TH))</f>
        <v>558000</v>
      </c>
      <c r="K608" s="25">
        <f t="shared" si="47"/>
        <v>0</v>
      </c>
      <c r="L608" s="25">
        <f t="shared" si="48"/>
        <v>0</v>
      </c>
      <c r="M608" s="289" t="e">
        <f t="shared" si="49"/>
        <v>#DIV/0!</v>
      </c>
      <c r="O608" s="927"/>
      <c r="P608" s="927"/>
    </row>
    <row r="609" spans="1:16" ht="18.75" customHeight="1">
      <c r="A609" s="289" t="str">
        <f t="shared" si="45"/>
        <v>NL</v>
      </c>
      <c r="B609" s="753">
        <f t="shared" si="46"/>
        <v>598</v>
      </c>
      <c r="C609" s="290" t="s">
        <v>1682</v>
      </c>
      <c r="D609" s="291" t="s">
        <v>393</v>
      </c>
      <c r="E609" s="25"/>
      <c r="F609" s="25"/>
      <c r="G609" s="25">
        <f t="array" ref="G609">SUM(IF("156"&amp;C609=KHN&amp;MH,SL))</f>
        <v>6</v>
      </c>
      <c r="H609" s="25">
        <f t="array" ref="H609">SUM(IF("156"&amp;C609=KHN&amp;MH,TH))</f>
        <v>256314</v>
      </c>
      <c r="I609" s="25">
        <f t="array" ref="I609">SUM(IF("156"&amp;C609=KHC&amp;MH,SL))</f>
        <v>6</v>
      </c>
      <c r="J609" s="25">
        <f t="array" ref="J609">SUM(IF("156"&amp;C609=KHC&amp;MH,TH))</f>
        <v>256314</v>
      </c>
      <c r="K609" s="25">
        <f t="shared" si="47"/>
        <v>0</v>
      </c>
      <c r="L609" s="25">
        <f t="shared" si="48"/>
        <v>0</v>
      </c>
      <c r="M609" s="289" t="e">
        <f t="shared" si="49"/>
        <v>#DIV/0!</v>
      </c>
    </row>
    <row r="610" spans="1:16" ht="18.75" customHeight="1">
      <c r="A610" s="289" t="str">
        <f t="shared" si="45"/>
        <v>NL</v>
      </c>
      <c r="B610" s="753">
        <f t="shared" si="46"/>
        <v>599</v>
      </c>
      <c r="C610" s="786" t="s">
        <v>432</v>
      </c>
      <c r="D610" s="291" t="s">
        <v>393</v>
      </c>
      <c r="E610" s="25"/>
      <c r="F610" s="25"/>
      <c r="G610" s="25">
        <f t="array" ref="G610">SUM(IF("156"&amp;C610=KHN&amp;MH,SL))</f>
        <v>180</v>
      </c>
      <c r="H610" s="25">
        <f t="array" ref="H610">SUM(IF("156"&amp;C610=KHN&amp;MH,TH))</f>
        <v>2912580</v>
      </c>
      <c r="I610" s="25">
        <f t="array" ref="I610">SUM(IF("156"&amp;C610=KHC&amp;MH,SL))</f>
        <v>180</v>
      </c>
      <c r="J610" s="25">
        <f t="array" ref="J610">SUM(IF("156"&amp;C610=KHC&amp;MH,TH))</f>
        <v>2912580</v>
      </c>
      <c r="K610" s="25">
        <f t="shared" si="47"/>
        <v>0</v>
      </c>
      <c r="L610" s="25">
        <f t="shared" si="48"/>
        <v>0</v>
      </c>
      <c r="M610" s="289" t="e">
        <f t="shared" si="49"/>
        <v>#DIV/0!</v>
      </c>
    </row>
    <row r="611" spans="1:16" ht="18.75" customHeight="1">
      <c r="A611" s="289" t="str">
        <f t="shared" si="45"/>
        <v>NL</v>
      </c>
      <c r="B611" s="753">
        <f t="shared" si="46"/>
        <v>600</v>
      </c>
      <c r="C611" s="851" t="s">
        <v>724</v>
      </c>
      <c r="D611" s="291" t="s">
        <v>393</v>
      </c>
      <c r="E611" s="25"/>
      <c r="F611" s="25"/>
      <c r="G611" s="25">
        <f t="array" ref="G611">SUM(IF("156"&amp;C611=KHN&amp;MH,SL))</f>
        <v>50</v>
      </c>
      <c r="H611" s="25">
        <f t="array" ref="H611">SUM(IF("156"&amp;C611=KHN&amp;MH,TH))</f>
        <v>1189115</v>
      </c>
      <c r="I611" s="25">
        <f t="array" ref="I611">SUM(IF("156"&amp;C611=KHC&amp;MH,SL))</f>
        <v>50</v>
      </c>
      <c r="J611" s="25">
        <f t="array" ref="J611">SUM(IF("156"&amp;C611=KHC&amp;MH,TH))</f>
        <v>1189115</v>
      </c>
      <c r="K611" s="25">
        <f t="shared" si="47"/>
        <v>0</v>
      </c>
      <c r="L611" s="25">
        <f t="shared" si="48"/>
        <v>0</v>
      </c>
      <c r="M611" s="289" t="e">
        <f t="shared" si="49"/>
        <v>#DIV/0!</v>
      </c>
    </row>
    <row r="612" spans="1:16" ht="18.75" customHeight="1">
      <c r="A612" s="289" t="str">
        <f t="shared" si="45"/>
        <v>NL</v>
      </c>
      <c r="B612" s="753">
        <f t="shared" si="46"/>
        <v>601</v>
      </c>
      <c r="C612" s="783" t="s">
        <v>503</v>
      </c>
      <c r="D612" s="291" t="s">
        <v>393</v>
      </c>
      <c r="E612" s="25"/>
      <c r="F612" s="25"/>
      <c r="G612" s="25">
        <f t="array" ref="G612">SUM(IF("156"&amp;C612=KHN&amp;MH,SL))</f>
        <v>138</v>
      </c>
      <c r="H612" s="25">
        <f t="array" ref="H612">SUM(IF("156"&amp;C612=KHN&amp;MH,TH))</f>
        <v>3567777</v>
      </c>
      <c r="I612" s="25">
        <f t="array" ref="I612">SUM(IF("156"&amp;C612=KHC&amp;MH,SL))</f>
        <v>138</v>
      </c>
      <c r="J612" s="25">
        <f t="array" ref="J612">SUM(IF("156"&amp;C612=KHC&amp;MH,TH))</f>
        <v>3567777</v>
      </c>
      <c r="K612" s="25">
        <f t="shared" si="47"/>
        <v>0</v>
      </c>
      <c r="L612" s="25">
        <f t="shared" si="48"/>
        <v>0</v>
      </c>
      <c r="M612" s="289" t="e">
        <f t="shared" si="49"/>
        <v>#DIV/0!</v>
      </c>
      <c r="O612" s="927"/>
      <c r="P612" s="927"/>
    </row>
    <row r="613" spans="1:16" ht="18.75" customHeight="1">
      <c r="A613" s="289" t="str">
        <f t="shared" si="45"/>
        <v>NL</v>
      </c>
      <c r="B613" s="753">
        <f t="shared" si="46"/>
        <v>602</v>
      </c>
      <c r="C613" s="290" t="s">
        <v>1681</v>
      </c>
      <c r="D613" s="291" t="s">
        <v>393</v>
      </c>
      <c r="E613" s="25"/>
      <c r="F613" s="25"/>
      <c r="G613" s="25">
        <f t="array" ref="G613">SUM(IF("156"&amp;C613=KHN&amp;MH,SL))</f>
        <v>1140</v>
      </c>
      <c r="H613" s="25">
        <f t="array" ref="H613">SUM(IF("156"&amp;C613=KHN&amp;MH,TH))</f>
        <v>17366447</v>
      </c>
      <c r="I613" s="25">
        <f t="array" ref="I613">SUM(IF("156"&amp;C613=KHC&amp;MH,SL))</f>
        <v>1140</v>
      </c>
      <c r="J613" s="25">
        <f t="array" ref="J613">SUM(IF("156"&amp;C613=KHC&amp;MH,TH))</f>
        <v>17366447</v>
      </c>
      <c r="K613" s="25">
        <f t="shared" si="47"/>
        <v>0</v>
      </c>
      <c r="L613" s="25">
        <f t="shared" si="48"/>
        <v>0</v>
      </c>
      <c r="M613" s="289" t="e">
        <f t="shared" si="49"/>
        <v>#DIV/0!</v>
      </c>
    </row>
    <row r="614" spans="1:16" ht="18.75" customHeight="1">
      <c r="A614" s="289" t="str">
        <f t="shared" si="45"/>
        <v>NL</v>
      </c>
      <c r="B614" s="753">
        <f t="shared" si="46"/>
        <v>603</v>
      </c>
      <c r="C614" s="290" t="s">
        <v>1529</v>
      </c>
      <c r="D614" s="291" t="s">
        <v>393</v>
      </c>
      <c r="E614" s="25"/>
      <c r="F614" s="25"/>
      <c r="G614" s="25">
        <f t="array" ref="G614">SUM(IF("156"&amp;C614=KHN&amp;MH,SL))</f>
        <v>300</v>
      </c>
      <c r="H614" s="25">
        <f t="array" ref="H614">SUM(IF("156"&amp;C614=KHN&amp;MH,TH))</f>
        <v>3150000</v>
      </c>
      <c r="I614" s="25">
        <f t="array" ref="I614">SUM(IF("156"&amp;C614=KHC&amp;MH,SL))</f>
        <v>300</v>
      </c>
      <c r="J614" s="25">
        <f t="array" ref="J614">SUM(IF("156"&amp;C614=KHC&amp;MH,TH))</f>
        <v>3150000</v>
      </c>
      <c r="K614" s="25">
        <f t="shared" si="47"/>
        <v>0</v>
      </c>
      <c r="L614" s="25">
        <f t="shared" si="48"/>
        <v>0</v>
      </c>
      <c r="M614" s="289" t="e">
        <f t="shared" si="49"/>
        <v>#DIV/0!</v>
      </c>
      <c r="O614" s="927"/>
      <c r="P614" s="927"/>
    </row>
    <row r="615" spans="1:16" ht="18.75" customHeight="1">
      <c r="A615" s="289" t="str">
        <f t="shared" si="45"/>
        <v>NL</v>
      </c>
      <c r="B615" s="753">
        <f t="shared" si="46"/>
        <v>604</v>
      </c>
      <c r="C615" s="851" t="s">
        <v>826</v>
      </c>
      <c r="D615" s="291" t="s">
        <v>393</v>
      </c>
      <c r="E615" s="25"/>
      <c r="F615" s="25"/>
      <c r="G615" s="25">
        <f t="array" ref="G615">SUM(IF("156"&amp;C615=KHN&amp;MH,SL))</f>
        <v>48</v>
      </c>
      <c r="H615" s="25">
        <f t="array" ref="H615">SUM(IF("156"&amp;C615=KHN&amp;MH,TH))</f>
        <v>2243154</v>
      </c>
      <c r="I615" s="25">
        <f t="array" ref="I615">SUM(IF("156"&amp;C615=KHC&amp;MH,SL))</f>
        <v>48</v>
      </c>
      <c r="J615" s="25">
        <f t="array" ref="J615">SUM(IF("156"&amp;C615=KHC&amp;MH,TH))</f>
        <v>2243154</v>
      </c>
      <c r="K615" s="25">
        <f t="shared" si="47"/>
        <v>0</v>
      </c>
      <c r="L615" s="25">
        <f t="shared" si="48"/>
        <v>0</v>
      </c>
      <c r="M615" s="289" t="e">
        <f t="shared" si="49"/>
        <v>#DIV/0!</v>
      </c>
      <c r="O615" s="927"/>
      <c r="P615" s="927"/>
    </row>
    <row r="616" spans="1:16" ht="18.75" customHeight="1">
      <c r="A616" s="289" t="str">
        <f t="shared" si="45"/>
        <v>NL</v>
      </c>
      <c r="B616" s="753">
        <f t="shared" si="46"/>
        <v>605</v>
      </c>
      <c r="C616" s="290" t="s">
        <v>1753</v>
      </c>
      <c r="D616" s="291"/>
      <c r="E616" s="25"/>
      <c r="F616" s="25"/>
      <c r="G616" s="25">
        <f t="array" ref="G616">SUM(IF("156"&amp;C616=KHN&amp;MH,SL))</f>
        <v>32</v>
      </c>
      <c r="H616" s="25">
        <f t="array" ref="H616">SUM(IF("156"&amp;C616=KHN&amp;MH,TH))</f>
        <v>1948000</v>
      </c>
      <c r="I616" s="25">
        <f t="array" ref="I616">SUM(IF("156"&amp;C616=KHC&amp;MH,SL))</f>
        <v>32</v>
      </c>
      <c r="J616" s="25">
        <f t="array" ref="J616">SUM(IF("156"&amp;C616=KHC&amp;MH,TH))</f>
        <v>1948000</v>
      </c>
      <c r="K616" s="25">
        <f t="shared" si="47"/>
        <v>0</v>
      </c>
      <c r="L616" s="25">
        <f t="shared" si="48"/>
        <v>0</v>
      </c>
      <c r="M616" s="289" t="e">
        <f t="shared" si="49"/>
        <v>#DIV/0!</v>
      </c>
    </row>
    <row r="617" spans="1:16" ht="18.75" customHeight="1">
      <c r="A617" s="289" t="str">
        <f t="shared" si="45"/>
        <v>NL</v>
      </c>
      <c r="B617" s="753">
        <f t="shared" si="46"/>
        <v>606</v>
      </c>
      <c r="C617" s="290" t="s">
        <v>1749</v>
      </c>
      <c r="D617" s="291"/>
      <c r="E617" s="25"/>
      <c r="F617" s="25"/>
      <c r="G617" s="25">
        <f t="array" ref="G617">SUM(IF("156"&amp;C617=KHN&amp;MH,SL))</f>
        <v>40</v>
      </c>
      <c r="H617" s="25">
        <f t="array" ref="H617">SUM(IF("156"&amp;C617=KHN&amp;MH,TH))</f>
        <v>1520000</v>
      </c>
      <c r="I617" s="25">
        <f t="array" ref="I617">SUM(IF("156"&amp;C617=KHC&amp;MH,SL))</f>
        <v>40</v>
      </c>
      <c r="J617" s="25">
        <f t="array" ref="J617">SUM(IF("156"&amp;C617=KHC&amp;MH,TH))</f>
        <v>1520000</v>
      </c>
      <c r="K617" s="25">
        <f t="shared" si="47"/>
        <v>0</v>
      </c>
      <c r="L617" s="25">
        <f t="shared" si="48"/>
        <v>0</v>
      </c>
      <c r="M617" s="289" t="e">
        <f t="shared" si="49"/>
        <v>#DIV/0!</v>
      </c>
    </row>
    <row r="618" spans="1:16" ht="18.75" customHeight="1">
      <c r="A618" s="289" t="str">
        <f t="shared" si="45"/>
        <v>NL</v>
      </c>
      <c r="B618" s="753">
        <f t="shared" si="46"/>
        <v>607</v>
      </c>
      <c r="C618" s="290" t="s">
        <v>1748</v>
      </c>
      <c r="D618" s="291"/>
      <c r="E618" s="25"/>
      <c r="F618" s="25"/>
      <c r="G618" s="25">
        <f t="array" ref="G618">SUM(IF("156"&amp;C618=KHN&amp;MH,SL))</f>
        <v>75</v>
      </c>
      <c r="H618" s="25">
        <f t="array" ref="H618">SUM(IF("156"&amp;C618=KHN&amp;MH,TH))</f>
        <v>2812500</v>
      </c>
      <c r="I618" s="25">
        <f t="array" ref="I618">SUM(IF("156"&amp;C618=KHC&amp;MH,SL))</f>
        <v>75</v>
      </c>
      <c r="J618" s="25">
        <f t="array" ref="J618">SUM(IF("156"&amp;C618=KHC&amp;MH,TH))</f>
        <v>2812500</v>
      </c>
      <c r="K618" s="25">
        <f t="shared" si="47"/>
        <v>0</v>
      </c>
      <c r="L618" s="25">
        <f t="shared" si="48"/>
        <v>0</v>
      </c>
      <c r="M618" s="289" t="e">
        <f t="shared" si="49"/>
        <v>#DIV/0!</v>
      </c>
    </row>
    <row r="619" spans="1:16" ht="18.75" customHeight="1">
      <c r="A619" s="289" t="str">
        <f t="shared" si="45"/>
        <v>NL</v>
      </c>
      <c r="B619" s="753">
        <f t="shared" si="46"/>
        <v>608</v>
      </c>
      <c r="C619" s="290" t="s">
        <v>1567</v>
      </c>
      <c r="D619" s="291" t="s">
        <v>393</v>
      </c>
      <c r="E619" s="25"/>
      <c r="F619" s="25"/>
      <c r="G619" s="25">
        <f t="array" ref="G619">SUM(IF("156"&amp;C619=KHN&amp;MH,SL))</f>
        <v>53</v>
      </c>
      <c r="H619" s="25">
        <f t="array" ref="H619">SUM(IF("156"&amp;C619=KHN&amp;MH,TH))</f>
        <v>1393900</v>
      </c>
      <c r="I619" s="25">
        <f t="array" ref="I619">SUM(IF("156"&amp;C619=KHC&amp;MH,SL))</f>
        <v>53</v>
      </c>
      <c r="J619" s="25">
        <f t="array" ref="J619">SUM(IF("156"&amp;C619=KHC&amp;MH,TH))</f>
        <v>1393900</v>
      </c>
      <c r="K619" s="25">
        <f t="shared" si="47"/>
        <v>0</v>
      </c>
      <c r="L619" s="25">
        <f t="shared" si="48"/>
        <v>0</v>
      </c>
      <c r="M619" s="289" t="e">
        <f t="shared" si="49"/>
        <v>#DIV/0!</v>
      </c>
      <c r="O619" s="927"/>
      <c r="P619" s="927"/>
    </row>
    <row r="620" spans="1:16" ht="18.75" customHeight="1">
      <c r="A620" s="289" t="str">
        <f t="shared" si="45"/>
        <v>NL</v>
      </c>
      <c r="B620" s="753">
        <f t="shared" si="46"/>
        <v>609</v>
      </c>
      <c r="C620" s="786" t="s">
        <v>465</v>
      </c>
      <c r="D620" s="291" t="s">
        <v>393</v>
      </c>
      <c r="E620" s="25"/>
      <c r="F620" s="25"/>
      <c r="G620" s="25">
        <f t="array" ref="G620">SUM(IF("156"&amp;C620=KHN&amp;MH,SL))</f>
        <v>24</v>
      </c>
      <c r="H620" s="25">
        <f t="array" ref="H620">SUM(IF("156"&amp;C620=KHN&amp;MH,TH))</f>
        <v>983400</v>
      </c>
      <c r="I620" s="25">
        <f t="array" ref="I620">SUM(IF("156"&amp;C620=KHC&amp;MH,SL))</f>
        <v>24</v>
      </c>
      <c r="J620" s="25">
        <f t="array" ref="J620">SUM(IF("156"&amp;C620=KHC&amp;MH,TH))</f>
        <v>983400</v>
      </c>
      <c r="K620" s="25">
        <f t="shared" si="47"/>
        <v>0</v>
      </c>
      <c r="L620" s="25">
        <f t="shared" si="48"/>
        <v>0</v>
      </c>
      <c r="M620" s="289" t="e">
        <f t="shared" si="49"/>
        <v>#DIV/0!</v>
      </c>
    </row>
    <row r="621" spans="1:16" ht="18.75" customHeight="1">
      <c r="A621" s="289" t="str">
        <f t="shared" si="45"/>
        <v>NL</v>
      </c>
      <c r="B621" s="753">
        <f t="shared" si="46"/>
        <v>610</v>
      </c>
      <c r="C621" s="783" t="s">
        <v>485</v>
      </c>
      <c r="D621" s="291" t="s">
        <v>393</v>
      </c>
      <c r="E621" s="25"/>
      <c r="F621" s="25"/>
      <c r="G621" s="25">
        <f t="array" ref="G621">SUM(IF("156"&amp;C621=KHN&amp;MH,SL))</f>
        <v>90</v>
      </c>
      <c r="H621" s="25">
        <f t="array" ref="H621">SUM(IF("156"&amp;C621=KHN&amp;MH,TH))</f>
        <v>3348790</v>
      </c>
      <c r="I621" s="25">
        <f t="array" ref="I621">SUM(IF("156"&amp;C621=KHC&amp;MH,SL))</f>
        <v>90</v>
      </c>
      <c r="J621" s="25">
        <f t="array" ref="J621">SUM(IF("156"&amp;C621=KHC&amp;MH,TH))</f>
        <v>3348790</v>
      </c>
      <c r="K621" s="25">
        <f t="shared" si="47"/>
        <v>0</v>
      </c>
      <c r="L621" s="25">
        <f t="shared" si="48"/>
        <v>0</v>
      </c>
      <c r="M621" s="289" t="e">
        <f t="shared" si="49"/>
        <v>#DIV/0!</v>
      </c>
      <c r="O621" s="927"/>
      <c r="P621" s="927"/>
    </row>
    <row r="622" spans="1:16" ht="18.75" customHeight="1">
      <c r="A622" s="289" t="str">
        <f t="shared" si="45"/>
        <v>NL</v>
      </c>
      <c r="B622" s="753">
        <f t="shared" si="46"/>
        <v>611</v>
      </c>
      <c r="C622" s="783" t="s">
        <v>559</v>
      </c>
      <c r="D622" s="291" t="s">
        <v>393</v>
      </c>
      <c r="E622" s="25"/>
      <c r="F622" s="25"/>
      <c r="G622" s="25">
        <f t="array" ref="G622">SUM(IF("156"&amp;C622=KHN&amp;MH,SL))</f>
        <v>96</v>
      </c>
      <c r="H622" s="25">
        <f t="array" ref="H622">SUM(IF("156"&amp;C622=KHN&amp;MH,TH))</f>
        <v>4446447</v>
      </c>
      <c r="I622" s="25">
        <f t="array" ref="I622">SUM(IF("156"&amp;C622=KHC&amp;MH,SL))</f>
        <v>96</v>
      </c>
      <c r="J622" s="25">
        <f t="array" ref="J622">SUM(IF("156"&amp;C622=KHC&amp;MH,TH))</f>
        <v>4446447</v>
      </c>
      <c r="K622" s="25">
        <f t="shared" si="47"/>
        <v>0</v>
      </c>
      <c r="L622" s="25">
        <f t="shared" si="48"/>
        <v>0</v>
      </c>
      <c r="M622" s="289" t="e">
        <f t="shared" si="49"/>
        <v>#DIV/0!</v>
      </c>
      <c r="O622" s="927"/>
      <c r="P622" s="927"/>
    </row>
    <row r="623" spans="1:16" ht="18.75" customHeight="1">
      <c r="A623" s="289" t="str">
        <f t="shared" si="45"/>
        <v>NL</v>
      </c>
      <c r="B623" s="753">
        <f t="shared" si="46"/>
        <v>612</v>
      </c>
      <c r="C623" s="783" t="s">
        <v>535</v>
      </c>
      <c r="D623" s="291" t="s">
        <v>393</v>
      </c>
      <c r="E623" s="25"/>
      <c r="F623" s="25"/>
      <c r="G623" s="25">
        <f t="array" ref="G623">SUM(IF("156"&amp;C623=KHN&amp;MH,SL))</f>
        <v>52</v>
      </c>
      <c r="H623" s="25">
        <f t="array" ref="H623">SUM(IF("156"&amp;C623=KHN&amp;MH,TH))</f>
        <v>2393833</v>
      </c>
      <c r="I623" s="25">
        <f t="array" ref="I623">SUM(IF("156"&amp;C623=KHC&amp;MH,SL))</f>
        <v>52</v>
      </c>
      <c r="J623" s="25">
        <f t="array" ref="J623">SUM(IF("156"&amp;C623=KHC&amp;MH,TH))</f>
        <v>2393833</v>
      </c>
      <c r="K623" s="25">
        <f t="shared" si="47"/>
        <v>0</v>
      </c>
      <c r="L623" s="25">
        <f t="shared" si="48"/>
        <v>0</v>
      </c>
      <c r="M623" s="289" t="e">
        <f t="shared" si="49"/>
        <v>#DIV/0!</v>
      </c>
    </row>
    <row r="624" spans="1:16" ht="18.75" customHeight="1">
      <c r="A624" s="289" t="str">
        <f t="shared" si="45"/>
        <v>NL</v>
      </c>
      <c r="B624" s="753">
        <f t="shared" si="46"/>
        <v>613</v>
      </c>
      <c r="C624" s="290" t="s">
        <v>1746</v>
      </c>
      <c r="D624" s="291"/>
      <c r="E624" s="25"/>
      <c r="F624" s="25"/>
      <c r="G624" s="25">
        <f t="array" ref="G624">SUM(IF("156"&amp;C624=KHN&amp;MH,SL))</f>
        <v>40</v>
      </c>
      <c r="H624" s="25">
        <f t="array" ref="H624">SUM(IF("156"&amp;C624=KHN&amp;MH,TH))</f>
        <v>1279200</v>
      </c>
      <c r="I624" s="25">
        <f t="array" ref="I624">SUM(IF("156"&amp;C624=KHC&amp;MH,SL))</f>
        <v>40</v>
      </c>
      <c r="J624" s="25">
        <f t="array" ref="J624">SUM(IF("156"&amp;C624=KHC&amp;MH,TH))</f>
        <v>1279200</v>
      </c>
      <c r="K624" s="25">
        <f t="shared" si="47"/>
        <v>0</v>
      </c>
      <c r="L624" s="25">
        <f t="shared" si="48"/>
        <v>0</v>
      </c>
      <c r="M624" s="289" t="e">
        <f t="shared" si="49"/>
        <v>#DIV/0!</v>
      </c>
    </row>
    <row r="625" spans="1:16" ht="18.75" customHeight="1">
      <c r="A625" s="289" t="str">
        <f t="shared" si="45"/>
        <v>NL</v>
      </c>
      <c r="B625" s="753">
        <f t="shared" si="46"/>
        <v>614</v>
      </c>
      <c r="C625" s="783" t="s">
        <v>813</v>
      </c>
      <c r="D625" s="291" t="s">
        <v>393</v>
      </c>
      <c r="E625" s="25"/>
      <c r="F625" s="25"/>
      <c r="G625" s="25">
        <f t="array" ref="G625">SUM(IF("156"&amp;C625=KHN&amp;MH,SL))</f>
        <v>317</v>
      </c>
      <c r="H625" s="25">
        <f t="array" ref="H625">SUM(IF("156"&amp;C625=KHN&amp;MH,TH))</f>
        <v>15437471</v>
      </c>
      <c r="I625" s="25">
        <f t="array" ref="I625">SUM(IF("156"&amp;C625=KHC&amp;MH,SL))</f>
        <v>317</v>
      </c>
      <c r="J625" s="25">
        <f t="array" ref="J625">SUM(IF("156"&amp;C625=KHC&amp;MH,TH))</f>
        <v>15437471</v>
      </c>
      <c r="K625" s="25">
        <f t="shared" si="47"/>
        <v>0</v>
      </c>
      <c r="L625" s="25">
        <f t="shared" si="48"/>
        <v>0</v>
      </c>
      <c r="M625" s="289" t="e">
        <f t="shared" si="49"/>
        <v>#DIV/0!</v>
      </c>
      <c r="O625" s="927"/>
      <c r="P625" s="927"/>
    </row>
    <row r="626" spans="1:16" ht="18.75" customHeight="1">
      <c r="A626" s="289" t="str">
        <f t="shared" si="45"/>
        <v>NL</v>
      </c>
      <c r="B626" s="753">
        <f t="shared" si="46"/>
        <v>615</v>
      </c>
      <c r="C626" s="783" t="s">
        <v>541</v>
      </c>
      <c r="D626" s="291" t="s">
        <v>393</v>
      </c>
      <c r="E626" s="25"/>
      <c r="F626" s="25"/>
      <c r="G626" s="25">
        <f t="array" ref="G626">SUM(IF("156"&amp;C626=KHN&amp;MH,SL))</f>
        <v>60</v>
      </c>
      <c r="H626" s="25">
        <f t="array" ref="H626">SUM(IF("156"&amp;C626=KHN&amp;MH,TH))</f>
        <v>2802300</v>
      </c>
      <c r="I626" s="25">
        <f t="array" ref="I626">SUM(IF("156"&amp;C626=KHC&amp;MH,SL))</f>
        <v>60</v>
      </c>
      <c r="J626" s="25">
        <f t="array" ref="J626">SUM(IF("156"&amp;C626=KHC&amp;MH,TH))</f>
        <v>2802300</v>
      </c>
      <c r="K626" s="25">
        <f t="shared" si="47"/>
        <v>0</v>
      </c>
      <c r="L626" s="25">
        <f t="shared" si="48"/>
        <v>0</v>
      </c>
      <c r="M626" s="289" t="e">
        <f t="shared" si="49"/>
        <v>#DIV/0!</v>
      </c>
    </row>
    <row r="627" spans="1:16" ht="18.75" customHeight="1">
      <c r="A627" s="289" t="str">
        <f t="shared" si="45"/>
        <v>NL</v>
      </c>
      <c r="B627" s="753">
        <f t="shared" si="46"/>
        <v>616</v>
      </c>
      <c r="C627" s="783" t="s">
        <v>501</v>
      </c>
      <c r="D627" s="291" t="s">
        <v>393</v>
      </c>
      <c r="E627" s="25"/>
      <c r="F627" s="25"/>
      <c r="G627" s="25">
        <f t="array" ref="G627">SUM(IF("156"&amp;C627=KHN&amp;MH,SL))</f>
        <v>173</v>
      </c>
      <c r="H627" s="25">
        <f t="array" ref="H627">SUM(IF("156"&amp;C627=KHN&amp;MH,TH))</f>
        <v>7649121</v>
      </c>
      <c r="I627" s="25">
        <f t="array" ref="I627">SUM(IF("156"&amp;C627=KHC&amp;MH,SL))</f>
        <v>173</v>
      </c>
      <c r="J627" s="25">
        <f t="array" ref="J627">SUM(IF("156"&amp;C627=KHC&amp;MH,TH))</f>
        <v>7649121</v>
      </c>
      <c r="K627" s="25">
        <f t="shared" si="47"/>
        <v>0</v>
      </c>
      <c r="L627" s="25">
        <f t="shared" si="48"/>
        <v>0</v>
      </c>
      <c r="M627" s="289" t="e">
        <f t="shared" si="49"/>
        <v>#DIV/0!</v>
      </c>
    </row>
    <row r="628" spans="1:16" ht="18.75" customHeight="1">
      <c r="A628" s="289" t="str">
        <f t="shared" si="45"/>
        <v>NL</v>
      </c>
      <c r="B628" s="753">
        <f t="shared" si="46"/>
        <v>617</v>
      </c>
      <c r="C628" s="290" t="s">
        <v>1755</v>
      </c>
      <c r="D628" s="291"/>
      <c r="E628" s="25"/>
      <c r="F628" s="25"/>
      <c r="G628" s="25">
        <f t="array" ref="G628">SUM(IF("156"&amp;C628=KHN&amp;MH,SL))</f>
        <v>50</v>
      </c>
      <c r="H628" s="25">
        <f t="array" ref="H628">SUM(IF("156"&amp;C628=KHN&amp;MH,TH))</f>
        <v>2565000</v>
      </c>
      <c r="I628" s="25">
        <f t="array" ref="I628">SUM(IF("156"&amp;C628=KHC&amp;MH,SL))</f>
        <v>50</v>
      </c>
      <c r="J628" s="25">
        <f t="array" ref="J628">SUM(IF("156"&amp;C628=KHC&amp;MH,TH))</f>
        <v>2565000</v>
      </c>
      <c r="K628" s="25">
        <f t="shared" si="47"/>
        <v>0</v>
      </c>
      <c r="L628" s="25">
        <f t="shared" si="48"/>
        <v>0</v>
      </c>
      <c r="M628" s="289" t="e">
        <f t="shared" si="49"/>
        <v>#DIV/0!</v>
      </c>
    </row>
    <row r="629" spans="1:16" ht="18.75" customHeight="1">
      <c r="A629" s="289" t="str">
        <f t="shared" si="45"/>
        <v>NL</v>
      </c>
      <c r="B629" s="753">
        <f t="shared" si="46"/>
        <v>618</v>
      </c>
      <c r="C629" s="851" t="s">
        <v>708</v>
      </c>
      <c r="D629" s="291" t="s">
        <v>393</v>
      </c>
      <c r="E629" s="25"/>
      <c r="F629" s="25"/>
      <c r="G629" s="25">
        <f t="array" ref="G629">SUM(IF("156"&amp;C629=KHN&amp;MH,SL))</f>
        <v>70</v>
      </c>
      <c r="H629" s="25">
        <f t="array" ref="H629">SUM(IF("156"&amp;C629=KHN&amp;MH,TH))</f>
        <v>3400078</v>
      </c>
      <c r="I629" s="25">
        <f t="array" ref="I629">SUM(IF("156"&amp;C629=KHC&amp;MH,SL))</f>
        <v>70</v>
      </c>
      <c r="J629" s="25">
        <f t="array" ref="J629">SUM(IF("156"&amp;C629=KHC&amp;MH,TH))</f>
        <v>3400078</v>
      </c>
      <c r="K629" s="25">
        <f t="shared" si="47"/>
        <v>0</v>
      </c>
      <c r="L629" s="25">
        <f t="shared" si="48"/>
        <v>0</v>
      </c>
      <c r="M629" s="289" t="e">
        <f t="shared" si="49"/>
        <v>#DIV/0!</v>
      </c>
    </row>
    <row r="630" spans="1:16" ht="18.75" customHeight="1">
      <c r="A630" s="289" t="str">
        <f t="shared" si="45"/>
        <v>NL</v>
      </c>
      <c r="B630" s="753">
        <f t="shared" si="46"/>
        <v>619</v>
      </c>
      <c r="C630" s="851" t="s">
        <v>705</v>
      </c>
      <c r="D630" s="291" t="s">
        <v>393</v>
      </c>
      <c r="E630" s="25"/>
      <c r="F630" s="25"/>
      <c r="G630" s="25">
        <f t="array" ref="G630">SUM(IF("156"&amp;C630=KHN&amp;MH,SL))</f>
        <v>130</v>
      </c>
      <c r="H630" s="25">
        <f t="array" ref="H630">SUM(IF("156"&amp;C630=KHN&amp;MH,TH))</f>
        <v>6442245</v>
      </c>
      <c r="I630" s="25">
        <f t="array" ref="I630">SUM(IF("156"&amp;C630=KHC&amp;MH,SL))</f>
        <v>130</v>
      </c>
      <c r="J630" s="25">
        <f t="array" ref="J630">SUM(IF("156"&amp;C630=KHC&amp;MH,TH))</f>
        <v>6442245</v>
      </c>
      <c r="K630" s="25">
        <f t="shared" si="47"/>
        <v>0</v>
      </c>
      <c r="L630" s="25">
        <f t="shared" si="48"/>
        <v>0</v>
      </c>
      <c r="M630" s="289" t="e">
        <f t="shared" si="49"/>
        <v>#DIV/0!</v>
      </c>
    </row>
    <row r="631" spans="1:16" ht="18.75" customHeight="1">
      <c r="A631" s="289" t="str">
        <f t="shared" si="45"/>
        <v>NL</v>
      </c>
      <c r="B631" s="753">
        <f t="shared" si="46"/>
        <v>620</v>
      </c>
      <c r="C631" s="786" t="s">
        <v>476</v>
      </c>
      <c r="D631" s="291" t="s">
        <v>393</v>
      </c>
      <c r="E631" s="25"/>
      <c r="F631" s="25"/>
      <c r="G631" s="25">
        <f t="array" ref="G631">SUM(IF("156"&amp;C631=KHN&amp;MH,SL))</f>
        <v>25</v>
      </c>
      <c r="H631" s="25">
        <f t="array" ref="H631">SUM(IF("156"&amp;C631=KHN&amp;MH,TH))</f>
        <v>983560</v>
      </c>
      <c r="I631" s="25">
        <f t="array" ref="I631">SUM(IF("156"&amp;C631=KHC&amp;MH,SL))</f>
        <v>25</v>
      </c>
      <c r="J631" s="25">
        <f t="array" ref="J631">SUM(IF("156"&amp;C631=KHC&amp;MH,TH))</f>
        <v>983560</v>
      </c>
      <c r="K631" s="25">
        <f t="shared" si="47"/>
        <v>0</v>
      </c>
      <c r="L631" s="25">
        <f t="shared" si="48"/>
        <v>0</v>
      </c>
      <c r="M631" s="289" t="e">
        <f t="shared" si="49"/>
        <v>#DIV/0!</v>
      </c>
      <c r="O631" s="927"/>
      <c r="P631" s="927"/>
    </row>
    <row r="632" spans="1:16" ht="18.75" customHeight="1">
      <c r="A632" s="289" t="str">
        <f t="shared" si="45"/>
        <v>NL</v>
      </c>
      <c r="B632" s="753">
        <f t="shared" si="46"/>
        <v>621</v>
      </c>
      <c r="C632" s="851" t="s">
        <v>871</v>
      </c>
      <c r="D632" s="291" t="s">
        <v>393</v>
      </c>
      <c r="E632" s="25"/>
      <c r="F632" s="25"/>
      <c r="G632" s="25">
        <f t="array" ref="G632">SUM(IF("156"&amp;C632=KHN&amp;MH,SL))</f>
        <v>29</v>
      </c>
      <c r="H632" s="25">
        <f t="array" ref="H632">SUM(IF("156"&amp;C632=KHN&amp;MH,TH))</f>
        <v>1483424</v>
      </c>
      <c r="I632" s="25">
        <f t="array" ref="I632">SUM(IF("156"&amp;C632=KHC&amp;MH,SL))</f>
        <v>29</v>
      </c>
      <c r="J632" s="25">
        <f t="array" ref="J632">SUM(IF("156"&amp;C632=KHC&amp;MH,TH))</f>
        <v>1483424</v>
      </c>
      <c r="K632" s="25">
        <f t="shared" si="47"/>
        <v>0</v>
      </c>
      <c r="L632" s="25">
        <f t="shared" si="48"/>
        <v>0</v>
      </c>
      <c r="M632" s="289" t="e">
        <f t="shared" si="49"/>
        <v>#DIV/0!</v>
      </c>
      <c r="O632" s="927"/>
      <c r="P632" s="927"/>
    </row>
    <row r="633" spans="1:16" ht="18.75" customHeight="1">
      <c r="A633" s="289" t="str">
        <f t="shared" si="45"/>
        <v>NL</v>
      </c>
      <c r="B633" s="753">
        <f t="shared" si="46"/>
        <v>622</v>
      </c>
      <c r="C633" s="191" t="s">
        <v>758</v>
      </c>
      <c r="D633" s="291" t="s">
        <v>393</v>
      </c>
      <c r="E633" s="25"/>
      <c r="F633" s="25"/>
      <c r="G633" s="25">
        <f t="array" ref="G633">SUM(IF("156"&amp;C633=KHN&amp;MH,SL))</f>
        <v>100</v>
      </c>
      <c r="H633" s="25">
        <f t="array" ref="H633">SUM(IF("156"&amp;C633=KHN&amp;MH,TH))</f>
        <v>4180662</v>
      </c>
      <c r="I633" s="25">
        <f t="array" ref="I633">SUM(IF("156"&amp;C633=KHC&amp;MH,SL))</f>
        <v>68</v>
      </c>
      <c r="J633" s="25">
        <f t="array" ref="J633">SUM(IF("156"&amp;C633=KHC&amp;MH,TH))</f>
        <v>2874902</v>
      </c>
      <c r="K633" s="25">
        <f t="shared" si="47"/>
        <v>32</v>
      </c>
      <c r="L633" s="25">
        <f t="shared" si="48"/>
        <v>1305760</v>
      </c>
      <c r="M633" s="289">
        <f t="shared" si="49"/>
        <v>40805</v>
      </c>
    </row>
    <row r="634" spans="1:16" ht="18.75" customHeight="1">
      <c r="A634" s="289" t="str">
        <f t="shared" si="45"/>
        <v>NL</v>
      </c>
      <c r="B634" s="753">
        <f t="shared" si="46"/>
        <v>623</v>
      </c>
      <c r="C634" s="191" t="s">
        <v>759</v>
      </c>
      <c r="D634" s="291" t="s">
        <v>393</v>
      </c>
      <c r="E634" s="25"/>
      <c r="F634" s="25"/>
      <c r="G634" s="25">
        <f t="array" ref="G634">SUM(IF("156"&amp;C634=KHN&amp;MH,SL))</f>
        <v>100</v>
      </c>
      <c r="H634" s="25">
        <f t="array" ref="H634">SUM(IF("156"&amp;C634=KHN&amp;MH,TH))</f>
        <v>4561490</v>
      </c>
      <c r="I634" s="25">
        <f t="array" ref="I634">SUM(IF("156"&amp;C634=KHC&amp;MH,SL))</f>
        <v>98</v>
      </c>
      <c r="J634" s="25">
        <f t="array" ref="J634">SUM(IF("156"&amp;C634=KHC&amp;MH,TH))</f>
        <v>4476308</v>
      </c>
      <c r="K634" s="25">
        <f t="shared" si="47"/>
        <v>2</v>
      </c>
      <c r="L634" s="25">
        <f t="shared" si="48"/>
        <v>85182</v>
      </c>
      <c r="M634" s="289">
        <f t="shared" si="49"/>
        <v>42591</v>
      </c>
    </row>
    <row r="635" spans="1:16" ht="18.75" customHeight="1">
      <c r="A635" s="289" t="str">
        <f t="shared" si="45"/>
        <v>NL</v>
      </c>
      <c r="B635" s="753">
        <f t="shared" si="46"/>
        <v>624</v>
      </c>
      <c r="C635" s="188" t="s">
        <v>762</v>
      </c>
      <c r="D635" s="291" t="s">
        <v>393</v>
      </c>
      <c r="E635" s="25"/>
      <c r="F635" s="25"/>
      <c r="G635" s="25">
        <f t="array" ref="G635">SUM(IF("156"&amp;C635=KHN&amp;MH,SL))</f>
        <v>100</v>
      </c>
      <c r="H635" s="25">
        <f t="array" ref="H635">SUM(IF("156"&amp;C635=KHN&amp;MH,TH))</f>
        <v>5414874</v>
      </c>
      <c r="I635" s="25">
        <f t="array" ref="I635">SUM(IF("156"&amp;C635=KHC&amp;MH,SL))</f>
        <v>81</v>
      </c>
      <c r="J635" s="25">
        <f t="array" ref="J635">SUM(IF("156"&amp;C635=KHC&amp;MH,TH))</f>
        <v>4437305</v>
      </c>
      <c r="K635" s="25">
        <f t="shared" si="47"/>
        <v>19</v>
      </c>
      <c r="L635" s="25">
        <f t="shared" si="48"/>
        <v>977569</v>
      </c>
      <c r="M635" s="289">
        <f t="shared" si="49"/>
        <v>51451</v>
      </c>
    </row>
    <row r="636" spans="1:16" ht="18.75" customHeight="1">
      <c r="A636" s="289" t="str">
        <f t="shared" si="45"/>
        <v>NL</v>
      </c>
      <c r="B636" s="753">
        <f t="shared" si="46"/>
        <v>625</v>
      </c>
      <c r="C636" s="188" t="s">
        <v>680</v>
      </c>
      <c r="D636" s="291" t="s">
        <v>393</v>
      </c>
      <c r="E636" s="25"/>
      <c r="F636" s="25"/>
      <c r="G636" s="25">
        <f t="array" ref="G636">SUM(IF("156"&amp;C636=KHN&amp;MH,SL))</f>
        <v>600</v>
      </c>
      <c r="H636" s="25">
        <f t="array" ref="H636">SUM(IF("156"&amp;C636=KHN&amp;MH,TH))</f>
        <v>4597800</v>
      </c>
      <c r="I636" s="25">
        <f t="array" ref="I636">SUM(IF("156"&amp;C636=KHC&amp;MH,SL))</f>
        <v>400</v>
      </c>
      <c r="J636" s="25">
        <f t="array" ref="J636">SUM(IF("156"&amp;C636=KHC&amp;MH,TH))</f>
        <v>3065200</v>
      </c>
      <c r="K636" s="25">
        <f t="shared" si="47"/>
        <v>200</v>
      </c>
      <c r="L636" s="25">
        <f t="shared" si="48"/>
        <v>1532600</v>
      </c>
      <c r="M636" s="289">
        <f t="shared" si="49"/>
        <v>7663</v>
      </c>
    </row>
    <row r="637" spans="1:16" ht="18.75" customHeight="1">
      <c r="A637" s="289" t="str">
        <f t="shared" si="45"/>
        <v>NL</v>
      </c>
      <c r="B637" s="753">
        <f t="shared" si="46"/>
        <v>626</v>
      </c>
      <c r="C637" s="40" t="s">
        <v>1477</v>
      </c>
      <c r="D637" s="291" t="s">
        <v>393</v>
      </c>
      <c r="E637" s="25"/>
      <c r="F637" s="25"/>
      <c r="G637" s="25">
        <f t="array" ref="G637">SUM(IF("156"&amp;C637=KHN&amp;MH,SL))</f>
        <v>300</v>
      </c>
      <c r="H637" s="25">
        <f t="array" ref="H637">SUM(IF("156"&amp;C637=KHN&amp;MH,TH))</f>
        <v>4050000</v>
      </c>
      <c r="I637" s="25">
        <f t="array" ref="I637">SUM(IF("156"&amp;C637=KHC&amp;MH,SL))</f>
        <v>300</v>
      </c>
      <c r="J637" s="25">
        <f t="array" ref="J637">SUM(IF("156"&amp;C637=KHC&amp;MH,TH))</f>
        <v>4050000</v>
      </c>
      <c r="K637" s="25">
        <f t="shared" si="47"/>
        <v>0</v>
      </c>
      <c r="L637" s="25">
        <f t="shared" si="48"/>
        <v>0</v>
      </c>
      <c r="M637" s="289" t="e">
        <f t="shared" si="49"/>
        <v>#DIV/0!</v>
      </c>
    </row>
    <row r="638" spans="1:16" ht="18.75" customHeight="1">
      <c r="A638" s="289" t="str">
        <f t="shared" si="45"/>
        <v>NL</v>
      </c>
      <c r="B638" s="753">
        <f t="shared" si="46"/>
        <v>627</v>
      </c>
      <c r="C638" s="191" t="s">
        <v>562</v>
      </c>
      <c r="D638" s="291" t="s">
        <v>393</v>
      </c>
      <c r="E638" s="25"/>
      <c r="F638" s="25"/>
      <c r="G638" s="25">
        <f t="array" ref="G638">SUM(IF("156"&amp;C638=KHN&amp;MH,SL))</f>
        <v>192</v>
      </c>
      <c r="H638" s="25">
        <f t="array" ref="H638">SUM(IF("156"&amp;C638=KHN&amp;MH,TH))</f>
        <v>2407776</v>
      </c>
      <c r="I638" s="25">
        <f t="array" ref="I638">SUM(IF("156"&amp;C638=KHC&amp;MH,SL))</f>
        <v>192</v>
      </c>
      <c r="J638" s="25">
        <f t="array" ref="J638">SUM(IF("156"&amp;C638=KHC&amp;MH,TH))</f>
        <v>2407776</v>
      </c>
      <c r="K638" s="25">
        <f t="shared" si="47"/>
        <v>0</v>
      </c>
      <c r="L638" s="25">
        <f t="shared" si="48"/>
        <v>0</v>
      </c>
      <c r="M638" s="289" t="e">
        <f t="shared" si="49"/>
        <v>#DIV/0!</v>
      </c>
      <c r="O638" s="927"/>
      <c r="P638" s="927"/>
    </row>
    <row r="639" spans="1:16" ht="18.75" customHeight="1">
      <c r="A639" s="289" t="str">
        <f t="shared" si="45"/>
        <v>NL</v>
      </c>
      <c r="B639" s="753">
        <f t="shared" si="46"/>
        <v>628</v>
      </c>
      <c r="C639" s="191" t="s">
        <v>557</v>
      </c>
      <c r="D639" s="291" t="s">
        <v>393</v>
      </c>
      <c r="E639" s="25"/>
      <c r="F639" s="25"/>
      <c r="G639" s="25">
        <f t="array" ref="G639">SUM(IF("156"&amp;C639=KHN&amp;MH,SL))</f>
        <v>72</v>
      </c>
      <c r="H639" s="25">
        <f t="array" ref="H639">SUM(IF("156"&amp;C639=KHN&amp;MH,TH))</f>
        <v>3167640</v>
      </c>
      <c r="I639" s="25">
        <f t="array" ref="I639">SUM(IF("156"&amp;C639=KHC&amp;MH,SL))</f>
        <v>72</v>
      </c>
      <c r="J639" s="25">
        <f t="array" ref="J639">SUM(IF("156"&amp;C639=KHC&amp;MH,TH))</f>
        <v>3167640</v>
      </c>
      <c r="K639" s="25">
        <f t="shared" si="47"/>
        <v>0</v>
      </c>
      <c r="L639" s="25">
        <f t="shared" si="48"/>
        <v>0</v>
      </c>
      <c r="M639" s="289" t="e">
        <f t="shared" si="49"/>
        <v>#DIV/0!</v>
      </c>
    </row>
    <row r="640" spans="1:16" ht="18.75" customHeight="1">
      <c r="A640" s="289" t="str">
        <f t="shared" si="45"/>
        <v>NL</v>
      </c>
      <c r="B640" s="753">
        <f t="shared" si="46"/>
        <v>629</v>
      </c>
      <c r="C640" s="191" t="s">
        <v>528</v>
      </c>
      <c r="D640" s="291" t="s">
        <v>393</v>
      </c>
      <c r="E640" s="25"/>
      <c r="F640" s="25"/>
      <c r="G640" s="25">
        <f t="array" ref="G640">SUM(IF("156"&amp;C640=KHN&amp;MH,SL))</f>
        <v>10</v>
      </c>
      <c r="H640" s="25">
        <f t="array" ref="H640">SUM(IF("156"&amp;C640=KHN&amp;MH,TH))</f>
        <v>190730</v>
      </c>
      <c r="I640" s="25">
        <f t="array" ref="I640">SUM(IF("156"&amp;C640=KHC&amp;MH,SL))</f>
        <v>10</v>
      </c>
      <c r="J640" s="25">
        <f t="array" ref="J640">SUM(IF("156"&amp;C640=KHC&amp;MH,TH))</f>
        <v>190730</v>
      </c>
      <c r="K640" s="25">
        <f t="shared" si="47"/>
        <v>0</v>
      </c>
      <c r="L640" s="25">
        <f t="shared" si="48"/>
        <v>0</v>
      </c>
      <c r="M640" s="289" t="e">
        <f t="shared" si="49"/>
        <v>#DIV/0!</v>
      </c>
    </row>
    <row r="641" spans="1:16" ht="18.75" customHeight="1">
      <c r="A641" s="289" t="str">
        <f t="shared" si="45"/>
        <v>NL</v>
      </c>
      <c r="B641" s="753">
        <f t="shared" si="46"/>
        <v>630</v>
      </c>
      <c r="C641" s="191" t="s">
        <v>577</v>
      </c>
      <c r="D641" s="291" t="s">
        <v>393</v>
      </c>
      <c r="E641" s="25"/>
      <c r="F641" s="25"/>
      <c r="G641" s="25">
        <f t="array" ref="G641">SUM(IF("156"&amp;C641=KHN&amp;MH,SL))</f>
        <v>30</v>
      </c>
      <c r="H641" s="25">
        <f t="array" ref="H641">SUM(IF("156"&amp;C641=KHN&amp;MH,TH))</f>
        <v>1857570</v>
      </c>
      <c r="I641" s="25">
        <f t="array" ref="I641">SUM(IF("156"&amp;C641=KHC&amp;MH,SL))</f>
        <v>30</v>
      </c>
      <c r="J641" s="25">
        <f t="array" ref="J641">SUM(IF("156"&amp;C641=KHC&amp;MH,TH))</f>
        <v>1857570</v>
      </c>
      <c r="K641" s="25">
        <f t="shared" si="47"/>
        <v>0</v>
      </c>
      <c r="L641" s="25">
        <f t="shared" si="48"/>
        <v>0</v>
      </c>
      <c r="M641" s="289" t="e">
        <f t="shared" si="49"/>
        <v>#DIV/0!</v>
      </c>
    </row>
    <row r="642" spans="1:16" ht="18.75" customHeight="1">
      <c r="A642" s="289" t="str">
        <f t="shared" si="45"/>
        <v>NL</v>
      </c>
      <c r="B642" s="753">
        <f t="shared" si="46"/>
        <v>631</v>
      </c>
      <c r="C642" s="191" t="s">
        <v>641</v>
      </c>
      <c r="D642" s="291" t="s">
        <v>393</v>
      </c>
      <c r="E642" s="25"/>
      <c r="F642" s="25"/>
      <c r="G642" s="25">
        <f t="array" ref="G642">SUM(IF("156"&amp;C642=KHN&amp;MH,SL))</f>
        <v>474</v>
      </c>
      <c r="H642" s="25">
        <f t="array" ref="H642">SUM(IF("156"&amp;C642=KHN&amp;MH,TH))</f>
        <v>4722534</v>
      </c>
      <c r="I642" s="25">
        <f t="array" ref="I642">SUM(IF("156"&amp;C642=KHC&amp;MH,SL))</f>
        <v>474</v>
      </c>
      <c r="J642" s="25">
        <f t="array" ref="J642">SUM(IF("156"&amp;C642=KHC&amp;MH,TH))</f>
        <v>4722534</v>
      </c>
      <c r="K642" s="25">
        <f t="shared" si="47"/>
        <v>0</v>
      </c>
      <c r="L642" s="25">
        <f t="shared" si="48"/>
        <v>0</v>
      </c>
      <c r="M642" s="289" t="e">
        <f t="shared" si="49"/>
        <v>#DIV/0!</v>
      </c>
    </row>
    <row r="643" spans="1:16" ht="18.75" customHeight="1">
      <c r="A643" s="289" t="str">
        <f t="shared" si="45"/>
        <v>NL</v>
      </c>
      <c r="B643" s="753">
        <f t="shared" si="46"/>
        <v>632</v>
      </c>
      <c r="C643" s="191" t="s">
        <v>787</v>
      </c>
      <c r="D643" s="291" t="s">
        <v>393</v>
      </c>
      <c r="E643" s="25"/>
      <c r="F643" s="25"/>
      <c r="G643" s="25">
        <f t="array" ref="G643">SUM(IF("156"&amp;C643=KHN&amp;MH,SL))</f>
        <v>1300</v>
      </c>
      <c r="H643" s="25">
        <f t="array" ref="H643">SUM(IF("156"&amp;C643=KHN&amp;MH,TH))</f>
        <v>2907900</v>
      </c>
      <c r="I643" s="25">
        <f t="array" ref="I643">SUM(IF("156"&amp;C643=KHC&amp;MH,SL))</f>
        <v>0</v>
      </c>
      <c r="J643" s="25">
        <f t="array" ref="J643">SUM(IF("156"&amp;C643=KHC&amp;MH,TH))</f>
        <v>0</v>
      </c>
      <c r="K643" s="25">
        <f t="shared" si="47"/>
        <v>1300</v>
      </c>
      <c r="L643" s="25">
        <f t="shared" si="48"/>
        <v>2907900</v>
      </c>
      <c r="M643" s="289">
        <f t="shared" si="49"/>
        <v>2236.8461538461538</v>
      </c>
    </row>
    <row r="644" spans="1:16" ht="18.75" customHeight="1">
      <c r="A644" s="289" t="str">
        <f t="shared" si="45"/>
        <v>NL</v>
      </c>
      <c r="B644" s="753">
        <f t="shared" si="46"/>
        <v>633</v>
      </c>
      <c r="C644" s="191" t="s">
        <v>537</v>
      </c>
      <c r="D644" s="291" t="s">
        <v>393</v>
      </c>
      <c r="E644" s="25"/>
      <c r="F644" s="25"/>
      <c r="G644" s="25">
        <f t="array" ref="G644">SUM(IF("156"&amp;C644=KHN&amp;MH,SL))</f>
        <v>158</v>
      </c>
      <c r="H644" s="25">
        <f t="array" ref="H644">SUM(IF("156"&amp;C644=KHN&amp;MH,TH))</f>
        <v>4774312</v>
      </c>
      <c r="I644" s="25">
        <f t="array" ref="I644">SUM(IF("156"&amp;C644=KHC&amp;MH,SL))</f>
        <v>158</v>
      </c>
      <c r="J644" s="25">
        <f t="array" ref="J644">SUM(IF("156"&amp;C644=KHC&amp;MH,TH))</f>
        <v>4774312</v>
      </c>
      <c r="K644" s="25">
        <f t="shared" si="47"/>
        <v>0</v>
      </c>
      <c r="L644" s="25">
        <f t="shared" si="48"/>
        <v>0</v>
      </c>
      <c r="M644" s="289" t="e">
        <f t="shared" si="49"/>
        <v>#DIV/0!</v>
      </c>
    </row>
    <row r="645" spans="1:16" ht="18.75" customHeight="1">
      <c r="A645" s="289" t="str">
        <f t="shared" si="45"/>
        <v>NL</v>
      </c>
      <c r="B645" s="753">
        <f t="shared" si="46"/>
        <v>634</v>
      </c>
      <c r="C645" s="292" t="s">
        <v>1463</v>
      </c>
      <c r="D645" s="291" t="s">
        <v>393</v>
      </c>
      <c r="E645" s="25"/>
      <c r="F645" s="25"/>
      <c r="G645" s="25">
        <f t="array" ref="G645">SUM(IF("156"&amp;C645=KHN&amp;MH,SL))</f>
        <v>11</v>
      </c>
      <c r="H645" s="25">
        <f t="array" ref="H645">SUM(IF("156"&amp;C645=KHN&amp;MH,TH))</f>
        <v>825000</v>
      </c>
      <c r="I645" s="25">
        <f t="array" ref="I645">SUM(IF("156"&amp;C645=KHC&amp;MH,SL))</f>
        <v>11</v>
      </c>
      <c r="J645" s="25">
        <f t="array" ref="J645">SUM(IF("156"&amp;C645=KHC&amp;MH,TH))</f>
        <v>825000</v>
      </c>
      <c r="K645" s="25">
        <f t="shared" si="47"/>
        <v>0</v>
      </c>
      <c r="L645" s="25">
        <f t="shared" si="48"/>
        <v>0</v>
      </c>
      <c r="M645" s="289" t="e">
        <f t="shared" si="49"/>
        <v>#DIV/0!</v>
      </c>
      <c r="O645" s="927"/>
      <c r="P645" s="927"/>
    </row>
    <row r="646" spans="1:16" ht="18.75" customHeight="1">
      <c r="A646" s="289" t="str">
        <f t="shared" si="45"/>
        <v>NL</v>
      </c>
      <c r="B646" s="753">
        <f t="shared" si="46"/>
        <v>635</v>
      </c>
      <c r="C646" s="188" t="s">
        <v>887</v>
      </c>
      <c r="D646" s="291" t="s">
        <v>393</v>
      </c>
      <c r="E646" s="25"/>
      <c r="F646" s="25"/>
      <c r="G646" s="25">
        <f t="array" ref="G646">SUM(IF("156"&amp;C646=KHN&amp;MH,SL))</f>
        <v>11</v>
      </c>
      <c r="H646" s="25">
        <f t="array" ref="H646">SUM(IF("156"&amp;C646=KHN&amp;MH,TH))</f>
        <v>794255</v>
      </c>
      <c r="I646" s="25">
        <f t="array" ref="I646">SUM(IF("156"&amp;C646=KHC&amp;MH,SL))</f>
        <v>0</v>
      </c>
      <c r="J646" s="25">
        <f t="array" ref="J646">SUM(IF("156"&amp;C646=KHC&amp;MH,TH))</f>
        <v>0</v>
      </c>
      <c r="K646" s="25">
        <f t="shared" si="47"/>
        <v>11</v>
      </c>
      <c r="L646" s="25">
        <f t="shared" si="48"/>
        <v>794255</v>
      </c>
      <c r="M646" s="289">
        <f t="shared" si="49"/>
        <v>72205</v>
      </c>
    </row>
    <row r="647" spans="1:16" ht="18.75" customHeight="1">
      <c r="A647" s="289" t="str">
        <f t="shared" si="45"/>
        <v>NL</v>
      </c>
      <c r="B647" s="753">
        <f t="shared" si="46"/>
        <v>636</v>
      </c>
      <c r="C647" s="191" t="s">
        <v>946</v>
      </c>
      <c r="D647" s="291" t="s">
        <v>393</v>
      </c>
      <c r="E647" s="25"/>
      <c r="F647" s="25"/>
      <c r="G647" s="25">
        <f t="array" ref="G647">SUM(IF("156"&amp;C647=KHN&amp;MH,SL))</f>
        <v>400</v>
      </c>
      <c r="H647" s="25">
        <f t="array" ref="H647">SUM(IF("156"&amp;C647=KHN&amp;MH,TH))</f>
        <v>4576757</v>
      </c>
      <c r="I647" s="25">
        <f t="array" ref="I647">SUM(IF("156"&amp;C647=KHC&amp;MH,SL))</f>
        <v>400</v>
      </c>
      <c r="J647" s="25">
        <f t="array" ref="J647">SUM(IF("156"&amp;C647=KHC&amp;MH,TH))</f>
        <v>4576757</v>
      </c>
      <c r="K647" s="25">
        <f t="shared" si="47"/>
        <v>0</v>
      </c>
      <c r="L647" s="25">
        <f t="shared" si="48"/>
        <v>0</v>
      </c>
      <c r="M647" s="289" t="e">
        <f t="shared" si="49"/>
        <v>#DIV/0!</v>
      </c>
    </row>
    <row r="648" spans="1:16" ht="18.75" customHeight="1">
      <c r="A648" s="289" t="str">
        <f t="shared" si="45"/>
        <v>NL</v>
      </c>
      <c r="B648" s="753">
        <f t="shared" si="46"/>
        <v>637</v>
      </c>
      <c r="C648" s="191" t="s">
        <v>939</v>
      </c>
      <c r="D648" s="291" t="s">
        <v>393</v>
      </c>
      <c r="E648" s="25"/>
      <c r="F648" s="25"/>
      <c r="G648" s="25">
        <f t="array" ref="G648">SUM(IF("156"&amp;C648=KHN&amp;MH,SL))</f>
        <v>1820</v>
      </c>
      <c r="H648" s="25">
        <f t="array" ref="H648">SUM(IF("156"&amp;C648=KHN&amp;MH,TH))</f>
        <v>32532745</v>
      </c>
      <c r="I648" s="25">
        <f t="array" ref="I648">SUM(IF("156"&amp;C648=KHC&amp;MH,SL))</f>
        <v>1720</v>
      </c>
      <c r="J648" s="25">
        <f t="array" ref="J648">SUM(IF("156"&amp;C648=KHC&amp;MH,TH))</f>
        <v>30188645</v>
      </c>
      <c r="K648" s="25">
        <f t="shared" si="47"/>
        <v>100</v>
      </c>
      <c r="L648" s="25">
        <f t="shared" si="48"/>
        <v>2344100</v>
      </c>
      <c r="M648" s="289">
        <f t="shared" si="49"/>
        <v>23441</v>
      </c>
    </row>
    <row r="649" spans="1:16" ht="18.75" customHeight="1">
      <c r="A649" s="289" t="str">
        <f t="shared" si="45"/>
        <v>NL</v>
      </c>
      <c r="B649" s="753">
        <f t="shared" si="46"/>
        <v>638</v>
      </c>
      <c r="C649" s="191" t="s">
        <v>755</v>
      </c>
      <c r="D649" s="291" t="s">
        <v>393</v>
      </c>
      <c r="E649" s="25"/>
      <c r="F649" s="25"/>
      <c r="G649" s="25">
        <f t="array" ref="G649">SUM(IF("156"&amp;C649=KHN&amp;MH,SL))</f>
        <v>76</v>
      </c>
      <c r="H649" s="25">
        <f t="array" ref="H649">SUM(IF("156"&amp;C649=KHN&amp;MH,TH))</f>
        <v>2527658</v>
      </c>
      <c r="I649" s="25">
        <f t="array" ref="I649">SUM(IF("156"&amp;C649=KHC&amp;MH,SL))</f>
        <v>50</v>
      </c>
      <c r="J649" s="25">
        <f t="array" ref="J649">SUM(IF("156"&amp;C649=KHC&amp;MH,TH))</f>
        <v>1658400</v>
      </c>
      <c r="K649" s="25">
        <f t="shared" si="47"/>
        <v>26</v>
      </c>
      <c r="L649" s="25">
        <f t="shared" si="48"/>
        <v>869258</v>
      </c>
      <c r="M649" s="289">
        <f t="shared" si="49"/>
        <v>33433</v>
      </c>
    </row>
    <row r="650" spans="1:16" ht="18.75" customHeight="1">
      <c r="A650" s="289" t="str">
        <f t="shared" si="45"/>
        <v>NL</v>
      </c>
      <c r="B650" s="753">
        <f t="shared" si="46"/>
        <v>639</v>
      </c>
      <c r="C650" s="292" t="s">
        <v>1478</v>
      </c>
      <c r="D650" s="291" t="s">
        <v>393</v>
      </c>
      <c r="E650" s="25"/>
      <c r="F650" s="25"/>
      <c r="G650" s="25">
        <f t="array" ref="G650">SUM(IF("156"&amp;C650=KHN&amp;MH,SL))</f>
        <v>400</v>
      </c>
      <c r="H650" s="25">
        <f t="array" ref="H650">SUM(IF("156"&amp;C650=KHN&amp;MH,TH))</f>
        <v>5620000</v>
      </c>
      <c r="I650" s="25">
        <f t="array" ref="I650">SUM(IF("156"&amp;C650=KHC&amp;MH,SL))</f>
        <v>400</v>
      </c>
      <c r="J650" s="25">
        <f t="array" ref="J650">SUM(IF("156"&amp;C650=KHC&amp;MH,TH))</f>
        <v>5620000</v>
      </c>
      <c r="K650" s="25">
        <f t="shared" si="47"/>
        <v>0</v>
      </c>
      <c r="L650" s="25">
        <f t="shared" si="48"/>
        <v>0</v>
      </c>
      <c r="M650" s="289" t="e">
        <f t="shared" si="49"/>
        <v>#DIV/0!</v>
      </c>
      <c r="O650" s="927"/>
      <c r="P650" s="927"/>
    </row>
    <row r="651" spans="1:16" ht="18.75" customHeight="1">
      <c r="A651" s="289" t="str">
        <f t="shared" si="45"/>
        <v>NL</v>
      </c>
      <c r="B651" s="753">
        <f t="shared" si="46"/>
        <v>640</v>
      </c>
      <c r="C651" s="188" t="s">
        <v>948</v>
      </c>
      <c r="D651" s="291" t="s">
        <v>393</v>
      </c>
      <c r="E651" s="25"/>
      <c r="F651" s="25"/>
      <c r="G651" s="25">
        <f t="array" ref="G651">SUM(IF("156"&amp;C651=KHN&amp;MH,SL))</f>
        <v>260</v>
      </c>
      <c r="H651" s="25">
        <f t="array" ref="H651">SUM(IF("156"&amp;C651=KHN&amp;MH,TH))</f>
        <v>3218540</v>
      </c>
      <c r="I651" s="25">
        <f t="array" ref="I651">SUM(IF("156"&amp;C651=KHC&amp;MH,SL))</f>
        <v>0</v>
      </c>
      <c r="J651" s="25">
        <f t="array" ref="J651">SUM(IF("156"&amp;C651=KHC&amp;MH,TH))</f>
        <v>0</v>
      </c>
      <c r="K651" s="25">
        <f t="shared" si="47"/>
        <v>260</v>
      </c>
      <c r="L651" s="25">
        <f t="shared" si="48"/>
        <v>3218540</v>
      </c>
      <c r="M651" s="289">
        <f t="shared" si="49"/>
        <v>12379</v>
      </c>
    </row>
    <row r="652" spans="1:16" ht="18.75" customHeight="1">
      <c r="A652" s="289" t="str">
        <f t="shared" ref="A652:A715" si="50">IF(B652&lt;&gt;"","NL","")</f>
        <v>NL</v>
      </c>
      <c r="B652" s="753">
        <f t="shared" ref="B652:B715" si="51">IF(C652&lt;&gt;"",ROW()-11,"")</f>
        <v>641</v>
      </c>
      <c r="C652" s="40" t="s">
        <v>938</v>
      </c>
      <c r="D652" s="291" t="s">
        <v>393</v>
      </c>
      <c r="E652" s="25"/>
      <c r="F652" s="25"/>
      <c r="G652" s="25">
        <f t="array" ref="G652">SUM(IF("156"&amp;C652=KHN&amp;MH,SL))</f>
        <v>125</v>
      </c>
      <c r="H652" s="25">
        <f t="array" ref="H652">SUM(IF("156"&amp;C652=KHN&amp;MH,TH))</f>
        <v>2318500</v>
      </c>
      <c r="I652" s="25">
        <f t="array" ref="I652">SUM(IF("156"&amp;C652=KHC&amp;MH,SL))</f>
        <v>125</v>
      </c>
      <c r="J652" s="25">
        <f t="array" ref="J652">SUM(IF("156"&amp;C652=KHC&amp;MH,TH))</f>
        <v>2318500</v>
      </c>
      <c r="K652" s="25">
        <f t="shared" ref="K652:K715" si="52">E652+G652-I652</f>
        <v>0</v>
      </c>
      <c r="L652" s="25">
        <f t="shared" ref="L652:L715" si="53">F652+H652-J652</f>
        <v>0</v>
      </c>
      <c r="M652" s="289" t="e">
        <f t="shared" ref="M652:M715" si="54">L652/K652</f>
        <v>#DIV/0!</v>
      </c>
    </row>
    <row r="653" spans="1:16" ht="18.75" customHeight="1">
      <c r="A653" s="289" t="str">
        <f t="shared" si="50"/>
        <v>NL</v>
      </c>
      <c r="B653" s="753">
        <f t="shared" si="51"/>
        <v>642</v>
      </c>
      <c r="C653" s="188" t="s">
        <v>937</v>
      </c>
      <c r="D653" s="291" t="s">
        <v>393</v>
      </c>
      <c r="E653" s="25"/>
      <c r="F653" s="25"/>
      <c r="G653" s="25">
        <f t="array" ref="G653">SUM(IF("156"&amp;C653=KHN&amp;MH,SL))</f>
        <v>796</v>
      </c>
      <c r="H653" s="25">
        <f t="array" ref="H653">SUM(IF("156"&amp;C653=KHN&amp;MH,TH))</f>
        <v>16942825</v>
      </c>
      <c r="I653" s="25">
        <f t="array" ref="I653">SUM(IF("156"&amp;C653=KHC&amp;MH,SL))</f>
        <v>792</v>
      </c>
      <c r="J653" s="25">
        <f t="array" ref="J653">SUM(IF("156"&amp;C653=KHC&amp;MH,TH))</f>
        <v>16870373</v>
      </c>
      <c r="K653" s="25">
        <f t="shared" si="52"/>
        <v>4</v>
      </c>
      <c r="L653" s="25">
        <f t="shared" si="53"/>
        <v>72452</v>
      </c>
      <c r="M653" s="289">
        <f t="shared" si="54"/>
        <v>18113</v>
      </c>
    </row>
    <row r="654" spans="1:16" ht="18.75" customHeight="1">
      <c r="A654" s="289" t="str">
        <f t="shared" si="50"/>
        <v>NL</v>
      </c>
      <c r="B654" s="753">
        <f t="shared" si="51"/>
        <v>643</v>
      </c>
      <c r="C654" s="40" t="s">
        <v>924</v>
      </c>
      <c r="D654" s="291" t="s">
        <v>393</v>
      </c>
      <c r="E654" s="25"/>
      <c r="F654" s="25"/>
      <c r="G654" s="25">
        <f t="array" ref="G654">SUM(IF("156"&amp;C654=KHN&amp;MH,SL))</f>
        <v>900</v>
      </c>
      <c r="H654" s="25">
        <f t="array" ref="H654">SUM(IF("156"&amp;C654=KHN&amp;MH,TH))</f>
        <v>18877606</v>
      </c>
      <c r="I654" s="25">
        <f t="array" ref="I654">SUM(IF("156"&amp;C654=KHC&amp;MH,SL))</f>
        <v>900</v>
      </c>
      <c r="J654" s="25">
        <f t="array" ref="J654">SUM(IF("156"&amp;C654=KHC&amp;MH,TH))</f>
        <v>18877606</v>
      </c>
      <c r="K654" s="25">
        <f t="shared" si="52"/>
        <v>0</v>
      </c>
      <c r="L654" s="25">
        <f t="shared" si="53"/>
        <v>0</v>
      </c>
      <c r="M654" s="289" t="e">
        <f t="shared" si="54"/>
        <v>#DIV/0!</v>
      </c>
    </row>
    <row r="655" spans="1:16" ht="18.75" customHeight="1">
      <c r="A655" s="289" t="str">
        <f t="shared" si="50"/>
        <v>NL</v>
      </c>
      <c r="B655" s="753">
        <f t="shared" si="51"/>
        <v>644</v>
      </c>
      <c r="C655" s="292" t="s">
        <v>1465</v>
      </c>
      <c r="D655" s="291" t="s">
        <v>393</v>
      </c>
      <c r="E655" s="25"/>
      <c r="F655" s="25"/>
      <c r="G655" s="25">
        <f t="array" ref="G655">SUM(IF("156"&amp;C655=KHN&amp;MH,SL))</f>
        <v>20</v>
      </c>
      <c r="H655" s="25">
        <f t="array" ref="H655">SUM(IF("156"&amp;C655=KHN&amp;MH,TH))</f>
        <v>1427980</v>
      </c>
      <c r="I655" s="25">
        <f t="array" ref="I655">SUM(IF("156"&amp;C655=KHC&amp;MH,SL))</f>
        <v>20</v>
      </c>
      <c r="J655" s="25">
        <f t="array" ref="J655">SUM(IF("156"&amp;C655=KHC&amp;MH,TH))</f>
        <v>1427980</v>
      </c>
      <c r="K655" s="25">
        <f t="shared" si="52"/>
        <v>0</v>
      </c>
      <c r="L655" s="25">
        <f t="shared" si="53"/>
        <v>0</v>
      </c>
      <c r="M655" s="289" t="e">
        <f t="shared" si="54"/>
        <v>#DIV/0!</v>
      </c>
      <c r="O655" s="927"/>
      <c r="P655" s="927"/>
    </row>
    <row r="656" spans="1:16" ht="18.75" customHeight="1">
      <c r="A656" s="289" t="str">
        <f t="shared" si="50"/>
        <v>NL</v>
      </c>
      <c r="B656" s="753">
        <f t="shared" si="51"/>
        <v>645</v>
      </c>
      <c r="C656" s="292" t="s">
        <v>1433</v>
      </c>
      <c r="D656" s="291" t="s">
        <v>393</v>
      </c>
      <c r="E656" s="25"/>
      <c r="F656" s="25"/>
      <c r="G656" s="25">
        <f t="array" ref="G656">SUM(IF("156"&amp;C656=KHN&amp;MH,SL))</f>
        <v>60</v>
      </c>
      <c r="H656" s="25">
        <f t="array" ref="H656">SUM(IF("156"&amp;C656=KHN&amp;MH,TH))</f>
        <v>2215020</v>
      </c>
      <c r="I656" s="25">
        <f t="array" ref="I656">SUM(IF("156"&amp;C656=KHC&amp;MH,SL))</f>
        <v>60</v>
      </c>
      <c r="J656" s="25">
        <f t="array" ref="J656">SUM(IF("156"&amp;C656=KHC&amp;MH,TH))</f>
        <v>2215020</v>
      </c>
      <c r="K656" s="25">
        <f t="shared" si="52"/>
        <v>0</v>
      </c>
      <c r="L656" s="25">
        <f t="shared" si="53"/>
        <v>0</v>
      </c>
      <c r="M656" s="289" t="e">
        <f t="shared" si="54"/>
        <v>#DIV/0!</v>
      </c>
    </row>
    <row r="657" spans="1:16" ht="18.75" customHeight="1">
      <c r="A657" s="289" t="str">
        <f t="shared" si="50"/>
        <v>NL</v>
      </c>
      <c r="B657" s="753">
        <f t="shared" si="51"/>
        <v>646</v>
      </c>
      <c r="C657" s="191" t="s">
        <v>950</v>
      </c>
      <c r="D657" s="291" t="s">
        <v>393</v>
      </c>
      <c r="E657" s="25"/>
      <c r="F657" s="25"/>
      <c r="G657" s="25">
        <f t="array" ref="G657">SUM(IF("156"&amp;C657=KHN&amp;MH,SL))</f>
        <v>54</v>
      </c>
      <c r="H657" s="25">
        <f t="array" ref="H657">SUM(IF("156"&amp;C657=KHN&amp;MH,TH))</f>
        <v>1901826</v>
      </c>
      <c r="I657" s="25">
        <f t="array" ref="I657">SUM(IF("156"&amp;C657=KHC&amp;MH,SL))</f>
        <v>0</v>
      </c>
      <c r="J657" s="25">
        <f t="array" ref="J657">SUM(IF("156"&amp;C657=KHC&amp;MH,TH))</f>
        <v>0</v>
      </c>
      <c r="K657" s="25">
        <f t="shared" si="52"/>
        <v>54</v>
      </c>
      <c r="L657" s="25">
        <f t="shared" si="53"/>
        <v>1901826</v>
      </c>
      <c r="M657" s="289">
        <f t="shared" si="54"/>
        <v>35219</v>
      </c>
    </row>
    <row r="658" spans="1:16" ht="18.75" customHeight="1">
      <c r="A658" s="289" t="str">
        <f t="shared" si="50"/>
        <v>NL</v>
      </c>
      <c r="B658" s="753">
        <f t="shared" si="51"/>
        <v>647</v>
      </c>
      <c r="C658" s="191" t="s">
        <v>977</v>
      </c>
      <c r="D658" s="291" t="s">
        <v>393</v>
      </c>
      <c r="E658" s="25"/>
      <c r="F658" s="25"/>
      <c r="G658" s="25">
        <f t="array" ref="G658">SUM(IF("156"&amp;C658=KHN&amp;MH,SL))</f>
        <v>28</v>
      </c>
      <c r="H658" s="25">
        <f t="array" ref="H658">SUM(IF("156"&amp;C658=KHN&amp;MH,TH))</f>
        <v>1283716</v>
      </c>
      <c r="I658" s="25">
        <f t="array" ref="I658">SUM(IF("156"&amp;C658=KHC&amp;MH,SL))</f>
        <v>28</v>
      </c>
      <c r="J658" s="25">
        <f t="array" ref="J658">SUM(IF("156"&amp;C658=KHC&amp;MH,TH))</f>
        <v>1283716</v>
      </c>
      <c r="K658" s="25">
        <f t="shared" si="52"/>
        <v>0</v>
      </c>
      <c r="L658" s="25">
        <f t="shared" si="53"/>
        <v>0</v>
      </c>
      <c r="M658" s="289" t="e">
        <f t="shared" si="54"/>
        <v>#DIV/0!</v>
      </c>
    </row>
    <row r="659" spans="1:16" ht="18.75" customHeight="1">
      <c r="A659" s="289" t="str">
        <f t="shared" si="50"/>
        <v>NL</v>
      </c>
      <c r="B659" s="753">
        <f t="shared" si="51"/>
        <v>648</v>
      </c>
      <c r="C659" s="191" t="s">
        <v>497</v>
      </c>
      <c r="D659" s="291" t="s">
        <v>393</v>
      </c>
      <c r="E659" s="25"/>
      <c r="F659" s="25"/>
      <c r="G659" s="25">
        <f t="array" ref="G659">SUM(IF("156"&amp;C659=KHN&amp;MH,SL))</f>
        <v>206</v>
      </c>
      <c r="H659" s="25">
        <f t="array" ref="H659">SUM(IF("156"&amp;C659=KHN&amp;MH,TH))</f>
        <v>7049356</v>
      </c>
      <c r="I659" s="25">
        <f t="array" ref="I659">SUM(IF("156"&amp;C659=KHC&amp;MH,SL))</f>
        <v>206</v>
      </c>
      <c r="J659" s="25">
        <f t="array" ref="J659">SUM(IF("156"&amp;C659=KHC&amp;MH,TH))</f>
        <v>7049356</v>
      </c>
      <c r="K659" s="25">
        <f t="shared" si="52"/>
        <v>0</v>
      </c>
      <c r="L659" s="25">
        <f t="shared" si="53"/>
        <v>0</v>
      </c>
      <c r="M659" s="289" t="e">
        <f t="shared" si="54"/>
        <v>#DIV/0!</v>
      </c>
    </row>
    <row r="660" spans="1:16" ht="18.75" customHeight="1">
      <c r="A660" s="289" t="str">
        <f t="shared" si="50"/>
        <v>NL</v>
      </c>
      <c r="B660" s="753">
        <f t="shared" si="51"/>
        <v>649</v>
      </c>
      <c r="C660" s="191" t="s">
        <v>487</v>
      </c>
      <c r="D660" s="291" t="s">
        <v>393</v>
      </c>
      <c r="E660" s="25"/>
      <c r="F660" s="25"/>
      <c r="G660" s="25">
        <f t="array" ref="G660">SUM(IF("156"&amp;C660=KHN&amp;MH,SL))</f>
        <v>146</v>
      </c>
      <c r="H660" s="25">
        <f t="array" ref="H660">SUM(IF("156"&amp;C660=KHN&amp;MH,TH))</f>
        <v>6239706</v>
      </c>
      <c r="I660" s="25">
        <f t="array" ref="I660">SUM(IF("156"&amp;C660=KHC&amp;MH,SL))</f>
        <v>146</v>
      </c>
      <c r="J660" s="25">
        <f t="array" ref="J660">SUM(IF("156"&amp;C660=KHC&amp;MH,TH))</f>
        <v>6239706</v>
      </c>
      <c r="K660" s="25">
        <f t="shared" si="52"/>
        <v>0</v>
      </c>
      <c r="L660" s="25">
        <f t="shared" si="53"/>
        <v>0</v>
      </c>
      <c r="M660" s="289" t="e">
        <f t="shared" si="54"/>
        <v>#DIV/0!</v>
      </c>
    </row>
    <row r="661" spans="1:16" ht="18.75" customHeight="1">
      <c r="A661" s="289" t="str">
        <f t="shared" si="50"/>
        <v>NL</v>
      </c>
      <c r="B661" s="753">
        <f t="shared" si="51"/>
        <v>650</v>
      </c>
      <c r="C661" s="191" t="s">
        <v>974</v>
      </c>
      <c r="D661" s="291" t="s">
        <v>393</v>
      </c>
      <c r="E661" s="25"/>
      <c r="F661" s="25"/>
      <c r="G661" s="25">
        <f t="array" ref="G661">SUM(IF("156"&amp;C661=KHN&amp;MH,SL))</f>
        <v>24</v>
      </c>
      <c r="H661" s="25">
        <f t="array" ref="H661">SUM(IF("156"&amp;C661=KHN&amp;MH,TH))</f>
        <v>1576848</v>
      </c>
      <c r="I661" s="25">
        <f t="array" ref="I661">SUM(IF("156"&amp;C661=KHC&amp;MH,SL))</f>
        <v>24</v>
      </c>
      <c r="J661" s="25">
        <f t="array" ref="J661">SUM(IF("156"&amp;C661=KHC&amp;MH,TH))</f>
        <v>1576848</v>
      </c>
      <c r="K661" s="25">
        <f t="shared" si="52"/>
        <v>0</v>
      </c>
      <c r="L661" s="25">
        <f t="shared" si="53"/>
        <v>0</v>
      </c>
      <c r="M661" s="289" t="e">
        <f t="shared" si="54"/>
        <v>#DIV/0!</v>
      </c>
    </row>
    <row r="662" spans="1:16" ht="18.75" customHeight="1">
      <c r="A662" s="289" t="str">
        <f t="shared" si="50"/>
        <v>NL</v>
      </c>
      <c r="B662" s="753">
        <f t="shared" si="51"/>
        <v>651</v>
      </c>
      <c r="C662" s="191" t="s">
        <v>1787</v>
      </c>
      <c r="D662" s="291"/>
      <c r="E662" s="25"/>
      <c r="F662" s="25"/>
      <c r="G662" s="25">
        <f t="array" ref="G662">SUM(IF("156"&amp;C662=KHN&amp;MH,SL))</f>
        <v>4</v>
      </c>
      <c r="H662" s="25">
        <f t="array" ref="H662">SUM(IF("156"&amp;C662=KHN&amp;MH,TH))</f>
        <v>100956</v>
      </c>
      <c r="I662" s="25">
        <f t="array" ref="I662">SUM(IF("156"&amp;C662=KHC&amp;MH,SL))</f>
        <v>4</v>
      </c>
      <c r="J662" s="25">
        <f t="array" ref="J662">SUM(IF("156"&amp;C662=KHC&amp;MH,TH))</f>
        <v>100956</v>
      </c>
      <c r="K662" s="25">
        <f t="shared" si="52"/>
        <v>0</v>
      </c>
      <c r="L662" s="25">
        <f t="shared" si="53"/>
        <v>0</v>
      </c>
      <c r="M662" s="289" t="e">
        <f t="shared" si="54"/>
        <v>#DIV/0!</v>
      </c>
    </row>
    <row r="663" spans="1:16" ht="18.75" customHeight="1">
      <c r="A663" s="289" t="str">
        <f t="shared" si="50"/>
        <v>NL</v>
      </c>
      <c r="B663" s="753">
        <f t="shared" si="51"/>
        <v>652</v>
      </c>
      <c r="C663" s="40" t="s">
        <v>875</v>
      </c>
      <c r="D663" s="291" t="s">
        <v>393</v>
      </c>
      <c r="E663" s="25"/>
      <c r="F663" s="25"/>
      <c r="G663" s="25">
        <f t="array" ref="G663">SUM(IF("156"&amp;C663=KHN&amp;MH,SL))</f>
        <v>56</v>
      </c>
      <c r="H663" s="25">
        <f t="array" ref="H663">SUM(IF("156"&amp;C663=KHN&amp;MH,TH))</f>
        <v>2779360</v>
      </c>
      <c r="I663" s="25">
        <f t="array" ref="I663">SUM(IF("156"&amp;C663=KHC&amp;MH,SL))</f>
        <v>20</v>
      </c>
      <c r="J663" s="25">
        <f t="array" ref="J663">SUM(IF("156"&amp;C663=KHC&amp;MH,TH))</f>
        <v>1004224</v>
      </c>
      <c r="K663" s="25">
        <f t="shared" si="52"/>
        <v>36</v>
      </c>
      <c r="L663" s="25">
        <f t="shared" si="53"/>
        <v>1775136</v>
      </c>
      <c r="M663" s="289">
        <f t="shared" si="54"/>
        <v>49309.333333333336</v>
      </c>
    </row>
    <row r="664" spans="1:16" ht="18.75" customHeight="1">
      <c r="A664" s="289" t="str">
        <f t="shared" si="50"/>
        <v>NL</v>
      </c>
      <c r="B664" s="753">
        <f t="shared" si="51"/>
        <v>653</v>
      </c>
      <c r="C664" s="191" t="s">
        <v>493</v>
      </c>
      <c r="D664" s="291" t="s">
        <v>393</v>
      </c>
      <c r="E664" s="25"/>
      <c r="F664" s="25"/>
      <c r="G664" s="25">
        <f t="array" ref="G664">SUM(IF("156"&amp;C664=KHN&amp;MH,SL))</f>
        <v>138</v>
      </c>
      <c r="H664" s="25">
        <f t="array" ref="H664">SUM(IF("156"&amp;C664=KHN&amp;MH,TH))</f>
        <v>7066808</v>
      </c>
      <c r="I664" s="25">
        <f t="array" ref="I664">SUM(IF("156"&amp;C664=KHC&amp;MH,SL))</f>
        <v>138</v>
      </c>
      <c r="J664" s="25">
        <f t="array" ref="J664">SUM(IF("156"&amp;C664=KHC&amp;MH,TH))</f>
        <v>7066808</v>
      </c>
      <c r="K664" s="25">
        <f t="shared" si="52"/>
        <v>0</v>
      </c>
      <c r="L664" s="25">
        <f t="shared" si="53"/>
        <v>0</v>
      </c>
      <c r="M664" s="289" t="e">
        <f t="shared" si="54"/>
        <v>#DIV/0!</v>
      </c>
      <c r="O664" s="927"/>
      <c r="P664" s="927"/>
    </row>
    <row r="665" spans="1:16" ht="18.75" customHeight="1">
      <c r="A665" s="289" t="str">
        <f t="shared" si="50"/>
        <v>NL</v>
      </c>
      <c r="B665" s="753">
        <f t="shared" si="51"/>
        <v>654</v>
      </c>
      <c r="C665" s="191" t="s">
        <v>1788</v>
      </c>
      <c r="D665" s="291"/>
      <c r="E665" s="25"/>
      <c r="F665" s="25"/>
      <c r="G665" s="25">
        <f t="array" ref="G665">SUM(IF("156"&amp;C665=KHN&amp;MH,SL))</f>
        <v>12</v>
      </c>
      <c r="H665" s="25">
        <f t="array" ref="H665">SUM(IF("156"&amp;C665=KHN&amp;MH,TH))</f>
        <v>170688</v>
      </c>
      <c r="I665" s="25">
        <f t="array" ref="I665">SUM(IF("156"&amp;C665=KHC&amp;MH,SL))</f>
        <v>12</v>
      </c>
      <c r="J665" s="25">
        <f t="array" ref="J665">SUM(IF("156"&amp;C665=KHC&amp;MH,TH))</f>
        <v>170688</v>
      </c>
      <c r="K665" s="25">
        <f t="shared" si="52"/>
        <v>0</v>
      </c>
      <c r="L665" s="25">
        <f t="shared" si="53"/>
        <v>0</v>
      </c>
      <c r="M665" s="289" t="e">
        <f t="shared" si="54"/>
        <v>#DIV/0!</v>
      </c>
    </row>
    <row r="666" spans="1:16" ht="18.75" customHeight="1">
      <c r="A666" s="289" t="str">
        <f t="shared" si="50"/>
        <v>NL</v>
      </c>
      <c r="B666" s="753">
        <f t="shared" si="51"/>
        <v>655</v>
      </c>
      <c r="C666" s="191" t="s">
        <v>1741</v>
      </c>
      <c r="D666" s="291"/>
      <c r="E666" s="25"/>
      <c r="F666" s="25"/>
      <c r="G666" s="25">
        <f t="array" ref="G666">SUM(IF("156"&amp;C666=KHN&amp;MH,SL))</f>
        <v>12</v>
      </c>
      <c r="H666" s="25">
        <f t="array" ref="H666">SUM(IF("156"&amp;C666=KHN&amp;MH,TH))</f>
        <v>294000</v>
      </c>
      <c r="I666" s="25">
        <f t="array" ref="I666">SUM(IF("156"&amp;C666=KHC&amp;MH,SL))</f>
        <v>12</v>
      </c>
      <c r="J666" s="25">
        <f t="array" ref="J666">SUM(IF("156"&amp;C666=KHC&amp;MH,TH))</f>
        <v>294000</v>
      </c>
      <c r="K666" s="25">
        <f t="shared" si="52"/>
        <v>0</v>
      </c>
      <c r="L666" s="25">
        <f t="shared" si="53"/>
        <v>0</v>
      </c>
      <c r="M666" s="289" t="e">
        <f t="shared" si="54"/>
        <v>#DIV/0!</v>
      </c>
    </row>
    <row r="667" spans="1:16" ht="18.75" customHeight="1">
      <c r="A667" s="289" t="str">
        <f t="shared" si="50"/>
        <v>NL</v>
      </c>
      <c r="B667" s="753">
        <f t="shared" si="51"/>
        <v>656</v>
      </c>
      <c r="C667" s="191" t="s">
        <v>488</v>
      </c>
      <c r="D667" s="291" t="s">
        <v>393</v>
      </c>
      <c r="E667" s="25"/>
      <c r="F667" s="25"/>
      <c r="G667" s="25">
        <f t="array" ref="G667">SUM(IF("156"&amp;C667=KHN&amp;MH,SL))</f>
        <v>66</v>
      </c>
      <c r="H667" s="25">
        <f t="array" ref="H667">SUM(IF("156"&amp;C667=KHN&amp;MH,TH))</f>
        <v>3540738</v>
      </c>
      <c r="I667" s="25">
        <f t="array" ref="I667">SUM(IF("156"&amp;C667=KHC&amp;MH,SL))</f>
        <v>66</v>
      </c>
      <c r="J667" s="25">
        <f t="array" ref="J667">SUM(IF("156"&amp;C667=KHC&amp;MH,TH))</f>
        <v>3540738</v>
      </c>
      <c r="K667" s="25">
        <f t="shared" si="52"/>
        <v>0</v>
      </c>
      <c r="L667" s="25">
        <f t="shared" si="53"/>
        <v>0</v>
      </c>
      <c r="M667" s="289" t="e">
        <f t="shared" si="54"/>
        <v>#DIV/0!</v>
      </c>
    </row>
    <row r="668" spans="1:16" ht="18.75" customHeight="1">
      <c r="A668" s="289" t="str">
        <f t="shared" si="50"/>
        <v>NL</v>
      </c>
      <c r="B668" s="753">
        <f t="shared" si="51"/>
        <v>657</v>
      </c>
      <c r="C668" s="292" t="s">
        <v>1573</v>
      </c>
      <c r="D668" s="291" t="s">
        <v>393</v>
      </c>
      <c r="E668" s="25"/>
      <c r="F668" s="25"/>
      <c r="G668" s="25">
        <f t="array" ref="G668">SUM(IF("156"&amp;C668=KHN&amp;MH,SL))</f>
        <v>6</v>
      </c>
      <c r="H668" s="25">
        <f t="array" ref="H668">SUM(IF("156"&amp;C668=KHN&amp;MH,TH))</f>
        <v>565800</v>
      </c>
      <c r="I668" s="25">
        <f t="array" ref="I668">SUM(IF("156"&amp;C668=KHC&amp;MH,SL))</f>
        <v>6</v>
      </c>
      <c r="J668" s="25">
        <f t="array" ref="J668">SUM(IF("156"&amp;C668=KHC&amp;MH,TH))</f>
        <v>565800</v>
      </c>
      <c r="K668" s="25">
        <f t="shared" si="52"/>
        <v>0</v>
      </c>
      <c r="L668" s="25">
        <f t="shared" si="53"/>
        <v>0</v>
      </c>
      <c r="M668" s="289" t="e">
        <f t="shared" si="54"/>
        <v>#DIV/0!</v>
      </c>
      <c r="O668" s="927"/>
      <c r="P668" s="927"/>
    </row>
    <row r="669" spans="1:16" ht="18.75" customHeight="1">
      <c r="A669" s="289" t="str">
        <f t="shared" si="50"/>
        <v>NL</v>
      </c>
      <c r="B669" s="753">
        <f t="shared" si="51"/>
        <v>658</v>
      </c>
      <c r="C669" s="191" t="s">
        <v>519</v>
      </c>
      <c r="D669" s="291" t="s">
        <v>393</v>
      </c>
      <c r="E669" s="25"/>
      <c r="F669" s="25"/>
      <c r="G669" s="25">
        <f t="array" ref="G669">SUM(IF("156"&amp;C669=KHN&amp;MH,SL))</f>
        <v>12</v>
      </c>
      <c r="H669" s="25">
        <f t="array" ref="H669">SUM(IF("156"&amp;C669=KHN&amp;MH,TH))</f>
        <v>290592</v>
      </c>
      <c r="I669" s="25">
        <f t="array" ref="I669">SUM(IF("156"&amp;C669=KHC&amp;MH,SL))</f>
        <v>12</v>
      </c>
      <c r="J669" s="25">
        <f t="array" ref="J669">SUM(IF("156"&amp;C669=KHC&amp;MH,TH))</f>
        <v>290592</v>
      </c>
      <c r="K669" s="25">
        <f t="shared" si="52"/>
        <v>0</v>
      </c>
      <c r="L669" s="25">
        <f t="shared" si="53"/>
        <v>0</v>
      </c>
      <c r="M669" s="289" t="e">
        <f t="shared" si="54"/>
        <v>#DIV/0!</v>
      </c>
    </row>
    <row r="670" spans="1:16" ht="18.75" customHeight="1">
      <c r="A670" s="289" t="str">
        <f t="shared" si="50"/>
        <v>NL</v>
      </c>
      <c r="B670" s="753">
        <f t="shared" si="51"/>
        <v>659</v>
      </c>
      <c r="C670" s="191" t="s">
        <v>1742</v>
      </c>
      <c r="D670" s="291"/>
      <c r="E670" s="25"/>
      <c r="F670" s="25"/>
      <c r="G670" s="25">
        <f t="array" ref="G670">SUM(IF("156"&amp;C670=KHN&amp;MH,SL))</f>
        <v>4</v>
      </c>
      <c r="H670" s="25">
        <f t="array" ref="H670">SUM(IF("156"&amp;C670=KHN&amp;MH,TH))</f>
        <v>101200</v>
      </c>
      <c r="I670" s="25">
        <f t="array" ref="I670">SUM(IF("156"&amp;C670=KHC&amp;MH,SL))</f>
        <v>4</v>
      </c>
      <c r="J670" s="25">
        <f t="array" ref="J670">SUM(IF("156"&amp;C670=KHC&amp;MH,TH))</f>
        <v>101200</v>
      </c>
      <c r="K670" s="25">
        <f t="shared" si="52"/>
        <v>0</v>
      </c>
      <c r="L670" s="25">
        <f t="shared" si="53"/>
        <v>0</v>
      </c>
      <c r="M670" s="289" t="e">
        <f t="shared" si="54"/>
        <v>#DIV/0!</v>
      </c>
    </row>
    <row r="671" spans="1:16" ht="18.75" customHeight="1">
      <c r="A671" s="289" t="str">
        <f t="shared" si="50"/>
        <v>NL</v>
      </c>
      <c r="B671" s="753">
        <f t="shared" si="51"/>
        <v>660</v>
      </c>
      <c r="C671" s="191" t="s">
        <v>571</v>
      </c>
      <c r="D671" s="291" t="s">
        <v>393</v>
      </c>
      <c r="E671" s="25"/>
      <c r="F671" s="25"/>
      <c r="G671" s="25">
        <f t="array" ref="G671">SUM(IF("156"&amp;C671=KHN&amp;MH,SL))</f>
        <v>5</v>
      </c>
      <c r="H671" s="25">
        <f t="array" ref="H671">SUM(IF("156"&amp;C671=KHN&amp;MH,TH))</f>
        <v>135420</v>
      </c>
      <c r="I671" s="25">
        <f t="array" ref="I671">SUM(IF("156"&amp;C671=KHC&amp;MH,SL))</f>
        <v>5</v>
      </c>
      <c r="J671" s="25">
        <f t="array" ref="J671">SUM(IF("156"&amp;C671=KHC&amp;MH,TH))</f>
        <v>135420</v>
      </c>
      <c r="K671" s="25">
        <f t="shared" si="52"/>
        <v>0</v>
      </c>
      <c r="L671" s="25">
        <f t="shared" si="53"/>
        <v>0</v>
      </c>
      <c r="M671" s="289" t="e">
        <f t="shared" si="54"/>
        <v>#DIV/0!</v>
      </c>
    </row>
    <row r="672" spans="1:16" ht="18.75" customHeight="1">
      <c r="A672" s="289" t="str">
        <f t="shared" si="50"/>
        <v>NL</v>
      </c>
      <c r="B672" s="753">
        <f t="shared" si="51"/>
        <v>661</v>
      </c>
      <c r="C672" s="292" t="s">
        <v>1745</v>
      </c>
      <c r="D672" s="291"/>
      <c r="E672" s="25"/>
      <c r="F672" s="25"/>
      <c r="G672" s="25">
        <f t="array" ref="G672">SUM(IF("156"&amp;C672=KHN&amp;MH,SL))</f>
        <v>24</v>
      </c>
      <c r="H672" s="25">
        <f t="array" ref="H672">SUM(IF("156"&amp;C672=KHN&amp;MH,TH))</f>
        <v>768000</v>
      </c>
      <c r="I672" s="25">
        <f t="array" ref="I672">SUM(IF("156"&amp;C672=KHC&amp;MH,SL))</f>
        <v>24</v>
      </c>
      <c r="J672" s="25">
        <f t="array" ref="J672">SUM(IF("156"&amp;C672=KHC&amp;MH,TH))</f>
        <v>768000</v>
      </c>
      <c r="K672" s="25">
        <f t="shared" si="52"/>
        <v>0</v>
      </c>
      <c r="L672" s="25">
        <f t="shared" si="53"/>
        <v>0</v>
      </c>
      <c r="M672" s="289" t="e">
        <f t="shared" si="54"/>
        <v>#DIV/0!</v>
      </c>
    </row>
    <row r="673" spans="1:16" ht="18.75" customHeight="1">
      <c r="A673" s="289" t="str">
        <f t="shared" si="50"/>
        <v>NL</v>
      </c>
      <c r="B673" s="753">
        <f t="shared" si="51"/>
        <v>662</v>
      </c>
      <c r="C673" s="191" t="s">
        <v>499</v>
      </c>
      <c r="D673" s="291" t="s">
        <v>393</v>
      </c>
      <c r="E673" s="25"/>
      <c r="F673" s="25"/>
      <c r="G673" s="25">
        <f t="array" ref="G673">SUM(IF("156"&amp;C673=KHN&amp;MH,SL))</f>
        <v>77</v>
      </c>
      <c r="H673" s="25">
        <f t="array" ref="H673">SUM(IF("156"&amp;C673=KHN&amp;MH,TH))</f>
        <v>2640865</v>
      </c>
      <c r="I673" s="25">
        <f t="array" ref="I673">SUM(IF("156"&amp;C673=KHC&amp;MH,SL))</f>
        <v>77</v>
      </c>
      <c r="J673" s="25">
        <f t="array" ref="J673">SUM(IF("156"&amp;C673=KHC&amp;MH,TH))</f>
        <v>2640865</v>
      </c>
      <c r="K673" s="25">
        <f t="shared" si="52"/>
        <v>0</v>
      </c>
      <c r="L673" s="25">
        <f t="shared" si="53"/>
        <v>0</v>
      </c>
      <c r="M673" s="289" t="e">
        <f t="shared" si="54"/>
        <v>#DIV/0!</v>
      </c>
      <c r="O673" s="927"/>
      <c r="P673" s="927"/>
    </row>
    <row r="674" spans="1:16" ht="18.75" customHeight="1">
      <c r="A674" s="289" t="str">
        <f t="shared" si="50"/>
        <v>NL</v>
      </c>
      <c r="B674" s="753">
        <f t="shared" si="51"/>
        <v>663</v>
      </c>
      <c r="C674" s="191" t="s">
        <v>1002</v>
      </c>
      <c r="D674" s="291" t="s">
        <v>393</v>
      </c>
      <c r="E674" s="25"/>
      <c r="F674" s="25"/>
      <c r="G674" s="25">
        <f t="array" ref="G674">SUM(IF("156"&amp;C674=KHN&amp;MH,SL))</f>
        <v>24</v>
      </c>
      <c r="H674" s="25">
        <f t="array" ref="H674">SUM(IF("156"&amp;C674=KHN&amp;MH,TH))</f>
        <v>499512</v>
      </c>
      <c r="I674" s="25">
        <f t="array" ref="I674">SUM(IF("156"&amp;C674=KHC&amp;MH,SL))</f>
        <v>24</v>
      </c>
      <c r="J674" s="25">
        <f t="array" ref="J674">SUM(IF("156"&amp;C674=KHC&amp;MH,TH))</f>
        <v>499512</v>
      </c>
      <c r="K674" s="25">
        <f t="shared" si="52"/>
        <v>0</v>
      </c>
      <c r="L674" s="25">
        <f t="shared" si="53"/>
        <v>0</v>
      </c>
      <c r="M674" s="289" t="e">
        <f t="shared" si="54"/>
        <v>#DIV/0!</v>
      </c>
    </row>
    <row r="675" spans="1:16" ht="18.75" customHeight="1">
      <c r="A675" s="289" t="str">
        <f t="shared" si="50"/>
        <v>NL</v>
      </c>
      <c r="B675" s="753">
        <f t="shared" si="51"/>
        <v>664</v>
      </c>
      <c r="C675" s="188" t="s">
        <v>884</v>
      </c>
      <c r="D675" s="291" t="s">
        <v>393</v>
      </c>
      <c r="E675" s="25"/>
      <c r="F675" s="25"/>
      <c r="G675" s="25">
        <f t="array" ref="G675">SUM(IF("156"&amp;C675=KHN&amp;MH,SL))</f>
        <v>21</v>
      </c>
      <c r="H675" s="25">
        <f t="array" ref="H675">SUM(IF("156"&amp;C675=KHN&amp;MH,TH))</f>
        <v>1299795</v>
      </c>
      <c r="I675" s="25">
        <f t="array" ref="I675">SUM(IF("156"&amp;C675=KHC&amp;MH,SL))</f>
        <v>21</v>
      </c>
      <c r="J675" s="25">
        <f t="array" ref="J675">SUM(IF("156"&amp;C675=KHC&amp;MH,TH))</f>
        <v>1299795</v>
      </c>
      <c r="K675" s="25">
        <f t="shared" si="52"/>
        <v>0</v>
      </c>
      <c r="L675" s="25">
        <f t="shared" si="53"/>
        <v>0</v>
      </c>
      <c r="M675" s="289" t="e">
        <f t="shared" si="54"/>
        <v>#DIV/0!</v>
      </c>
    </row>
    <row r="676" spans="1:16" ht="18.75" customHeight="1">
      <c r="A676" s="289" t="str">
        <f t="shared" si="50"/>
        <v>NL</v>
      </c>
      <c r="B676" s="753">
        <f t="shared" si="51"/>
        <v>665</v>
      </c>
      <c r="C676" s="191" t="s">
        <v>882</v>
      </c>
      <c r="D676" s="291" t="s">
        <v>393</v>
      </c>
      <c r="E676" s="25"/>
      <c r="F676" s="25"/>
      <c r="G676" s="25">
        <f t="array" ref="G676">SUM(IF("156"&amp;C676=KHN&amp;MH,SL))</f>
        <v>74</v>
      </c>
      <c r="H676" s="25">
        <f t="array" ref="H676">SUM(IF("156"&amp;C676=KHN&amp;MH,TH))</f>
        <v>3455138</v>
      </c>
      <c r="I676" s="25">
        <f t="array" ref="I676">SUM(IF("156"&amp;C676=KHC&amp;MH,SL))</f>
        <v>74</v>
      </c>
      <c r="J676" s="25">
        <f t="array" ref="J676">SUM(IF("156"&amp;C676=KHC&amp;MH,TH))</f>
        <v>3455138</v>
      </c>
      <c r="K676" s="25">
        <f t="shared" si="52"/>
        <v>0</v>
      </c>
      <c r="L676" s="25">
        <f t="shared" si="53"/>
        <v>0</v>
      </c>
      <c r="M676" s="289" t="e">
        <f t="shared" si="54"/>
        <v>#DIV/0!</v>
      </c>
      <c r="O676" s="927"/>
      <c r="P676" s="927"/>
    </row>
    <row r="677" spans="1:16" ht="18.75" customHeight="1">
      <c r="A677" s="289" t="str">
        <f t="shared" si="50"/>
        <v>NL</v>
      </c>
      <c r="B677" s="753">
        <f t="shared" si="51"/>
        <v>666</v>
      </c>
      <c r="C677" s="191" t="s">
        <v>991</v>
      </c>
      <c r="D677" s="291" t="s">
        <v>393</v>
      </c>
      <c r="E677" s="25"/>
      <c r="F677" s="25"/>
      <c r="G677" s="25">
        <f t="array" ref="G677">SUM(IF("156"&amp;C677=KHN&amp;MH,SL))</f>
        <v>16</v>
      </c>
      <c r="H677" s="25">
        <f t="array" ref="H677">SUM(IF("156"&amp;C677=KHN&amp;MH,TH))</f>
        <v>1010000</v>
      </c>
      <c r="I677" s="25">
        <f t="array" ref="I677">SUM(IF("156"&amp;C677=KHC&amp;MH,SL))</f>
        <v>16</v>
      </c>
      <c r="J677" s="25">
        <f t="array" ref="J677">SUM(IF("156"&amp;C677=KHC&amp;MH,TH))</f>
        <v>1010000</v>
      </c>
      <c r="K677" s="25">
        <f t="shared" si="52"/>
        <v>0</v>
      </c>
      <c r="L677" s="25">
        <f t="shared" si="53"/>
        <v>0</v>
      </c>
      <c r="M677" s="289" t="e">
        <f t="shared" si="54"/>
        <v>#DIV/0!</v>
      </c>
    </row>
    <row r="678" spans="1:16" ht="18.75" customHeight="1">
      <c r="A678" s="289" t="str">
        <f t="shared" si="50"/>
        <v>NL</v>
      </c>
      <c r="B678" s="753">
        <f t="shared" si="51"/>
        <v>667</v>
      </c>
      <c r="C678" s="292" t="s">
        <v>1572</v>
      </c>
      <c r="D678" s="291" t="s">
        <v>393</v>
      </c>
      <c r="E678" s="25"/>
      <c r="F678" s="25"/>
      <c r="G678" s="25">
        <f t="array" ref="G678">SUM(IF("156"&amp;C678=KHN&amp;MH,SL))</f>
        <v>4</v>
      </c>
      <c r="H678" s="25">
        <f t="array" ref="H678">SUM(IF("156"&amp;C678=KHN&amp;MH,TH))</f>
        <v>286000</v>
      </c>
      <c r="I678" s="25">
        <f t="array" ref="I678">SUM(IF("156"&amp;C678=KHC&amp;MH,SL))</f>
        <v>4</v>
      </c>
      <c r="J678" s="25">
        <f t="array" ref="J678">SUM(IF("156"&amp;C678=KHC&amp;MH,TH))</f>
        <v>286000</v>
      </c>
      <c r="K678" s="25">
        <f t="shared" si="52"/>
        <v>0</v>
      </c>
      <c r="L678" s="25">
        <f t="shared" si="53"/>
        <v>0</v>
      </c>
      <c r="M678" s="289" t="e">
        <f t="shared" si="54"/>
        <v>#DIV/0!</v>
      </c>
      <c r="O678" s="927"/>
      <c r="P678" s="927"/>
    </row>
    <row r="679" spans="1:16" ht="18.75" customHeight="1">
      <c r="A679" s="289" t="str">
        <f t="shared" si="50"/>
        <v>NL</v>
      </c>
      <c r="B679" s="753">
        <f t="shared" si="51"/>
        <v>668</v>
      </c>
      <c r="C679" s="191" t="s">
        <v>515</v>
      </c>
      <c r="D679" s="291" t="s">
        <v>393</v>
      </c>
      <c r="E679" s="25"/>
      <c r="F679" s="25"/>
      <c r="G679" s="25">
        <f t="array" ref="G679">SUM(IF("156"&amp;C679=KHN&amp;MH,SL))</f>
        <v>40</v>
      </c>
      <c r="H679" s="25">
        <f t="array" ref="H679">SUM(IF("156"&amp;C679=KHN&amp;MH,TH))</f>
        <v>3176807</v>
      </c>
      <c r="I679" s="25">
        <f t="array" ref="I679">SUM(IF("156"&amp;C679=KHC&amp;MH,SL))</f>
        <v>40</v>
      </c>
      <c r="J679" s="25">
        <f t="array" ref="J679">SUM(IF("156"&amp;C679=KHC&amp;MH,TH))</f>
        <v>3176807</v>
      </c>
      <c r="K679" s="25">
        <f t="shared" si="52"/>
        <v>0</v>
      </c>
      <c r="L679" s="25">
        <f t="shared" si="53"/>
        <v>0</v>
      </c>
      <c r="M679" s="289" t="e">
        <f t="shared" si="54"/>
        <v>#DIV/0!</v>
      </c>
      <c r="O679" s="927"/>
      <c r="P679" s="927"/>
    </row>
    <row r="680" spans="1:16" ht="18.75" customHeight="1">
      <c r="A680" s="289" t="str">
        <f t="shared" si="50"/>
        <v>NL</v>
      </c>
      <c r="B680" s="753">
        <f t="shared" si="51"/>
        <v>669</v>
      </c>
      <c r="C680" s="191" t="s">
        <v>987</v>
      </c>
      <c r="D680" s="291" t="s">
        <v>393</v>
      </c>
      <c r="E680" s="25"/>
      <c r="F680" s="25"/>
      <c r="G680" s="25">
        <f t="array" ref="G680">SUM(IF("156"&amp;C680=KHN&amp;MH,SL))</f>
        <v>10</v>
      </c>
      <c r="H680" s="25">
        <f t="array" ref="H680">SUM(IF("156"&amp;C680=KHN&amp;MH,TH))</f>
        <v>755030</v>
      </c>
      <c r="I680" s="25">
        <f t="array" ref="I680">SUM(IF("156"&amp;C680=KHC&amp;MH,SL))</f>
        <v>10</v>
      </c>
      <c r="J680" s="25">
        <f t="array" ref="J680">SUM(IF("156"&amp;C680=KHC&amp;MH,TH))</f>
        <v>755030</v>
      </c>
      <c r="K680" s="25">
        <f t="shared" si="52"/>
        <v>0</v>
      </c>
      <c r="L680" s="25">
        <f t="shared" si="53"/>
        <v>0</v>
      </c>
      <c r="M680" s="289" t="e">
        <f t="shared" si="54"/>
        <v>#DIV/0!</v>
      </c>
    </row>
    <row r="681" spans="1:16" ht="18.75" customHeight="1">
      <c r="A681" s="289" t="str">
        <f t="shared" si="50"/>
        <v>NL</v>
      </c>
      <c r="B681" s="753">
        <f t="shared" si="51"/>
        <v>670</v>
      </c>
      <c r="C681" s="191" t="s">
        <v>1007</v>
      </c>
      <c r="D681" s="291" t="s">
        <v>393</v>
      </c>
      <c r="E681" s="25"/>
      <c r="F681" s="25"/>
      <c r="G681" s="25">
        <f t="array" ref="G681">SUM(IF("156"&amp;C681=KHN&amp;MH,SL))</f>
        <v>24</v>
      </c>
      <c r="H681" s="25">
        <f t="array" ref="H681">SUM(IF("156"&amp;C681=KHN&amp;MH,TH))</f>
        <v>984262</v>
      </c>
      <c r="I681" s="25">
        <f t="array" ref="I681">SUM(IF("156"&amp;C681=KHC&amp;MH,SL))</f>
        <v>12</v>
      </c>
      <c r="J681" s="25">
        <f t="array" ref="J681">SUM(IF("156"&amp;C681=KHC&amp;MH,TH))</f>
        <v>367114</v>
      </c>
      <c r="K681" s="25">
        <f t="shared" si="52"/>
        <v>12</v>
      </c>
      <c r="L681" s="25">
        <f t="shared" si="53"/>
        <v>617148</v>
      </c>
      <c r="M681" s="289">
        <f t="shared" si="54"/>
        <v>51429</v>
      </c>
    </row>
    <row r="682" spans="1:16" ht="18.75" customHeight="1">
      <c r="A682" s="289" t="str">
        <f t="shared" si="50"/>
        <v>NL</v>
      </c>
      <c r="B682" s="753">
        <f t="shared" si="51"/>
        <v>671</v>
      </c>
      <c r="C682" s="191" t="s">
        <v>1012</v>
      </c>
      <c r="D682" s="291" t="s">
        <v>393</v>
      </c>
      <c r="E682" s="25"/>
      <c r="F682" s="25"/>
      <c r="G682" s="25">
        <f t="array" ref="G682">SUM(IF("156"&amp;C682=KHN&amp;MH,SL))</f>
        <v>17</v>
      </c>
      <c r="H682" s="25">
        <f t="array" ref="H682">SUM(IF("156"&amp;C682=KHN&amp;MH,TH))</f>
        <v>1035630</v>
      </c>
      <c r="I682" s="25">
        <f t="array" ref="I682">SUM(IF("156"&amp;C682=KHC&amp;MH,SL))</f>
        <v>17</v>
      </c>
      <c r="J682" s="25">
        <f t="array" ref="J682">SUM(IF("156"&amp;C682=KHC&amp;MH,TH))</f>
        <v>1035630</v>
      </c>
      <c r="K682" s="25">
        <f t="shared" si="52"/>
        <v>0</v>
      </c>
      <c r="L682" s="25">
        <f t="shared" si="53"/>
        <v>0</v>
      </c>
      <c r="M682" s="289" t="e">
        <f t="shared" si="54"/>
        <v>#DIV/0!</v>
      </c>
    </row>
    <row r="683" spans="1:16" ht="18.75" customHeight="1">
      <c r="A683" s="289" t="str">
        <f t="shared" si="50"/>
        <v>NL</v>
      </c>
      <c r="B683" s="753">
        <f t="shared" si="51"/>
        <v>672</v>
      </c>
      <c r="C683" s="191" t="s">
        <v>1011</v>
      </c>
      <c r="D683" s="291" t="s">
        <v>393</v>
      </c>
      <c r="E683" s="25"/>
      <c r="F683" s="25"/>
      <c r="G683" s="25">
        <f t="array" ref="G683">SUM(IF("156"&amp;C683=KHN&amp;MH,SL))</f>
        <v>66</v>
      </c>
      <c r="H683" s="25">
        <f t="array" ref="H683">SUM(IF("156"&amp;C683=KHN&amp;MH,TH))</f>
        <v>4924096</v>
      </c>
      <c r="I683" s="25">
        <f t="array" ref="I683">SUM(IF("156"&amp;C683=KHC&amp;MH,SL))</f>
        <v>56</v>
      </c>
      <c r="J683" s="25">
        <f t="array" ref="J683">SUM(IF("156"&amp;C683=KHC&amp;MH,TH))</f>
        <v>4144256</v>
      </c>
      <c r="K683" s="25">
        <f t="shared" si="52"/>
        <v>10</v>
      </c>
      <c r="L683" s="25">
        <f t="shared" si="53"/>
        <v>779840</v>
      </c>
      <c r="M683" s="289">
        <f t="shared" si="54"/>
        <v>77984</v>
      </c>
    </row>
    <row r="684" spans="1:16" ht="18.75" customHeight="1">
      <c r="A684" s="289" t="str">
        <f t="shared" si="50"/>
        <v>NL</v>
      </c>
      <c r="B684" s="753">
        <f t="shared" si="51"/>
        <v>673</v>
      </c>
      <c r="C684" s="191" t="s">
        <v>1013</v>
      </c>
      <c r="D684" s="291" t="s">
        <v>393</v>
      </c>
      <c r="E684" s="25"/>
      <c r="F684" s="25"/>
      <c r="G684" s="25">
        <f t="array" ref="G684">SUM(IF("156"&amp;C684=KHN&amp;MH,SL))</f>
        <v>4</v>
      </c>
      <c r="H684" s="25">
        <f t="array" ref="H684">SUM(IF("156"&amp;C684=KHN&amp;MH,TH))</f>
        <v>301908</v>
      </c>
      <c r="I684" s="25">
        <f t="array" ref="I684">SUM(IF("156"&amp;C684=KHC&amp;MH,SL))</f>
        <v>4</v>
      </c>
      <c r="J684" s="25">
        <f t="array" ref="J684">SUM(IF("156"&amp;C684=KHC&amp;MH,TH))</f>
        <v>301908</v>
      </c>
      <c r="K684" s="25">
        <f t="shared" si="52"/>
        <v>0</v>
      </c>
      <c r="L684" s="25">
        <f t="shared" si="53"/>
        <v>0</v>
      </c>
      <c r="M684" s="289" t="e">
        <f t="shared" si="54"/>
        <v>#DIV/0!</v>
      </c>
    </row>
    <row r="685" spans="1:16" ht="18.75" customHeight="1">
      <c r="A685" s="289" t="str">
        <f t="shared" si="50"/>
        <v>NL</v>
      </c>
      <c r="B685" s="753">
        <f t="shared" si="51"/>
        <v>674</v>
      </c>
      <c r="C685" s="191" t="s">
        <v>1005</v>
      </c>
      <c r="D685" s="291" t="s">
        <v>393</v>
      </c>
      <c r="E685" s="25"/>
      <c r="F685" s="25"/>
      <c r="G685" s="25">
        <f t="array" ref="G685">SUM(IF("156"&amp;C685=KHN&amp;MH,SL))</f>
        <v>16</v>
      </c>
      <c r="H685" s="25">
        <f t="array" ref="H685">SUM(IF("156"&amp;C685=KHN&amp;MH,TH))</f>
        <v>921040</v>
      </c>
      <c r="I685" s="25">
        <f t="array" ref="I685">SUM(IF("156"&amp;C685=KHC&amp;MH,SL))</f>
        <v>16</v>
      </c>
      <c r="J685" s="25">
        <f t="array" ref="J685">SUM(IF("156"&amp;C685=KHC&amp;MH,TH))</f>
        <v>921040</v>
      </c>
      <c r="K685" s="25">
        <f t="shared" si="52"/>
        <v>0</v>
      </c>
      <c r="L685" s="25">
        <f t="shared" si="53"/>
        <v>0</v>
      </c>
      <c r="M685" s="289" t="e">
        <f t="shared" si="54"/>
        <v>#DIV/0!</v>
      </c>
    </row>
    <row r="686" spans="1:16" ht="18.75" customHeight="1">
      <c r="A686" s="289" t="str">
        <f t="shared" si="50"/>
        <v>NL</v>
      </c>
      <c r="B686" s="753">
        <f t="shared" si="51"/>
        <v>675</v>
      </c>
      <c r="C686" s="292" t="s">
        <v>1535</v>
      </c>
      <c r="D686" s="291" t="s">
        <v>393</v>
      </c>
      <c r="E686" s="25"/>
      <c r="F686" s="25"/>
      <c r="G686" s="25">
        <f t="array" ref="G686">SUM(IF("156"&amp;C686=KHN&amp;MH,SL))</f>
        <v>10</v>
      </c>
      <c r="H686" s="25">
        <f t="array" ref="H686">SUM(IF("156"&amp;C686=KHN&amp;MH,TH))</f>
        <v>181000</v>
      </c>
      <c r="I686" s="25">
        <f t="array" ref="I686">SUM(IF("156"&amp;C686=KHC&amp;MH,SL))</f>
        <v>10</v>
      </c>
      <c r="J686" s="25">
        <f t="array" ref="J686">SUM(IF("156"&amp;C686=KHC&amp;MH,TH))</f>
        <v>181000</v>
      </c>
      <c r="K686" s="25">
        <f t="shared" si="52"/>
        <v>0</v>
      </c>
      <c r="L686" s="25">
        <f t="shared" si="53"/>
        <v>0</v>
      </c>
      <c r="M686" s="289" t="e">
        <f t="shared" si="54"/>
        <v>#DIV/0!</v>
      </c>
      <c r="O686" s="927"/>
      <c r="P686" s="927"/>
    </row>
    <row r="687" spans="1:16" ht="18.75" customHeight="1">
      <c r="A687" s="289" t="str">
        <f t="shared" si="50"/>
        <v>NL</v>
      </c>
      <c r="B687" s="753">
        <f t="shared" si="51"/>
        <v>676</v>
      </c>
      <c r="C687" s="191" t="s">
        <v>546</v>
      </c>
      <c r="D687" s="291" t="s">
        <v>393</v>
      </c>
      <c r="E687" s="25"/>
      <c r="F687" s="25"/>
      <c r="G687" s="25">
        <f t="array" ref="G687">SUM(IF("156"&amp;C687=KHN&amp;MH,SL))</f>
        <v>20</v>
      </c>
      <c r="H687" s="25">
        <f t="array" ref="H687">SUM(IF("156"&amp;C687=KHN&amp;MH,TH))</f>
        <v>747660</v>
      </c>
      <c r="I687" s="25">
        <f t="array" ref="I687">SUM(IF("156"&amp;C687=KHC&amp;MH,SL))</f>
        <v>20</v>
      </c>
      <c r="J687" s="25">
        <f t="array" ref="J687">SUM(IF("156"&amp;C687=KHC&amp;MH,TH))</f>
        <v>747660</v>
      </c>
      <c r="K687" s="25">
        <f t="shared" si="52"/>
        <v>0</v>
      </c>
      <c r="L687" s="25">
        <f t="shared" si="53"/>
        <v>0</v>
      </c>
      <c r="M687" s="289" t="e">
        <f t="shared" si="54"/>
        <v>#DIV/0!</v>
      </c>
    </row>
    <row r="688" spans="1:16" ht="18.75" customHeight="1">
      <c r="A688" s="289" t="str">
        <f t="shared" si="50"/>
        <v>NL</v>
      </c>
      <c r="B688" s="753">
        <f t="shared" si="51"/>
        <v>677</v>
      </c>
      <c r="C688" s="188" t="s">
        <v>462</v>
      </c>
      <c r="D688" s="291" t="s">
        <v>393</v>
      </c>
      <c r="E688" s="25"/>
      <c r="F688" s="25"/>
      <c r="G688" s="25">
        <f t="array" ref="G688">SUM(IF("156"&amp;C688=KHN&amp;MH,SL))</f>
        <v>288</v>
      </c>
      <c r="H688" s="25">
        <f t="array" ref="H688">SUM(IF("156"&amp;C688=KHN&amp;MH,TH))</f>
        <v>13402813</v>
      </c>
      <c r="I688" s="25">
        <f t="array" ref="I688">SUM(IF("156"&amp;C688=KHC&amp;MH,SL))</f>
        <v>288</v>
      </c>
      <c r="J688" s="25">
        <f t="array" ref="J688">SUM(IF("156"&amp;C688=KHC&amp;MH,TH))</f>
        <v>13402813</v>
      </c>
      <c r="K688" s="25">
        <f t="shared" si="52"/>
        <v>0</v>
      </c>
      <c r="L688" s="25">
        <f t="shared" si="53"/>
        <v>0</v>
      </c>
      <c r="M688" s="289" t="e">
        <f t="shared" si="54"/>
        <v>#DIV/0!</v>
      </c>
    </row>
    <row r="689" spans="1:16" ht="18.75" customHeight="1">
      <c r="A689" s="289" t="str">
        <f t="shared" si="50"/>
        <v>NL</v>
      </c>
      <c r="B689" s="753">
        <f t="shared" si="51"/>
        <v>678</v>
      </c>
      <c r="C689" s="191" t="s">
        <v>1057</v>
      </c>
      <c r="D689" s="291" t="s">
        <v>393</v>
      </c>
      <c r="E689" s="25"/>
      <c r="F689" s="25"/>
      <c r="G689" s="25">
        <f t="array" ref="G689">SUM(IF("156"&amp;C689=KHN&amp;MH,SL))</f>
        <v>200</v>
      </c>
      <c r="H689" s="25">
        <f t="array" ref="H689">SUM(IF("156"&amp;C689=KHN&amp;MH,TH))</f>
        <v>1245028</v>
      </c>
      <c r="I689" s="25">
        <f t="array" ref="I689">SUM(IF("156"&amp;C689=KHC&amp;MH,SL))</f>
        <v>200</v>
      </c>
      <c r="J689" s="25">
        <f t="array" ref="J689">SUM(IF("156"&amp;C689=KHC&amp;MH,TH))</f>
        <v>1245028</v>
      </c>
      <c r="K689" s="25">
        <f t="shared" si="52"/>
        <v>0</v>
      </c>
      <c r="L689" s="25">
        <f t="shared" si="53"/>
        <v>0</v>
      </c>
      <c r="M689" s="289" t="e">
        <f t="shared" si="54"/>
        <v>#DIV/0!</v>
      </c>
    </row>
    <row r="690" spans="1:16" ht="18.75" customHeight="1">
      <c r="A690" s="289" t="str">
        <f t="shared" si="50"/>
        <v>NL</v>
      </c>
      <c r="B690" s="753">
        <f t="shared" si="51"/>
        <v>679</v>
      </c>
      <c r="C690" s="188" t="s">
        <v>793</v>
      </c>
      <c r="D690" s="291" t="s">
        <v>393</v>
      </c>
      <c r="E690" s="25"/>
      <c r="F690" s="25"/>
      <c r="G690" s="25">
        <f t="array" ref="G690">SUM(IF("156"&amp;C690=KHN&amp;MH,SL))</f>
        <v>50</v>
      </c>
      <c r="H690" s="25">
        <f t="array" ref="H690">SUM(IF("156"&amp;C690=KHN&amp;MH,TH))</f>
        <v>2091330</v>
      </c>
      <c r="I690" s="25">
        <f t="array" ref="I690">SUM(IF("156"&amp;C690=KHC&amp;MH,SL))</f>
        <v>50</v>
      </c>
      <c r="J690" s="25">
        <f t="array" ref="J690">SUM(IF("156"&amp;C690=KHC&amp;MH,TH))</f>
        <v>2091330</v>
      </c>
      <c r="K690" s="25">
        <f t="shared" si="52"/>
        <v>0</v>
      </c>
      <c r="L690" s="25">
        <f t="shared" si="53"/>
        <v>0</v>
      </c>
      <c r="M690" s="289" t="e">
        <f t="shared" si="54"/>
        <v>#DIV/0!</v>
      </c>
    </row>
    <row r="691" spans="1:16" ht="18.75" customHeight="1">
      <c r="A691" s="289" t="str">
        <f t="shared" si="50"/>
        <v>NL</v>
      </c>
      <c r="B691" s="753">
        <f t="shared" si="51"/>
        <v>680</v>
      </c>
      <c r="C691" s="191" t="s">
        <v>484</v>
      </c>
      <c r="D691" s="291" t="s">
        <v>393</v>
      </c>
      <c r="E691" s="25"/>
      <c r="F691" s="25"/>
      <c r="G691" s="25">
        <f t="array" ref="G691">SUM(IF("156"&amp;C691=KHN&amp;MH,SL))</f>
        <v>99</v>
      </c>
      <c r="H691" s="25">
        <f t="array" ref="H691">SUM(IF("156"&amp;C691=KHN&amp;MH,TH))</f>
        <v>3194417</v>
      </c>
      <c r="I691" s="25">
        <f t="array" ref="I691">SUM(IF("156"&amp;C691=KHC&amp;MH,SL))</f>
        <v>99</v>
      </c>
      <c r="J691" s="25">
        <f t="array" ref="J691">SUM(IF("156"&amp;C691=KHC&amp;MH,TH))</f>
        <v>3194417</v>
      </c>
      <c r="K691" s="25">
        <f t="shared" si="52"/>
        <v>0</v>
      </c>
      <c r="L691" s="25">
        <f t="shared" si="53"/>
        <v>0</v>
      </c>
      <c r="M691" s="289" t="e">
        <f t="shared" si="54"/>
        <v>#DIV/0!</v>
      </c>
    </row>
    <row r="692" spans="1:16" ht="18.75" customHeight="1">
      <c r="A692" s="289" t="str">
        <f t="shared" si="50"/>
        <v>NL</v>
      </c>
      <c r="B692" s="753">
        <f t="shared" si="51"/>
        <v>681</v>
      </c>
      <c r="C692" s="191" t="s">
        <v>981</v>
      </c>
      <c r="D692" s="291" t="s">
        <v>393</v>
      </c>
      <c r="E692" s="25"/>
      <c r="F692" s="25"/>
      <c r="G692" s="25">
        <f t="array" ref="G692">SUM(IF("156"&amp;C692=KHN&amp;MH,SL))</f>
        <v>10</v>
      </c>
      <c r="H692" s="25">
        <f t="array" ref="H692">SUM(IF("156"&amp;C692=KHN&amp;MH,TH))</f>
        <v>518930</v>
      </c>
      <c r="I692" s="25">
        <f t="array" ref="I692">SUM(IF("156"&amp;C692=KHC&amp;MH,SL))</f>
        <v>10</v>
      </c>
      <c r="J692" s="25">
        <f t="array" ref="J692">SUM(IF("156"&amp;C692=KHC&amp;MH,TH))</f>
        <v>518930</v>
      </c>
      <c r="K692" s="25">
        <f t="shared" si="52"/>
        <v>0</v>
      </c>
      <c r="L692" s="25">
        <f t="shared" si="53"/>
        <v>0</v>
      </c>
      <c r="M692" s="289" t="e">
        <f t="shared" si="54"/>
        <v>#DIV/0!</v>
      </c>
    </row>
    <row r="693" spans="1:16" ht="18.75" customHeight="1">
      <c r="A693" s="289" t="str">
        <f t="shared" si="50"/>
        <v>NL</v>
      </c>
      <c r="B693" s="753">
        <f t="shared" si="51"/>
        <v>682</v>
      </c>
      <c r="C693" s="191" t="s">
        <v>549</v>
      </c>
      <c r="D693" s="291" t="s">
        <v>393</v>
      </c>
      <c r="E693" s="25"/>
      <c r="F693" s="25"/>
      <c r="G693" s="25">
        <f t="array" ref="G693">SUM(IF("156"&amp;C693=KHN&amp;MH,SL))</f>
        <v>50</v>
      </c>
      <c r="H693" s="25">
        <f t="array" ref="H693">SUM(IF("156"&amp;C693=KHN&amp;MH,TH))</f>
        <v>2199541</v>
      </c>
      <c r="I693" s="25">
        <f t="array" ref="I693">SUM(IF("156"&amp;C693=KHC&amp;MH,SL))</f>
        <v>50</v>
      </c>
      <c r="J693" s="25">
        <f t="array" ref="J693">SUM(IF("156"&amp;C693=KHC&amp;MH,TH))</f>
        <v>2199541</v>
      </c>
      <c r="K693" s="25">
        <f t="shared" si="52"/>
        <v>0</v>
      </c>
      <c r="L693" s="25">
        <f t="shared" si="53"/>
        <v>0</v>
      </c>
      <c r="M693" s="289" t="e">
        <f t="shared" si="54"/>
        <v>#DIV/0!</v>
      </c>
      <c r="O693" s="927"/>
      <c r="P693" s="927"/>
    </row>
    <row r="694" spans="1:16" ht="18.75" customHeight="1">
      <c r="A694" s="289" t="str">
        <f t="shared" si="50"/>
        <v>NL</v>
      </c>
      <c r="B694" s="753">
        <f t="shared" si="51"/>
        <v>683</v>
      </c>
      <c r="C694" s="292" t="s">
        <v>1747</v>
      </c>
      <c r="D694" s="291"/>
      <c r="E694" s="25"/>
      <c r="F694" s="25"/>
      <c r="G694" s="25">
        <f t="array" ref="G694">SUM(IF("156"&amp;C694=KHN&amp;MH,SL))</f>
        <v>48</v>
      </c>
      <c r="H694" s="25">
        <f t="array" ref="H694">SUM(IF("156"&amp;C694=KHN&amp;MH,TH))</f>
        <v>1678400</v>
      </c>
      <c r="I694" s="25">
        <f t="array" ref="I694">SUM(IF("156"&amp;C694=KHC&amp;MH,SL))</f>
        <v>48</v>
      </c>
      <c r="J694" s="25">
        <f t="array" ref="J694">SUM(IF("156"&amp;C694=KHC&amp;MH,TH))</f>
        <v>1678400</v>
      </c>
      <c r="K694" s="25">
        <f t="shared" si="52"/>
        <v>0</v>
      </c>
      <c r="L694" s="25">
        <f t="shared" si="53"/>
        <v>0</v>
      </c>
      <c r="M694" s="289" t="e">
        <f t="shared" si="54"/>
        <v>#DIV/0!</v>
      </c>
    </row>
    <row r="695" spans="1:16" ht="18.75" customHeight="1">
      <c r="A695" s="289" t="str">
        <f t="shared" si="50"/>
        <v>NL</v>
      </c>
      <c r="B695" s="753">
        <f t="shared" si="51"/>
        <v>684</v>
      </c>
      <c r="C695" s="292" t="s">
        <v>1751</v>
      </c>
      <c r="D695" s="291"/>
      <c r="E695" s="25"/>
      <c r="F695" s="25"/>
      <c r="G695" s="25">
        <f t="array" ref="G695">SUM(IF("156"&amp;C695=KHN&amp;MH,SL))</f>
        <v>30</v>
      </c>
      <c r="H695" s="25">
        <f t="array" ref="H695">SUM(IF("156"&amp;C695=KHN&amp;MH,TH))</f>
        <v>1299600</v>
      </c>
      <c r="I695" s="25">
        <f t="array" ref="I695">SUM(IF("156"&amp;C695=KHC&amp;MH,SL))</f>
        <v>30</v>
      </c>
      <c r="J695" s="25">
        <f t="array" ref="J695">SUM(IF("156"&amp;C695=KHC&amp;MH,TH))</f>
        <v>1299600</v>
      </c>
      <c r="K695" s="25">
        <f t="shared" si="52"/>
        <v>0</v>
      </c>
      <c r="L695" s="25">
        <f t="shared" si="53"/>
        <v>0</v>
      </c>
      <c r="M695" s="289" t="e">
        <f t="shared" si="54"/>
        <v>#DIV/0!</v>
      </c>
    </row>
    <row r="696" spans="1:16" ht="18.75" customHeight="1">
      <c r="A696" s="289" t="str">
        <f t="shared" si="50"/>
        <v>NL</v>
      </c>
      <c r="B696" s="753">
        <f t="shared" si="51"/>
        <v>685</v>
      </c>
      <c r="C696" s="292" t="s">
        <v>1576</v>
      </c>
      <c r="D696" s="291" t="s">
        <v>393</v>
      </c>
      <c r="E696" s="25"/>
      <c r="F696" s="25"/>
      <c r="G696" s="25">
        <f t="array" ref="G696">SUM(IF("156"&amp;C696=KHN&amp;MH,SL))</f>
        <v>8</v>
      </c>
      <c r="H696" s="25">
        <f t="array" ref="H696">SUM(IF("156"&amp;C696=KHN&amp;MH,TH))</f>
        <v>378400</v>
      </c>
      <c r="I696" s="25">
        <f t="array" ref="I696">SUM(IF("156"&amp;C696=KHC&amp;MH,SL))</f>
        <v>8</v>
      </c>
      <c r="J696" s="25">
        <f t="array" ref="J696">SUM(IF("156"&amp;C696=KHC&amp;MH,TH))</f>
        <v>378400</v>
      </c>
      <c r="K696" s="25">
        <f t="shared" si="52"/>
        <v>0</v>
      </c>
      <c r="L696" s="25">
        <f t="shared" si="53"/>
        <v>0</v>
      </c>
      <c r="M696" s="289" t="e">
        <f t="shared" si="54"/>
        <v>#DIV/0!</v>
      </c>
      <c r="O696" s="927"/>
      <c r="P696" s="927"/>
    </row>
    <row r="697" spans="1:16" ht="18.75" customHeight="1">
      <c r="A697" s="289" t="str">
        <f t="shared" si="50"/>
        <v>NL</v>
      </c>
      <c r="B697" s="753">
        <f t="shared" si="51"/>
        <v>686</v>
      </c>
      <c r="C697" s="40" t="s">
        <v>722</v>
      </c>
      <c r="D697" s="291" t="s">
        <v>393</v>
      </c>
      <c r="E697" s="25"/>
      <c r="F697" s="25"/>
      <c r="G697" s="25">
        <f t="array" ref="G697">SUM(IF("156"&amp;C697=KHN&amp;MH,SL))</f>
        <v>8</v>
      </c>
      <c r="H697" s="25">
        <f t="array" ref="H697">SUM(IF("156"&amp;C697=KHN&amp;MH,TH))</f>
        <v>384134</v>
      </c>
      <c r="I697" s="25">
        <f t="array" ref="I697">SUM(IF("156"&amp;C697=KHC&amp;MH,SL))</f>
        <v>8</v>
      </c>
      <c r="J697" s="25">
        <f t="array" ref="J697">SUM(IF("156"&amp;C697=KHC&amp;MH,TH))</f>
        <v>384134</v>
      </c>
      <c r="K697" s="25">
        <f t="shared" si="52"/>
        <v>0</v>
      </c>
      <c r="L697" s="25">
        <f t="shared" si="53"/>
        <v>0</v>
      </c>
      <c r="M697" s="289" t="e">
        <f t="shared" si="54"/>
        <v>#DIV/0!</v>
      </c>
    </row>
    <row r="698" spans="1:16" ht="18.75" customHeight="1">
      <c r="A698" s="289" t="str">
        <f t="shared" si="50"/>
        <v>NL</v>
      </c>
      <c r="B698" s="753">
        <f t="shared" si="51"/>
        <v>687</v>
      </c>
      <c r="C698" s="40" t="s">
        <v>746</v>
      </c>
      <c r="D698" s="291" t="s">
        <v>393</v>
      </c>
      <c r="E698" s="25"/>
      <c r="F698" s="25"/>
      <c r="G698" s="25">
        <f t="array" ref="G698">SUM(IF("156"&amp;C698=KHN&amp;MH,SL))</f>
        <v>25</v>
      </c>
      <c r="H698" s="25">
        <f t="array" ref="H698">SUM(IF("156"&amp;C698=KHN&amp;MH,TH))</f>
        <v>510000</v>
      </c>
      <c r="I698" s="25">
        <f t="array" ref="I698">SUM(IF("156"&amp;C698=KHC&amp;MH,SL))</f>
        <v>25</v>
      </c>
      <c r="J698" s="25">
        <f t="array" ref="J698">SUM(IF("156"&amp;C698=KHC&amp;MH,TH))</f>
        <v>510000</v>
      </c>
      <c r="K698" s="25">
        <f t="shared" si="52"/>
        <v>0</v>
      </c>
      <c r="L698" s="25">
        <f t="shared" si="53"/>
        <v>0</v>
      </c>
      <c r="M698" s="289" t="e">
        <f t="shared" si="54"/>
        <v>#DIV/0!</v>
      </c>
    </row>
    <row r="699" spans="1:16" ht="18.75" customHeight="1">
      <c r="A699" s="289" t="str">
        <f t="shared" si="50"/>
        <v>NL</v>
      </c>
      <c r="B699" s="753">
        <f t="shared" si="51"/>
        <v>688</v>
      </c>
      <c r="C699" s="191" t="s">
        <v>957</v>
      </c>
      <c r="D699" s="291" t="s">
        <v>393</v>
      </c>
      <c r="E699" s="25"/>
      <c r="F699" s="25"/>
      <c r="G699" s="25">
        <f t="array" ref="G699">SUM(IF("156"&amp;C699=KHN&amp;MH,SL))</f>
        <v>112</v>
      </c>
      <c r="H699" s="25">
        <f t="array" ref="H699">SUM(IF("156"&amp;C699=KHN&amp;MH,TH))</f>
        <v>3637506</v>
      </c>
      <c r="I699" s="25">
        <f t="array" ref="I699">SUM(IF("156"&amp;C699=KHC&amp;MH,SL))</f>
        <v>112</v>
      </c>
      <c r="J699" s="25">
        <f t="array" ref="J699">SUM(IF("156"&amp;C699=KHC&amp;MH,TH))</f>
        <v>3637506</v>
      </c>
      <c r="K699" s="25">
        <f t="shared" si="52"/>
        <v>0</v>
      </c>
      <c r="L699" s="25">
        <f t="shared" si="53"/>
        <v>0</v>
      </c>
      <c r="M699" s="289" t="e">
        <f t="shared" si="54"/>
        <v>#DIV/0!</v>
      </c>
    </row>
    <row r="700" spans="1:16" ht="18.75" customHeight="1">
      <c r="A700" s="289" t="str">
        <f t="shared" si="50"/>
        <v>NL</v>
      </c>
      <c r="B700" s="753">
        <f t="shared" si="51"/>
        <v>689</v>
      </c>
      <c r="C700" s="292" t="s">
        <v>1532</v>
      </c>
      <c r="D700" s="291" t="s">
        <v>393</v>
      </c>
      <c r="E700" s="25"/>
      <c r="F700" s="25"/>
      <c r="G700" s="25">
        <f t="array" ref="G700">SUM(IF("156"&amp;C700=KHN&amp;MH,SL))</f>
        <v>60</v>
      </c>
      <c r="H700" s="25">
        <f t="array" ref="H700">SUM(IF("156"&amp;C700=KHN&amp;MH,TH))</f>
        <v>486000</v>
      </c>
      <c r="I700" s="25">
        <f t="array" ref="I700">SUM(IF("156"&amp;C700=KHC&amp;MH,SL))</f>
        <v>60</v>
      </c>
      <c r="J700" s="25">
        <f t="array" ref="J700">SUM(IF("156"&amp;C700=KHC&amp;MH,TH))</f>
        <v>486000</v>
      </c>
      <c r="K700" s="25">
        <f t="shared" si="52"/>
        <v>0</v>
      </c>
      <c r="L700" s="25">
        <f t="shared" si="53"/>
        <v>0</v>
      </c>
      <c r="M700" s="289" t="e">
        <f t="shared" si="54"/>
        <v>#DIV/0!</v>
      </c>
      <c r="O700" s="927"/>
      <c r="P700" s="927"/>
    </row>
    <row r="701" spans="1:16" ht="18.75" customHeight="1">
      <c r="A701" s="289" t="str">
        <f t="shared" si="50"/>
        <v>NL</v>
      </c>
      <c r="B701" s="753">
        <f t="shared" si="51"/>
        <v>690</v>
      </c>
      <c r="C701" s="292" t="s">
        <v>1458</v>
      </c>
      <c r="D701" s="291" t="s">
        <v>393</v>
      </c>
      <c r="E701" s="25"/>
      <c r="F701" s="25"/>
      <c r="G701" s="25">
        <f t="array" ref="G701">SUM(IF("156"&amp;C701=KHN&amp;MH,SL))</f>
        <v>40</v>
      </c>
      <c r="H701" s="25">
        <f t="array" ref="H701">SUM(IF("156"&amp;C701=KHN&amp;MH,TH))</f>
        <v>1656000</v>
      </c>
      <c r="I701" s="25">
        <f t="array" ref="I701">SUM(IF("156"&amp;C701=KHC&amp;MH,SL))</f>
        <v>40</v>
      </c>
      <c r="J701" s="25">
        <f t="array" ref="J701">SUM(IF("156"&amp;C701=KHC&amp;MH,TH))</f>
        <v>1656000</v>
      </c>
      <c r="K701" s="25">
        <f t="shared" si="52"/>
        <v>0</v>
      </c>
      <c r="L701" s="25">
        <f t="shared" si="53"/>
        <v>0</v>
      </c>
      <c r="M701" s="289" t="e">
        <f t="shared" si="54"/>
        <v>#DIV/0!</v>
      </c>
      <c r="O701" s="927"/>
      <c r="P701" s="927"/>
    </row>
    <row r="702" spans="1:16" ht="18.75" customHeight="1">
      <c r="A702" s="289" t="str">
        <f t="shared" si="50"/>
        <v>NL</v>
      </c>
      <c r="B702" s="753">
        <f t="shared" si="51"/>
        <v>691</v>
      </c>
      <c r="C702" s="191" t="s">
        <v>504</v>
      </c>
      <c r="D702" s="291" t="s">
        <v>393</v>
      </c>
      <c r="E702" s="25"/>
      <c r="F702" s="25"/>
      <c r="G702" s="25">
        <f t="array" ref="G702">SUM(IF("156"&amp;C702=KHN&amp;MH,SL))</f>
        <v>11</v>
      </c>
      <c r="H702" s="25">
        <f t="array" ref="H702">SUM(IF("156"&amp;C702=KHN&amp;MH,TH))</f>
        <v>1147895</v>
      </c>
      <c r="I702" s="25">
        <f t="array" ref="I702">SUM(IF("156"&amp;C702=KHC&amp;MH,SL))</f>
        <v>11</v>
      </c>
      <c r="J702" s="25">
        <f t="array" ref="J702">SUM(IF("156"&amp;C702=KHC&amp;MH,TH))</f>
        <v>1147895</v>
      </c>
      <c r="K702" s="25">
        <f t="shared" si="52"/>
        <v>0</v>
      </c>
      <c r="L702" s="25">
        <f t="shared" si="53"/>
        <v>0</v>
      </c>
      <c r="M702" s="289" t="e">
        <f t="shared" si="54"/>
        <v>#DIV/0!</v>
      </c>
      <c r="O702" s="927"/>
      <c r="P702" s="927"/>
    </row>
    <row r="703" spans="1:16" ht="18.75" customHeight="1">
      <c r="A703" s="289" t="str">
        <f t="shared" si="50"/>
        <v>NL</v>
      </c>
      <c r="B703" s="753">
        <f t="shared" si="51"/>
        <v>692</v>
      </c>
      <c r="C703" s="40" t="s">
        <v>818</v>
      </c>
      <c r="D703" s="291" t="s">
        <v>393</v>
      </c>
      <c r="E703" s="25"/>
      <c r="F703" s="25"/>
      <c r="G703" s="25">
        <f t="array" ref="G703">SUM(IF("156"&amp;C703=KHN&amp;MH,SL))</f>
        <v>21</v>
      </c>
      <c r="H703" s="25">
        <f t="array" ref="H703">SUM(IF("156"&amp;C703=KHN&amp;MH,TH))</f>
        <v>1620936</v>
      </c>
      <c r="I703" s="25">
        <f t="array" ref="I703">SUM(IF("156"&amp;C703=KHC&amp;MH,SL))</f>
        <v>17</v>
      </c>
      <c r="J703" s="25">
        <f t="array" ref="J703">SUM(IF("156"&amp;C703=KHC&amp;MH,TH))</f>
        <v>1311576</v>
      </c>
      <c r="K703" s="25">
        <f t="shared" si="52"/>
        <v>4</v>
      </c>
      <c r="L703" s="25">
        <f t="shared" si="53"/>
        <v>309360</v>
      </c>
      <c r="M703" s="289">
        <f t="shared" si="54"/>
        <v>77340</v>
      </c>
    </row>
    <row r="704" spans="1:16" ht="18.75" customHeight="1">
      <c r="A704" s="289" t="str">
        <f t="shared" si="50"/>
        <v>NL</v>
      </c>
      <c r="B704" s="753">
        <f t="shared" si="51"/>
        <v>693</v>
      </c>
      <c r="C704" s="292" t="s">
        <v>1568</v>
      </c>
      <c r="D704" s="291" t="s">
        <v>393</v>
      </c>
      <c r="E704" s="25"/>
      <c r="F704" s="25"/>
      <c r="G704" s="25">
        <f t="array" ref="G704">SUM(IF("156"&amp;C704=KHN&amp;MH,SL))</f>
        <v>38</v>
      </c>
      <c r="H704" s="25">
        <f t="array" ref="H704">SUM(IF("156"&amp;C704=KHN&amp;MH,TH))</f>
        <v>2819600</v>
      </c>
      <c r="I704" s="25">
        <f t="array" ref="I704">SUM(IF("156"&amp;C704=KHC&amp;MH,SL))</f>
        <v>38</v>
      </c>
      <c r="J704" s="25">
        <f t="array" ref="J704">SUM(IF("156"&amp;C704=KHC&amp;MH,TH))</f>
        <v>2819600</v>
      </c>
      <c r="K704" s="25">
        <f t="shared" si="52"/>
        <v>0</v>
      </c>
      <c r="L704" s="25">
        <f t="shared" si="53"/>
        <v>0</v>
      </c>
      <c r="M704" s="289" t="e">
        <f t="shared" si="54"/>
        <v>#DIV/0!</v>
      </c>
      <c r="O704" s="927"/>
      <c r="P704" s="927"/>
    </row>
    <row r="705" spans="1:16" ht="18.75" customHeight="1">
      <c r="A705" s="289" t="str">
        <f t="shared" si="50"/>
        <v>NL</v>
      </c>
      <c r="B705" s="753">
        <f t="shared" si="51"/>
        <v>694</v>
      </c>
      <c r="C705" s="191" t="s">
        <v>698</v>
      </c>
      <c r="D705" s="291" t="s">
        <v>393</v>
      </c>
      <c r="E705" s="25"/>
      <c r="F705" s="25"/>
      <c r="G705" s="25">
        <f t="array" ref="G705">SUM(IF("156"&amp;C705=KHN&amp;MH,SL))</f>
        <v>15</v>
      </c>
      <c r="H705" s="25">
        <f t="array" ref="H705">SUM(IF("156"&amp;C705=KHN&amp;MH,TH))</f>
        <v>1112835</v>
      </c>
      <c r="I705" s="25">
        <f t="array" ref="I705">SUM(IF("156"&amp;C705=KHC&amp;MH,SL))</f>
        <v>15</v>
      </c>
      <c r="J705" s="25">
        <f t="array" ref="J705">SUM(IF("156"&amp;C705=KHC&amp;MH,TH))</f>
        <v>1112835</v>
      </c>
      <c r="K705" s="25">
        <f t="shared" si="52"/>
        <v>0</v>
      </c>
      <c r="L705" s="25">
        <f t="shared" si="53"/>
        <v>0</v>
      </c>
      <c r="M705" s="289" t="e">
        <f t="shared" si="54"/>
        <v>#DIV/0!</v>
      </c>
    </row>
    <row r="706" spans="1:16" ht="18.75" customHeight="1">
      <c r="A706" s="289" t="str">
        <f t="shared" si="50"/>
        <v>NL</v>
      </c>
      <c r="B706" s="753">
        <f t="shared" si="51"/>
        <v>695</v>
      </c>
      <c r="C706" s="40" t="s">
        <v>1482</v>
      </c>
      <c r="D706" s="291" t="s">
        <v>393</v>
      </c>
      <c r="E706" s="25"/>
      <c r="F706" s="25"/>
      <c r="G706" s="25">
        <f t="array" ref="G706">SUM(IF("156"&amp;C706=KHN&amp;MH,SL))</f>
        <v>70</v>
      </c>
      <c r="H706" s="25">
        <f t="array" ref="H706">SUM(IF("156"&amp;C706=KHN&amp;MH,TH))</f>
        <v>1869000</v>
      </c>
      <c r="I706" s="25">
        <f t="array" ref="I706">SUM(IF("156"&amp;C706=KHC&amp;MH,SL))</f>
        <v>70</v>
      </c>
      <c r="J706" s="25">
        <f t="array" ref="J706">SUM(IF("156"&amp;C706=KHC&amp;MH,TH))</f>
        <v>1869000</v>
      </c>
      <c r="K706" s="25">
        <f t="shared" si="52"/>
        <v>0</v>
      </c>
      <c r="L706" s="25">
        <f t="shared" si="53"/>
        <v>0</v>
      </c>
      <c r="M706" s="289" t="e">
        <f t="shared" si="54"/>
        <v>#DIV/0!</v>
      </c>
    </row>
    <row r="707" spans="1:16" ht="18.75" customHeight="1">
      <c r="A707" s="289" t="str">
        <f t="shared" si="50"/>
        <v>NL</v>
      </c>
      <c r="B707" s="753">
        <f t="shared" si="51"/>
        <v>696</v>
      </c>
      <c r="C707" s="292" t="s">
        <v>1435</v>
      </c>
      <c r="D707" s="291" t="s">
        <v>393</v>
      </c>
      <c r="E707" s="25"/>
      <c r="F707" s="25"/>
      <c r="G707" s="25">
        <f t="array" ref="G707">SUM(IF("156"&amp;C707=KHN&amp;MH,SL))</f>
        <v>55</v>
      </c>
      <c r="H707" s="25">
        <f t="array" ref="H707">SUM(IF("156"&amp;C707=KHN&amp;MH,TH))</f>
        <v>2410485</v>
      </c>
      <c r="I707" s="25">
        <f t="array" ref="I707">SUM(IF("156"&amp;C707=KHC&amp;MH,SL))</f>
        <v>55</v>
      </c>
      <c r="J707" s="25">
        <f t="array" ref="J707">SUM(IF("156"&amp;C707=KHC&amp;MH,TH))</f>
        <v>2410485</v>
      </c>
      <c r="K707" s="25">
        <f t="shared" si="52"/>
        <v>0</v>
      </c>
      <c r="L707" s="25">
        <f t="shared" si="53"/>
        <v>0</v>
      </c>
      <c r="M707" s="289" t="e">
        <f t="shared" si="54"/>
        <v>#DIV/0!</v>
      </c>
    </row>
    <row r="708" spans="1:16" ht="18.75" customHeight="1">
      <c r="A708" s="289" t="str">
        <f t="shared" si="50"/>
        <v>NL</v>
      </c>
      <c r="B708" s="753">
        <f t="shared" si="51"/>
        <v>697</v>
      </c>
      <c r="C708" s="292" t="s">
        <v>1761</v>
      </c>
      <c r="D708" s="291"/>
      <c r="E708" s="25"/>
      <c r="F708" s="25"/>
      <c r="G708" s="25">
        <f t="array" ref="G708">SUM(IF("156"&amp;C708=KHN&amp;MH,SL))</f>
        <v>58</v>
      </c>
      <c r="H708" s="25">
        <f t="array" ref="H708">SUM(IF("156"&amp;C708=KHN&amp;MH,TH))</f>
        <v>3654000</v>
      </c>
      <c r="I708" s="25">
        <f t="array" ref="I708">SUM(IF("156"&amp;C708=KHC&amp;MH,SL))</f>
        <v>58</v>
      </c>
      <c r="J708" s="25">
        <f t="array" ref="J708">SUM(IF("156"&amp;C708=KHC&amp;MH,TH))</f>
        <v>3654000</v>
      </c>
      <c r="K708" s="25">
        <f t="shared" si="52"/>
        <v>0</v>
      </c>
      <c r="L708" s="25">
        <f t="shared" si="53"/>
        <v>0</v>
      </c>
      <c r="M708" s="289" t="e">
        <f t="shared" si="54"/>
        <v>#DIV/0!</v>
      </c>
    </row>
    <row r="709" spans="1:16" ht="18.75" customHeight="1">
      <c r="A709" s="289" t="str">
        <f t="shared" si="50"/>
        <v>NL</v>
      </c>
      <c r="B709" s="753">
        <f t="shared" si="51"/>
        <v>698</v>
      </c>
      <c r="C709" s="191" t="s">
        <v>992</v>
      </c>
      <c r="D709" s="291" t="s">
        <v>393</v>
      </c>
      <c r="E709" s="25"/>
      <c r="F709" s="25"/>
      <c r="G709" s="25">
        <f t="array" ref="G709">SUM(IF("156"&amp;C709=KHN&amp;MH,SL))</f>
        <v>10</v>
      </c>
      <c r="H709" s="25">
        <f t="array" ref="H709">SUM(IF("156"&amp;C709=KHN&amp;MH,TH))</f>
        <v>455950</v>
      </c>
      <c r="I709" s="25">
        <f t="array" ref="I709">SUM(IF("156"&amp;C709=KHC&amp;MH,SL))</f>
        <v>10</v>
      </c>
      <c r="J709" s="25">
        <f t="array" ref="J709">SUM(IF("156"&amp;C709=KHC&amp;MH,TH))</f>
        <v>455950</v>
      </c>
      <c r="K709" s="25">
        <f t="shared" si="52"/>
        <v>0</v>
      </c>
      <c r="L709" s="25">
        <f t="shared" si="53"/>
        <v>0</v>
      </c>
      <c r="M709" s="289" t="e">
        <f t="shared" si="54"/>
        <v>#DIV/0!</v>
      </c>
    </row>
    <row r="710" spans="1:16" ht="18.75" customHeight="1">
      <c r="A710" s="289" t="str">
        <f t="shared" si="50"/>
        <v>NL</v>
      </c>
      <c r="B710" s="753">
        <f t="shared" si="51"/>
        <v>699</v>
      </c>
      <c r="C710" s="191" t="s">
        <v>988</v>
      </c>
      <c r="D710" s="291" t="s">
        <v>393</v>
      </c>
      <c r="E710" s="25"/>
      <c r="F710" s="25"/>
      <c r="G710" s="25">
        <f t="array" ref="G710">SUM(IF("156"&amp;C710=KHN&amp;MH,SL))</f>
        <v>12</v>
      </c>
      <c r="H710" s="25">
        <f t="array" ref="H710">SUM(IF("156"&amp;C710=KHN&amp;MH,TH))</f>
        <v>794460</v>
      </c>
      <c r="I710" s="25">
        <f t="array" ref="I710">SUM(IF("156"&amp;C710=KHC&amp;MH,SL))</f>
        <v>12</v>
      </c>
      <c r="J710" s="25">
        <f t="array" ref="J710">SUM(IF("156"&amp;C710=KHC&amp;MH,TH))</f>
        <v>794460</v>
      </c>
      <c r="K710" s="25">
        <f t="shared" si="52"/>
        <v>0</v>
      </c>
      <c r="L710" s="25">
        <f t="shared" si="53"/>
        <v>0</v>
      </c>
      <c r="M710" s="289" t="e">
        <f t="shared" si="54"/>
        <v>#DIV/0!</v>
      </c>
    </row>
    <row r="711" spans="1:16" ht="18.75" customHeight="1">
      <c r="A711" s="289" t="str">
        <f t="shared" si="50"/>
        <v>NL</v>
      </c>
      <c r="B711" s="753">
        <f t="shared" si="51"/>
        <v>700</v>
      </c>
      <c r="C711" s="191" t="s">
        <v>997</v>
      </c>
      <c r="D711" s="291" t="s">
        <v>393</v>
      </c>
      <c r="E711" s="25"/>
      <c r="F711" s="25"/>
      <c r="G711" s="25">
        <f t="array" ref="G711">SUM(IF("156"&amp;C711=KHN&amp;MH,SL))</f>
        <v>24</v>
      </c>
      <c r="H711" s="25">
        <f t="array" ref="H711">SUM(IF("156"&amp;C711=KHN&amp;MH,TH))</f>
        <v>210120</v>
      </c>
      <c r="I711" s="25">
        <f t="array" ref="I711">SUM(IF("156"&amp;C711=KHC&amp;MH,SL))</f>
        <v>24</v>
      </c>
      <c r="J711" s="25">
        <f t="array" ref="J711">SUM(IF("156"&amp;C711=KHC&amp;MH,TH))</f>
        <v>210120</v>
      </c>
      <c r="K711" s="25">
        <f t="shared" si="52"/>
        <v>0</v>
      </c>
      <c r="L711" s="25">
        <f t="shared" si="53"/>
        <v>0</v>
      </c>
      <c r="M711" s="289" t="e">
        <f t="shared" si="54"/>
        <v>#DIV/0!</v>
      </c>
    </row>
    <row r="712" spans="1:16" ht="18.75" customHeight="1">
      <c r="A712" s="289" t="str">
        <f t="shared" si="50"/>
        <v>NL</v>
      </c>
      <c r="B712" s="753">
        <f t="shared" si="51"/>
        <v>701</v>
      </c>
      <c r="C712" s="188" t="s">
        <v>883</v>
      </c>
      <c r="D712" s="291" t="s">
        <v>393</v>
      </c>
      <c r="E712" s="25"/>
      <c r="F712" s="25"/>
      <c r="G712" s="25">
        <f t="array" ref="G712">SUM(IF("156"&amp;C712=KHN&amp;MH,SL))</f>
        <v>28</v>
      </c>
      <c r="H712" s="25">
        <f t="array" ref="H712">SUM(IF("156"&amp;C712=KHN&amp;MH,TH))</f>
        <v>1284563</v>
      </c>
      <c r="I712" s="25">
        <f t="array" ref="I712">SUM(IF("156"&amp;C712=KHC&amp;MH,SL))</f>
        <v>28</v>
      </c>
      <c r="J712" s="25">
        <f t="array" ref="J712">SUM(IF("156"&amp;C712=KHC&amp;MH,TH))</f>
        <v>1284563</v>
      </c>
      <c r="K712" s="25">
        <f t="shared" si="52"/>
        <v>0</v>
      </c>
      <c r="L712" s="25">
        <f t="shared" si="53"/>
        <v>0</v>
      </c>
      <c r="M712" s="289" t="e">
        <f t="shared" si="54"/>
        <v>#DIV/0!</v>
      </c>
    </row>
    <row r="713" spans="1:16" ht="18.75" customHeight="1">
      <c r="A713" s="289" t="str">
        <f t="shared" si="50"/>
        <v>NL</v>
      </c>
      <c r="B713" s="753">
        <f t="shared" si="51"/>
        <v>702</v>
      </c>
      <c r="C713" s="191" t="s">
        <v>518</v>
      </c>
      <c r="D713" s="291" t="s">
        <v>393</v>
      </c>
      <c r="E713" s="25"/>
      <c r="F713" s="25"/>
      <c r="G713" s="25">
        <f t="array" ref="G713">SUM(IF("156"&amp;C713=KHN&amp;MH,SL))</f>
        <v>10</v>
      </c>
      <c r="H713" s="25">
        <f t="array" ref="H713">SUM(IF("156"&amp;C713=KHN&amp;MH,TH))</f>
        <v>479560</v>
      </c>
      <c r="I713" s="25">
        <f t="array" ref="I713">SUM(IF("156"&amp;C713=KHC&amp;MH,SL))</f>
        <v>10</v>
      </c>
      <c r="J713" s="25">
        <f t="array" ref="J713">SUM(IF("156"&amp;C713=KHC&amp;MH,TH))</f>
        <v>479560</v>
      </c>
      <c r="K713" s="25">
        <f t="shared" si="52"/>
        <v>0</v>
      </c>
      <c r="L713" s="25">
        <f t="shared" si="53"/>
        <v>0</v>
      </c>
      <c r="M713" s="289" t="e">
        <f t="shared" si="54"/>
        <v>#DIV/0!</v>
      </c>
    </row>
    <row r="714" spans="1:16" ht="18.75" customHeight="1">
      <c r="A714" s="289" t="str">
        <f t="shared" si="50"/>
        <v>NL</v>
      </c>
      <c r="B714" s="753">
        <f t="shared" si="51"/>
        <v>703</v>
      </c>
      <c r="C714" s="40" t="s">
        <v>885</v>
      </c>
      <c r="D714" s="291" t="s">
        <v>393</v>
      </c>
      <c r="E714" s="25"/>
      <c r="F714" s="25"/>
      <c r="G714" s="25">
        <f t="array" ref="G714">SUM(IF("156"&amp;C714=KHN&amp;MH,SL))</f>
        <v>6</v>
      </c>
      <c r="H714" s="25">
        <f t="array" ref="H714">SUM(IF("156"&amp;C714=KHN&amp;MH,TH))</f>
        <v>410976</v>
      </c>
      <c r="I714" s="25">
        <f t="array" ref="I714">SUM(IF("156"&amp;C714=KHC&amp;MH,SL))</f>
        <v>6</v>
      </c>
      <c r="J714" s="25">
        <f t="array" ref="J714">SUM(IF("156"&amp;C714=KHC&amp;MH,TH))</f>
        <v>410976</v>
      </c>
      <c r="K714" s="25">
        <f t="shared" si="52"/>
        <v>0</v>
      </c>
      <c r="L714" s="25">
        <f t="shared" si="53"/>
        <v>0</v>
      </c>
      <c r="M714" s="289" t="e">
        <f t="shared" si="54"/>
        <v>#DIV/0!</v>
      </c>
    </row>
    <row r="715" spans="1:16" ht="18.75" customHeight="1">
      <c r="A715" s="289" t="str">
        <f t="shared" si="50"/>
        <v>NL</v>
      </c>
      <c r="B715" s="753">
        <f t="shared" si="51"/>
        <v>704</v>
      </c>
      <c r="C715" s="191" t="s">
        <v>494</v>
      </c>
      <c r="D715" s="291" t="s">
        <v>393</v>
      </c>
      <c r="E715" s="25"/>
      <c r="F715" s="25"/>
      <c r="G715" s="25">
        <f t="array" ref="G715">SUM(IF("156"&amp;C715=KHN&amp;MH,SL))</f>
        <v>50</v>
      </c>
      <c r="H715" s="25">
        <f t="array" ref="H715">SUM(IF("156"&amp;C715=KHN&amp;MH,TH))</f>
        <v>3481313</v>
      </c>
      <c r="I715" s="25">
        <f t="array" ref="I715">SUM(IF("156"&amp;C715=KHC&amp;MH,SL))</f>
        <v>50</v>
      </c>
      <c r="J715" s="25">
        <f t="array" ref="J715">SUM(IF("156"&amp;C715=KHC&amp;MH,TH))</f>
        <v>3481313</v>
      </c>
      <c r="K715" s="25">
        <f t="shared" si="52"/>
        <v>0</v>
      </c>
      <c r="L715" s="25">
        <f t="shared" si="53"/>
        <v>0</v>
      </c>
      <c r="M715" s="289" t="e">
        <f t="shared" si="54"/>
        <v>#DIV/0!</v>
      </c>
      <c r="O715" s="927"/>
      <c r="P715" s="927"/>
    </row>
    <row r="716" spans="1:16" ht="18.75" customHeight="1">
      <c r="A716" s="289" t="str">
        <f t="shared" ref="A716:A779" si="55">IF(B716&lt;&gt;"","NL","")</f>
        <v>NL</v>
      </c>
      <c r="B716" s="753">
        <f t="shared" ref="B716:B779" si="56">IF(C716&lt;&gt;"",ROW()-11,"")</f>
        <v>705</v>
      </c>
      <c r="C716" s="191" t="s">
        <v>1743</v>
      </c>
      <c r="D716" s="291"/>
      <c r="E716" s="25"/>
      <c r="F716" s="25"/>
      <c r="G716" s="25">
        <f t="array" ref="G716">SUM(IF("156"&amp;C716=KHN&amp;MH,SL))</f>
        <v>24</v>
      </c>
      <c r="H716" s="25">
        <f t="array" ref="H716">SUM(IF("156"&amp;C716=KHN&amp;MH,TH))</f>
        <v>705600</v>
      </c>
      <c r="I716" s="25">
        <f t="array" ref="I716">SUM(IF("156"&amp;C716=KHC&amp;MH,SL))</f>
        <v>24</v>
      </c>
      <c r="J716" s="25">
        <f t="array" ref="J716">SUM(IF("156"&amp;C716=KHC&amp;MH,TH))</f>
        <v>705600</v>
      </c>
      <c r="K716" s="25">
        <f t="shared" ref="K716:K782" si="57">E716+G716-I716</f>
        <v>0</v>
      </c>
      <c r="L716" s="25">
        <f t="shared" ref="L716:L782" si="58">F716+H716-J716</f>
        <v>0</v>
      </c>
      <c r="M716" s="289" t="e">
        <f t="shared" ref="M716:M779" si="59">L716/K716</f>
        <v>#DIV/0!</v>
      </c>
    </row>
    <row r="717" spans="1:16" ht="18.75" customHeight="1">
      <c r="A717" s="289" t="str">
        <f t="shared" si="55"/>
        <v>NL</v>
      </c>
      <c r="B717" s="753">
        <f t="shared" si="56"/>
        <v>706</v>
      </c>
      <c r="C717" s="191" t="s">
        <v>714</v>
      </c>
      <c r="D717" s="291" t="s">
        <v>393</v>
      </c>
      <c r="E717" s="25"/>
      <c r="F717" s="25"/>
      <c r="G717" s="25">
        <f t="array" ref="G717">SUM(IF("156"&amp;C717=KHN&amp;MH,SL))</f>
        <v>20</v>
      </c>
      <c r="H717" s="25">
        <f t="array" ref="H717">SUM(IF("156"&amp;C717=KHN&amp;MH,TH))</f>
        <v>863760</v>
      </c>
      <c r="I717" s="25">
        <f t="array" ref="I717">SUM(IF("156"&amp;C717=KHC&amp;MH,SL))</f>
        <v>20</v>
      </c>
      <c r="J717" s="25">
        <f t="array" ref="J717">SUM(IF("156"&amp;C717=KHC&amp;MH,TH))</f>
        <v>863760</v>
      </c>
      <c r="K717" s="25">
        <f t="shared" si="57"/>
        <v>0</v>
      </c>
      <c r="L717" s="25">
        <f t="shared" si="58"/>
        <v>0</v>
      </c>
      <c r="M717" s="289" t="e">
        <f t="shared" si="59"/>
        <v>#DIV/0!</v>
      </c>
    </row>
    <row r="718" spans="1:16" ht="18.75" customHeight="1">
      <c r="A718" s="289" t="str">
        <f t="shared" si="55"/>
        <v>NL</v>
      </c>
      <c r="B718" s="753">
        <f t="shared" si="56"/>
        <v>707</v>
      </c>
      <c r="C718" s="191" t="s">
        <v>489</v>
      </c>
      <c r="D718" s="291" t="s">
        <v>393</v>
      </c>
      <c r="E718" s="25"/>
      <c r="F718" s="25"/>
      <c r="G718" s="25">
        <f t="array" ref="G718">SUM(IF("156"&amp;C718=KHN&amp;MH,SL))</f>
        <v>134</v>
      </c>
      <c r="H718" s="25">
        <f t="array" ref="H718">SUM(IF("156"&amp;C718=KHN&amp;MH,TH))</f>
        <v>4972826</v>
      </c>
      <c r="I718" s="25">
        <f t="array" ref="I718">SUM(IF("156"&amp;C718=KHC&amp;MH,SL))</f>
        <v>134</v>
      </c>
      <c r="J718" s="25">
        <f t="array" ref="J718">SUM(IF("156"&amp;C718=KHC&amp;MH,TH))</f>
        <v>4972826</v>
      </c>
      <c r="K718" s="25">
        <f t="shared" si="57"/>
        <v>0</v>
      </c>
      <c r="L718" s="25">
        <f t="shared" si="58"/>
        <v>0</v>
      </c>
      <c r="M718" s="289" t="e">
        <f t="shared" si="59"/>
        <v>#DIV/0!</v>
      </c>
      <c r="O718" s="927"/>
      <c r="P718" s="927"/>
    </row>
    <row r="719" spans="1:16" ht="18.75" customHeight="1">
      <c r="A719" s="289" t="str">
        <f t="shared" si="55"/>
        <v>NL</v>
      </c>
      <c r="B719" s="753">
        <f t="shared" si="56"/>
        <v>708</v>
      </c>
      <c r="C719" s="188" t="s">
        <v>477</v>
      </c>
      <c r="D719" s="291" t="s">
        <v>393</v>
      </c>
      <c r="E719" s="25"/>
      <c r="F719" s="25"/>
      <c r="G719" s="25">
        <f t="array" ref="G719">SUM(IF("156"&amp;C719=KHN&amp;MH,SL))</f>
        <v>1400</v>
      </c>
      <c r="H719" s="25">
        <f t="array" ref="H719">SUM(IF("156"&amp;C719=KHN&amp;MH,TH))</f>
        <v>89232199</v>
      </c>
      <c r="I719" s="25">
        <f t="array" ref="I719">SUM(IF("156"&amp;C719=KHC&amp;MH,SL))</f>
        <v>1400</v>
      </c>
      <c r="J719" s="25">
        <f t="array" ref="J719">SUM(IF("156"&amp;C719=KHC&amp;MH,TH))</f>
        <v>89232199</v>
      </c>
      <c r="K719" s="25">
        <f t="shared" si="57"/>
        <v>0</v>
      </c>
      <c r="L719" s="25">
        <f t="shared" si="58"/>
        <v>0</v>
      </c>
      <c r="M719" s="289" t="e">
        <f t="shared" si="59"/>
        <v>#DIV/0!</v>
      </c>
    </row>
    <row r="720" spans="1:16" ht="18.75" customHeight="1">
      <c r="A720" s="289" t="str">
        <f t="shared" si="55"/>
        <v>NL</v>
      </c>
      <c r="B720" s="753">
        <f t="shared" si="56"/>
        <v>709</v>
      </c>
      <c r="C720" s="292" t="s">
        <v>1758</v>
      </c>
      <c r="D720" s="291"/>
      <c r="E720" s="25"/>
      <c r="F720" s="25"/>
      <c r="G720" s="25">
        <f t="array" ref="G720">SUM(IF("156"&amp;C720=KHN&amp;MH,SL))</f>
        <v>6</v>
      </c>
      <c r="H720" s="25">
        <f t="array" ref="H720">SUM(IF("156"&amp;C720=KHN&amp;MH,TH))</f>
        <v>336000</v>
      </c>
      <c r="I720" s="25">
        <f t="array" ref="I720">SUM(IF("156"&amp;C720=KHC&amp;MH,SL))</f>
        <v>6</v>
      </c>
      <c r="J720" s="25">
        <f t="array" ref="J720">SUM(IF("156"&amp;C720=KHC&amp;MH,TH))</f>
        <v>336000</v>
      </c>
      <c r="K720" s="25">
        <f t="shared" si="57"/>
        <v>0</v>
      </c>
      <c r="L720" s="25">
        <f t="shared" si="58"/>
        <v>0</v>
      </c>
      <c r="M720" s="289" t="e">
        <f t="shared" si="59"/>
        <v>#DIV/0!</v>
      </c>
    </row>
    <row r="721" spans="1:13" ht="18.75" customHeight="1">
      <c r="A721" s="289" t="str">
        <f t="shared" si="55"/>
        <v>NL</v>
      </c>
      <c r="B721" s="753">
        <f t="shared" si="56"/>
        <v>710</v>
      </c>
      <c r="C721" s="188" t="s">
        <v>458</v>
      </c>
      <c r="D721" s="291" t="s">
        <v>393</v>
      </c>
      <c r="E721" s="25"/>
      <c r="F721" s="25"/>
      <c r="G721" s="25">
        <f t="array" ref="G721">SUM(IF("156"&amp;C721=KHN&amp;MH,SL))</f>
        <v>10</v>
      </c>
      <c r="H721" s="25">
        <f t="array" ref="H721">SUM(IF("156"&amp;C721=KHN&amp;MH,TH))</f>
        <v>477960</v>
      </c>
      <c r="I721" s="25">
        <f t="array" ref="I721">SUM(IF("156"&amp;C721=KHC&amp;MH,SL))</f>
        <v>10</v>
      </c>
      <c r="J721" s="25">
        <f t="array" ref="J721">SUM(IF("156"&amp;C721=KHC&amp;MH,TH))</f>
        <v>477960</v>
      </c>
      <c r="K721" s="25">
        <f t="shared" si="57"/>
        <v>0</v>
      </c>
      <c r="L721" s="25">
        <f t="shared" si="58"/>
        <v>0</v>
      </c>
      <c r="M721" s="289" t="e">
        <f t="shared" si="59"/>
        <v>#DIV/0!</v>
      </c>
    </row>
    <row r="722" spans="1:13" ht="18.75" customHeight="1">
      <c r="A722" s="289" t="str">
        <f t="shared" si="55"/>
        <v>NL</v>
      </c>
      <c r="B722" s="753">
        <f t="shared" si="56"/>
        <v>711</v>
      </c>
      <c r="C722" s="191" t="s">
        <v>1006</v>
      </c>
      <c r="D722" s="291" t="s">
        <v>393</v>
      </c>
      <c r="E722" s="25"/>
      <c r="F722" s="25"/>
      <c r="G722" s="25">
        <f t="array" ref="G722">SUM(IF("156"&amp;C722=KHN&amp;MH,SL))</f>
        <v>8</v>
      </c>
      <c r="H722" s="25">
        <f t="array" ref="H722">SUM(IF("156"&amp;C722=KHN&amp;MH,TH))</f>
        <v>527272</v>
      </c>
      <c r="I722" s="25">
        <f t="array" ref="I722">SUM(IF("156"&amp;C722=KHC&amp;MH,SL))</f>
        <v>8</v>
      </c>
      <c r="J722" s="25">
        <f t="array" ref="J722">SUM(IF("156"&amp;C722=KHC&amp;MH,TH))</f>
        <v>527272</v>
      </c>
      <c r="K722" s="25">
        <f t="shared" si="57"/>
        <v>0</v>
      </c>
      <c r="L722" s="25">
        <f t="shared" si="58"/>
        <v>0</v>
      </c>
      <c r="M722" s="289" t="e">
        <f t="shared" si="59"/>
        <v>#DIV/0!</v>
      </c>
    </row>
    <row r="723" spans="1:13" ht="18.75" customHeight="1">
      <c r="A723" s="289" t="str">
        <f t="shared" si="55"/>
        <v>NL</v>
      </c>
      <c r="B723" s="753">
        <f t="shared" si="56"/>
        <v>712</v>
      </c>
      <c r="C723" s="191" t="s">
        <v>1014</v>
      </c>
      <c r="D723" s="291" t="s">
        <v>393</v>
      </c>
      <c r="E723" s="25"/>
      <c r="F723" s="25"/>
      <c r="G723" s="25">
        <f t="array" ref="G723">SUM(IF("156"&amp;C723=KHN&amp;MH,SL))</f>
        <v>720</v>
      </c>
      <c r="H723" s="25">
        <f t="array" ref="H723">SUM(IF("156"&amp;C723=KHN&amp;MH,TH))</f>
        <v>44860926</v>
      </c>
      <c r="I723" s="25">
        <f t="array" ref="I723">SUM(IF("156"&amp;C723=KHC&amp;MH,SL))</f>
        <v>524</v>
      </c>
      <c r="J723" s="25">
        <f t="array" ref="J723">SUM(IF("156"&amp;C723=KHC&amp;MH,TH))</f>
        <v>32301574</v>
      </c>
      <c r="K723" s="25">
        <f t="shared" si="57"/>
        <v>196</v>
      </c>
      <c r="L723" s="25">
        <f t="shared" si="58"/>
        <v>12559352</v>
      </c>
      <c r="M723" s="289">
        <f t="shared" si="59"/>
        <v>64078.326530612248</v>
      </c>
    </row>
    <row r="724" spans="1:13" ht="18.75" customHeight="1">
      <c r="A724" s="289" t="str">
        <f t="shared" si="55"/>
        <v>NL</v>
      </c>
      <c r="B724" s="753">
        <f t="shared" si="56"/>
        <v>713</v>
      </c>
      <c r="C724" s="191" t="s">
        <v>1024</v>
      </c>
      <c r="D724" s="291" t="s">
        <v>393</v>
      </c>
      <c r="E724" s="25"/>
      <c r="F724" s="25"/>
      <c r="G724" s="25">
        <f t="array" ref="G724">SUM(IF("156"&amp;C724=KHN&amp;MH,SL))</f>
        <v>55</v>
      </c>
      <c r="H724" s="25">
        <f t="array" ref="H724">SUM(IF("156"&amp;C724=KHN&amp;MH,TH))</f>
        <v>809154</v>
      </c>
      <c r="I724" s="25">
        <f t="array" ref="I724">SUM(IF("156"&amp;C724=KHC&amp;MH,SL))</f>
        <v>55</v>
      </c>
      <c r="J724" s="25">
        <f t="array" ref="J724">SUM(IF("156"&amp;C724=KHC&amp;MH,TH))</f>
        <v>809154</v>
      </c>
      <c r="K724" s="25">
        <f t="shared" si="57"/>
        <v>0</v>
      </c>
      <c r="L724" s="25">
        <f t="shared" si="58"/>
        <v>0</v>
      </c>
      <c r="M724" s="289" t="e">
        <f t="shared" si="59"/>
        <v>#DIV/0!</v>
      </c>
    </row>
    <row r="725" spans="1:13" ht="18.75" customHeight="1">
      <c r="A725" s="289" t="str">
        <f t="shared" si="55"/>
        <v>NL</v>
      </c>
      <c r="B725" s="753">
        <f t="shared" si="56"/>
        <v>714</v>
      </c>
      <c r="C725" s="191" t="s">
        <v>978</v>
      </c>
      <c r="D725" s="291" t="s">
        <v>393</v>
      </c>
      <c r="E725" s="25"/>
      <c r="F725" s="25"/>
      <c r="G725" s="25">
        <f t="array" ref="G725">SUM(IF("156"&amp;C725=KHN&amp;MH,SL))</f>
        <v>8</v>
      </c>
      <c r="H725" s="25">
        <f t="array" ref="H725">SUM(IF("156"&amp;C725=KHN&amp;MH,TH))</f>
        <v>398544</v>
      </c>
      <c r="I725" s="25">
        <f t="array" ref="I725">SUM(IF("156"&amp;C725=KHC&amp;MH,SL))</f>
        <v>8</v>
      </c>
      <c r="J725" s="25">
        <f t="array" ref="J725">SUM(IF("156"&amp;C725=KHC&amp;MH,TH))</f>
        <v>398544</v>
      </c>
      <c r="K725" s="25">
        <f t="shared" si="57"/>
        <v>0</v>
      </c>
      <c r="L725" s="25">
        <f t="shared" si="58"/>
        <v>0</v>
      </c>
      <c r="M725" s="289" t="e">
        <f t="shared" si="59"/>
        <v>#DIV/0!</v>
      </c>
    </row>
    <row r="726" spans="1:13" ht="18.75" customHeight="1">
      <c r="A726" s="289" t="str">
        <f t="shared" si="55"/>
        <v>NL</v>
      </c>
      <c r="B726" s="753">
        <f t="shared" si="56"/>
        <v>715</v>
      </c>
      <c r="C726" s="191" t="s">
        <v>830</v>
      </c>
      <c r="D726" s="291" t="s">
        <v>393</v>
      </c>
      <c r="E726" s="25"/>
      <c r="F726" s="25"/>
      <c r="G726" s="25">
        <f t="array" ref="G726">SUM(IF("156"&amp;C726=KHN&amp;MH,SL))</f>
        <v>25</v>
      </c>
      <c r="H726" s="25">
        <f t="array" ref="H726">SUM(IF("156"&amp;C726=KHN&amp;MH,TH))</f>
        <v>777250</v>
      </c>
      <c r="I726" s="25">
        <f t="array" ref="I726">SUM(IF("156"&amp;C726=KHC&amp;MH,SL))</f>
        <v>25</v>
      </c>
      <c r="J726" s="25">
        <f t="array" ref="J726">SUM(IF("156"&amp;C726=KHC&amp;MH,TH))</f>
        <v>777250</v>
      </c>
      <c r="K726" s="25">
        <f t="shared" si="57"/>
        <v>0</v>
      </c>
      <c r="L726" s="25">
        <f t="shared" si="58"/>
        <v>0</v>
      </c>
      <c r="M726" s="289" t="e">
        <f t="shared" si="59"/>
        <v>#DIV/0!</v>
      </c>
    </row>
    <row r="727" spans="1:13" ht="18.75" customHeight="1">
      <c r="A727" s="289" t="str">
        <f t="shared" si="55"/>
        <v>NL</v>
      </c>
      <c r="B727" s="753">
        <f t="shared" si="56"/>
        <v>716</v>
      </c>
      <c r="C727" s="191" t="s">
        <v>510</v>
      </c>
      <c r="D727" s="291" t="s">
        <v>393</v>
      </c>
      <c r="E727" s="25"/>
      <c r="F727" s="25"/>
      <c r="G727" s="25">
        <f t="array" ref="G727">SUM(IF("156"&amp;C727=KHN&amp;MH,SL))</f>
        <v>5</v>
      </c>
      <c r="H727" s="25">
        <f t="array" ref="H727">SUM(IF("156"&amp;C727=KHN&amp;MH,TH))</f>
        <v>287995</v>
      </c>
      <c r="I727" s="25">
        <f t="array" ref="I727">SUM(IF("156"&amp;C727=KHC&amp;MH,SL))</f>
        <v>5</v>
      </c>
      <c r="J727" s="25">
        <f t="array" ref="J727">SUM(IF("156"&amp;C727=KHC&amp;MH,TH))</f>
        <v>287995</v>
      </c>
      <c r="K727" s="25">
        <f t="shared" si="57"/>
        <v>0</v>
      </c>
      <c r="L727" s="25">
        <f t="shared" si="58"/>
        <v>0</v>
      </c>
      <c r="M727" s="289" t="e">
        <f t="shared" si="59"/>
        <v>#DIV/0!</v>
      </c>
    </row>
    <row r="728" spans="1:13" ht="18.75" customHeight="1">
      <c r="A728" s="289" t="str">
        <f t="shared" si="55"/>
        <v>NL</v>
      </c>
      <c r="B728" s="753">
        <f t="shared" si="56"/>
        <v>717</v>
      </c>
      <c r="C728" s="40" t="s">
        <v>827</v>
      </c>
      <c r="D728" s="291" t="s">
        <v>393</v>
      </c>
      <c r="E728" s="25"/>
      <c r="F728" s="25"/>
      <c r="G728" s="25">
        <f t="array" ref="G728">SUM(IF("156"&amp;C728=KHN&amp;MH,SL))</f>
        <v>10</v>
      </c>
      <c r="H728" s="25">
        <f t="array" ref="H728">SUM(IF("156"&amp;C728=KHN&amp;MH,TH))</f>
        <v>981190</v>
      </c>
      <c r="I728" s="25">
        <f t="array" ref="I728">SUM(IF("156"&amp;C728=KHC&amp;MH,SL))</f>
        <v>10</v>
      </c>
      <c r="J728" s="25">
        <f t="array" ref="J728">SUM(IF("156"&amp;C728=KHC&amp;MH,TH))</f>
        <v>981190</v>
      </c>
      <c r="K728" s="25">
        <f t="shared" si="57"/>
        <v>0</v>
      </c>
      <c r="L728" s="25">
        <f t="shared" si="58"/>
        <v>0</v>
      </c>
      <c r="M728" s="289" t="e">
        <f t="shared" si="59"/>
        <v>#DIV/0!</v>
      </c>
    </row>
    <row r="729" spans="1:13" ht="18.75" customHeight="1">
      <c r="A729" s="289" t="str">
        <f t="shared" si="55"/>
        <v>NL</v>
      </c>
      <c r="B729" s="753">
        <f t="shared" si="56"/>
        <v>718</v>
      </c>
      <c r="C729" s="191" t="s">
        <v>930</v>
      </c>
      <c r="D729" s="291" t="s">
        <v>393</v>
      </c>
      <c r="E729" s="25"/>
      <c r="F729" s="25"/>
      <c r="G729" s="25">
        <f t="array" ref="G729">SUM(IF("156"&amp;C729=KHN&amp;MH,SL))</f>
        <v>540</v>
      </c>
      <c r="H729" s="25">
        <f t="array" ref="H729">SUM(IF("156"&amp;C729=KHN&amp;MH,TH))</f>
        <v>12045424</v>
      </c>
      <c r="I729" s="25">
        <f t="array" ref="I729">SUM(IF("156"&amp;C729=KHC&amp;MH,SL))</f>
        <v>540</v>
      </c>
      <c r="J729" s="25">
        <f t="array" ref="J729">SUM(IF("156"&amp;C729=KHC&amp;MH,TH))</f>
        <v>12045424</v>
      </c>
      <c r="K729" s="25">
        <f t="shared" si="57"/>
        <v>0</v>
      </c>
      <c r="L729" s="25">
        <f t="shared" si="58"/>
        <v>0</v>
      </c>
      <c r="M729" s="289" t="e">
        <f t="shared" si="59"/>
        <v>#DIV/0!</v>
      </c>
    </row>
    <row r="730" spans="1:13" ht="18.75" customHeight="1">
      <c r="A730" s="289" t="str">
        <f t="shared" si="55"/>
        <v>NL</v>
      </c>
      <c r="B730" s="753">
        <f t="shared" si="56"/>
        <v>719</v>
      </c>
      <c r="C730" s="191" t="s">
        <v>771</v>
      </c>
      <c r="D730" s="291" t="s">
        <v>393</v>
      </c>
      <c r="E730" s="25"/>
      <c r="F730" s="25"/>
      <c r="G730" s="25">
        <f t="array" ref="G730">SUM(IF("156"&amp;C730=KHN&amp;MH,SL))</f>
        <v>200</v>
      </c>
      <c r="H730" s="25">
        <f t="array" ref="H730">SUM(IF("156"&amp;C730=KHN&amp;MH,TH))</f>
        <v>2303600</v>
      </c>
      <c r="I730" s="25">
        <f t="array" ref="I730">SUM(IF("156"&amp;C730=KHC&amp;MH,SL))</f>
        <v>200</v>
      </c>
      <c r="J730" s="25">
        <f t="array" ref="J730">SUM(IF("156"&amp;C730=KHC&amp;MH,TH))</f>
        <v>2303600</v>
      </c>
      <c r="K730" s="25">
        <f t="shared" si="57"/>
        <v>0</v>
      </c>
      <c r="L730" s="25">
        <f t="shared" si="58"/>
        <v>0</v>
      </c>
      <c r="M730" s="289" t="e">
        <f t="shared" si="59"/>
        <v>#DIV/0!</v>
      </c>
    </row>
    <row r="731" spans="1:13" ht="18.75" customHeight="1">
      <c r="A731" s="289" t="str">
        <f t="shared" si="55"/>
        <v>NL</v>
      </c>
      <c r="B731" s="753">
        <f t="shared" si="56"/>
        <v>720</v>
      </c>
      <c r="C731" s="292" t="s">
        <v>1684</v>
      </c>
      <c r="D731" s="291" t="s">
        <v>393</v>
      </c>
      <c r="E731" s="25"/>
      <c r="F731" s="25"/>
      <c r="G731" s="25">
        <f t="array" ref="G731">SUM(IF("156"&amp;C731=KHN&amp;MH,SL))</f>
        <v>1</v>
      </c>
      <c r="H731" s="25">
        <f t="array" ref="H731">SUM(IF("156"&amp;C731=KHN&amp;MH,TH))</f>
        <v>92950</v>
      </c>
      <c r="I731" s="25">
        <f t="array" ref="I731">SUM(IF("156"&amp;C731=KHC&amp;MH,SL))</f>
        <v>1</v>
      </c>
      <c r="J731" s="25">
        <f t="array" ref="J731">SUM(IF("156"&amp;C731=KHC&amp;MH,TH))</f>
        <v>92950</v>
      </c>
      <c r="K731" s="25">
        <f t="shared" si="57"/>
        <v>0</v>
      </c>
      <c r="L731" s="25">
        <f t="shared" si="58"/>
        <v>0</v>
      </c>
      <c r="M731" s="289" t="e">
        <f t="shared" si="59"/>
        <v>#DIV/0!</v>
      </c>
    </row>
    <row r="732" spans="1:13" ht="18.75" customHeight="1">
      <c r="A732" s="289" t="str">
        <f t="shared" si="55"/>
        <v>NL</v>
      </c>
      <c r="B732" s="753">
        <f t="shared" si="56"/>
        <v>721</v>
      </c>
      <c r="C732" s="191" t="s">
        <v>732</v>
      </c>
      <c r="D732" s="291" t="s">
        <v>393</v>
      </c>
      <c r="E732" s="25"/>
      <c r="F732" s="25"/>
      <c r="G732" s="25">
        <f t="array" ref="G732">SUM(IF("156"&amp;C732=KHN&amp;MH,SL))</f>
        <v>180</v>
      </c>
      <c r="H732" s="25">
        <f t="array" ref="H732">SUM(IF("156"&amp;C732=KHN&amp;MH,TH))</f>
        <v>2047590</v>
      </c>
      <c r="I732" s="25">
        <f t="array" ref="I732">SUM(IF("156"&amp;C732=KHC&amp;MH,SL))</f>
        <v>180</v>
      </c>
      <c r="J732" s="25">
        <f t="array" ref="J732">SUM(IF("156"&amp;C732=KHC&amp;MH,TH))</f>
        <v>2047590</v>
      </c>
      <c r="K732" s="25">
        <f t="shared" si="57"/>
        <v>0</v>
      </c>
      <c r="L732" s="25">
        <f t="shared" si="58"/>
        <v>0</v>
      </c>
      <c r="M732" s="289" t="e">
        <f t="shared" si="59"/>
        <v>#DIV/0!</v>
      </c>
    </row>
    <row r="733" spans="1:13" ht="18.75" customHeight="1">
      <c r="A733" s="289" t="str">
        <f t="shared" si="55"/>
        <v>NL</v>
      </c>
      <c r="B733" s="753">
        <f t="shared" si="56"/>
        <v>722</v>
      </c>
      <c r="C733" s="40" t="s">
        <v>943</v>
      </c>
      <c r="D733" s="291" t="s">
        <v>393</v>
      </c>
      <c r="E733" s="25"/>
      <c r="F733" s="25"/>
      <c r="G733" s="25">
        <f t="array" ref="G733">SUM(IF("156"&amp;C733=KHN&amp;MH,SL))</f>
        <v>61</v>
      </c>
      <c r="H733" s="25">
        <f t="array" ref="H733">SUM(IF("156"&amp;C733=KHN&amp;MH,TH))</f>
        <v>2807281</v>
      </c>
      <c r="I733" s="25">
        <f t="array" ref="I733">SUM(IF("156"&amp;C733=KHC&amp;MH,SL))</f>
        <v>0</v>
      </c>
      <c r="J733" s="25">
        <f t="array" ref="J733">SUM(IF("156"&amp;C733=KHC&amp;MH,TH))</f>
        <v>0</v>
      </c>
      <c r="K733" s="25">
        <f t="shared" si="57"/>
        <v>61</v>
      </c>
      <c r="L733" s="25">
        <f t="shared" si="58"/>
        <v>2807281</v>
      </c>
      <c r="M733" s="289">
        <f t="shared" si="59"/>
        <v>46021</v>
      </c>
    </row>
    <row r="734" spans="1:13" ht="18.75" customHeight="1">
      <c r="A734" s="289" t="str">
        <f t="shared" si="55"/>
        <v>NL</v>
      </c>
      <c r="B734" s="753">
        <f t="shared" si="56"/>
        <v>723</v>
      </c>
      <c r="C734" s="191" t="s">
        <v>1736</v>
      </c>
      <c r="D734" s="291"/>
      <c r="E734" s="25"/>
      <c r="F734" s="25"/>
      <c r="G734" s="25">
        <f t="array" ref="G734">SUM(IF("156"&amp;C734=KHN&amp;MH,SL))</f>
        <v>14</v>
      </c>
      <c r="H734" s="25">
        <f t="array" ref="H734">SUM(IF("156"&amp;C734=KHN&amp;MH,TH))</f>
        <v>294000</v>
      </c>
      <c r="I734" s="25">
        <f t="array" ref="I734">SUM(IF("156"&amp;C734=KHC&amp;MH,SL))</f>
        <v>14</v>
      </c>
      <c r="J734" s="25">
        <f t="array" ref="J734">SUM(IF("156"&amp;C734=KHC&amp;MH,TH))</f>
        <v>294000</v>
      </c>
      <c r="K734" s="25">
        <f t="shared" si="57"/>
        <v>0</v>
      </c>
      <c r="L734" s="25">
        <f t="shared" si="58"/>
        <v>0</v>
      </c>
      <c r="M734" s="289" t="e">
        <f t="shared" si="59"/>
        <v>#DIV/0!</v>
      </c>
    </row>
    <row r="735" spans="1:13" ht="18.75" customHeight="1">
      <c r="A735" s="289" t="str">
        <f t="shared" si="55"/>
        <v>NL</v>
      </c>
      <c r="B735" s="753">
        <f t="shared" si="56"/>
        <v>724</v>
      </c>
      <c r="C735" s="292" t="s">
        <v>1438</v>
      </c>
      <c r="D735" s="291" t="s">
        <v>393</v>
      </c>
      <c r="E735" s="25"/>
      <c r="F735" s="25"/>
      <c r="G735" s="25">
        <f t="array" ref="G735">SUM(IF("156"&amp;C735=KHN&amp;MH,SL))</f>
        <v>12</v>
      </c>
      <c r="H735" s="25">
        <f t="array" ref="H735">SUM(IF("156"&amp;C735=KHN&amp;MH,TH))</f>
        <v>699168</v>
      </c>
      <c r="I735" s="25">
        <f t="array" ref="I735">SUM(IF("156"&amp;C735=KHC&amp;MH,SL))</f>
        <v>12</v>
      </c>
      <c r="J735" s="25">
        <f t="array" ref="J735">SUM(IF("156"&amp;C735=KHC&amp;MH,TH))</f>
        <v>699168</v>
      </c>
      <c r="K735" s="25">
        <f t="shared" si="57"/>
        <v>0</v>
      </c>
      <c r="L735" s="25">
        <f t="shared" si="58"/>
        <v>0</v>
      </c>
      <c r="M735" s="289" t="e">
        <f t="shared" si="59"/>
        <v>#DIV/0!</v>
      </c>
    </row>
    <row r="736" spans="1:13" ht="18.75" customHeight="1">
      <c r="A736" s="289" t="str">
        <f t="shared" si="55"/>
        <v>NL</v>
      </c>
      <c r="B736" s="753">
        <f t="shared" si="56"/>
        <v>725</v>
      </c>
      <c r="C736" s="191" t="s">
        <v>996</v>
      </c>
      <c r="D736" s="291" t="s">
        <v>393</v>
      </c>
      <c r="E736" s="25"/>
      <c r="F736" s="25"/>
      <c r="G736" s="25">
        <f t="array" ref="G736">SUM(IF("156"&amp;C736=KHN&amp;MH,SL))</f>
        <v>3</v>
      </c>
      <c r="H736" s="25">
        <f t="array" ref="H736">SUM(IF("156"&amp;C736=KHN&amp;MH,TH))</f>
        <v>71295</v>
      </c>
      <c r="I736" s="25">
        <f t="array" ref="I736">SUM(IF("156"&amp;C736=KHC&amp;MH,SL))</f>
        <v>3</v>
      </c>
      <c r="J736" s="25">
        <f t="array" ref="J736">SUM(IF("156"&amp;C736=KHC&amp;MH,TH))</f>
        <v>71295</v>
      </c>
      <c r="K736" s="25">
        <f t="shared" si="57"/>
        <v>0</v>
      </c>
      <c r="L736" s="25">
        <f t="shared" si="58"/>
        <v>0</v>
      </c>
      <c r="M736" s="289" t="e">
        <f t="shared" si="59"/>
        <v>#DIV/0!</v>
      </c>
    </row>
    <row r="737" spans="1:16" ht="18.75" customHeight="1">
      <c r="A737" s="289" t="str">
        <f t="shared" si="55"/>
        <v>NL</v>
      </c>
      <c r="B737" s="753">
        <f t="shared" si="56"/>
        <v>726</v>
      </c>
      <c r="C737" s="191" t="s">
        <v>1732</v>
      </c>
      <c r="D737" s="291"/>
      <c r="E737" s="25"/>
      <c r="F737" s="25"/>
      <c r="G737" s="25">
        <f t="array" ref="G737">SUM(IF("156"&amp;C737=KHN&amp;MH,SL))</f>
        <v>4</v>
      </c>
      <c r="H737" s="25">
        <f t="array" ref="H737">SUM(IF("156"&amp;C737=KHN&amp;MH,TH))</f>
        <v>80400</v>
      </c>
      <c r="I737" s="25">
        <f t="array" ref="I737">SUM(IF("156"&amp;C737=KHC&amp;MH,SL))</f>
        <v>4</v>
      </c>
      <c r="J737" s="25">
        <f t="array" ref="J737">SUM(IF("156"&amp;C737=KHC&amp;MH,TH))</f>
        <v>80400</v>
      </c>
      <c r="K737" s="25">
        <f t="shared" si="57"/>
        <v>0</v>
      </c>
      <c r="L737" s="25">
        <f t="shared" si="58"/>
        <v>0</v>
      </c>
      <c r="M737" s="289" t="e">
        <f t="shared" si="59"/>
        <v>#DIV/0!</v>
      </c>
    </row>
    <row r="738" spans="1:16" ht="18.75" customHeight="1">
      <c r="A738" s="289" t="str">
        <f t="shared" si="55"/>
        <v>NL</v>
      </c>
      <c r="B738" s="753">
        <f t="shared" si="56"/>
        <v>727</v>
      </c>
      <c r="C738" s="191" t="s">
        <v>998</v>
      </c>
      <c r="D738" s="291" t="s">
        <v>393</v>
      </c>
      <c r="E738" s="25"/>
      <c r="F738" s="25"/>
      <c r="G738" s="25">
        <f t="array" ref="G738">SUM(IF("156"&amp;C738=KHN&amp;MH,SL))</f>
        <v>20</v>
      </c>
      <c r="H738" s="25">
        <f t="array" ref="H738">SUM(IF("156"&amp;C738=KHN&amp;MH,TH))</f>
        <v>239980</v>
      </c>
      <c r="I738" s="25">
        <f t="array" ref="I738">SUM(IF("156"&amp;C738=KHC&amp;MH,SL))</f>
        <v>20</v>
      </c>
      <c r="J738" s="25">
        <f t="array" ref="J738">SUM(IF("156"&amp;C738=KHC&amp;MH,TH))</f>
        <v>239980</v>
      </c>
      <c r="K738" s="25">
        <f t="shared" si="57"/>
        <v>0</v>
      </c>
      <c r="L738" s="25">
        <f t="shared" si="58"/>
        <v>0</v>
      </c>
      <c r="M738" s="289" t="e">
        <f t="shared" si="59"/>
        <v>#DIV/0!</v>
      </c>
    </row>
    <row r="739" spans="1:16" ht="18.75" customHeight="1">
      <c r="A739" s="289" t="str">
        <f t="shared" si="55"/>
        <v>NL</v>
      </c>
      <c r="B739" s="753">
        <f t="shared" si="56"/>
        <v>728</v>
      </c>
      <c r="C739" s="40" t="s">
        <v>833</v>
      </c>
      <c r="D739" s="291" t="s">
        <v>393</v>
      </c>
      <c r="E739" s="25"/>
      <c r="F739" s="25"/>
      <c r="G739" s="25">
        <f t="array" ref="G739">SUM(IF("156"&amp;C739=KHN&amp;MH,SL))</f>
        <v>30</v>
      </c>
      <c r="H739" s="25">
        <f t="array" ref="H739">SUM(IF("156"&amp;C739=KHN&amp;MH,TH))</f>
        <v>1355310</v>
      </c>
      <c r="I739" s="25">
        <f t="array" ref="I739">SUM(IF("156"&amp;C739=KHC&amp;MH,SL))</f>
        <v>30</v>
      </c>
      <c r="J739" s="25">
        <f t="array" ref="J739">SUM(IF("156"&amp;C739=KHC&amp;MH,TH))</f>
        <v>1355310</v>
      </c>
      <c r="K739" s="25">
        <f t="shared" si="57"/>
        <v>0</v>
      </c>
      <c r="L739" s="25">
        <f t="shared" si="58"/>
        <v>0</v>
      </c>
      <c r="M739" s="289" t="e">
        <f t="shared" si="59"/>
        <v>#DIV/0!</v>
      </c>
    </row>
    <row r="740" spans="1:16" ht="18.75" customHeight="1">
      <c r="A740" s="289" t="str">
        <f t="shared" si="55"/>
        <v>NL</v>
      </c>
      <c r="B740" s="753">
        <f t="shared" si="56"/>
        <v>729</v>
      </c>
      <c r="C740" s="191" t="s">
        <v>521</v>
      </c>
      <c r="D740" s="291" t="s">
        <v>393</v>
      </c>
      <c r="E740" s="25"/>
      <c r="F740" s="25"/>
      <c r="G740" s="25">
        <f t="array" ref="G740">SUM(IF("156"&amp;C740=KHN&amp;MH,SL))</f>
        <v>19</v>
      </c>
      <c r="H740" s="25">
        <f t="array" ref="H740">SUM(IF("156"&amp;C740=KHN&amp;MH,TH))</f>
        <v>761386</v>
      </c>
      <c r="I740" s="25">
        <f t="array" ref="I740">SUM(IF("156"&amp;C740=KHC&amp;MH,SL))</f>
        <v>19</v>
      </c>
      <c r="J740" s="25">
        <f t="array" ref="J740">SUM(IF("156"&amp;C740=KHC&amp;MH,TH))</f>
        <v>761386</v>
      </c>
      <c r="K740" s="25">
        <f t="shared" si="57"/>
        <v>0</v>
      </c>
      <c r="L740" s="25">
        <f t="shared" si="58"/>
        <v>0</v>
      </c>
      <c r="M740" s="289" t="e">
        <f t="shared" si="59"/>
        <v>#DIV/0!</v>
      </c>
    </row>
    <row r="741" spans="1:16" ht="18.75" customHeight="1">
      <c r="A741" s="289" t="str">
        <f t="shared" si="55"/>
        <v>NL</v>
      </c>
      <c r="B741" s="753">
        <f t="shared" si="56"/>
        <v>730</v>
      </c>
      <c r="C741" s="191" t="s">
        <v>524</v>
      </c>
      <c r="D741" s="291" t="s">
        <v>393</v>
      </c>
      <c r="E741" s="25"/>
      <c r="F741" s="25"/>
      <c r="G741" s="25">
        <f t="array" ref="G741">SUM(IF("156"&amp;C741=KHN&amp;MH,SL))</f>
        <v>20</v>
      </c>
      <c r="H741" s="25">
        <f t="array" ref="H741">SUM(IF("156"&amp;C741=KHN&amp;MH,TH))</f>
        <v>786521</v>
      </c>
      <c r="I741" s="25">
        <f t="array" ref="I741">SUM(IF("156"&amp;C741=KHC&amp;MH,SL))</f>
        <v>20</v>
      </c>
      <c r="J741" s="25">
        <f t="array" ref="J741">SUM(IF("156"&amp;C741=KHC&amp;MH,TH))</f>
        <v>786521</v>
      </c>
      <c r="K741" s="25">
        <f t="shared" si="57"/>
        <v>0</v>
      </c>
      <c r="L741" s="25">
        <f t="shared" si="58"/>
        <v>0</v>
      </c>
      <c r="M741" s="289" t="e">
        <f t="shared" si="59"/>
        <v>#DIV/0!</v>
      </c>
    </row>
    <row r="742" spans="1:16" ht="18.75" customHeight="1">
      <c r="A742" s="289" t="str">
        <f t="shared" si="55"/>
        <v>NL</v>
      </c>
      <c r="B742" s="753">
        <f t="shared" si="56"/>
        <v>731</v>
      </c>
      <c r="C742" s="188" t="s">
        <v>829</v>
      </c>
      <c r="D742" s="291" t="s">
        <v>393</v>
      </c>
      <c r="E742" s="25"/>
      <c r="F742" s="25"/>
      <c r="G742" s="25">
        <f t="array" ref="G742">SUM(IF("156"&amp;C742=KHN&amp;MH,SL))</f>
        <v>20</v>
      </c>
      <c r="H742" s="25">
        <f t="array" ref="H742">SUM(IF("156"&amp;C742=KHN&amp;MH,TH))</f>
        <v>898340</v>
      </c>
      <c r="I742" s="25">
        <f t="array" ref="I742">SUM(IF("156"&amp;C742=KHC&amp;MH,SL))</f>
        <v>20</v>
      </c>
      <c r="J742" s="25">
        <f t="array" ref="J742">SUM(IF("156"&amp;C742=KHC&amp;MH,TH))</f>
        <v>898340</v>
      </c>
      <c r="K742" s="25">
        <f t="shared" si="57"/>
        <v>0</v>
      </c>
      <c r="L742" s="25">
        <f t="shared" si="58"/>
        <v>0</v>
      </c>
      <c r="M742" s="289" t="e">
        <f t="shared" si="59"/>
        <v>#DIV/0!</v>
      </c>
    </row>
    <row r="743" spans="1:16" ht="18.75" customHeight="1">
      <c r="A743" s="289" t="str">
        <f t="shared" si="55"/>
        <v>NL</v>
      </c>
      <c r="B743" s="753">
        <f t="shared" si="56"/>
        <v>732</v>
      </c>
      <c r="C743" s="292" t="s">
        <v>1752</v>
      </c>
      <c r="D743" s="291"/>
      <c r="E743" s="25"/>
      <c r="F743" s="25"/>
      <c r="G743" s="25">
        <f t="array" ref="G743">SUM(IF("156"&amp;C743=KHN&amp;MH,SL))</f>
        <v>4</v>
      </c>
      <c r="H743" s="25">
        <f t="array" ref="H743">SUM(IF("156"&amp;C743=KHN&amp;MH,TH))</f>
        <v>188800</v>
      </c>
      <c r="I743" s="25">
        <f t="array" ref="I743">SUM(IF("156"&amp;C743=KHC&amp;MH,SL))</f>
        <v>4</v>
      </c>
      <c r="J743" s="25">
        <f t="array" ref="J743">SUM(IF("156"&amp;C743=KHC&amp;MH,TH))</f>
        <v>188800</v>
      </c>
      <c r="K743" s="25">
        <f t="shared" si="57"/>
        <v>0</v>
      </c>
      <c r="L743" s="25">
        <f t="shared" si="58"/>
        <v>0</v>
      </c>
      <c r="M743" s="289" t="e">
        <f t="shared" si="59"/>
        <v>#DIV/0!</v>
      </c>
    </row>
    <row r="744" spans="1:16" ht="18.75" customHeight="1">
      <c r="A744" s="289" t="str">
        <f t="shared" si="55"/>
        <v>NL</v>
      </c>
      <c r="B744" s="753">
        <f t="shared" si="56"/>
        <v>733</v>
      </c>
      <c r="C744" s="40" t="s">
        <v>819</v>
      </c>
      <c r="D744" s="291" t="s">
        <v>393</v>
      </c>
      <c r="E744" s="25"/>
      <c r="F744" s="25"/>
      <c r="G744" s="25">
        <f t="array" ref="G744">SUM(IF("156"&amp;C744=KHN&amp;MH,SL))</f>
        <v>12</v>
      </c>
      <c r="H744" s="25">
        <f t="array" ref="H744">SUM(IF("156"&amp;C744=KHN&amp;MH,TH))</f>
        <v>1448221</v>
      </c>
      <c r="I744" s="25">
        <f t="array" ref="I744">SUM(IF("156"&amp;C744=KHC&amp;MH,SL))</f>
        <v>12</v>
      </c>
      <c r="J744" s="25">
        <f t="array" ref="J744">SUM(IF("156"&amp;C744=KHC&amp;MH,TH))</f>
        <v>1448221</v>
      </c>
      <c r="K744" s="25">
        <f t="shared" si="57"/>
        <v>0</v>
      </c>
      <c r="L744" s="25">
        <f t="shared" si="58"/>
        <v>0</v>
      </c>
      <c r="M744" s="289" t="e">
        <f t="shared" si="59"/>
        <v>#DIV/0!</v>
      </c>
      <c r="O744" s="927"/>
      <c r="P744" s="927"/>
    </row>
    <row r="745" spans="1:16" ht="18.75" customHeight="1">
      <c r="A745" s="289" t="str">
        <f t="shared" si="55"/>
        <v>NL</v>
      </c>
      <c r="B745" s="753">
        <f t="shared" si="56"/>
        <v>734</v>
      </c>
      <c r="C745" s="292" t="s">
        <v>1440</v>
      </c>
      <c r="D745" s="291" t="s">
        <v>393</v>
      </c>
      <c r="E745" s="25"/>
      <c r="F745" s="25"/>
      <c r="G745" s="25">
        <f t="array" ref="G745">SUM(IF("156"&amp;C745=KHN&amp;MH,SL))</f>
        <v>162</v>
      </c>
      <c r="H745" s="25">
        <f t="array" ref="H745">SUM(IF("156"&amp;C745=KHN&amp;MH,TH))</f>
        <v>18205987</v>
      </c>
      <c r="I745" s="25">
        <f t="array" ref="I745">SUM(IF("156"&amp;C745=KHC&amp;MH,SL))</f>
        <v>162</v>
      </c>
      <c r="J745" s="25">
        <f t="array" ref="J745">SUM(IF("156"&amp;C745=KHC&amp;MH,TH))</f>
        <v>18205987</v>
      </c>
      <c r="K745" s="25">
        <f t="shared" si="57"/>
        <v>0</v>
      </c>
      <c r="L745" s="25">
        <f t="shared" si="58"/>
        <v>0</v>
      </c>
      <c r="M745" s="289" t="e">
        <f t="shared" si="59"/>
        <v>#DIV/0!</v>
      </c>
    </row>
    <row r="746" spans="1:16" ht="18.75" customHeight="1">
      <c r="A746" s="289" t="str">
        <f t="shared" si="55"/>
        <v>NL</v>
      </c>
      <c r="B746" s="753">
        <f t="shared" si="56"/>
        <v>735</v>
      </c>
      <c r="C746" s="191" t="s">
        <v>1734</v>
      </c>
      <c r="D746" s="291"/>
      <c r="E746" s="25"/>
      <c r="F746" s="25"/>
      <c r="G746" s="25">
        <f t="array" ref="G746">SUM(IF("156"&amp;C746=KHN&amp;MH,SL))</f>
        <v>12</v>
      </c>
      <c r="H746" s="25">
        <f t="array" ref="H746">SUM(IF("156"&amp;C746=KHN&amp;MH,TH))</f>
        <v>246000</v>
      </c>
      <c r="I746" s="25">
        <f t="array" ref="I746">SUM(IF("156"&amp;C746=KHC&amp;MH,SL))</f>
        <v>12</v>
      </c>
      <c r="J746" s="25">
        <f t="array" ref="J746">SUM(IF("156"&amp;C746=KHC&amp;MH,TH))</f>
        <v>246000</v>
      </c>
      <c r="K746" s="25">
        <f t="shared" si="57"/>
        <v>0</v>
      </c>
      <c r="L746" s="25">
        <f t="shared" si="58"/>
        <v>0</v>
      </c>
      <c r="M746" s="289" t="e">
        <f t="shared" si="59"/>
        <v>#DIV/0!</v>
      </c>
    </row>
    <row r="747" spans="1:16" ht="18.75" customHeight="1">
      <c r="A747" s="289" t="str">
        <f t="shared" si="55"/>
        <v>NL</v>
      </c>
      <c r="B747" s="753">
        <f t="shared" si="56"/>
        <v>736</v>
      </c>
      <c r="C747" s="191" t="s">
        <v>538</v>
      </c>
      <c r="D747" s="291" t="s">
        <v>393</v>
      </c>
      <c r="E747" s="25"/>
      <c r="F747" s="25"/>
      <c r="G747" s="25">
        <f t="array" ref="G747">SUM(IF("156"&amp;C747=KHN&amp;MH,SL))</f>
        <v>242</v>
      </c>
      <c r="H747" s="25">
        <f t="array" ref="H747">SUM(IF("156"&amp;C747=KHN&amp;MH,TH))</f>
        <v>16628908</v>
      </c>
      <c r="I747" s="25">
        <f t="array" ref="I747">SUM(IF("156"&amp;C747=KHC&amp;MH,SL))</f>
        <v>242</v>
      </c>
      <c r="J747" s="25">
        <f t="array" ref="J747">SUM(IF("156"&amp;C747=KHC&amp;MH,TH))</f>
        <v>16628908</v>
      </c>
      <c r="K747" s="25">
        <f t="shared" si="57"/>
        <v>0</v>
      </c>
      <c r="L747" s="25">
        <f t="shared" si="58"/>
        <v>0</v>
      </c>
      <c r="M747" s="289" t="e">
        <f t="shared" si="59"/>
        <v>#DIV/0!</v>
      </c>
    </row>
    <row r="748" spans="1:16" ht="18.75" customHeight="1">
      <c r="A748" s="289" t="str">
        <f t="shared" si="55"/>
        <v>NL</v>
      </c>
      <c r="B748" s="753">
        <f t="shared" si="56"/>
        <v>737</v>
      </c>
      <c r="C748" s="292" t="s">
        <v>1492</v>
      </c>
      <c r="D748" s="291" t="s">
        <v>393</v>
      </c>
      <c r="E748" s="25"/>
      <c r="F748" s="25"/>
      <c r="G748" s="25">
        <f t="array" ref="G748">SUM(IF("156"&amp;C748=KHN&amp;MH,SL))</f>
        <v>8</v>
      </c>
      <c r="H748" s="25">
        <f t="array" ref="H748">SUM(IF("156"&amp;C748=KHN&amp;MH,TH))</f>
        <v>656000</v>
      </c>
      <c r="I748" s="25">
        <f t="array" ref="I748">SUM(IF("156"&amp;C748=KHC&amp;MH,SL))</f>
        <v>8</v>
      </c>
      <c r="J748" s="25">
        <f t="array" ref="J748">SUM(IF("156"&amp;C748=KHC&amp;MH,TH))</f>
        <v>656000</v>
      </c>
      <c r="K748" s="25">
        <f t="shared" si="57"/>
        <v>0</v>
      </c>
      <c r="L748" s="25">
        <f t="shared" si="58"/>
        <v>0</v>
      </c>
      <c r="M748" s="289" t="e">
        <f t="shared" si="59"/>
        <v>#DIV/0!</v>
      </c>
      <c r="O748" s="927"/>
      <c r="P748" s="927"/>
    </row>
    <row r="749" spans="1:16" ht="18.75" customHeight="1">
      <c r="A749" s="289" t="str">
        <f t="shared" si="55"/>
        <v>NL</v>
      </c>
      <c r="B749" s="753">
        <f t="shared" si="56"/>
        <v>738</v>
      </c>
      <c r="C749" s="40" t="s">
        <v>831</v>
      </c>
      <c r="D749" s="291" t="s">
        <v>393</v>
      </c>
      <c r="E749" s="25"/>
      <c r="F749" s="25"/>
      <c r="G749" s="25">
        <f t="array" ref="G749">SUM(IF("156"&amp;C749=KHN&amp;MH,SL))</f>
        <v>25</v>
      </c>
      <c r="H749" s="25">
        <f t="array" ref="H749">SUM(IF("156"&amp;C749=KHN&amp;MH,TH))</f>
        <v>1012425</v>
      </c>
      <c r="I749" s="25">
        <f t="array" ref="I749">SUM(IF("156"&amp;C749=KHC&amp;MH,SL))</f>
        <v>25</v>
      </c>
      <c r="J749" s="25">
        <f t="array" ref="J749">SUM(IF("156"&amp;C749=KHC&amp;MH,TH))</f>
        <v>1012425</v>
      </c>
      <c r="K749" s="25">
        <f t="shared" si="57"/>
        <v>0</v>
      </c>
      <c r="L749" s="25">
        <f t="shared" si="58"/>
        <v>0</v>
      </c>
      <c r="M749" s="289" t="e">
        <f t="shared" si="59"/>
        <v>#DIV/0!</v>
      </c>
    </row>
    <row r="750" spans="1:16" ht="18.75" customHeight="1">
      <c r="A750" s="289" t="str">
        <f t="shared" si="55"/>
        <v>NL</v>
      </c>
      <c r="B750" s="753">
        <f t="shared" si="56"/>
        <v>739</v>
      </c>
      <c r="C750" s="292" t="s">
        <v>959</v>
      </c>
      <c r="D750" s="291" t="s">
        <v>393</v>
      </c>
      <c r="E750" s="25"/>
      <c r="F750" s="25"/>
      <c r="G750" s="25">
        <f t="array" ref="G750">SUM(IF("156"&amp;C750=KHN&amp;MH,SL))</f>
        <v>120</v>
      </c>
      <c r="H750" s="25">
        <f t="array" ref="H750">SUM(IF("156"&amp;C750=KHN&amp;MH,TH))</f>
        <v>8664321</v>
      </c>
      <c r="I750" s="25">
        <f t="array" ref="I750">SUM(IF("156"&amp;C750=KHC&amp;MH,SL))</f>
        <v>120</v>
      </c>
      <c r="J750" s="25">
        <f t="array" ref="J750">SUM(IF("156"&amp;C750=KHC&amp;MH,TH))</f>
        <v>8664321</v>
      </c>
      <c r="K750" s="25">
        <f t="shared" si="57"/>
        <v>0</v>
      </c>
      <c r="L750" s="25">
        <f t="shared" si="58"/>
        <v>0</v>
      </c>
      <c r="M750" s="289" t="e">
        <f t="shared" si="59"/>
        <v>#DIV/0!</v>
      </c>
    </row>
    <row r="751" spans="1:16" ht="18.75" customHeight="1">
      <c r="A751" s="289" t="str">
        <f t="shared" si="55"/>
        <v>NL</v>
      </c>
      <c r="B751" s="753">
        <f t="shared" si="56"/>
        <v>740</v>
      </c>
      <c r="C751" s="40" t="s">
        <v>715</v>
      </c>
      <c r="D751" s="291" t="s">
        <v>393</v>
      </c>
      <c r="E751" s="25"/>
      <c r="F751" s="25"/>
      <c r="G751" s="25">
        <f t="array" ref="G751">SUM(IF("156"&amp;C751=KHN&amp;MH,SL))</f>
        <v>8</v>
      </c>
      <c r="H751" s="25">
        <f t="array" ref="H751">SUM(IF("156"&amp;C751=KHN&amp;MH,TH))</f>
        <v>388406</v>
      </c>
      <c r="I751" s="25">
        <f t="array" ref="I751">SUM(IF("156"&amp;C751=KHC&amp;MH,SL))</f>
        <v>8</v>
      </c>
      <c r="J751" s="25">
        <f t="array" ref="J751">SUM(IF("156"&amp;C751=KHC&amp;MH,TH))</f>
        <v>388406</v>
      </c>
      <c r="K751" s="25">
        <f t="shared" si="57"/>
        <v>0</v>
      </c>
      <c r="L751" s="25">
        <f t="shared" si="58"/>
        <v>0</v>
      </c>
      <c r="M751" s="289" t="e">
        <f t="shared" si="59"/>
        <v>#DIV/0!</v>
      </c>
    </row>
    <row r="752" spans="1:16" ht="18.75" customHeight="1">
      <c r="A752" s="289" t="str">
        <f t="shared" si="55"/>
        <v>NL</v>
      </c>
      <c r="B752" s="753">
        <f t="shared" si="56"/>
        <v>741</v>
      </c>
      <c r="C752" s="191" t="s">
        <v>533</v>
      </c>
      <c r="D752" s="291" t="s">
        <v>393</v>
      </c>
      <c r="E752" s="25"/>
      <c r="F752" s="25"/>
      <c r="G752" s="25">
        <f t="array" ref="G752">SUM(IF("156"&amp;C752=KHN&amp;MH,SL))</f>
        <v>24</v>
      </c>
      <c r="H752" s="25">
        <f t="array" ref="H752">SUM(IF("156"&amp;C752=KHN&amp;MH,TH))</f>
        <v>1427832</v>
      </c>
      <c r="I752" s="25">
        <f t="array" ref="I752">SUM(IF("156"&amp;C752=KHC&amp;MH,SL))</f>
        <v>24</v>
      </c>
      <c r="J752" s="25">
        <f t="array" ref="J752">SUM(IF("156"&amp;C752=KHC&amp;MH,TH))</f>
        <v>1427832</v>
      </c>
      <c r="K752" s="25">
        <f t="shared" si="57"/>
        <v>0</v>
      </c>
      <c r="L752" s="25">
        <f t="shared" si="58"/>
        <v>0</v>
      </c>
      <c r="M752" s="289" t="e">
        <f t="shared" si="59"/>
        <v>#DIV/0!</v>
      </c>
    </row>
    <row r="753" spans="1:16" ht="18.75" customHeight="1">
      <c r="A753" s="289" t="str">
        <f t="shared" si="55"/>
        <v>NL</v>
      </c>
      <c r="B753" s="753">
        <f t="shared" si="56"/>
        <v>742</v>
      </c>
      <c r="C753" s="191" t="s">
        <v>702</v>
      </c>
      <c r="D753" s="291" t="s">
        <v>393</v>
      </c>
      <c r="E753" s="25"/>
      <c r="F753" s="25"/>
      <c r="G753" s="25">
        <f t="array" ref="G753">SUM(IF("156"&amp;C753=KHN&amp;MH,SL))</f>
        <v>60</v>
      </c>
      <c r="H753" s="25">
        <f t="array" ref="H753">SUM(IF("156"&amp;C753=KHN&amp;MH,TH))</f>
        <v>3515093</v>
      </c>
      <c r="I753" s="25">
        <f t="array" ref="I753">SUM(IF("156"&amp;C753=KHC&amp;MH,SL))</f>
        <v>60</v>
      </c>
      <c r="J753" s="25">
        <f t="array" ref="J753">SUM(IF("156"&amp;C753=KHC&amp;MH,TH))</f>
        <v>3515093</v>
      </c>
      <c r="K753" s="25">
        <f t="shared" si="57"/>
        <v>0</v>
      </c>
      <c r="L753" s="25">
        <f t="shared" si="58"/>
        <v>0</v>
      </c>
      <c r="M753" s="289" t="e">
        <f t="shared" si="59"/>
        <v>#DIV/0!</v>
      </c>
    </row>
    <row r="754" spans="1:16" ht="18.75" customHeight="1">
      <c r="A754" s="289" t="str">
        <f t="shared" si="55"/>
        <v>NL</v>
      </c>
      <c r="B754" s="753">
        <f t="shared" si="56"/>
        <v>743</v>
      </c>
      <c r="C754" s="292" t="s">
        <v>1754</v>
      </c>
      <c r="D754" s="291"/>
      <c r="E754" s="25"/>
      <c r="F754" s="25"/>
      <c r="G754" s="25">
        <f t="array" ref="G754">SUM(IF("156"&amp;C754=KHN&amp;MH,SL))</f>
        <v>12</v>
      </c>
      <c r="H754" s="25">
        <f t="array" ref="H754">SUM(IF("156"&amp;C754=KHN&amp;MH,TH))</f>
        <v>582000</v>
      </c>
      <c r="I754" s="25">
        <f t="array" ref="I754">SUM(IF("156"&amp;C754=KHC&amp;MH,SL))</f>
        <v>12</v>
      </c>
      <c r="J754" s="25">
        <f t="array" ref="J754">SUM(IF("156"&amp;C754=KHC&amp;MH,TH))</f>
        <v>582000</v>
      </c>
      <c r="K754" s="25">
        <f t="shared" si="57"/>
        <v>0</v>
      </c>
      <c r="L754" s="25">
        <f t="shared" si="58"/>
        <v>0</v>
      </c>
      <c r="M754" s="289" t="e">
        <f t="shared" si="59"/>
        <v>#DIV/0!</v>
      </c>
    </row>
    <row r="755" spans="1:16" ht="18.75" customHeight="1">
      <c r="A755" s="289" t="str">
        <f t="shared" si="55"/>
        <v>NL</v>
      </c>
      <c r="B755" s="753">
        <f t="shared" si="56"/>
        <v>744</v>
      </c>
      <c r="C755" s="40" t="s">
        <v>709</v>
      </c>
      <c r="D755" s="291" t="s">
        <v>393</v>
      </c>
      <c r="E755" s="25"/>
      <c r="F755" s="25"/>
      <c r="G755" s="25">
        <f t="array" ref="G755">SUM(IF("156"&amp;C755=KHN&amp;MH,SL))</f>
        <v>60</v>
      </c>
      <c r="H755" s="25">
        <f t="array" ref="H755">SUM(IF("156"&amp;C755=KHN&amp;MH,TH))</f>
        <v>6533048</v>
      </c>
      <c r="I755" s="25">
        <f t="array" ref="I755">SUM(IF("156"&amp;C755=KHC&amp;MH,SL))</f>
        <v>60</v>
      </c>
      <c r="J755" s="25">
        <f t="array" ref="J755">SUM(IF("156"&amp;C755=KHC&amp;MH,TH))</f>
        <v>6533048</v>
      </c>
      <c r="K755" s="25">
        <f t="shared" si="57"/>
        <v>0</v>
      </c>
      <c r="L755" s="25">
        <f t="shared" si="58"/>
        <v>0</v>
      </c>
      <c r="M755" s="289" t="e">
        <f t="shared" si="59"/>
        <v>#DIV/0!</v>
      </c>
    </row>
    <row r="756" spans="1:16" ht="18.75" customHeight="1">
      <c r="A756" s="289" t="str">
        <f t="shared" si="55"/>
        <v>NL</v>
      </c>
      <c r="B756" s="753">
        <f t="shared" si="56"/>
        <v>745</v>
      </c>
      <c r="C756" s="40" t="s">
        <v>747</v>
      </c>
      <c r="D756" s="291" t="s">
        <v>393</v>
      </c>
      <c r="E756" s="25"/>
      <c r="F756" s="25"/>
      <c r="G756" s="25">
        <f t="array" ref="G756">SUM(IF("156"&amp;C756=KHN&amp;MH,SL))</f>
        <v>14</v>
      </c>
      <c r="H756" s="25">
        <f t="array" ref="H756">SUM(IF("156"&amp;C756=KHN&amp;MH,TH))</f>
        <v>529956</v>
      </c>
      <c r="I756" s="25">
        <f t="array" ref="I756">SUM(IF("156"&amp;C756=KHC&amp;MH,SL))</f>
        <v>14</v>
      </c>
      <c r="J756" s="25">
        <f t="array" ref="J756">SUM(IF("156"&amp;C756=KHC&amp;MH,TH))</f>
        <v>529956</v>
      </c>
      <c r="K756" s="25">
        <f t="shared" si="57"/>
        <v>0</v>
      </c>
      <c r="L756" s="25">
        <f t="shared" si="58"/>
        <v>0</v>
      </c>
      <c r="M756" s="289" t="e">
        <f t="shared" si="59"/>
        <v>#DIV/0!</v>
      </c>
    </row>
    <row r="757" spans="1:16" ht="18.75" customHeight="1">
      <c r="A757" s="289" t="str">
        <f t="shared" si="55"/>
        <v>NL</v>
      </c>
      <c r="B757" s="753">
        <f t="shared" si="56"/>
        <v>746</v>
      </c>
      <c r="C757" s="188" t="s">
        <v>736</v>
      </c>
      <c r="D757" s="291" t="s">
        <v>393</v>
      </c>
      <c r="E757" s="25"/>
      <c r="F757" s="25"/>
      <c r="G757" s="25">
        <f t="array" ref="G757">SUM(IF("156"&amp;C757=KHN&amp;MH,SL))</f>
        <v>50</v>
      </c>
      <c r="H757" s="25">
        <f t="array" ref="H757">SUM(IF("156"&amp;C757=KHN&amp;MH,TH))</f>
        <v>3610700</v>
      </c>
      <c r="I757" s="25">
        <f t="array" ref="I757">SUM(IF("156"&amp;C757=KHC&amp;MH,SL))</f>
        <v>50</v>
      </c>
      <c r="J757" s="25">
        <f t="array" ref="J757">SUM(IF("156"&amp;C757=KHC&amp;MH,TH))</f>
        <v>3610700</v>
      </c>
      <c r="K757" s="25">
        <f t="shared" si="57"/>
        <v>0</v>
      </c>
      <c r="L757" s="25">
        <f t="shared" si="58"/>
        <v>0</v>
      </c>
      <c r="M757" s="289" t="e">
        <f t="shared" si="59"/>
        <v>#DIV/0!</v>
      </c>
    </row>
    <row r="758" spans="1:16" ht="18.75" customHeight="1">
      <c r="A758" s="289" t="str">
        <f t="shared" si="55"/>
        <v>NL</v>
      </c>
      <c r="B758" s="753">
        <f t="shared" si="56"/>
        <v>747</v>
      </c>
      <c r="C758" s="191" t="s">
        <v>671</v>
      </c>
      <c r="D758" s="291" t="s">
        <v>393</v>
      </c>
      <c r="E758" s="25"/>
      <c r="F758" s="25"/>
      <c r="G758" s="25">
        <f t="array" ref="G758">SUM(IF("156"&amp;C758=KHN&amp;MH,SL))</f>
        <v>65</v>
      </c>
      <c r="H758" s="25">
        <f t="array" ref="H758">SUM(IF("156"&amp;C758=KHN&amp;MH,TH))</f>
        <v>7389067</v>
      </c>
      <c r="I758" s="25">
        <f t="array" ref="I758">SUM(IF("156"&amp;C758=KHC&amp;MH,SL))</f>
        <v>65</v>
      </c>
      <c r="J758" s="25">
        <f t="array" ref="J758">SUM(IF("156"&amp;C758=KHC&amp;MH,TH))</f>
        <v>7389067</v>
      </c>
      <c r="K758" s="25">
        <f t="shared" si="57"/>
        <v>0</v>
      </c>
      <c r="L758" s="25">
        <f t="shared" si="58"/>
        <v>0</v>
      </c>
      <c r="M758" s="289" t="e">
        <f t="shared" si="59"/>
        <v>#DIV/0!</v>
      </c>
    </row>
    <row r="759" spans="1:16" ht="18.75" customHeight="1">
      <c r="A759" s="289" t="str">
        <f t="shared" si="55"/>
        <v>NL</v>
      </c>
      <c r="B759" s="753">
        <f t="shared" si="56"/>
        <v>748</v>
      </c>
      <c r="C759" s="191" t="s">
        <v>983</v>
      </c>
      <c r="D759" s="291" t="s">
        <v>393</v>
      </c>
      <c r="E759" s="25"/>
      <c r="F759" s="25"/>
      <c r="G759" s="25">
        <f t="array" ref="G759">SUM(IF("156"&amp;C759=KHN&amp;MH,SL))</f>
        <v>6</v>
      </c>
      <c r="H759" s="25">
        <f t="array" ref="H759">SUM(IF("156"&amp;C759=KHN&amp;MH,TH))</f>
        <v>426480</v>
      </c>
      <c r="I759" s="25">
        <f t="array" ref="I759">SUM(IF("156"&amp;C759=KHC&amp;MH,SL))</f>
        <v>6</v>
      </c>
      <c r="J759" s="25">
        <f t="array" ref="J759">SUM(IF("156"&amp;C759=KHC&amp;MH,TH))</f>
        <v>426480</v>
      </c>
      <c r="K759" s="25">
        <f t="shared" si="57"/>
        <v>0</v>
      </c>
      <c r="L759" s="25">
        <f t="shared" si="58"/>
        <v>0</v>
      </c>
      <c r="M759" s="289" t="e">
        <f t="shared" si="59"/>
        <v>#DIV/0!</v>
      </c>
    </row>
    <row r="760" spans="1:16" ht="18.75" customHeight="1">
      <c r="A760" s="289" t="str">
        <f t="shared" si="55"/>
        <v>NL</v>
      </c>
      <c r="B760" s="753">
        <f t="shared" si="56"/>
        <v>749</v>
      </c>
      <c r="C760" s="292" t="s">
        <v>1459</v>
      </c>
      <c r="D760" s="291" t="s">
        <v>393</v>
      </c>
      <c r="E760" s="25"/>
      <c r="F760" s="25"/>
      <c r="G760" s="25">
        <f t="array" ref="G760">SUM(IF("156"&amp;C760=KHN&amp;MH,SL))</f>
        <v>30</v>
      </c>
      <c r="H760" s="25">
        <f t="array" ref="H760">SUM(IF("156"&amp;C760=KHN&amp;MH,TH))</f>
        <v>2490000</v>
      </c>
      <c r="I760" s="25">
        <f t="array" ref="I760">SUM(IF("156"&amp;C760=KHC&amp;MH,SL))</f>
        <v>30</v>
      </c>
      <c r="J760" s="25">
        <f t="array" ref="J760">SUM(IF("156"&amp;C760=KHC&amp;MH,TH))</f>
        <v>2490000</v>
      </c>
      <c r="K760" s="25">
        <f t="shared" si="57"/>
        <v>0</v>
      </c>
      <c r="L760" s="25">
        <f t="shared" si="58"/>
        <v>0</v>
      </c>
      <c r="M760" s="289" t="e">
        <f t="shared" si="59"/>
        <v>#DIV/0!</v>
      </c>
      <c r="O760" s="927"/>
      <c r="P760" s="927"/>
    </row>
    <row r="761" spans="1:16" ht="18.75" customHeight="1">
      <c r="A761" s="289" t="str">
        <f t="shared" si="55"/>
        <v>NL</v>
      </c>
      <c r="B761" s="753">
        <f t="shared" si="56"/>
        <v>750</v>
      </c>
      <c r="C761" s="292" t="s">
        <v>1566</v>
      </c>
      <c r="D761" s="291" t="s">
        <v>393</v>
      </c>
      <c r="E761" s="25"/>
      <c r="F761" s="25"/>
      <c r="G761" s="25">
        <f t="array" ref="G761">SUM(IF("156"&amp;C761=KHN&amp;MH,SL))</f>
        <v>20</v>
      </c>
      <c r="H761" s="25">
        <f t="array" ref="H761">SUM(IF("156"&amp;C761=KHN&amp;MH,TH))</f>
        <v>1020000</v>
      </c>
      <c r="I761" s="25">
        <f t="array" ref="I761">SUM(IF("156"&amp;C761=KHC&amp;MH,SL))</f>
        <v>20</v>
      </c>
      <c r="J761" s="25">
        <f t="array" ref="J761">SUM(IF("156"&amp;C761=KHC&amp;MH,TH))</f>
        <v>1020000</v>
      </c>
      <c r="K761" s="25">
        <f t="shared" si="57"/>
        <v>0</v>
      </c>
      <c r="L761" s="25">
        <f t="shared" si="58"/>
        <v>0</v>
      </c>
      <c r="M761" s="289" t="e">
        <f t="shared" si="59"/>
        <v>#DIV/0!</v>
      </c>
      <c r="O761" s="927"/>
      <c r="P761" s="927"/>
    </row>
    <row r="762" spans="1:16" ht="18.75" customHeight="1">
      <c r="A762" s="289" t="str">
        <f t="shared" si="55"/>
        <v>NL</v>
      </c>
      <c r="B762" s="753">
        <f t="shared" si="56"/>
        <v>751</v>
      </c>
      <c r="C762" s="292" t="s">
        <v>1558</v>
      </c>
      <c r="D762" s="291" t="s">
        <v>393</v>
      </c>
      <c r="E762" s="25"/>
      <c r="F762" s="25"/>
      <c r="G762" s="25">
        <f t="array" ref="G762">SUM(IF("156"&amp;C762=KHN&amp;MH,SL))</f>
        <v>10</v>
      </c>
      <c r="H762" s="25">
        <f t="array" ref="H762">SUM(IF("156"&amp;C762=KHN&amp;MH,TH))</f>
        <v>270000</v>
      </c>
      <c r="I762" s="25">
        <f t="array" ref="I762">SUM(IF("156"&amp;C762=KHC&amp;MH,SL))</f>
        <v>10</v>
      </c>
      <c r="J762" s="25">
        <f t="array" ref="J762">SUM(IF("156"&amp;C762=KHC&amp;MH,TH))</f>
        <v>270000</v>
      </c>
      <c r="K762" s="25">
        <f t="shared" si="57"/>
        <v>0</v>
      </c>
      <c r="L762" s="25">
        <f t="shared" si="58"/>
        <v>0</v>
      </c>
      <c r="M762" s="289" t="e">
        <f t="shared" si="59"/>
        <v>#DIV/0!</v>
      </c>
      <c r="O762" s="927"/>
      <c r="P762" s="927"/>
    </row>
    <row r="763" spans="1:16" ht="18.75" customHeight="1">
      <c r="A763" s="289" t="str">
        <f t="shared" si="55"/>
        <v>NL</v>
      </c>
      <c r="B763" s="753">
        <f t="shared" si="56"/>
        <v>752</v>
      </c>
      <c r="C763" s="292" t="s">
        <v>1546</v>
      </c>
      <c r="D763" s="291" t="s">
        <v>393</v>
      </c>
      <c r="E763" s="25"/>
      <c r="F763" s="25"/>
      <c r="G763" s="25">
        <f t="array" ref="G763">SUM(IF("156"&amp;C763=KHN&amp;MH,SL))</f>
        <v>3</v>
      </c>
      <c r="H763" s="25">
        <f t="array" ref="H763">SUM(IF("156"&amp;C763=KHN&amp;MH,TH))</f>
        <v>151670</v>
      </c>
      <c r="I763" s="25">
        <f t="array" ref="I763">SUM(IF("156"&amp;C763=KHC&amp;MH,SL))</f>
        <v>3</v>
      </c>
      <c r="J763" s="25">
        <f t="array" ref="J763">SUM(IF("156"&amp;C763=KHC&amp;MH,TH))</f>
        <v>151670</v>
      </c>
      <c r="K763" s="25">
        <f t="shared" si="57"/>
        <v>0</v>
      </c>
      <c r="L763" s="25">
        <f t="shared" si="58"/>
        <v>0</v>
      </c>
      <c r="M763" s="289" t="e">
        <f t="shared" si="59"/>
        <v>#DIV/0!</v>
      </c>
      <c r="O763" s="927"/>
      <c r="P763" s="927"/>
    </row>
    <row r="764" spans="1:16" ht="18.75" customHeight="1">
      <c r="A764" s="289" t="str">
        <f t="shared" si="55"/>
        <v>NL</v>
      </c>
      <c r="B764" s="753">
        <f t="shared" si="56"/>
        <v>753</v>
      </c>
      <c r="C764" s="292" t="s">
        <v>1548</v>
      </c>
      <c r="D764" s="291" t="s">
        <v>393</v>
      </c>
      <c r="E764" s="25"/>
      <c r="F764" s="25"/>
      <c r="G764" s="25">
        <f t="array" ref="G764">SUM(IF("156"&amp;C764=KHN&amp;MH,SL))</f>
        <v>5</v>
      </c>
      <c r="H764" s="25">
        <f t="array" ref="H764">SUM(IF("156"&amp;C764=KHN&amp;MH,TH))</f>
        <v>300000</v>
      </c>
      <c r="I764" s="25">
        <f t="array" ref="I764">SUM(IF("156"&amp;C764=KHC&amp;MH,SL))</f>
        <v>5</v>
      </c>
      <c r="J764" s="25">
        <f t="array" ref="J764">SUM(IF("156"&amp;C764=KHC&amp;MH,TH))</f>
        <v>300000</v>
      </c>
      <c r="K764" s="25">
        <f t="shared" si="57"/>
        <v>0</v>
      </c>
      <c r="L764" s="25">
        <f t="shared" si="58"/>
        <v>0</v>
      </c>
      <c r="M764" s="289" t="e">
        <f t="shared" si="59"/>
        <v>#DIV/0!</v>
      </c>
      <c r="O764" s="927"/>
      <c r="P764" s="927"/>
    </row>
    <row r="765" spans="1:16" ht="18.75" customHeight="1">
      <c r="A765" s="289" t="str">
        <f t="shared" si="55"/>
        <v>NL</v>
      </c>
      <c r="B765" s="753">
        <f t="shared" si="56"/>
        <v>754</v>
      </c>
      <c r="C765" s="292" t="s">
        <v>1553</v>
      </c>
      <c r="D765" s="291" t="s">
        <v>393</v>
      </c>
      <c r="E765" s="25"/>
      <c r="F765" s="25"/>
      <c r="G765" s="25">
        <f t="array" ref="G765">SUM(IF("156"&amp;C765=KHN&amp;MH,SL))</f>
        <v>3</v>
      </c>
      <c r="H765" s="25">
        <f t="array" ref="H765">SUM(IF("156"&amp;C765=KHN&amp;MH,TH))</f>
        <v>258000</v>
      </c>
      <c r="I765" s="25">
        <f t="array" ref="I765">SUM(IF("156"&amp;C765=KHC&amp;MH,SL))</f>
        <v>3</v>
      </c>
      <c r="J765" s="25">
        <f t="array" ref="J765">SUM(IF("156"&amp;C765=KHC&amp;MH,TH))</f>
        <v>258000</v>
      </c>
      <c r="K765" s="25">
        <f t="shared" si="57"/>
        <v>0</v>
      </c>
      <c r="L765" s="25">
        <f t="shared" si="58"/>
        <v>0</v>
      </c>
      <c r="M765" s="289" t="e">
        <f t="shared" si="59"/>
        <v>#DIV/0!</v>
      </c>
      <c r="O765" s="927"/>
      <c r="P765" s="927"/>
    </row>
    <row r="766" spans="1:16" ht="18.75" customHeight="1">
      <c r="A766" s="289" t="str">
        <f t="shared" si="55"/>
        <v>NL</v>
      </c>
      <c r="B766" s="753">
        <f t="shared" si="56"/>
        <v>755</v>
      </c>
      <c r="C766" s="292" t="s">
        <v>1552</v>
      </c>
      <c r="D766" s="291" t="s">
        <v>393</v>
      </c>
      <c r="E766" s="25"/>
      <c r="F766" s="25"/>
      <c r="G766" s="25">
        <f t="array" ref="G766">SUM(IF("156"&amp;C766=KHN&amp;MH,SL))</f>
        <v>3</v>
      </c>
      <c r="H766" s="25">
        <f t="array" ref="H766">SUM(IF("156"&amp;C766=KHN&amp;MH,TH))</f>
        <v>51600</v>
      </c>
      <c r="I766" s="25">
        <f t="array" ref="I766">SUM(IF("156"&amp;C766=KHC&amp;MH,SL))</f>
        <v>3</v>
      </c>
      <c r="J766" s="25">
        <f t="array" ref="J766">SUM(IF("156"&amp;C766=KHC&amp;MH,TH))</f>
        <v>51600</v>
      </c>
      <c r="K766" s="25">
        <f t="shared" si="57"/>
        <v>0</v>
      </c>
      <c r="L766" s="25">
        <f t="shared" si="58"/>
        <v>0</v>
      </c>
      <c r="M766" s="289" t="e">
        <f t="shared" si="59"/>
        <v>#DIV/0!</v>
      </c>
      <c r="O766" s="927"/>
      <c r="P766" s="927"/>
    </row>
    <row r="767" spans="1:16" ht="18.75" customHeight="1">
      <c r="A767" s="289" t="str">
        <f t="shared" si="55"/>
        <v>NL</v>
      </c>
      <c r="B767" s="753">
        <f t="shared" si="56"/>
        <v>756</v>
      </c>
      <c r="C767" s="292" t="s">
        <v>1559</v>
      </c>
      <c r="D767" s="291" t="s">
        <v>393</v>
      </c>
      <c r="E767" s="25"/>
      <c r="F767" s="25"/>
      <c r="G767" s="25">
        <f t="array" ref="G767">SUM(IF("156"&amp;C767=KHN&amp;MH,SL))</f>
        <v>1</v>
      </c>
      <c r="H767" s="25">
        <f t="array" ref="H767">SUM(IF("156"&amp;C767=KHN&amp;MH,TH))</f>
        <v>60000</v>
      </c>
      <c r="I767" s="25">
        <f t="array" ref="I767">SUM(IF("156"&amp;C767=KHC&amp;MH,SL))</f>
        <v>1</v>
      </c>
      <c r="J767" s="25">
        <f t="array" ref="J767">SUM(IF("156"&amp;C767=KHC&amp;MH,TH))</f>
        <v>60000</v>
      </c>
      <c r="K767" s="25">
        <f t="shared" si="57"/>
        <v>0</v>
      </c>
      <c r="L767" s="25">
        <f t="shared" si="58"/>
        <v>0</v>
      </c>
      <c r="M767" s="289" t="e">
        <f t="shared" si="59"/>
        <v>#DIV/0!</v>
      </c>
      <c r="O767" s="927"/>
      <c r="P767" s="927"/>
    </row>
    <row r="768" spans="1:16" ht="18.75" customHeight="1">
      <c r="A768" s="289" t="str">
        <f t="shared" si="55"/>
        <v>NL</v>
      </c>
      <c r="B768" s="753">
        <f t="shared" si="56"/>
        <v>757</v>
      </c>
      <c r="C768" s="292" t="s">
        <v>1547</v>
      </c>
      <c r="D768" s="291" t="s">
        <v>393</v>
      </c>
      <c r="E768" s="25"/>
      <c r="F768" s="25"/>
      <c r="G768" s="25">
        <f t="array" ref="G768">SUM(IF("156"&amp;C768=KHN&amp;MH,SL))</f>
        <v>2</v>
      </c>
      <c r="H768" s="25">
        <f t="array" ref="H768">SUM(IF("156"&amp;C768=KHN&amp;MH,TH))</f>
        <v>185000</v>
      </c>
      <c r="I768" s="25">
        <f t="array" ref="I768">SUM(IF("156"&amp;C768=KHC&amp;MH,SL))</f>
        <v>2</v>
      </c>
      <c r="J768" s="25">
        <f t="array" ref="J768">SUM(IF("156"&amp;C768=KHC&amp;MH,TH))</f>
        <v>185000</v>
      </c>
      <c r="K768" s="25">
        <f t="shared" si="57"/>
        <v>0</v>
      </c>
      <c r="L768" s="25">
        <f t="shared" si="58"/>
        <v>0</v>
      </c>
      <c r="M768" s="289" t="e">
        <f t="shared" si="59"/>
        <v>#DIV/0!</v>
      </c>
      <c r="O768" s="927"/>
      <c r="P768" s="927"/>
    </row>
    <row r="769" spans="1:16" ht="18.75" customHeight="1">
      <c r="A769" s="289" t="str">
        <f t="shared" si="55"/>
        <v>NL</v>
      </c>
      <c r="B769" s="753">
        <f t="shared" si="56"/>
        <v>758</v>
      </c>
      <c r="C769" s="292" t="s">
        <v>1550</v>
      </c>
      <c r="D769" s="291" t="s">
        <v>393</v>
      </c>
      <c r="E769" s="25"/>
      <c r="F769" s="25"/>
      <c r="G769" s="25">
        <f t="array" ref="G769">SUM(IF("156"&amp;C769=KHN&amp;MH,SL))</f>
        <v>2</v>
      </c>
      <c r="H769" s="25">
        <f t="array" ref="H769">SUM(IF("156"&amp;C769=KHN&amp;MH,TH))</f>
        <v>222000</v>
      </c>
      <c r="I769" s="25">
        <f t="array" ref="I769">SUM(IF("156"&amp;C769=KHC&amp;MH,SL))</f>
        <v>2</v>
      </c>
      <c r="J769" s="25">
        <f t="array" ref="J769">SUM(IF("156"&amp;C769=KHC&amp;MH,TH))</f>
        <v>222000</v>
      </c>
      <c r="K769" s="25">
        <f t="shared" si="57"/>
        <v>0</v>
      </c>
      <c r="L769" s="25">
        <f t="shared" si="58"/>
        <v>0</v>
      </c>
      <c r="M769" s="289" t="e">
        <f t="shared" si="59"/>
        <v>#DIV/0!</v>
      </c>
      <c r="O769" s="927"/>
      <c r="P769" s="927"/>
    </row>
    <row r="770" spans="1:16" ht="18.75" customHeight="1">
      <c r="A770" s="289" t="str">
        <f t="shared" si="55"/>
        <v>NL</v>
      </c>
      <c r="B770" s="753">
        <f t="shared" si="56"/>
        <v>759</v>
      </c>
      <c r="C770" s="292" t="s">
        <v>1557</v>
      </c>
      <c r="D770" s="291" t="s">
        <v>393</v>
      </c>
      <c r="E770" s="25"/>
      <c r="F770" s="25"/>
      <c r="G770" s="25">
        <f t="array" ref="G770">SUM(IF("156"&amp;C770=KHN&amp;MH,SL))</f>
        <v>10</v>
      </c>
      <c r="H770" s="25">
        <f t="array" ref="H770">SUM(IF("156"&amp;C770=KHN&amp;MH,TH))</f>
        <v>1620000</v>
      </c>
      <c r="I770" s="25">
        <f t="array" ref="I770">SUM(IF("156"&amp;C770=KHC&amp;MH,SL))</f>
        <v>10</v>
      </c>
      <c r="J770" s="25">
        <f t="array" ref="J770">SUM(IF("156"&amp;C770=KHC&amp;MH,TH))</f>
        <v>1620000</v>
      </c>
      <c r="K770" s="25">
        <f t="shared" si="57"/>
        <v>0</v>
      </c>
      <c r="L770" s="25">
        <f t="shared" si="58"/>
        <v>0</v>
      </c>
      <c r="M770" s="289" t="e">
        <f t="shared" si="59"/>
        <v>#DIV/0!</v>
      </c>
      <c r="O770" s="927"/>
      <c r="P770" s="927"/>
    </row>
    <row r="771" spans="1:16" ht="18.75" customHeight="1">
      <c r="A771" s="289" t="str">
        <f t="shared" si="55"/>
        <v>NL</v>
      </c>
      <c r="B771" s="753">
        <f t="shared" si="56"/>
        <v>760</v>
      </c>
      <c r="C771" s="292" t="s">
        <v>1541</v>
      </c>
      <c r="D771" s="291" t="s">
        <v>393</v>
      </c>
      <c r="E771" s="25"/>
      <c r="F771" s="25"/>
      <c r="G771" s="25">
        <f t="array" ref="G771">SUM(IF("156"&amp;C771=KHN&amp;MH,SL))</f>
        <v>5</v>
      </c>
      <c r="H771" s="25">
        <f t="array" ref="H771">SUM(IF("156"&amp;C771=KHN&amp;MH,TH))</f>
        <v>535000</v>
      </c>
      <c r="I771" s="25">
        <f t="array" ref="I771">SUM(IF("156"&amp;C771=KHC&amp;MH,SL))</f>
        <v>5</v>
      </c>
      <c r="J771" s="25">
        <f t="array" ref="J771">SUM(IF("156"&amp;C771=KHC&amp;MH,TH))</f>
        <v>535000</v>
      </c>
      <c r="K771" s="25">
        <f t="shared" si="57"/>
        <v>0</v>
      </c>
      <c r="L771" s="25">
        <f t="shared" si="58"/>
        <v>0</v>
      </c>
      <c r="M771" s="289" t="e">
        <f t="shared" si="59"/>
        <v>#DIV/0!</v>
      </c>
      <c r="O771" s="927"/>
      <c r="P771" s="927"/>
    </row>
    <row r="772" spans="1:16" ht="18.75" customHeight="1">
      <c r="A772" s="289" t="str">
        <f t="shared" si="55"/>
        <v>NL</v>
      </c>
      <c r="B772" s="753">
        <f t="shared" si="56"/>
        <v>761</v>
      </c>
      <c r="C772" s="292" t="s">
        <v>1555</v>
      </c>
      <c r="D772" s="291" t="s">
        <v>393</v>
      </c>
      <c r="E772" s="25"/>
      <c r="F772" s="25"/>
      <c r="G772" s="25">
        <f t="array" ref="G772">SUM(IF("156"&amp;C772=KHN&amp;MH,SL))</f>
        <v>4</v>
      </c>
      <c r="H772" s="25">
        <f t="array" ref="H772">SUM(IF("156"&amp;C772=KHN&amp;MH,TH))</f>
        <v>188000</v>
      </c>
      <c r="I772" s="25">
        <f t="array" ref="I772">SUM(IF("156"&amp;C772=KHC&amp;MH,SL))</f>
        <v>4</v>
      </c>
      <c r="J772" s="25">
        <f t="array" ref="J772">SUM(IF("156"&amp;C772=KHC&amp;MH,TH))</f>
        <v>188000</v>
      </c>
      <c r="K772" s="25">
        <f t="shared" si="57"/>
        <v>0</v>
      </c>
      <c r="L772" s="25">
        <f t="shared" si="58"/>
        <v>0</v>
      </c>
      <c r="M772" s="289" t="e">
        <f t="shared" si="59"/>
        <v>#DIV/0!</v>
      </c>
      <c r="O772" s="927"/>
      <c r="P772" s="927"/>
    </row>
    <row r="773" spans="1:16" ht="18.75" customHeight="1">
      <c r="A773" s="289" t="str">
        <f t="shared" si="55"/>
        <v>NL</v>
      </c>
      <c r="B773" s="753">
        <f t="shared" si="56"/>
        <v>762</v>
      </c>
      <c r="C773" s="292" t="s">
        <v>1556</v>
      </c>
      <c r="D773" s="291" t="s">
        <v>393</v>
      </c>
      <c r="E773" s="25"/>
      <c r="F773" s="25"/>
      <c r="G773" s="25">
        <f t="array" ref="G773">SUM(IF("156"&amp;C773=KHN&amp;MH,SL))</f>
        <v>20</v>
      </c>
      <c r="H773" s="25">
        <f t="array" ref="H773">SUM(IF("156"&amp;C773=KHN&amp;MH,TH))</f>
        <v>950000</v>
      </c>
      <c r="I773" s="25">
        <f t="array" ref="I773">SUM(IF("156"&amp;C773=KHC&amp;MH,SL))</f>
        <v>20</v>
      </c>
      <c r="J773" s="25">
        <f t="array" ref="J773">SUM(IF("156"&amp;C773=KHC&amp;MH,TH))</f>
        <v>950000</v>
      </c>
      <c r="K773" s="25">
        <f t="shared" si="57"/>
        <v>0</v>
      </c>
      <c r="L773" s="25">
        <f t="shared" si="58"/>
        <v>0</v>
      </c>
      <c r="M773" s="289" t="e">
        <f t="shared" si="59"/>
        <v>#DIV/0!</v>
      </c>
      <c r="O773" s="927"/>
      <c r="P773" s="927"/>
    </row>
    <row r="774" spans="1:16" ht="18.75" customHeight="1">
      <c r="A774" s="289" t="str">
        <f t="shared" si="55"/>
        <v>NL</v>
      </c>
      <c r="B774" s="753">
        <f t="shared" si="56"/>
        <v>763</v>
      </c>
      <c r="C774" s="292" t="s">
        <v>1543</v>
      </c>
      <c r="D774" s="291" t="s">
        <v>393</v>
      </c>
      <c r="E774" s="25"/>
      <c r="F774" s="25"/>
      <c r="G774" s="25">
        <f t="array" ref="G774">SUM(IF("156"&amp;C774=KHN&amp;MH,SL))</f>
        <v>42</v>
      </c>
      <c r="H774" s="25">
        <f t="array" ref="H774">SUM(IF("156"&amp;C774=KHN&amp;MH,TH))</f>
        <v>1940400</v>
      </c>
      <c r="I774" s="25">
        <f t="array" ref="I774">SUM(IF("156"&amp;C774=KHC&amp;MH,SL))</f>
        <v>21</v>
      </c>
      <c r="J774" s="25">
        <f t="array" ref="J774">SUM(IF("156"&amp;C774=KHC&amp;MH,TH))</f>
        <v>970200</v>
      </c>
      <c r="K774" s="25">
        <f t="shared" si="57"/>
        <v>21</v>
      </c>
      <c r="L774" s="25">
        <f t="shared" si="58"/>
        <v>970200</v>
      </c>
      <c r="M774" s="289">
        <f t="shared" si="59"/>
        <v>46200</v>
      </c>
      <c r="O774" s="927"/>
      <c r="P774" s="927"/>
    </row>
    <row r="775" spans="1:16" ht="18.75" customHeight="1">
      <c r="A775" s="289" t="str">
        <f t="shared" si="55"/>
        <v>NL</v>
      </c>
      <c r="B775" s="753">
        <f t="shared" si="56"/>
        <v>764</v>
      </c>
      <c r="C775" s="292" t="s">
        <v>1545</v>
      </c>
      <c r="D775" s="291" t="s">
        <v>393</v>
      </c>
      <c r="E775" s="25"/>
      <c r="F775" s="25"/>
      <c r="G775" s="25">
        <f t="array" ref="G775">SUM(IF("156"&amp;C775=KHN&amp;MH,SL))</f>
        <v>1</v>
      </c>
      <c r="H775" s="25">
        <f t="array" ref="H775">SUM(IF("156"&amp;C775=KHN&amp;MH,TH))</f>
        <v>36000</v>
      </c>
      <c r="I775" s="25">
        <f t="array" ref="I775">SUM(IF("156"&amp;C775=KHC&amp;MH,SL))</f>
        <v>1</v>
      </c>
      <c r="J775" s="25">
        <f t="array" ref="J775">SUM(IF("156"&amp;C775=KHC&amp;MH,TH))</f>
        <v>36000</v>
      </c>
      <c r="K775" s="25">
        <f t="shared" si="57"/>
        <v>0</v>
      </c>
      <c r="L775" s="25">
        <f t="shared" si="58"/>
        <v>0</v>
      </c>
      <c r="M775" s="289" t="e">
        <f t="shared" si="59"/>
        <v>#DIV/0!</v>
      </c>
      <c r="O775" s="927"/>
      <c r="P775" s="927"/>
    </row>
    <row r="776" spans="1:16" ht="18.75" customHeight="1">
      <c r="A776" s="289" t="str">
        <f t="shared" si="55"/>
        <v>NL</v>
      </c>
      <c r="B776" s="753">
        <f t="shared" si="56"/>
        <v>765</v>
      </c>
      <c r="C776" s="292" t="s">
        <v>1544</v>
      </c>
      <c r="D776" s="291" t="s">
        <v>393</v>
      </c>
      <c r="E776" s="25"/>
      <c r="F776" s="25"/>
      <c r="G776" s="25">
        <f t="array" ref="G776">SUM(IF("156"&amp;C776=KHN&amp;MH,SL))</f>
        <v>2</v>
      </c>
      <c r="H776" s="25">
        <f t="array" ref="H776">SUM(IF("156"&amp;C776=KHN&amp;MH,TH))</f>
        <v>78600</v>
      </c>
      <c r="I776" s="25">
        <f t="array" ref="I776">SUM(IF("156"&amp;C776=KHC&amp;MH,SL))</f>
        <v>2</v>
      </c>
      <c r="J776" s="25">
        <f t="array" ref="J776">SUM(IF("156"&amp;C776=KHC&amp;MH,TH))</f>
        <v>78600</v>
      </c>
      <c r="K776" s="25">
        <f t="shared" si="57"/>
        <v>0</v>
      </c>
      <c r="L776" s="25">
        <f t="shared" si="58"/>
        <v>0</v>
      </c>
      <c r="M776" s="289" t="e">
        <f t="shared" si="59"/>
        <v>#DIV/0!</v>
      </c>
      <c r="O776" s="927"/>
      <c r="P776" s="927"/>
    </row>
    <row r="777" spans="1:16" ht="18.75" customHeight="1">
      <c r="A777" s="289" t="str">
        <f t="shared" si="55"/>
        <v>NL</v>
      </c>
      <c r="B777" s="753">
        <f t="shared" si="56"/>
        <v>766</v>
      </c>
      <c r="C777" s="292" t="s">
        <v>1540</v>
      </c>
      <c r="D777" s="291" t="s">
        <v>393</v>
      </c>
      <c r="E777" s="25"/>
      <c r="F777" s="25"/>
      <c r="G777" s="25">
        <f t="array" ref="G777">SUM(IF("156"&amp;C777=KHN&amp;MH,SL))</f>
        <v>35</v>
      </c>
      <c r="H777" s="25">
        <f t="array" ref="H777">SUM(IF("156"&amp;C777=KHN&amp;MH,TH))</f>
        <v>1788500</v>
      </c>
      <c r="I777" s="25">
        <f t="array" ref="I777">SUM(IF("156"&amp;C777=KHC&amp;MH,SL))</f>
        <v>35</v>
      </c>
      <c r="J777" s="25">
        <f t="array" ref="J777">SUM(IF("156"&amp;C777=KHC&amp;MH,TH))</f>
        <v>1788500</v>
      </c>
      <c r="K777" s="25">
        <f t="shared" si="57"/>
        <v>0</v>
      </c>
      <c r="L777" s="25">
        <f t="shared" si="58"/>
        <v>0</v>
      </c>
      <c r="M777" s="289" t="e">
        <f t="shared" si="59"/>
        <v>#DIV/0!</v>
      </c>
      <c r="O777" s="927"/>
      <c r="P777" s="927"/>
    </row>
    <row r="778" spans="1:16" ht="18.75" customHeight="1">
      <c r="A778" s="289" t="str">
        <f t="shared" si="55"/>
        <v>NL</v>
      </c>
      <c r="B778" s="753">
        <f t="shared" si="56"/>
        <v>767</v>
      </c>
      <c r="C778" s="292" t="s">
        <v>1542</v>
      </c>
      <c r="D778" s="291" t="s">
        <v>393</v>
      </c>
      <c r="E778" s="25"/>
      <c r="F778" s="25"/>
      <c r="G778" s="25">
        <f t="array" ref="G778">SUM(IF("156"&amp;C778=KHN&amp;MH,SL))</f>
        <v>26</v>
      </c>
      <c r="H778" s="25">
        <f t="array" ref="H778">SUM(IF("156"&amp;C778=KHN&amp;MH,TH))</f>
        <v>1560000</v>
      </c>
      <c r="I778" s="25">
        <f t="array" ref="I778">SUM(IF("156"&amp;C778=KHC&amp;MH,SL))</f>
        <v>26</v>
      </c>
      <c r="J778" s="25">
        <f t="array" ref="J778">SUM(IF("156"&amp;C778=KHC&amp;MH,TH))</f>
        <v>1560000</v>
      </c>
      <c r="K778" s="25">
        <f t="shared" si="57"/>
        <v>0</v>
      </c>
      <c r="L778" s="25">
        <f t="shared" si="58"/>
        <v>0</v>
      </c>
      <c r="M778" s="289" t="e">
        <f t="shared" si="59"/>
        <v>#DIV/0!</v>
      </c>
      <c r="O778" s="927"/>
      <c r="P778" s="927"/>
    </row>
    <row r="779" spans="1:16" ht="18.75" customHeight="1">
      <c r="A779" s="289" t="str">
        <f t="shared" si="55"/>
        <v>NL</v>
      </c>
      <c r="B779" s="753">
        <f t="shared" si="56"/>
        <v>768</v>
      </c>
      <c r="C779" s="292" t="s">
        <v>1551</v>
      </c>
      <c r="D779" s="291" t="s">
        <v>393</v>
      </c>
      <c r="E779" s="25"/>
      <c r="F779" s="25"/>
      <c r="G779" s="25">
        <f t="array" ref="G779">SUM(IF("156"&amp;C779=KHN&amp;MH,SL))</f>
        <v>104</v>
      </c>
      <c r="H779" s="25">
        <f t="array" ref="H779">SUM(IF("156"&amp;C779=KHN&amp;MH,TH))</f>
        <v>4784000</v>
      </c>
      <c r="I779" s="25">
        <f t="array" ref="I779">SUM(IF("156"&amp;C779=KHC&amp;MH,SL))</f>
        <v>52</v>
      </c>
      <c r="J779" s="25">
        <f t="array" ref="J779">SUM(IF("156"&amp;C779=KHC&amp;MH,TH))</f>
        <v>2392000</v>
      </c>
      <c r="K779" s="25">
        <f t="shared" si="57"/>
        <v>52</v>
      </c>
      <c r="L779" s="25">
        <f t="shared" si="58"/>
        <v>2392000</v>
      </c>
      <c r="M779" s="289">
        <f t="shared" si="59"/>
        <v>46000</v>
      </c>
      <c r="O779" s="927"/>
      <c r="P779" s="927"/>
    </row>
    <row r="780" spans="1:16" ht="18.75" customHeight="1">
      <c r="A780" s="289" t="str">
        <f t="shared" ref="A780:A782" si="60">IF(B780&lt;&gt;"","NL","")</f>
        <v>NL</v>
      </c>
      <c r="B780" s="753">
        <f t="shared" ref="B780:B782" si="61">IF(C780&lt;&gt;"",ROW()-11,"")</f>
        <v>769</v>
      </c>
      <c r="C780" s="292" t="s">
        <v>1549</v>
      </c>
      <c r="D780" s="291" t="s">
        <v>393</v>
      </c>
      <c r="E780" s="25"/>
      <c r="F780" s="25"/>
      <c r="G780" s="25">
        <f t="array" ref="G780">SUM(IF("156"&amp;C780=KHN&amp;MH,SL))</f>
        <v>6</v>
      </c>
      <c r="H780" s="25">
        <f t="array" ref="H780">SUM(IF("156"&amp;C780=KHN&amp;MH,TH))</f>
        <v>351000</v>
      </c>
      <c r="I780" s="25">
        <f t="array" ref="I780">SUM(IF("156"&amp;C780=KHC&amp;MH,SL))</f>
        <v>6</v>
      </c>
      <c r="J780" s="25">
        <f t="array" ref="J780">SUM(IF("156"&amp;C780=KHC&amp;MH,TH))</f>
        <v>351000</v>
      </c>
      <c r="K780" s="25">
        <f t="shared" si="57"/>
        <v>0</v>
      </c>
      <c r="L780" s="25">
        <f t="shared" si="58"/>
        <v>0</v>
      </c>
      <c r="M780" s="289" t="e">
        <f t="shared" ref="M780:M782" si="62">L780/K780</f>
        <v>#DIV/0!</v>
      </c>
      <c r="O780" s="927"/>
      <c r="P780" s="927"/>
    </row>
    <row r="781" spans="1:16" ht="18.75" customHeight="1">
      <c r="A781" s="289" t="str">
        <f t="shared" si="60"/>
        <v>NL</v>
      </c>
      <c r="B781" s="753">
        <f t="shared" si="61"/>
        <v>770</v>
      </c>
      <c r="C781" s="292" t="s">
        <v>1539</v>
      </c>
      <c r="D781" s="291" t="s">
        <v>393</v>
      </c>
      <c r="E781" s="25"/>
      <c r="F781" s="25"/>
      <c r="G781" s="25">
        <f t="array" ref="G781">SUM(IF("156"&amp;C781=KHN&amp;MH,SL))</f>
        <v>26</v>
      </c>
      <c r="H781" s="25">
        <f t="array" ref="H781">SUM(IF("156"&amp;C781=KHN&amp;MH,TH))</f>
        <v>2992600</v>
      </c>
      <c r="I781" s="25">
        <f t="array" ref="I781">SUM(IF("156"&amp;C781=KHC&amp;MH,SL))</f>
        <v>26</v>
      </c>
      <c r="J781" s="25">
        <f t="array" ref="J781">SUM(IF("156"&amp;C781=KHC&amp;MH,TH))</f>
        <v>2992600</v>
      </c>
      <c r="K781" s="25">
        <f t="shared" si="57"/>
        <v>0</v>
      </c>
      <c r="L781" s="25">
        <f t="shared" si="58"/>
        <v>0</v>
      </c>
      <c r="M781" s="289" t="e">
        <f t="shared" si="62"/>
        <v>#DIV/0!</v>
      </c>
      <c r="O781" s="927"/>
      <c r="P781" s="927"/>
    </row>
    <row r="782" spans="1:16" ht="18.75" customHeight="1">
      <c r="A782" s="289" t="str">
        <f t="shared" si="60"/>
        <v>NL</v>
      </c>
      <c r="B782" s="753">
        <f t="shared" si="61"/>
        <v>771</v>
      </c>
      <c r="C782" s="292" t="s">
        <v>1554</v>
      </c>
      <c r="D782" s="291" t="s">
        <v>393</v>
      </c>
      <c r="E782" s="25"/>
      <c r="F782" s="25"/>
      <c r="G782" s="25">
        <f t="array" ref="G782">SUM(IF("156"&amp;C782=KHN&amp;MH,SL))</f>
        <v>4</v>
      </c>
      <c r="H782" s="25">
        <f t="array" ref="H782">SUM(IF("156"&amp;C782=KHN&amp;MH,TH))</f>
        <v>140000</v>
      </c>
      <c r="I782" s="25">
        <f t="array" ref="I782">SUM(IF("156"&amp;C782=KHC&amp;MH,SL))</f>
        <v>4</v>
      </c>
      <c r="J782" s="25">
        <f t="array" ref="J782">SUM(IF("156"&amp;C782=KHC&amp;MH,TH))</f>
        <v>140000</v>
      </c>
      <c r="K782" s="25">
        <f t="shared" si="57"/>
        <v>0</v>
      </c>
      <c r="L782" s="25">
        <f t="shared" si="58"/>
        <v>0</v>
      </c>
      <c r="M782" s="289" t="e">
        <f t="shared" si="62"/>
        <v>#DIV/0!</v>
      </c>
      <c r="O782" s="927"/>
      <c r="P782" s="927"/>
    </row>
    <row r="783" spans="1:16" ht="18.75" customHeight="1">
      <c r="A783" s="289" t="str">
        <f t="shared" ref="A783:A784" si="63">IF(B783&lt;&gt;"","NL","")</f>
        <v/>
      </c>
      <c r="B783" s="753" t="str">
        <f t="shared" ref="B783:B784" si="64">IF(C783&lt;&gt;"",ROW()-11,"")</f>
        <v/>
      </c>
      <c r="C783" s="191"/>
      <c r="D783" s="291"/>
      <c r="E783" s="25"/>
      <c r="F783" s="25"/>
      <c r="G783" s="25">
        <f t="array" ref="G783">SUM(IF("156"&amp;C783=KHN&amp;MH,SL))</f>
        <v>0</v>
      </c>
      <c r="H783" s="25">
        <f t="array" ref="H783">SUM(IF("156"&amp;C783=KHN&amp;MH,TH))</f>
        <v>0</v>
      </c>
      <c r="I783" s="25">
        <f t="array" ref="I783">SUM(IF("156"&amp;C783=KHC&amp;MH,SL))</f>
        <v>0</v>
      </c>
      <c r="J783" s="25">
        <f t="array" ref="J783">SUM(IF("156"&amp;C783=KHC&amp;MH,TH))</f>
        <v>0</v>
      </c>
      <c r="K783" s="25">
        <f t="shared" ref="K783:K784" si="65">E783+G783-I783</f>
        <v>0</v>
      </c>
      <c r="L783" s="25">
        <f t="shared" ref="L783:L784" si="66">F783+H783-J783</f>
        <v>0</v>
      </c>
      <c r="M783" s="289" t="e">
        <f t="shared" ref="M783" si="67">L783/K783</f>
        <v>#DIV/0!</v>
      </c>
    </row>
    <row r="784" spans="1:16" ht="18.75" customHeight="1">
      <c r="A784" s="289" t="str">
        <f t="shared" si="63"/>
        <v/>
      </c>
      <c r="B784" s="753" t="str">
        <f t="shared" si="64"/>
        <v/>
      </c>
      <c r="C784" s="191"/>
      <c r="D784" s="291"/>
      <c r="E784" s="25"/>
      <c r="F784" s="25"/>
      <c r="G784" s="25">
        <f t="array" ref="G784">SUM(IF("156"&amp;C784=KHN&amp;MH,SL))</f>
        <v>0</v>
      </c>
      <c r="H784" s="25">
        <f t="array" ref="H784">SUM(IF("156"&amp;C784=KHN&amp;MH,TH))</f>
        <v>0</v>
      </c>
      <c r="I784" s="25">
        <f t="array" ref="I784">SUM(IF("156"&amp;C784=KHC&amp;MH,SL))</f>
        <v>0</v>
      </c>
      <c r="J784" s="25">
        <f t="array" ref="J784">SUM(IF("156"&amp;C784=KHC&amp;MH,TH))</f>
        <v>0</v>
      </c>
      <c r="K784" s="25">
        <f t="shared" si="65"/>
        <v>0</v>
      </c>
      <c r="L784" s="25">
        <f t="shared" si="66"/>
        <v>0</v>
      </c>
      <c r="M784" s="289" t="e">
        <f t="shared" ref="M784:M785" si="68">L784/K784</f>
        <v>#DIV/0!</v>
      </c>
    </row>
    <row r="785" spans="1:13" ht="18.75" customHeight="1">
      <c r="A785" s="289" t="str">
        <f t="shared" ref="A785" si="69">IF(B785&lt;&gt;"","NL","")</f>
        <v/>
      </c>
      <c r="B785" s="753" t="str">
        <f t="shared" ref="B785" si="70">IF(C785&lt;&gt;"",ROW()-11,"")</f>
        <v/>
      </c>
      <c r="C785" s="191"/>
      <c r="D785" s="291"/>
      <c r="E785" s="25"/>
      <c r="F785" s="25"/>
      <c r="G785" s="25">
        <f t="array" ref="G785">SUM(IF("156"&amp;C785=KHN&amp;MH,SL))</f>
        <v>0</v>
      </c>
      <c r="H785" s="25">
        <f t="array" ref="H785">SUM(IF("156"&amp;C785=KHN&amp;MH,TH))</f>
        <v>0</v>
      </c>
      <c r="I785" s="25">
        <f t="array" ref="I785">SUM(IF("156"&amp;C785=KHC&amp;MH,SL))</f>
        <v>0</v>
      </c>
      <c r="J785" s="25">
        <f t="array" ref="J785">SUM(IF("156"&amp;C785=KHC&amp;MH,TH))</f>
        <v>0</v>
      </c>
      <c r="K785" s="25">
        <f t="shared" ref="K785" si="71">E785+G785-I785</f>
        <v>0</v>
      </c>
      <c r="L785" s="25">
        <f t="shared" ref="L785" si="72">F785+H785-J785</f>
        <v>0</v>
      </c>
      <c r="M785" s="289" t="e">
        <f t="shared" si="68"/>
        <v>#DIV/0!</v>
      </c>
    </row>
    <row r="786" spans="1:13" ht="19.5" customHeight="1">
      <c r="A786" s="289"/>
      <c r="B786" s="753" t="str">
        <f t="shared" ref="B786" si="73">IF(C786&lt;&gt;"",ROW()-11,"")</f>
        <v/>
      </c>
      <c r="C786" s="290"/>
      <c r="D786" s="291"/>
      <c r="E786" s="25"/>
      <c r="F786" s="25"/>
      <c r="G786" s="25"/>
      <c r="H786" s="25"/>
      <c r="I786" s="25"/>
      <c r="J786" s="25"/>
      <c r="K786" s="25"/>
      <c r="L786" s="25"/>
      <c r="M786" s="289"/>
    </row>
    <row r="787" spans="1:13" ht="19.5" customHeight="1">
      <c r="A787" s="289" t="str">
        <f t="shared" ref="A787" si="74">IF(B787&lt;&gt;"","NL","")</f>
        <v/>
      </c>
      <c r="B787" s="288"/>
      <c r="C787" s="294" t="s">
        <v>323</v>
      </c>
      <c r="D787" s="288"/>
      <c r="E787" s="13">
        <f t="shared" ref="E787:L787" si="75">SUM(E12:E786)</f>
        <v>25143</v>
      </c>
      <c r="F787" s="13">
        <f t="shared" si="75"/>
        <v>406645868</v>
      </c>
      <c r="G787" s="13">
        <f t="shared" si="75"/>
        <v>393729</v>
      </c>
      <c r="H787" s="13">
        <f t="shared" si="75"/>
        <v>6010442865</v>
      </c>
      <c r="I787" s="13">
        <f t="shared" si="75"/>
        <v>388509</v>
      </c>
      <c r="J787" s="13">
        <f t="shared" si="75"/>
        <v>5968329614</v>
      </c>
      <c r="K787" s="13">
        <f t="shared" si="75"/>
        <v>30363</v>
      </c>
      <c r="L787" s="13">
        <f t="shared" si="75"/>
        <v>448759119</v>
      </c>
      <c r="M787" s="289"/>
    </row>
    <row r="788" spans="1:13" ht="19.5" customHeight="1">
      <c r="A788" s="289"/>
      <c r="B788" s="464"/>
      <c r="C788" s="465"/>
      <c r="D788" s="464"/>
      <c r="E788" s="466"/>
      <c r="F788" s="466">
        <f>F787-CDPS!C20</f>
        <v>0</v>
      </c>
      <c r="G788" s="466"/>
      <c r="H788" s="466">
        <f>H787-CDPS!E20</f>
        <v>0</v>
      </c>
      <c r="I788" s="466"/>
      <c r="J788" s="466">
        <f>J787-CDPS!F20</f>
        <v>0</v>
      </c>
      <c r="K788" s="466"/>
      <c r="L788" s="466">
        <f>L787-CDPS!G20</f>
        <v>0</v>
      </c>
      <c r="M788" s="289"/>
    </row>
    <row r="789" spans="1:13" ht="18.75" customHeight="1"/>
    <row r="790" spans="1:13" ht="19.5" customHeight="1"/>
    <row r="791" spans="1:13" ht="19.5" customHeight="1">
      <c r="C791" s="1017"/>
      <c r="D791" s="1017"/>
      <c r="E791" s="1017"/>
      <c r="F791" s="814"/>
      <c r="G791" s="814"/>
      <c r="H791" s="814"/>
      <c r="I791" s="814"/>
      <c r="J791" s="1017" t="s">
        <v>404</v>
      </c>
      <c r="K791" s="1017"/>
      <c r="L791" s="1017"/>
    </row>
    <row r="792" spans="1:13" ht="19.5" customHeight="1">
      <c r="C792" s="815"/>
      <c r="D792" s="815"/>
      <c r="E792" s="815"/>
      <c r="F792" s="1017"/>
      <c r="G792" s="1017"/>
      <c r="H792" s="1017"/>
      <c r="I792" s="814"/>
      <c r="J792" s="1017" t="s">
        <v>109</v>
      </c>
      <c r="K792" s="1017"/>
      <c r="L792" s="1017"/>
    </row>
    <row r="793" spans="1:13" ht="19.5" customHeight="1">
      <c r="C793" s="815"/>
      <c r="D793" s="815"/>
      <c r="E793" s="815"/>
      <c r="F793" s="1017"/>
      <c r="G793" s="1017"/>
      <c r="H793" s="1017"/>
      <c r="I793" s="284"/>
      <c r="J793" s="1017" t="s">
        <v>136</v>
      </c>
      <c r="K793" s="1017"/>
      <c r="L793" s="1017"/>
    </row>
    <row r="794" spans="1:13" ht="20.25" customHeight="1"/>
    <row r="795" spans="1:13" ht="20.25" customHeight="1"/>
    <row r="796" spans="1:13" ht="20.25" customHeight="1"/>
    <row r="797" spans="1:13" ht="20.25" customHeight="1"/>
    <row r="798" spans="1:13" ht="20.25" customHeight="1"/>
    <row r="799" spans="1:13" ht="20.25" customHeight="1"/>
    <row r="800" spans="1:13" ht="20.2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</sheetData>
  <autoFilter ref="A11:N788"/>
  <sortState ref="A12:P786">
    <sortCondition ref="C12:C786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793:H793"/>
    <mergeCell ref="J793:L793"/>
    <mergeCell ref="C791:E791"/>
    <mergeCell ref="J791:L791"/>
    <mergeCell ref="F792:H792"/>
    <mergeCell ref="J792:L792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299" customWidth="1"/>
    <col min="2" max="2" width="29.7109375" style="299" customWidth="1"/>
    <col min="3" max="3" width="5.7109375" style="299" customWidth="1"/>
    <col min="4" max="4" width="6.7109375" style="299" customWidth="1"/>
    <col min="5" max="5" width="12.7109375" style="299" customWidth="1"/>
    <col min="6" max="6" width="9.85546875" style="299" customWidth="1"/>
    <col min="7" max="7" width="11" style="299" customWidth="1"/>
    <col min="8" max="8" width="14" style="299" customWidth="1"/>
    <col min="9" max="9" width="4.28515625" style="299" customWidth="1"/>
    <col min="10" max="10" width="7.5703125" style="299" customWidth="1"/>
    <col min="11" max="11" width="3.140625" style="299" customWidth="1"/>
    <col min="12" max="12" width="5.7109375" style="299" customWidth="1"/>
    <col min="13" max="13" width="2.7109375" style="299" customWidth="1"/>
    <col min="14" max="14" width="4" style="299" customWidth="1"/>
    <col min="15" max="15" width="3.7109375" style="299" customWidth="1"/>
    <col min="16" max="16384" width="9.140625" style="299"/>
  </cols>
  <sheetData>
    <row r="1" spans="1:17" ht="5.25" hidden="1" customHeight="1"/>
    <row r="2" spans="1:17" s="648" customFormat="1" ht="12" customHeight="1">
      <c r="A2" s="647" t="str">
        <f>TH!A1</f>
        <v>Đơn vị: CÔNG TY TNHH MỘT THÀNH VIÊN KHỞI NGUYÊN AN</v>
      </c>
      <c r="G2" s="649" t="str">
        <f>+IF(LEFT($D$7,1)="N","Mẫu số 01 - VT","Mẫu số 02 - VT")</f>
        <v>Mẫu số 02 - VT</v>
      </c>
    </row>
    <row r="3" spans="1:17" s="648" customFormat="1" ht="12" customHeight="1">
      <c r="A3" s="1058" t="str">
        <f>TH!A2</f>
        <v>Địa chỉ: Thửa đất số 144, tờ bản đồ số 12TĐH.1, tổ 1, khu phố Đông Tác, Phường Tân Đông Hiệp, Thị Xã Dĩ An, Tỉnh Bình Dương, Việt Nam</v>
      </c>
      <c r="B3" s="1058"/>
      <c r="C3" s="1058"/>
      <c r="D3" s="1058"/>
      <c r="E3" s="1058"/>
      <c r="G3" s="71" t="e">
        <f ca="1">IF(INT(RIGHT($D$6,4))&gt;=2015,"(Ban hành theo Thông tư số 200/2014/TT-BTC ","(Ban hành kèm theo QĐ 48/2006/QĐ-BTC")</f>
        <v>#VALUE!</v>
      </c>
      <c r="N3" s="649" t="s">
        <v>104</v>
      </c>
      <c r="O3" s="650"/>
      <c r="P3" s="651">
        <f>IF(J5="Quý I",1,IF(J5="Quý II",4,IF(J5="Quý III",7,IF(J5="Quý IV",10,""))))</f>
        <v>10</v>
      </c>
      <c r="Q3" s="651">
        <f>IF(J5="Quý I",3,IF(J5="Quý II",6,IF(J5="Quý III",9,IF(J5="Quý IV",12,""))))</f>
        <v>12</v>
      </c>
    </row>
    <row r="4" spans="1:17" s="648" customFormat="1" ht="12" customHeight="1" thickBot="1">
      <c r="A4" s="1058"/>
      <c r="B4" s="1058"/>
      <c r="C4" s="1058"/>
      <c r="D4" s="1058"/>
      <c r="E4" s="1058"/>
      <c r="G4" s="71" t="e">
        <f ca="1">IF(INT(RIGHT($D$6,4))&gt;=2015,"Ngày 22/12/2014 của Bộ Tài chính)","ngày 24/09/2006 của Bộ trưởng BTC)")</f>
        <v>#VALUE!</v>
      </c>
      <c r="J4" s="652"/>
      <c r="M4" s="653"/>
      <c r="N4" s="649" t="s">
        <v>105</v>
      </c>
      <c r="O4" s="650"/>
    </row>
    <row r="5" spans="1:17" ht="18" customHeight="1" thickBot="1">
      <c r="D5" s="303" t="str">
        <f>+IF(LEFT($L$5,1)="N","PHIẾU NHẬP KHO","PHIẾU XUẤT KHO")</f>
        <v>PHIẾU XUẤT KHO</v>
      </c>
      <c r="J5" s="644" t="s">
        <v>398</v>
      </c>
      <c r="K5" s="304"/>
      <c r="L5" s="645" t="s">
        <v>399</v>
      </c>
      <c r="M5" s="305"/>
      <c r="N5" s="646">
        <v>2</v>
      </c>
      <c r="O5" s="300"/>
      <c r="P5" s="300"/>
    </row>
    <row r="6" spans="1:17" ht="10.5" customHeight="1">
      <c r="D6" s="655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56"/>
      <c r="M6" s="302"/>
      <c r="O6" s="300"/>
    </row>
    <row r="7" spans="1:17" ht="10.5" customHeight="1">
      <c r="C7" s="657" t="str">
        <f xml:space="preserve"> "Số:"</f>
        <v>Số:</v>
      </c>
      <c r="D7" s="71" t="str">
        <f>LEFT($L$5,1)&amp;IF($N$5&gt;=10,$N$5,"0"&amp;$N$5)</f>
        <v>X02</v>
      </c>
      <c r="G7" s="299" t="str">
        <f ca="1">"Nợ:  "&amp;IF(ROWS($1:1)&gt;COUNT(Dong10),"",OFFSET(TH!L$1,SMALL(Dong10,ROWS($1:1)),))</f>
        <v xml:space="preserve">Nợ:  </v>
      </c>
      <c r="M7" s="302"/>
      <c r="O7" s="300"/>
    </row>
    <row r="8" spans="1:17" ht="10.5" customHeight="1">
      <c r="D8" s="71"/>
      <c r="G8" s="299" t="str">
        <f ca="1">"Có:  "&amp;IF(ROWS($1:1)&gt;COUNT(Dong10),"",OFFSET(TH!M$1,SMALL(Dong10,ROWS($1:1)),))</f>
        <v xml:space="preserve">Có:  </v>
      </c>
      <c r="M8" s="302"/>
      <c r="O8" s="659"/>
    </row>
    <row r="9" spans="1:17" ht="11.25" customHeight="1">
      <c r="A9" s="29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2"/>
    </row>
    <row r="10" spans="1:17" ht="11.25" customHeight="1">
      <c r="A10" s="299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dùng </v>
      </c>
    </row>
    <row r="11" spans="1:17" ht="11.25" customHeight="1">
      <c r="A11" s="29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299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59" t="s">
        <v>35</v>
      </c>
      <c r="B14" s="1059" t="s">
        <v>189</v>
      </c>
      <c r="C14" s="1059" t="s">
        <v>190</v>
      </c>
      <c r="D14" s="1059" t="s">
        <v>182</v>
      </c>
      <c r="E14" s="1061" t="s">
        <v>191</v>
      </c>
      <c r="F14" s="1061"/>
      <c r="G14" s="1059" t="s">
        <v>192</v>
      </c>
      <c r="H14" s="1059" t="s">
        <v>193</v>
      </c>
    </row>
    <row r="15" spans="1:17" ht="12.75" customHeight="1">
      <c r="A15" s="1060"/>
      <c r="B15" s="1060"/>
      <c r="C15" s="1060"/>
      <c r="D15" s="1060"/>
      <c r="E15" s="660" t="s">
        <v>194</v>
      </c>
      <c r="F15" s="660" t="str">
        <f>IF(LEFT($D$7,1)="N","Thực nhập","Thực xuất")</f>
        <v>Thực xuất</v>
      </c>
      <c r="G15" s="1060"/>
      <c r="H15" s="1060"/>
    </row>
    <row r="16" spans="1:17" s="71" customFormat="1" ht="8.25" customHeight="1">
      <c r="A16" s="661" t="s">
        <v>2</v>
      </c>
      <c r="B16" s="661" t="s">
        <v>3</v>
      </c>
      <c r="C16" s="661" t="s">
        <v>4</v>
      </c>
      <c r="D16" s="661" t="s">
        <v>5</v>
      </c>
      <c r="E16" s="661">
        <v>1</v>
      </c>
      <c r="F16" s="661">
        <v>2</v>
      </c>
      <c r="G16" s="661">
        <v>3</v>
      </c>
      <c r="H16" s="661">
        <v>4</v>
      </c>
    </row>
    <row r="17" spans="1:8" ht="11.25" customHeight="1">
      <c r="A17" s="662" t="str">
        <f ca="1">IF(B17="","",ROW()-16)</f>
        <v/>
      </c>
      <c r="B17" s="663" t="str">
        <f ca="1">IF(ROWS($1:1)&gt;COUNT(Dong10),"",OFFSET(TH!F$1,SMALL(Dong10,ROWS($1:1)),))</f>
        <v/>
      </c>
      <c r="C17" s="664"/>
      <c r="D17" s="665" t="str">
        <f ca="1">IF(ISNA(VLOOKUP(B17,NXT!$C$12:$D$788,2,0)),"",VLOOKUP(B17,NXT!$C$12:$D$788,2,0))</f>
        <v/>
      </c>
      <c r="E17" s="666"/>
      <c r="F17" s="667" t="str">
        <f ca="1">IF(ROWS($1:1)&gt;COUNT(Dong10),"",OFFSET(TH!I$1,SMALL(Dong10,ROWS($1:1)),))</f>
        <v/>
      </c>
      <c r="G17" s="667" t="str">
        <f ca="1">IF(ROWS($1:1)&gt;COUNT(Dong10),"",OFFSET(TH!J$1,SMALL(Dong10,ROWS($1:1)),))</f>
        <v/>
      </c>
      <c r="H17" s="666">
        <f ca="1">IF(F17&lt;&gt;"",ROUND(F17*G17,0),0)</f>
        <v>0</v>
      </c>
    </row>
    <row r="18" spans="1:8" ht="11.25" customHeight="1">
      <c r="A18" s="662" t="str">
        <f t="shared" ref="A18:A20" ca="1" si="0">IF(B18="","",A17+1)</f>
        <v/>
      </c>
      <c r="B18" s="663" t="str">
        <f ca="1">IF(ROWS($1:2)&gt;COUNT(Dong10),"",OFFSET(TH!F$1,SMALL(Dong10,ROWS($1:2)),))</f>
        <v/>
      </c>
      <c r="C18" s="664"/>
      <c r="D18" s="665" t="str">
        <f ca="1">IF(ISNA(VLOOKUP(B18,NXT!$C$12:$D$788,2,0)),"",VLOOKUP(B18,NXT!$C$12:$D$788,2,0))</f>
        <v/>
      </c>
      <c r="E18" s="666"/>
      <c r="F18" s="667" t="str">
        <f ca="1">IF(ROWS($1:2)&gt;COUNT(Dong10),"",OFFSET(TH!I$1,SMALL(Dong10,ROWS($1:2)),))</f>
        <v/>
      </c>
      <c r="G18" s="667" t="str">
        <f ca="1">IF(ROWS($1:2)&gt;COUNT(Dong10),"",OFFSET(TH!J$1,SMALL(Dong10,ROWS($1:2)),))</f>
        <v/>
      </c>
      <c r="H18" s="666">
        <f t="shared" ref="H18:H24" ca="1" si="1">IF(F18&lt;&gt;"",ROUND(F18*G18,0),0)</f>
        <v>0</v>
      </c>
    </row>
    <row r="19" spans="1:8" ht="11.25" customHeight="1">
      <c r="A19" s="662" t="str">
        <f t="shared" ca="1" si="0"/>
        <v/>
      </c>
      <c r="B19" s="663" t="str">
        <f ca="1">IF(ROWS($1:3)&gt;COUNT(Dong10),"",OFFSET(TH!F$1,SMALL(Dong10,ROWS($1:3)),))</f>
        <v/>
      </c>
      <c r="C19" s="664"/>
      <c r="D19" s="665" t="str">
        <f ca="1">IF(ISNA(VLOOKUP(B19,NXT!$C$12:$D$788,2,0)),"",VLOOKUP(B19,NXT!$C$12:$D$788,2,0))</f>
        <v/>
      </c>
      <c r="E19" s="666"/>
      <c r="F19" s="667" t="str">
        <f ca="1">IF(ROWS($1:3)&gt;COUNT(Dong10),"",OFFSET(TH!I$1,SMALL(Dong10,ROWS($1:3)),))</f>
        <v/>
      </c>
      <c r="G19" s="667" t="str">
        <f ca="1">IF(ROWS($1:3)&gt;COUNT(Dong10),"",OFFSET(TH!J$1,SMALL(Dong10,ROWS($1:3)),))</f>
        <v/>
      </c>
      <c r="H19" s="666">
        <f t="shared" ca="1" si="1"/>
        <v>0</v>
      </c>
    </row>
    <row r="20" spans="1:8" ht="11.25" customHeight="1">
      <c r="A20" s="662" t="str">
        <f t="shared" ca="1" si="0"/>
        <v/>
      </c>
      <c r="B20" s="663" t="str">
        <f ca="1">IF(ROWS($1:4)&gt;COUNT(Dong10),"",OFFSET(TH!F$1,SMALL(Dong10,ROWS($1:4)),))</f>
        <v/>
      </c>
      <c r="C20" s="664"/>
      <c r="D20" s="665" t="str">
        <f ca="1">IF(ISNA(VLOOKUP(B20,NXT!$C$12:$D$788,2,0)),"",VLOOKUP(B20,NXT!$C$12:$D$788,2,0))</f>
        <v/>
      </c>
      <c r="E20" s="666"/>
      <c r="F20" s="667" t="str">
        <f ca="1">IF(ROWS($1:4)&gt;COUNT(Dong10),"",OFFSET(TH!I$1,SMALL(Dong10,ROWS($1:4)),))</f>
        <v/>
      </c>
      <c r="G20" s="667" t="str">
        <f ca="1">IF(ROWS($1:4)&gt;COUNT(Dong10),"",OFFSET(TH!J$1,SMALL(Dong10,ROWS($1:4)),))</f>
        <v/>
      </c>
      <c r="H20" s="666">
        <f t="shared" ca="1" si="1"/>
        <v>0</v>
      </c>
    </row>
    <row r="21" spans="1:8" ht="11.25" customHeight="1">
      <c r="A21" s="662" t="str">
        <f t="shared" ref="A21:A23" ca="1" si="2">IF(B21="","",A20+1)</f>
        <v/>
      </c>
      <c r="B21" s="663" t="str">
        <f ca="1">IF(ROWS($1:5)&gt;COUNT(Dong10),"",OFFSET(TH!F$1,SMALL(Dong10,ROWS($1:5)),))</f>
        <v/>
      </c>
      <c r="C21" s="664"/>
      <c r="D21" s="665" t="str">
        <f ca="1">IF(ISNA(VLOOKUP(B21,NXT!$C$12:$D$788,2,0)),"",VLOOKUP(B21,NXT!$C$12:$D$788,2,0))</f>
        <v/>
      </c>
      <c r="E21" s="666"/>
      <c r="F21" s="667" t="str">
        <f ca="1">IF(ROWS($1:5)&gt;COUNT(Dong10),"",OFFSET(TH!I$1,SMALL(Dong10,ROWS($1:5)),))</f>
        <v/>
      </c>
      <c r="G21" s="667" t="str">
        <f ca="1">IF(ROWS($1:5)&gt;COUNT(Dong10),"",OFFSET(TH!J$1,SMALL(Dong10,ROWS($1:5)),))</f>
        <v/>
      </c>
      <c r="H21" s="666">
        <f t="shared" ca="1" si="1"/>
        <v>0</v>
      </c>
    </row>
    <row r="22" spans="1:8" ht="11.25" customHeight="1">
      <c r="A22" s="662" t="str">
        <f t="shared" ca="1" si="2"/>
        <v/>
      </c>
      <c r="B22" s="663" t="str">
        <f ca="1">IF(ROWS($1:6)&gt;COUNT(Dong10),"",OFFSET(TH!F$1,SMALL(Dong10,ROWS($1:6)),))</f>
        <v/>
      </c>
      <c r="C22" s="664"/>
      <c r="D22" s="665" t="str">
        <f ca="1">IF(ISNA(VLOOKUP(B22,NXT!$C$12:$D$788,2,0)),"",VLOOKUP(B22,NXT!$C$12:$D$788,2,0))</f>
        <v/>
      </c>
      <c r="E22" s="666"/>
      <c r="F22" s="667" t="str">
        <f ca="1">IF(ROWS($1:6)&gt;COUNT(Dong10),"",OFFSET(TH!I$1,SMALL(Dong10,ROWS($1:6)),))</f>
        <v/>
      </c>
      <c r="G22" s="667" t="str">
        <f ca="1">IF(ROWS($1:6)&gt;COUNT(Dong10),"",OFFSET(TH!J$1,SMALL(Dong10,ROWS($1:6)),))</f>
        <v/>
      </c>
      <c r="H22" s="666">
        <f t="shared" ca="1" si="1"/>
        <v>0</v>
      </c>
    </row>
    <row r="23" spans="1:8" ht="11.25" customHeight="1">
      <c r="A23" s="662" t="str">
        <f t="shared" ca="1" si="2"/>
        <v/>
      </c>
      <c r="B23" s="663" t="str">
        <f ca="1">IF(ROWS($1:7)&gt;COUNT(Dong10),"",OFFSET(TH!F$1,SMALL(Dong10,ROWS($1:7)),))</f>
        <v/>
      </c>
      <c r="C23" s="664"/>
      <c r="D23" s="665" t="str">
        <f ca="1">IF(ISNA(VLOOKUP(B23,NXT!$C$12:$D$788,2,0)),"",VLOOKUP(B23,NXT!$C$12:$D$788,2,0))</f>
        <v/>
      </c>
      <c r="E23" s="666"/>
      <c r="F23" s="667" t="str">
        <f ca="1">IF(ROWS($1:7)&gt;COUNT(Dong10),"",OFFSET(TH!I$1,SMALL(Dong10,ROWS($1:7)),))</f>
        <v/>
      </c>
      <c r="G23" s="667" t="str">
        <f ca="1">IF(ROWS($1:7)&gt;COUNT(Dong10),"",OFFSET(TH!J$1,SMALL(Dong10,ROWS($1:7)),))</f>
        <v/>
      </c>
      <c r="H23" s="666">
        <f t="shared" ca="1" si="1"/>
        <v>0</v>
      </c>
    </row>
    <row r="24" spans="1:8" ht="11.25" customHeight="1">
      <c r="A24" s="662" t="str">
        <f t="shared" ref="A24" ca="1" si="3">IF(B24="","",A23+1)</f>
        <v/>
      </c>
      <c r="B24" s="663" t="str">
        <f ca="1">IF(ROWS($1:8)&gt;COUNT(Dong10),"",OFFSET(TH!F$1,SMALL(Dong10,ROWS($1:8)),))</f>
        <v/>
      </c>
      <c r="C24" s="664"/>
      <c r="D24" s="665" t="str">
        <f ca="1">IF(ISNA(VLOOKUP(B24,NXT!$C$12:$D$788,2,0)),"",VLOOKUP(B24,NXT!$C$12:$D$788,2,0))</f>
        <v/>
      </c>
      <c r="E24" s="666"/>
      <c r="F24" s="667" t="str">
        <f ca="1">IF(ROWS($1:8)&gt;COUNT(Dong10),"",OFFSET(TH!I$1,SMALL(Dong10,ROWS($1:8)),))</f>
        <v/>
      </c>
      <c r="G24" s="667" t="str">
        <f ca="1">IF(ROWS($1:8)&gt;COUNT(Dong10),"",OFFSET(TH!J$1,SMALL(Dong10,ROWS($1:8)),))</f>
        <v/>
      </c>
      <c r="H24" s="666">
        <f t="shared" ca="1" si="1"/>
        <v>0</v>
      </c>
    </row>
    <row r="25" spans="1:8" ht="11.25" customHeight="1">
      <c r="A25" s="662" t="str">
        <f t="shared" ref="A25" ca="1" si="4">IF(B25="","",A24+1)</f>
        <v/>
      </c>
      <c r="B25" s="663" t="str">
        <f ca="1">IF(ROWS($1:9)&gt;COUNT(Dong10),"",OFFSET(TH!F$1,SMALL(Dong10,ROWS($1:9)),))</f>
        <v/>
      </c>
      <c r="C25" s="664"/>
      <c r="D25" s="665" t="str">
        <f ca="1">IF(ISNA(VLOOKUP(B25,NXT!$C$12:$D$788,2,0)),"",VLOOKUP(B25,NXT!$C$12:$D$788,2,0))</f>
        <v/>
      </c>
      <c r="E25" s="666"/>
      <c r="F25" s="667" t="str">
        <f ca="1">IF(ROWS($1:9)&gt;COUNT(Dong10),"",OFFSET(TH!I$1,SMALL(Dong10,ROWS($1:9)),))</f>
        <v/>
      </c>
      <c r="G25" s="667" t="str">
        <f ca="1">IF(ROWS($1:9)&gt;COUNT(Dong10),"",OFFSET(TH!J$1,SMALL(Dong10,ROWS($1:9)),))</f>
        <v/>
      </c>
      <c r="H25" s="666">
        <f t="shared" ref="H25" ca="1" si="5">IF(F25&lt;&gt;"",ROUND(F25*G25,0),0)</f>
        <v>0</v>
      </c>
    </row>
    <row r="26" spans="1:8" ht="11.25" customHeight="1">
      <c r="A26" s="662"/>
      <c r="B26" s="663"/>
      <c r="C26" s="664"/>
      <c r="D26" s="665"/>
      <c r="E26" s="666"/>
      <c r="F26" s="667"/>
      <c r="G26" s="668"/>
      <c r="H26" s="666"/>
    </row>
    <row r="27" spans="1:8" ht="11.25" customHeight="1">
      <c r="A27" s="1061" t="s">
        <v>195</v>
      </c>
      <c r="B27" s="1061"/>
      <c r="C27" s="669"/>
      <c r="D27" s="669"/>
      <c r="E27" s="670"/>
      <c r="F27" s="670"/>
      <c r="G27" s="670"/>
      <c r="H27" s="670">
        <f ca="1">SUM(H17:H26)</f>
        <v>0</v>
      </c>
    </row>
    <row r="28" spans="1:8" ht="3" customHeight="1">
      <c r="A28" s="671"/>
      <c r="B28" s="671"/>
      <c r="C28" s="302"/>
      <c r="D28" s="302"/>
      <c r="E28" s="672"/>
      <c r="F28" s="672"/>
      <c r="G28" s="672"/>
      <c r="H28" s="672"/>
    </row>
    <row r="29" spans="1:8" ht="11.25" customHeight="1">
      <c r="A29" s="299" t="e">
        <f ca="1">"Tổng số tiền (viết bằng chữ):  "&amp;[4]!VND(H27, TRUE)</f>
        <v>#NAME?</v>
      </c>
    </row>
    <row r="30" spans="1:8" ht="11.25" customHeight="1">
      <c r="A30" s="299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1" customFormat="1" ht="11.25" customHeight="1">
      <c r="A32" s="673" t="s">
        <v>196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58" t="s">
        <v>197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5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54" customFormat="1" ht="11.25" customHeight="1"/>
    <row r="39" spans="1:8" ht="11.25" customHeight="1">
      <c r="A39" s="307"/>
      <c r="F39" s="308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0" customWidth="1"/>
    <col min="2" max="2" width="8.5703125" style="310" customWidth="1"/>
    <col min="3" max="3" width="11" style="310" customWidth="1"/>
    <col min="4" max="4" width="41.7109375" style="310" customWidth="1"/>
    <col min="5" max="5" width="8" style="323" customWidth="1"/>
    <col min="6" max="6" width="8.85546875" style="310" customWidth="1"/>
    <col min="7" max="7" width="9" style="310" customWidth="1"/>
    <col min="8" max="8" width="14.140625" style="310" customWidth="1"/>
    <col min="9" max="9" width="8.85546875" style="310" customWidth="1"/>
    <col min="10" max="10" width="13.42578125" style="310" customWidth="1"/>
    <col min="11" max="11" width="10.140625" style="310" customWidth="1"/>
    <col min="12" max="12" width="13" style="310" customWidth="1"/>
    <col min="13" max="13" width="7.140625" style="310" customWidth="1"/>
    <col min="14" max="14" width="2" style="310" customWidth="1"/>
    <col min="15" max="15" width="5.5703125" style="310" customWidth="1"/>
    <col min="16" max="16" width="4.42578125" style="310" customWidth="1"/>
    <col min="17" max="16384" width="23.85546875" style="310"/>
  </cols>
  <sheetData>
    <row r="1" spans="1:17">
      <c r="A1" s="309" t="s">
        <v>198</v>
      </c>
      <c r="E1" s="310"/>
      <c r="O1" s="311"/>
    </row>
    <row r="2" spans="1:17" s="259" customFormat="1" ht="16.5" customHeight="1">
      <c r="B2" s="312" t="str">
        <f>TH!A1</f>
        <v>Đơn vị: CÔNG TY TNHH MỘT THÀNH VIÊN KHỞI NGUYÊN AN</v>
      </c>
      <c r="C2" s="313"/>
      <c r="D2" s="314"/>
      <c r="E2" s="315"/>
      <c r="F2" s="2"/>
      <c r="J2" s="1062" t="s">
        <v>199</v>
      </c>
      <c r="K2" s="1062"/>
      <c r="L2" s="1062"/>
      <c r="M2" s="1062"/>
      <c r="N2" s="316"/>
    </row>
    <row r="3" spans="1:17" s="259" customFormat="1" ht="16.5" customHeight="1">
      <c r="B3" s="600" t="str">
        <f>TH!A2</f>
        <v>Địa chỉ: Thửa đất số 144, tờ bản đồ số 12TĐH.1, tổ 1, khu phố Đông Tác, Phường Tân Đông Hiệp, Thị Xã Dĩ An, Tỉnh Bình Dương, Việt Nam</v>
      </c>
      <c r="C3" s="312"/>
      <c r="D3" s="312"/>
      <c r="E3" s="317"/>
      <c r="F3" s="312"/>
      <c r="J3" s="1063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063"/>
      <c r="L3" s="1063"/>
      <c r="M3" s="1063"/>
      <c r="N3" s="318"/>
    </row>
    <row r="4" spans="1:17" s="259" customFormat="1" ht="16.5" customHeight="1">
      <c r="B4" s="312"/>
      <c r="C4" s="312"/>
      <c r="D4" s="312"/>
      <c r="E4" s="317"/>
      <c r="F4" s="312"/>
      <c r="J4" s="1063"/>
      <c r="K4" s="1063"/>
      <c r="L4" s="1063"/>
      <c r="M4" s="1063"/>
      <c r="N4" s="318"/>
    </row>
    <row r="5" spans="1:17" ht="18.75" customHeight="1">
      <c r="B5" s="1064" t="s">
        <v>200</v>
      </c>
      <c r="C5" s="1064"/>
      <c r="D5" s="1064"/>
      <c r="E5" s="1064"/>
      <c r="F5" s="1064"/>
      <c r="G5" s="1064"/>
      <c r="H5" s="1064"/>
      <c r="I5" s="1064"/>
      <c r="J5" s="1064"/>
      <c r="K5" s="1064"/>
      <c r="L5" s="1064"/>
      <c r="M5" s="1064"/>
      <c r="N5" s="319"/>
    </row>
    <row r="6" spans="1:17" s="320" customFormat="1" ht="12.75">
      <c r="B6" s="1065" t="s">
        <v>201</v>
      </c>
      <c r="C6" s="1065"/>
      <c r="D6" s="1065"/>
      <c r="E6" s="1065"/>
      <c r="F6" s="1065"/>
      <c r="G6" s="1065"/>
      <c r="H6" s="1065"/>
      <c r="I6" s="1065"/>
      <c r="J6" s="1065"/>
      <c r="K6" s="1065"/>
      <c r="L6" s="1065"/>
      <c r="M6" s="1065"/>
      <c r="N6" s="321"/>
    </row>
    <row r="7" spans="1:17">
      <c r="C7" s="322"/>
      <c r="D7" s="322"/>
      <c r="F7" s="324" t="s">
        <v>262</v>
      </c>
      <c r="G7" s="454" t="str">
        <f>IF($O$10="VL","1522",IF($O$10="NL","1521",IF($O$10="TP","155","")))</f>
        <v>1521</v>
      </c>
      <c r="H7" s="324" t="s">
        <v>202</v>
      </c>
      <c r="I7" s="322" t="str">
        <f>IF($O$10="NL","Nguyên Liệu",IF($O$10="TP","Thành Phẩm",IF($O$10="VL","Vật Liệu","")))</f>
        <v>Nguyên Liệu</v>
      </c>
      <c r="J7" s="322"/>
      <c r="K7" s="322"/>
      <c r="L7" s="322"/>
      <c r="M7" s="322"/>
      <c r="N7" s="323"/>
    </row>
    <row r="8" spans="1:17">
      <c r="B8" s="323"/>
      <c r="C8" s="322"/>
      <c r="D8" s="322"/>
      <c r="F8" s="323" t="s">
        <v>203</v>
      </c>
      <c r="H8" s="322"/>
      <c r="I8" s="322"/>
      <c r="J8" s="1066" t="s">
        <v>451</v>
      </c>
      <c r="K8" s="1066"/>
      <c r="L8" s="1066"/>
      <c r="M8" s="322"/>
      <c r="N8" s="322"/>
    </row>
    <row r="9" spans="1:17">
      <c r="D9" s="325"/>
      <c r="E9" s="326"/>
      <c r="F9" s="325"/>
      <c r="G9" s="325"/>
      <c r="H9" s="325"/>
      <c r="I9" s="325"/>
      <c r="J9" s="325"/>
      <c r="K9" s="325" t="s">
        <v>123</v>
      </c>
      <c r="M9" s="327"/>
      <c r="N9" s="328"/>
    </row>
    <row r="10" spans="1:17" ht="15.75" customHeight="1">
      <c r="A10" s="1068" t="s">
        <v>35</v>
      </c>
      <c r="B10" s="1069" t="s">
        <v>1</v>
      </c>
      <c r="C10" s="1069"/>
      <c r="D10" s="1070" t="s">
        <v>0</v>
      </c>
      <c r="E10" s="1070" t="s">
        <v>204</v>
      </c>
      <c r="F10" s="1070" t="s">
        <v>192</v>
      </c>
      <c r="G10" s="1072" t="s">
        <v>205</v>
      </c>
      <c r="H10" s="1073"/>
      <c r="I10" s="1072" t="s">
        <v>206</v>
      </c>
      <c r="J10" s="1073"/>
      <c r="K10" s="1072" t="s">
        <v>207</v>
      </c>
      <c r="L10" s="1073"/>
      <c r="M10" s="1070" t="s">
        <v>127</v>
      </c>
      <c r="N10" s="329"/>
      <c r="O10" s="330" t="s">
        <v>198</v>
      </c>
    </row>
    <row r="11" spans="1:17" ht="31.5" customHeight="1">
      <c r="A11" s="1068"/>
      <c r="B11" s="331" t="s">
        <v>15</v>
      </c>
      <c r="C11" s="331" t="s">
        <v>32</v>
      </c>
      <c r="D11" s="1070"/>
      <c r="E11" s="1070"/>
      <c r="F11" s="1070"/>
      <c r="G11" s="331" t="s">
        <v>191</v>
      </c>
      <c r="H11" s="331" t="s">
        <v>193</v>
      </c>
      <c r="I11" s="331" t="s">
        <v>191</v>
      </c>
      <c r="J11" s="331" t="s">
        <v>193</v>
      </c>
      <c r="K11" s="331" t="s">
        <v>191</v>
      </c>
      <c r="L11" s="331" t="s">
        <v>193</v>
      </c>
      <c r="M11" s="1070"/>
      <c r="N11" s="329"/>
    </row>
    <row r="12" spans="1:17" s="323" customFormat="1">
      <c r="A12" s="332"/>
      <c r="B12" s="333" t="s">
        <v>2</v>
      </c>
      <c r="C12" s="334" t="s">
        <v>3</v>
      </c>
      <c r="D12" s="334" t="s">
        <v>4</v>
      </c>
      <c r="E12" s="333" t="s">
        <v>5</v>
      </c>
      <c r="F12" s="333">
        <v>1</v>
      </c>
      <c r="G12" s="333">
        <v>2</v>
      </c>
      <c r="H12" s="333" t="s">
        <v>209</v>
      </c>
      <c r="I12" s="333">
        <v>4</v>
      </c>
      <c r="J12" s="333" t="s">
        <v>210</v>
      </c>
      <c r="K12" s="333">
        <v>6</v>
      </c>
      <c r="L12" s="333" t="s">
        <v>211</v>
      </c>
      <c r="M12" s="333"/>
      <c r="N12" s="335"/>
    </row>
    <row r="13" spans="1:17">
      <c r="A13" s="336"/>
      <c r="B13" s="336"/>
      <c r="C13" s="336"/>
      <c r="D13" s="337" t="s">
        <v>144</v>
      </c>
      <c r="E13" s="338"/>
      <c r="F13" s="339">
        <f>L13/K13</f>
        <v>14250</v>
      </c>
      <c r="G13" s="339"/>
      <c r="H13" s="339"/>
      <c r="I13" s="339"/>
      <c r="J13" s="339"/>
      <c r="K13" s="340">
        <f>VLOOKUP($J$8,NXT!$C$12:$L$788,3,0)</f>
        <v>3500</v>
      </c>
      <c r="L13" s="340">
        <f>VLOOKUP($J$8,NXT!$C$12:$L$788,4,0)</f>
        <v>49875000</v>
      </c>
      <c r="M13" s="339"/>
      <c r="N13" s="335"/>
    </row>
    <row r="14" spans="1:17">
      <c r="A14" s="306">
        <f ca="1">IF(B14="","",ROW()-13)</f>
        <v>1</v>
      </c>
      <c r="B14" s="341" t="str">
        <f ca="1">IF(ROWS($1:1)&gt;COUNT(Dong11),"",OFFSET(TH!D$1,SMALL(Dong11,ROWS($1:1)),))</f>
        <v>N18</v>
      </c>
      <c r="C14" s="342">
        <f ca="1">IF(ROWS($1:1)&gt;COUNT(Dong11),"",OFFSET(TH!E$1,SMALL(Dong11,ROWS($1:1)),))</f>
        <v>42420</v>
      </c>
      <c r="D14" s="343" t="str">
        <f ca="1">IF(ROWS($1:1)&gt;COUNT(Dong11),"",OFFSET(TH!H$1,SMALL(Dong11,ROWS($1:1)),))</f>
        <v>Cty TNHH TM DV Sản Xuất Bao Bì Royal</v>
      </c>
      <c r="E14" s="341" t="str">
        <f ca="1">IF(ROWS($1:1)&gt;COUNT(Dong11),"",IF(OFFSET(TH!L$1,SMALL(Dong11,ROWS($1:1)),)=$G$7,OFFSET(TH!M$1,SMALL(Dong11,ROWS($1:1)),),OFFSET(TH!L$1,SMALL(Dong11,ROWS($1:1)),)))</f>
        <v>156</v>
      </c>
      <c r="F14" s="344">
        <f ca="1">IF(ROWS($1:1)&gt;COUNT(Dong11),0,OFFSET(TH!J$1,SMALL(Dong11,ROWS($1:1)),))</f>
        <v>14250</v>
      </c>
      <c r="G14" s="344">
        <f ca="1">IF(ROWS($1:1)&gt;COUNT(Dong11),0,IF(LEFT(OFFSET(TH!D$1,SMALL(Dong11,ROWS($1:1)),),1)="N",OFFSET(TH!I$1,SMALL(Dong11,ROWS($1:1)),),0))</f>
        <v>2500</v>
      </c>
      <c r="H14" s="345">
        <f ca="1">ROUND(F14*G14,0)</f>
        <v>35625000</v>
      </c>
      <c r="I14" s="344">
        <f ca="1">IF(ROWS($1:1)&gt;COUNT(Dong11),0,IF(LEFT(OFFSET(TH!D$1,SMALL(Dong11,ROWS($1:1)),),1)="X",OFFSET(TH!I$1,SMALL(Dong11,ROWS($1:1)),),0))</f>
        <v>0</v>
      </c>
      <c r="J14" s="345">
        <f ca="1">ROUND(F14*I14,0)</f>
        <v>0</v>
      </c>
      <c r="K14" s="345">
        <f ca="1">IF(D14&lt;&gt;"",K13+G14-I14,0)</f>
        <v>6000</v>
      </c>
      <c r="L14" s="345">
        <f ca="1">IF(D14&lt;&gt;"",L13+H14-J14,0)</f>
        <v>85500000</v>
      </c>
      <c r="M14" s="345"/>
      <c r="N14" s="335"/>
    </row>
    <row r="15" spans="1:17">
      <c r="A15" s="306">
        <f t="shared" ref="A15:A24" ca="1" si="0">IF(B15="","",A14+1)</f>
        <v>2</v>
      </c>
      <c r="B15" s="341" t="str">
        <f ca="1">IF(ROWS($1:2)&gt;COUNT(Dong11),"",OFFSET(TH!D$1,SMALL(Dong11,ROWS($1:2)),))</f>
        <v>N27</v>
      </c>
      <c r="C15" s="342">
        <f ca="1">IF(ROWS($1:2)&gt;COUNT(Dong11),"",OFFSET(TH!E$1,SMALL(Dong11,ROWS($1:2)),))</f>
        <v>42447</v>
      </c>
      <c r="D15" s="343" t="str">
        <f ca="1">IF(ROWS($1:2)&gt;COUNT(Dong11),"",OFFSET(TH!H$1,SMALL(Dong11,ROWS($1:2)),))</f>
        <v>Cty TNHH TM DV Sản Xuất Bao Bì Royal</v>
      </c>
      <c r="E15" s="341" t="str">
        <f ca="1">IF(ROWS($1:2)&gt;COUNT(Dong11),"",IF(OFFSET(TH!L$1,SMALL(Dong11,ROWS($1:2)),)=$G$7,OFFSET(TH!M$1,SMALL(Dong11,ROWS($1:2)),),OFFSET(TH!L$1,SMALL(Dong11,ROWS($1:2)),)))</f>
        <v>156</v>
      </c>
      <c r="F15" s="344">
        <f ca="1">IF(ROWS($1:2)&gt;COUNT(Dong11),0,OFFSET(TH!J$1,SMALL(Dong11,ROWS($1:2)),))</f>
        <v>14250</v>
      </c>
      <c r="G15" s="344">
        <f ca="1">IF(ROWS($1:2)&gt;COUNT(Dong11),0,IF(LEFT(OFFSET(TH!D$1,SMALL(Dong11,ROWS($1:2)),),1)="N",OFFSET(TH!I$1,SMALL(Dong11,ROWS($1:2)),),0))</f>
        <v>3100</v>
      </c>
      <c r="H15" s="345">
        <f t="shared" ref="H15:H72" ca="1" si="1">ROUND(F15*G15,0)</f>
        <v>44175000</v>
      </c>
      <c r="I15" s="344">
        <f ca="1">IF(ROWS($1:2)&gt;COUNT(Dong11),0,IF(LEFT(OFFSET(TH!D$1,SMALL(Dong11,ROWS($1:2)),),1)="X",OFFSET(TH!I$1,SMALL(Dong11,ROWS($1:2)),),0))</f>
        <v>0</v>
      </c>
      <c r="J15" s="345">
        <f t="shared" ref="J15:J72" ca="1" si="2">ROUND(F15*I15,0)</f>
        <v>0</v>
      </c>
      <c r="K15" s="345">
        <f t="shared" ref="K15:K24" ca="1" si="3">IF(D15&lt;&gt;"",K14+G15-I15,0)</f>
        <v>9100</v>
      </c>
      <c r="L15" s="345">
        <f t="shared" ref="L15:L24" ca="1" si="4">IF(D15&lt;&gt;"",L14+H15-J15,0)</f>
        <v>129675000</v>
      </c>
      <c r="M15" s="345"/>
      <c r="N15" s="335"/>
      <c r="Q15" s="346"/>
    </row>
    <row r="16" spans="1:17">
      <c r="A16" s="306">
        <f t="shared" ca="1" si="0"/>
        <v>3</v>
      </c>
      <c r="B16" s="341" t="str">
        <f ca="1">IF(ROWS($1:3)&gt;COUNT(Dong11),"",OFFSET(TH!D$1,SMALL(Dong11,ROWS($1:3)),))</f>
        <v>N01</v>
      </c>
      <c r="C16" s="342">
        <f ca="1">IF(ROWS($1:3)&gt;COUNT(Dong11),"",OFFSET(TH!E$1,SMALL(Dong11,ROWS($1:3)),))</f>
        <v>42463</v>
      </c>
      <c r="D16" s="343" t="str">
        <f ca="1">IF(ROWS($1:3)&gt;COUNT(Dong11),"",OFFSET(TH!H$1,SMALL(Dong11,ROWS($1:3)),))</f>
        <v>Cty TNHH TM DV Sản Xuất Bao Bì Royal</v>
      </c>
      <c r="E16" s="341" t="str">
        <f ca="1">IF(ROWS($1:3)&gt;COUNT(Dong11),"",IF(OFFSET(TH!L$1,SMALL(Dong11,ROWS($1:3)),)=$G$7,OFFSET(TH!M$1,SMALL(Dong11,ROWS($1:3)),),OFFSET(TH!L$1,SMALL(Dong11,ROWS($1:3)),)))</f>
        <v>156</v>
      </c>
      <c r="F16" s="344">
        <f ca="1">IF(ROWS($1:3)&gt;COUNT(Dong11),0,OFFSET(TH!J$1,SMALL(Dong11,ROWS($1:3)),))</f>
        <v>14550</v>
      </c>
      <c r="G16" s="344">
        <f ca="1">IF(ROWS($1:3)&gt;COUNT(Dong11),0,IF(LEFT(OFFSET(TH!D$1,SMALL(Dong11,ROWS($1:3)),),1)="N",OFFSET(TH!I$1,SMALL(Dong11,ROWS($1:3)),),0))</f>
        <v>2817</v>
      </c>
      <c r="H16" s="345">
        <f t="shared" ca="1" si="1"/>
        <v>40987350</v>
      </c>
      <c r="I16" s="344">
        <f ca="1">IF(ROWS($1:3)&gt;COUNT(Dong11),0,IF(LEFT(OFFSET(TH!D$1,SMALL(Dong11,ROWS($1:3)),),1)="X",OFFSET(TH!I$1,SMALL(Dong11,ROWS($1:3)),),0))</f>
        <v>0</v>
      </c>
      <c r="J16" s="345">
        <f t="shared" ca="1" si="2"/>
        <v>0</v>
      </c>
      <c r="K16" s="345">
        <f t="shared" ca="1" si="3"/>
        <v>11917</v>
      </c>
      <c r="L16" s="345">
        <f t="shared" ca="1" si="4"/>
        <v>170662350</v>
      </c>
      <c r="M16" s="345"/>
      <c r="N16" s="335"/>
    </row>
    <row r="17" spans="1:17">
      <c r="A17" s="306">
        <f t="shared" ca="1" si="0"/>
        <v>4</v>
      </c>
      <c r="B17" s="341" t="str">
        <f ca="1">IF(ROWS($1:4)&gt;COUNT(Dong11),"",OFFSET(TH!D$1,SMALL(Dong11,ROWS($1:4)),))</f>
        <v>N03</v>
      </c>
      <c r="C17" s="342">
        <f ca="1">IF(ROWS($1:4)&gt;COUNT(Dong11),"",OFFSET(TH!E$1,SMALL(Dong11,ROWS($1:4)),))</f>
        <v>42480</v>
      </c>
      <c r="D17" s="343" t="str">
        <f ca="1">IF(ROWS($1:4)&gt;COUNT(Dong11),"",OFFSET(TH!H$1,SMALL(Dong11,ROWS($1:4)),))</f>
        <v>Cty TNHH TM DV Sản Xuất Bao Bì Royal</v>
      </c>
      <c r="E17" s="341" t="str">
        <f ca="1">IF(ROWS($1:4)&gt;COUNT(Dong11),"",IF(OFFSET(TH!L$1,SMALL(Dong11,ROWS($1:4)),)=$G$7,OFFSET(TH!M$1,SMALL(Dong11,ROWS($1:4)),),OFFSET(TH!L$1,SMALL(Dong11,ROWS($1:4)),)))</f>
        <v>156</v>
      </c>
      <c r="F17" s="344">
        <f ca="1">IF(ROWS($1:4)&gt;COUNT(Dong11),0,OFFSET(TH!J$1,SMALL(Dong11,ROWS($1:4)),))</f>
        <v>14250</v>
      </c>
      <c r="G17" s="344">
        <f ca="1">IF(ROWS($1:4)&gt;COUNT(Dong11),0,IF(LEFT(OFFSET(TH!D$1,SMALL(Dong11,ROWS($1:4)),),1)="N",OFFSET(TH!I$1,SMALL(Dong11,ROWS($1:4)),),0))</f>
        <v>3500</v>
      </c>
      <c r="H17" s="345">
        <f t="shared" ca="1" si="1"/>
        <v>49875000</v>
      </c>
      <c r="I17" s="344">
        <f ca="1">IF(ROWS($1:4)&gt;COUNT(Dong11),0,IF(LEFT(OFFSET(TH!D$1,SMALL(Dong11,ROWS($1:4)),),1)="X",OFFSET(TH!I$1,SMALL(Dong11,ROWS($1:4)),),0))</f>
        <v>0</v>
      </c>
      <c r="J17" s="345">
        <f t="shared" ca="1" si="2"/>
        <v>0</v>
      </c>
      <c r="K17" s="345">
        <f t="shared" ca="1" si="3"/>
        <v>15417</v>
      </c>
      <c r="L17" s="345">
        <f t="shared" ca="1" si="4"/>
        <v>220537350</v>
      </c>
      <c r="M17" s="345"/>
      <c r="N17" s="335"/>
      <c r="P17" s="347"/>
    </row>
    <row r="18" spans="1:17">
      <c r="A18" s="306">
        <f t="shared" ca="1" si="0"/>
        <v>5</v>
      </c>
      <c r="B18" s="341" t="str">
        <f ca="1">IF(ROWS($1:5)&gt;COUNT(Dong11),"",OFFSET(TH!D$1,SMALL(Dong11,ROWS($1:5)),))</f>
        <v>N05</v>
      </c>
      <c r="C18" s="342">
        <f ca="1">IF(ROWS($1:5)&gt;COUNT(Dong11),"",OFFSET(TH!E$1,SMALL(Dong11,ROWS($1:5)),))</f>
        <v>42502</v>
      </c>
      <c r="D18" s="343" t="str">
        <f ca="1">IF(ROWS($1:5)&gt;COUNT(Dong11),"",OFFSET(TH!H$1,SMALL(Dong11,ROWS($1:5)),))</f>
        <v>Cty TNHH TM DV Sản Xuất Bao Bì Royal</v>
      </c>
      <c r="E18" s="341" t="str">
        <f ca="1">IF(ROWS($1:5)&gt;COUNT(Dong11),"",IF(OFFSET(TH!L$1,SMALL(Dong11,ROWS($1:5)),)=$G$7,OFFSET(TH!M$1,SMALL(Dong11,ROWS($1:5)),),OFFSET(TH!L$1,SMALL(Dong11,ROWS($1:5)),)))</f>
        <v>156</v>
      </c>
      <c r="F18" s="344">
        <f ca="1">IF(ROWS($1:5)&gt;COUNT(Dong11),0,OFFSET(TH!J$1,SMALL(Dong11,ROWS($1:5)),))</f>
        <v>14250</v>
      </c>
      <c r="G18" s="344">
        <f ca="1">IF(ROWS($1:5)&gt;COUNT(Dong11),0,IF(LEFT(OFFSET(TH!D$1,SMALL(Dong11,ROWS($1:5)),),1)="N",OFFSET(TH!I$1,SMALL(Dong11,ROWS($1:5)),),0))</f>
        <v>3900</v>
      </c>
      <c r="H18" s="345">
        <f t="shared" ca="1" si="1"/>
        <v>55575000</v>
      </c>
      <c r="I18" s="344">
        <f ca="1">IF(ROWS($1:5)&gt;COUNT(Dong11),0,IF(LEFT(OFFSET(TH!D$1,SMALL(Dong11,ROWS($1:5)),),1)="X",OFFSET(TH!I$1,SMALL(Dong11,ROWS($1:5)),),0))</f>
        <v>0</v>
      </c>
      <c r="J18" s="345">
        <f t="shared" ca="1" si="2"/>
        <v>0</v>
      </c>
      <c r="K18" s="345">
        <f t="shared" ca="1" si="3"/>
        <v>19317</v>
      </c>
      <c r="L18" s="345">
        <f t="shared" ca="1" si="4"/>
        <v>276112350</v>
      </c>
      <c r="M18" s="345"/>
      <c r="N18" s="335"/>
    </row>
    <row r="19" spans="1:17">
      <c r="A19" s="306">
        <f t="shared" ca="1" si="0"/>
        <v>6</v>
      </c>
      <c r="B19" s="341" t="str">
        <f ca="1">IF(ROWS($1:6)&gt;COUNT(Dong11),"",OFFSET(TH!D$1,SMALL(Dong11,ROWS($1:6)),))</f>
        <v>N11</v>
      </c>
      <c r="C19" s="342">
        <f ca="1">IF(ROWS($1:6)&gt;COUNT(Dong11),"",OFFSET(TH!E$1,SMALL(Dong11,ROWS($1:6)),))</f>
        <v>42535</v>
      </c>
      <c r="D19" s="343" t="str">
        <f ca="1">IF(ROWS($1:6)&gt;COUNT(Dong11),"",OFFSET(TH!H$1,SMALL(Dong11,ROWS($1:6)),))</f>
        <v>Cty TNHH TM DV Sản Xuất Bao Bì Royal</v>
      </c>
      <c r="E19" s="341" t="str">
        <f ca="1">IF(ROWS($1:6)&gt;COUNT(Dong11),"",IF(OFFSET(TH!L$1,SMALL(Dong11,ROWS($1:6)),)=$G$7,OFFSET(TH!M$1,SMALL(Dong11,ROWS($1:6)),),OFFSET(TH!L$1,SMALL(Dong11,ROWS($1:6)),)))</f>
        <v>156</v>
      </c>
      <c r="F19" s="344">
        <f ca="1">IF(ROWS($1:6)&gt;COUNT(Dong11),0,OFFSET(TH!J$1,SMALL(Dong11,ROWS($1:6)),))</f>
        <v>17760</v>
      </c>
      <c r="G19" s="344">
        <f ca="1">IF(ROWS($1:6)&gt;COUNT(Dong11),0,IF(LEFT(OFFSET(TH!D$1,SMALL(Dong11,ROWS($1:6)),),1)="N",OFFSET(TH!I$1,SMALL(Dong11,ROWS($1:6)),),0))</f>
        <v>3900</v>
      </c>
      <c r="H19" s="345">
        <f t="shared" ca="1" si="1"/>
        <v>69264000</v>
      </c>
      <c r="I19" s="344">
        <f ca="1">IF(ROWS($1:6)&gt;COUNT(Dong11),0,IF(LEFT(OFFSET(TH!D$1,SMALL(Dong11,ROWS($1:6)),),1)="X",OFFSET(TH!I$1,SMALL(Dong11,ROWS($1:6)),),0))</f>
        <v>0</v>
      </c>
      <c r="J19" s="345">
        <f t="shared" ca="1" si="2"/>
        <v>0</v>
      </c>
      <c r="K19" s="345">
        <f t="shared" ca="1" si="3"/>
        <v>23217</v>
      </c>
      <c r="L19" s="345">
        <f t="shared" ca="1" si="4"/>
        <v>345376350</v>
      </c>
      <c r="M19" s="345"/>
      <c r="N19" s="335"/>
    </row>
    <row r="20" spans="1:17">
      <c r="A20" s="306">
        <f t="shared" ca="1" si="0"/>
        <v>7</v>
      </c>
      <c r="B20" s="341" t="str">
        <f ca="1">IF(ROWS($1:7)&gt;COUNT(Dong11),"",OFFSET(TH!D$1,SMALL(Dong11,ROWS($1:7)),))</f>
        <v>N11</v>
      </c>
      <c r="C20" s="342">
        <f ca="1">IF(ROWS($1:7)&gt;COUNT(Dong11),"",OFFSET(TH!E$1,SMALL(Dong11,ROWS($1:7)),))</f>
        <v>42535</v>
      </c>
      <c r="D20" s="343" t="str">
        <f ca="1">IF(ROWS($1:7)&gt;COUNT(Dong11),"",OFFSET(TH!H$1,SMALL(Dong11,ROWS($1:7)),))</f>
        <v>Cty TNHH TM DV Sản Xuất Bao Bì Royal</v>
      </c>
      <c r="E20" s="341" t="str">
        <f ca="1">IF(ROWS($1:7)&gt;COUNT(Dong11),"",IF(OFFSET(TH!L$1,SMALL(Dong11,ROWS($1:7)),)=$G$7,OFFSET(TH!M$1,SMALL(Dong11,ROWS($1:7)),),OFFSET(TH!L$1,SMALL(Dong11,ROWS($1:7)),)))</f>
        <v>156</v>
      </c>
      <c r="F20" s="344">
        <f ca="1">IF(ROWS($1:7)&gt;COUNT(Dong11),0,OFFSET(TH!J$1,SMALL(Dong11,ROWS($1:7)),))</f>
        <v>10080</v>
      </c>
      <c r="G20" s="344">
        <f ca="1">IF(ROWS($1:7)&gt;COUNT(Dong11),0,IF(LEFT(OFFSET(TH!D$1,SMALL(Dong11,ROWS($1:7)),),1)="N",OFFSET(TH!I$1,SMALL(Dong11,ROWS($1:7)),),0))</f>
        <v>1000</v>
      </c>
      <c r="H20" s="345">
        <f t="shared" ca="1" si="1"/>
        <v>10080000</v>
      </c>
      <c r="I20" s="344">
        <f ca="1">IF(ROWS($1:7)&gt;COUNT(Dong11),0,IF(LEFT(OFFSET(TH!D$1,SMALL(Dong11,ROWS($1:7)),),1)="X",OFFSET(TH!I$1,SMALL(Dong11,ROWS($1:7)),),0))</f>
        <v>0</v>
      </c>
      <c r="J20" s="345">
        <f t="shared" ca="1" si="2"/>
        <v>0</v>
      </c>
      <c r="K20" s="345">
        <f t="shared" ca="1" si="3"/>
        <v>24217</v>
      </c>
      <c r="L20" s="345">
        <f t="shared" ca="1" si="4"/>
        <v>355456350</v>
      </c>
      <c r="M20" s="345"/>
      <c r="N20" s="335"/>
    </row>
    <row r="21" spans="1:17">
      <c r="A21" s="306">
        <f t="shared" ca="1" si="0"/>
        <v>8</v>
      </c>
      <c r="B21" s="341" t="str">
        <f ca="1">IF(ROWS($1:8)&gt;COUNT(Dong11),"",OFFSET(TH!D$1,SMALL(Dong11,ROWS($1:8)),))</f>
        <v>N14</v>
      </c>
      <c r="C21" s="342">
        <f ca="1">IF(ROWS($1:8)&gt;COUNT(Dong11),"",OFFSET(TH!E$1,SMALL(Dong11,ROWS($1:8)),))</f>
        <v>42546</v>
      </c>
      <c r="D21" s="343" t="str">
        <f ca="1">IF(ROWS($1:8)&gt;COUNT(Dong11),"",OFFSET(TH!H$1,SMALL(Dong11,ROWS($1:8)),))</f>
        <v>Cty TNHH TM DV Sản Xuất Bao Bì Royal</v>
      </c>
      <c r="E21" s="341" t="str">
        <f ca="1">IF(ROWS($1:8)&gt;COUNT(Dong11),"",IF(OFFSET(TH!L$1,SMALL(Dong11,ROWS($1:8)),)=$G$7,OFFSET(TH!M$1,SMALL(Dong11,ROWS($1:8)),),OFFSET(TH!L$1,SMALL(Dong11,ROWS($1:8)),)))</f>
        <v>156</v>
      </c>
      <c r="F21" s="344">
        <f ca="1">IF(ROWS($1:8)&gt;COUNT(Dong11),0,OFFSET(TH!J$1,SMALL(Dong11,ROWS($1:8)),))</f>
        <v>17760</v>
      </c>
      <c r="G21" s="344">
        <f ca="1">IF(ROWS($1:8)&gt;COUNT(Dong11),0,IF(LEFT(OFFSET(TH!D$1,SMALL(Dong11,ROWS($1:8)),),1)="N",OFFSET(TH!I$1,SMALL(Dong11,ROWS($1:8)),),0))</f>
        <v>1400</v>
      </c>
      <c r="H21" s="345">
        <f t="shared" ca="1" si="1"/>
        <v>24864000</v>
      </c>
      <c r="I21" s="344">
        <f ca="1">IF(ROWS($1:8)&gt;COUNT(Dong11),0,IF(LEFT(OFFSET(TH!D$1,SMALL(Dong11,ROWS($1:8)),),1)="X",OFFSET(TH!I$1,SMALL(Dong11,ROWS($1:8)),),0))</f>
        <v>0</v>
      </c>
      <c r="J21" s="345">
        <f t="shared" ca="1" si="2"/>
        <v>0</v>
      </c>
      <c r="K21" s="345">
        <f t="shared" ca="1" si="3"/>
        <v>25617</v>
      </c>
      <c r="L21" s="345">
        <f t="shared" ca="1" si="4"/>
        <v>380320350</v>
      </c>
      <c r="M21" s="345"/>
      <c r="N21" s="335"/>
    </row>
    <row r="22" spans="1:17">
      <c r="A22" s="306">
        <f t="shared" ca="1" si="0"/>
        <v>9</v>
      </c>
      <c r="B22" s="341" t="str">
        <f ca="1">IF(ROWS($1:9)&gt;COUNT(Dong11),"",OFFSET(TH!D$1,SMALL(Dong11,ROWS($1:9)),))</f>
        <v>N15</v>
      </c>
      <c r="C22" s="342">
        <f ca="1">IF(ROWS($1:9)&gt;COUNT(Dong11),"",OFFSET(TH!E$1,SMALL(Dong11,ROWS($1:9)),))</f>
        <v>42549</v>
      </c>
      <c r="D22" s="343" t="str">
        <f ca="1">IF(ROWS($1:9)&gt;COUNT(Dong11),"",OFFSET(TH!H$1,SMALL(Dong11,ROWS($1:9)),))</f>
        <v>Cty TNHH TM DV Sản Xuất Bao Bì Royal</v>
      </c>
      <c r="E22" s="341" t="str">
        <f ca="1">IF(ROWS($1:9)&gt;COUNT(Dong11),"",IF(OFFSET(TH!L$1,SMALL(Dong11,ROWS($1:9)),)=$G$7,OFFSET(TH!M$1,SMALL(Dong11,ROWS($1:9)),),OFFSET(TH!L$1,SMALL(Dong11,ROWS($1:9)),)))</f>
        <v>156</v>
      </c>
      <c r="F22" s="344">
        <f ca="1">IF(ROWS($1:9)&gt;COUNT(Dong11),0,OFFSET(TH!J$1,SMALL(Dong11,ROWS($1:9)),))</f>
        <v>10560</v>
      </c>
      <c r="G22" s="344">
        <f ca="1">IF(ROWS($1:9)&gt;COUNT(Dong11),0,IF(LEFT(OFFSET(TH!D$1,SMALL(Dong11,ROWS($1:9)),),1)="N",OFFSET(TH!I$1,SMALL(Dong11,ROWS($1:9)),),0))</f>
        <v>1500</v>
      </c>
      <c r="H22" s="345">
        <f t="shared" ca="1" si="1"/>
        <v>15840000</v>
      </c>
      <c r="I22" s="344">
        <f ca="1">IF(ROWS($1:9)&gt;COUNT(Dong11),0,IF(LEFT(OFFSET(TH!D$1,SMALL(Dong11,ROWS($1:9)),),1)="X",OFFSET(TH!I$1,SMALL(Dong11,ROWS($1:9)),),0))</f>
        <v>0</v>
      </c>
      <c r="J22" s="345">
        <f t="shared" ca="1" si="2"/>
        <v>0</v>
      </c>
      <c r="K22" s="345">
        <f t="shared" ca="1" si="3"/>
        <v>27117</v>
      </c>
      <c r="L22" s="345">
        <f t="shared" ca="1" si="4"/>
        <v>396160350</v>
      </c>
      <c r="M22" s="345"/>
      <c r="N22" s="335"/>
    </row>
    <row r="23" spans="1:17">
      <c r="A23" s="306">
        <f t="shared" ca="1" si="0"/>
        <v>10</v>
      </c>
      <c r="B23" s="341" t="str">
        <f ca="1">IF(ROWS($1:10)&gt;COUNT(Dong11),"",OFFSET(TH!D$1,SMALL(Dong11,ROWS($1:10)),))</f>
        <v>N04</v>
      </c>
      <c r="C23" s="342">
        <f ca="1">IF(ROWS($1:10)&gt;COUNT(Dong11),"",OFFSET(TH!E$1,SMALL(Dong11,ROWS($1:10)),))</f>
        <v>42576</v>
      </c>
      <c r="D23" s="343" t="str">
        <f ca="1">IF(ROWS($1:10)&gt;COUNT(Dong11),"",OFFSET(TH!H$1,SMALL(Dong11,ROWS($1:10)),))</f>
        <v>Cty TNHH TM DV Sản Xuất Bao Bì Royal</v>
      </c>
      <c r="E23" s="341" t="str">
        <f ca="1">IF(ROWS($1:10)&gt;COUNT(Dong11),"",IF(OFFSET(TH!L$1,SMALL(Dong11,ROWS($1:10)),)=$G$7,OFFSET(TH!M$1,SMALL(Dong11,ROWS($1:10)),),OFFSET(TH!L$1,SMALL(Dong11,ROWS($1:10)),)))</f>
        <v>156</v>
      </c>
      <c r="F23" s="344">
        <f ca="1">IF(ROWS($1:10)&gt;COUNT(Dong11),0,OFFSET(TH!J$1,SMALL(Dong11,ROWS($1:10)),))</f>
        <v>17575</v>
      </c>
      <c r="G23" s="344">
        <f ca="1">IF(ROWS($1:10)&gt;COUNT(Dong11),0,IF(LEFT(OFFSET(TH!D$1,SMALL(Dong11,ROWS($1:10)),),1)="N",OFFSET(TH!I$1,SMALL(Dong11,ROWS($1:10)),),0))</f>
        <v>2900</v>
      </c>
      <c r="H23" s="345">
        <f t="shared" ca="1" si="1"/>
        <v>50967500</v>
      </c>
      <c r="I23" s="344">
        <f ca="1">IF(ROWS($1:10)&gt;COUNT(Dong11),0,IF(LEFT(OFFSET(TH!D$1,SMALL(Dong11,ROWS($1:10)),),1)="X",OFFSET(TH!I$1,SMALL(Dong11,ROWS($1:10)),),0))</f>
        <v>0</v>
      </c>
      <c r="J23" s="345">
        <f t="shared" ca="1" si="2"/>
        <v>0</v>
      </c>
      <c r="K23" s="345">
        <f t="shared" ca="1" si="3"/>
        <v>30017</v>
      </c>
      <c r="L23" s="345">
        <f t="shared" ca="1" si="4"/>
        <v>447127850</v>
      </c>
      <c r="M23" s="345"/>
      <c r="N23" s="335"/>
      <c r="Q23" s="934">
        <f ca="1">(H21+H20)/(G21+G20)</f>
        <v>14560</v>
      </c>
    </row>
    <row r="24" spans="1:17">
      <c r="A24" s="306">
        <f t="shared" ca="1" si="0"/>
        <v>11</v>
      </c>
      <c r="B24" s="341" t="str">
        <f ca="1">IF(ROWS($1:11)&gt;COUNT(Dong11),"",OFFSET(TH!D$1,SMALL(Dong11,ROWS($1:11)),))</f>
        <v>N06</v>
      </c>
      <c r="C24" s="342">
        <f ca="1">IF(ROWS($1:11)&gt;COUNT(Dong11),"",OFFSET(TH!E$1,SMALL(Dong11,ROWS($1:11)),))</f>
        <v>42579</v>
      </c>
      <c r="D24" s="343" t="str">
        <f ca="1">IF(ROWS($1:11)&gt;COUNT(Dong11),"",OFFSET(TH!H$1,SMALL(Dong11,ROWS($1:11)),))</f>
        <v>Cty TNHH TM DV Sản Xuất Bao Bì Royal</v>
      </c>
      <c r="E24" s="341" t="str">
        <f ca="1">IF(ROWS($1:11)&gt;COUNT(Dong11),"",IF(OFFSET(TH!L$1,SMALL(Dong11,ROWS($1:11)),)=$G$7,OFFSET(TH!M$1,SMALL(Dong11,ROWS($1:11)),),OFFSET(TH!L$1,SMALL(Dong11,ROWS($1:11)),)))</f>
        <v>156</v>
      </c>
      <c r="F24" s="344">
        <f ca="1">IF(ROWS($1:11)&gt;COUNT(Dong11),0,OFFSET(TH!J$1,SMALL(Dong11,ROWS($1:11)),))</f>
        <v>10500</v>
      </c>
      <c r="G24" s="344">
        <f ca="1">IF(ROWS($1:11)&gt;COUNT(Dong11),0,IF(LEFT(OFFSET(TH!D$1,SMALL(Dong11,ROWS($1:11)),),1)="N",OFFSET(TH!I$1,SMALL(Dong11,ROWS($1:11)),),0))</f>
        <v>2337</v>
      </c>
      <c r="H24" s="345">
        <f t="shared" ca="1" si="1"/>
        <v>24538500</v>
      </c>
      <c r="I24" s="344">
        <f ca="1">IF(ROWS($1:11)&gt;COUNT(Dong11),0,IF(LEFT(OFFSET(TH!D$1,SMALL(Dong11,ROWS($1:11)),),1)="X",OFFSET(TH!I$1,SMALL(Dong11,ROWS($1:11)),),0))</f>
        <v>0</v>
      </c>
      <c r="J24" s="345">
        <f t="shared" ca="1" si="2"/>
        <v>0</v>
      </c>
      <c r="K24" s="345">
        <f t="shared" ca="1" si="3"/>
        <v>32354</v>
      </c>
      <c r="L24" s="345">
        <f t="shared" ca="1" si="4"/>
        <v>471666350</v>
      </c>
      <c r="M24" s="345"/>
      <c r="N24" s="335"/>
    </row>
    <row r="25" spans="1:17">
      <c r="A25" s="306">
        <f t="shared" ref="A25:A38" ca="1" si="5">IF(B25="","",A24+1)</f>
        <v>12</v>
      </c>
      <c r="B25" s="341" t="str">
        <f ca="1">IF(ROWS($1:12)&gt;COUNT(Dong11),"",OFFSET(TH!D$1,SMALL(Dong11,ROWS($1:12)),))</f>
        <v>N14</v>
      </c>
      <c r="C25" s="342">
        <f ca="1">IF(ROWS($1:12)&gt;COUNT(Dong11),"",OFFSET(TH!E$1,SMALL(Dong11,ROWS($1:12)),))</f>
        <v>42602</v>
      </c>
      <c r="D25" s="343" t="str">
        <f ca="1">IF(ROWS($1:12)&gt;COUNT(Dong11),"",OFFSET(TH!H$1,SMALL(Dong11,ROWS($1:12)),))</f>
        <v>Cty TNHH TM DV Sản Xuất Bao Bì Royal</v>
      </c>
      <c r="E25" s="341" t="str">
        <f ca="1">IF(ROWS($1:12)&gt;COUNT(Dong11),"",IF(OFFSET(TH!L$1,SMALL(Dong11,ROWS($1:12)),)=$G$7,OFFSET(TH!M$1,SMALL(Dong11,ROWS($1:12)),),OFFSET(TH!L$1,SMALL(Dong11,ROWS($1:12)),)))</f>
        <v>156</v>
      </c>
      <c r="F25" s="344">
        <f ca="1">IF(ROWS($1:12)&gt;COUNT(Dong11),0,OFFSET(TH!J$1,SMALL(Dong11,ROWS($1:12)),))</f>
        <v>17575</v>
      </c>
      <c r="G25" s="344">
        <f ca="1">IF(ROWS($1:12)&gt;COUNT(Dong11),0,IF(LEFT(OFFSET(TH!D$1,SMALL(Dong11,ROWS($1:12)),),1)="N",OFFSET(TH!I$1,SMALL(Dong11,ROWS($1:12)),),0))</f>
        <v>4400</v>
      </c>
      <c r="H25" s="345">
        <f t="shared" ca="1" si="1"/>
        <v>77330000</v>
      </c>
      <c r="I25" s="344">
        <f ca="1">IF(ROWS($1:12)&gt;COUNT(Dong11),0,IF(LEFT(OFFSET(TH!D$1,SMALL(Dong11,ROWS($1:12)),),1)="X",OFFSET(TH!I$1,SMALL(Dong11,ROWS($1:12)),),0))</f>
        <v>0</v>
      </c>
      <c r="J25" s="345">
        <f t="shared" ca="1" si="2"/>
        <v>0</v>
      </c>
      <c r="K25" s="345">
        <f t="shared" ref="K25:K38" ca="1" si="6">IF(D25&lt;&gt;"",K24+G25-I25,0)</f>
        <v>36754</v>
      </c>
      <c r="L25" s="345">
        <f t="shared" ref="L25:L38" ca="1" si="7">IF(D25&lt;&gt;"",L24+H25-J25,0)</f>
        <v>548996350</v>
      </c>
      <c r="M25" s="345"/>
      <c r="N25" s="335"/>
    </row>
    <row r="26" spans="1:17">
      <c r="A26" s="306">
        <f t="shared" ca="1" si="5"/>
        <v>13</v>
      </c>
      <c r="B26" s="341">
        <f ca="1">IF(ROWS($1:13)&gt;COUNT(Dong11),"",OFFSET(TH!D$1,SMALL(Dong11,ROWS($1:13)),))</f>
        <v>0</v>
      </c>
      <c r="C26" s="342">
        <f ca="1">IF(ROWS($1:13)&gt;COUNT(Dong11),"",OFFSET(TH!E$1,SMALL(Dong11,ROWS($1:13)),))</f>
        <v>42629</v>
      </c>
      <c r="D26" s="343" t="str">
        <f ca="1">IF(ROWS($1:13)&gt;COUNT(Dong11),"",OFFSET(TH!H$1,SMALL(Dong11,ROWS($1:13)),))</f>
        <v>Cty TNHH TM DV Sản Xuất Bao Bì Royal</v>
      </c>
      <c r="E26" s="341" t="str">
        <f ca="1">IF(ROWS($1:13)&gt;COUNT(Dong11),"",IF(OFFSET(TH!L$1,SMALL(Dong11,ROWS($1:13)),)=$G$7,OFFSET(TH!M$1,SMALL(Dong11,ROWS($1:13)),),OFFSET(TH!L$1,SMALL(Dong11,ROWS($1:13)),)))</f>
        <v>156</v>
      </c>
      <c r="F26" s="344">
        <f ca="1">IF(ROWS($1:13)&gt;COUNT(Dong11),0,OFFSET(TH!J$1,SMALL(Dong11,ROWS($1:13)),))</f>
        <v>9975</v>
      </c>
      <c r="G26" s="344">
        <f ca="1">IF(ROWS($1:13)&gt;COUNT(Dong11),0,IF(LEFT(OFFSET(TH!D$1,SMALL(Dong11,ROWS($1:13)),),1)="N",OFFSET(TH!I$1,SMALL(Dong11,ROWS($1:13)),),0))</f>
        <v>0</v>
      </c>
      <c r="H26" s="345">
        <f t="shared" ca="1" si="1"/>
        <v>0</v>
      </c>
      <c r="I26" s="344">
        <f ca="1">IF(ROWS($1:13)&gt;COUNT(Dong11),0,IF(LEFT(OFFSET(TH!D$1,SMALL(Dong11,ROWS($1:13)),),1)="X",OFFSET(TH!I$1,SMALL(Dong11,ROWS($1:13)),),0))</f>
        <v>0</v>
      </c>
      <c r="J26" s="345">
        <f t="shared" ca="1" si="2"/>
        <v>0</v>
      </c>
      <c r="K26" s="345">
        <f t="shared" ca="1" si="6"/>
        <v>36754</v>
      </c>
      <c r="L26" s="345">
        <f t="shared" ca="1" si="7"/>
        <v>548996350</v>
      </c>
      <c r="M26" s="345"/>
      <c r="N26" s="335"/>
    </row>
    <row r="27" spans="1:17">
      <c r="A27" s="306">
        <f t="shared" ca="1" si="5"/>
        <v>14</v>
      </c>
      <c r="B27" s="341">
        <f ca="1">IF(ROWS($1:14)&gt;COUNT(Dong11),"",OFFSET(TH!D$1,SMALL(Dong11,ROWS($1:14)),))</f>
        <v>0</v>
      </c>
      <c r="C27" s="342">
        <f ca="1">IF(ROWS($1:14)&gt;COUNT(Dong11),"",OFFSET(TH!E$1,SMALL(Dong11,ROWS($1:14)),))</f>
        <v>42633</v>
      </c>
      <c r="D27" s="343" t="str">
        <f ca="1">IF(ROWS($1:14)&gt;COUNT(Dong11),"",OFFSET(TH!H$1,SMALL(Dong11,ROWS($1:14)),))</f>
        <v>Cty TNHH TM DV Sản Xuất Bao Bì Royal</v>
      </c>
      <c r="E27" s="341" t="str">
        <f ca="1">IF(ROWS($1:14)&gt;COUNT(Dong11),"",IF(OFFSET(TH!L$1,SMALL(Dong11,ROWS($1:14)),)=$G$7,OFFSET(TH!M$1,SMALL(Dong11,ROWS($1:14)),),OFFSET(TH!L$1,SMALL(Dong11,ROWS($1:14)),)))</f>
        <v>156</v>
      </c>
      <c r="F27" s="344">
        <f ca="1">IF(ROWS($1:14)&gt;COUNT(Dong11),0,OFFSET(TH!J$1,SMALL(Dong11,ROWS($1:14)),))</f>
        <v>17575</v>
      </c>
      <c r="G27" s="344">
        <f ca="1">IF(ROWS($1:14)&gt;COUNT(Dong11),0,IF(LEFT(OFFSET(TH!D$1,SMALL(Dong11,ROWS($1:14)),),1)="N",OFFSET(TH!I$1,SMALL(Dong11,ROWS($1:14)),),0))</f>
        <v>0</v>
      </c>
      <c r="H27" s="345">
        <f t="shared" ca="1" si="1"/>
        <v>0</v>
      </c>
      <c r="I27" s="344">
        <f ca="1">IF(ROWS($1:14)&gt;COUNT(Dong11),0,IF(LEFT(OFFSET(TH!D$1,SMALL(Dong11,ROWS($1:14)),),1)="X",OFFSET(TH!I$1,SMALL(Dong11,ROWS($1:14)),),0))</f>
        <v>0</v>
      </c>
      <c r="J27" s="345">
        <f t="shared" ca="1" si="2"/>
        <v>0</v>
      </c>
      <c r="K27" s="345">
        <f t="shared" ca="1" si="6"/>
        <v>36754</v>
      </c>
      <c r="L27" s="345">
        <f t="shared" ca="1" si="7"/>
        <v>548996350</v>
      </c>
      <c r="M27" s="345"/>
      <c r="N27" s="335"/>
    </row>
    <row r="28" spans="1:17">
      <c r="A28" s="306">
        <f t="shared" ca="1" si="5"/>
        <v>15</v>
      </c>
      <c r="B28" s="341">
        <f ca="1">IF(ROWS($1:15)&gt;COUNT(Dong11),"",OFFSET(TH!D$1,SMALL(Dong11,ROWS($1:15)),))</f>
        <v>0</v>
      </c>
      <c r="C28" s="342">
        <f ca="1">IF(ROWS($1:15)&gt;COUNT(Dong11),"",OFFSET(TH!E$1,SMALL(Dong11,ROWS($1:15)),))</f>
        <v>42633</v>
      </c>
      <c r="D28" s="343" t="str">
        <f ca="1">IF(ROWS($1:15)&gt;COUNT(Dong11),"",OFFSET(TH!H$1,SMALL(Dong11,ROWS($1:15)),))</f>
        <v>Cty TNHH TM DV Sản Xuất Bao Bì Royal</v>
      </c>
      <c r="E28" s="341" t="str">
        <f ca="1">IF(ROWS($1:15)&gt;COUNT(Dong11),"",IF(OFFSET(TH!L$1,SMALL(Dong11,ROWS($1:15)),)=$G$7,OFFSET(TH!M$1,SMALL(Dong11,ROWS($1:15)),),OFFSET(TH!L$1,SMALL(Dong11,ROWS($1:15)),)))</f>
        <v>156</v>
      </c>
      <c r="F28" s="344">
        <f ca="1">IF(ROWS($1:15)&gt;COUNT(Dong11),0,OFFSET(TH!J$1,SMALL(Dong11,ROWS($1:15)),))</f>
        <v>17575</v>
      </c>
      <c r="G28" s="344">
        <f ca="1">IF(ROWS($1:15)&gt;COUNT(Dong11),0,IF(LEFT(OFFSET(TH!D$1,SMALL(Dong11,ROWS($1:15)),),1)="N",OFFSET(TH!I$1,SMALL(Dong11,ROWS($1:15)),),0))</f>
        <v>0</v>
      </c>
      <c r="H28" s="345">
        <f t="shared" ca="1" si="1"/>
        <v>0</v>
      </c>
      <c r="I28" s="344">
        <f ca="1">IF(ROWS($1:15)&gt;COUNT(Dong11),0,IF(LEFT(OFFSET(TH!D$1,SMALL(Dong11,ROWS($1:15)),),1)="X",OFFSET(TH!I$1,SMALL(Dong11,ROWS($1:15)),),0))</f>
        <v>0</v>
      </c>
      <c r="J28" s="345">
        <f t="shared" ca="1" si="2"/>
        <v>0</v>
      </c>
      <c r="K28" s="345">
        <f t="shared" ca="1" si="6"/>
        <v>36754</v>
      </c>
      <c r="L28" s="345">
        <f t="shared" ca="1" si="7"/>
        <v>548996350</v>
      </c>
      <c r="M28" s="345"/>
      <c r="N28" s="335"/>
    </row>
    <row r="29" spans="1:17">
      <c r="A29" s="306">
        <f t="shared" ca="1" si="5"/>
        <v>16</v>
      </c>
      <c r="B29" s="341" t="str">
        <f ca="1">IF(ROWS($1:16)&gt;COUNT(Dong11),"",OFFSET(TH!D$1,SMALL(Dong11,ROWS($1:16)),))</f>
        <v>XB/GV</v>
      </c>
      <c r="C29" s="342">
        <f ca="1">IF(ROWS($1:16)&gt;COUNT(Dong11),"",OFFSET(TH!E$1,SMALL(Dong11,ROWS($1:16)),))</f>
        <v>42373</v>
      </c>
      <c r="D29" s="343" t="str">
        <f ca="1">IF(ROWS($1:16)&gt;COUNT(Dong11),"",OFFSET(TH!H$1,SMALL(Dong11,ROWS($1:16)),))</f>
        <v>Xuất bán</v>
      </c>
      <c r="E29" s="341" t="str">
        <f ca="1">IF(ROWS($1:16)&gt;COUNT(Dong11),"",IF(OFFSET(TH!L$1,SMALL(Dong11,ROWS($1:16)),)=$G$7,OFFSET(TH!M$1,SMALL(Dong11,ROWS($1:16)),),OFFSET(TH!L$1,SMALL(Dong11,ROWS($1:16)),)))</f>
        <v>632</v>
      </c>
      <c r="F29" s="344">
        <f ca="1">IF(ROWS($1:16)&gt;COUNT(Dong11),0,OFFSET(TH!J$1,SMALL(Dong11,ROWS($1:16)),))</f>
        <v>14250</v>
      </c>
      <c r="G29" s="344">
        <f ca="1">IF(ROWS($1:16)&gt;COUNT(Dong11),0,IF(LEFT(OFFSET(TH!D$1,SMALL(Dong11,ROWS($1:16)),),1)="N",OFFSET(TH!I$1,SMALL(Dong11,ROWS($1:16)),),0))</f>
        <v>0</v>
      </c>
      <c r="H29" s="345">
        <f t="shared" ca="1" si="1"/>
        <v>0</v>
      </c>
      <c r="I29" s="344">
        <f ca="1">IF(ROWS($1:16)&gt;COUNT(Dong11),0,IF(LEFT(OFFSET(TH!D$1,SMALL(Dong11,ROWS($1:16)),),1)="X",OFFSET(TH!I$1,SMALL(Dong11,ROWS($1:16)),),0))</f>
        <v>3000</v>
      </c>
      <c r="J29" s="345">
        <f t="shared" ca="1" si="2"/>
        <v>42750000</v>
      </c>
      <c r="K29" s="345">
        <f t="shared" ca="1" si="6"/>
        <v>33754</v>
      </c>
      <c r="L29" s="345">
        <f t="shared" ca="1" si="7"/>
        <v>506246350</v>
      </c>
      <c r="M29" s="345"/>
      <c r="N29" s="335"/>
    </row>
    <row r="30" spans="1:17">
      <c r="A30" s="306">
        <f t="shared" ca="1" si="5"/>
        <v>17</v>
      </c>
      <c r="B30" s="341" t="str">
        <f ca="1">IF(ROWS($1:17)&gt;COUNT(Dong11),"",OFFSET(TH!D$1,SMALL(Dong11,ROWS($1:17)),))</f>
        <v>XB/GV</v>
      </c>
      <c r="C30" s="342">
        <f ca="1">IF(ROWS($1:17)&gt;COUNT(Dong11),"",OFFSET(TH!E$1,SMALL(Dong11,ROWS($1:17)),))</f>
        <v>42422</v>
      </c>
      <c r="D30" s="343" t="str">
        <f ca="1">IF(ROWS($1:17)&gt;COUNT(Dong11),"",OFFSET(TH!H$1,SMALL(Dong11,ROWS($1:17)),))</f>
        <v>Xuất bán</v>
      </c>
      <c r="E30" s="341" t="str">
        <f ca="1">IF(ROWS($1:17)&gt;COUNT(Dong11),"",IF(OFFSET(TH!L$1,SMALL(Dong11,ROWS($1:17)),)=$G$7,OFFSET(TH!M$1,SMALL(Dong11,ROWS($1:17)),),OFFSET(TH!L$1,SMALL(Dong11,ROWS($1:17)),)))</f>
        <v>632</v>
      </c>
      <c r="F30" s="344">
        <f ca="1">IF(ROWS($1:17)&gt;COUNT(Dong11),0,OFFSET(TH!J$1,SMALL(Dong11,ROWS($1:17)),))</f>
        <v>14250</v>
      </c>
      <c r="G30" s="344">
        <f ca="1">IF(ROWS($1:17)&gt;COUNT(Dong11),0,IF(LEFT(OFFSET(TH!D$1,SMALL(Dong11,ROWS($1:17)),),1)="N",OFFSET(TH!I$1,SMALL(Dong11,ROWS($1:17)),),0))</f>
        <v>0</v>
      </c>
      <c r="H30" s="345">
        <f t="shared" ca="1" si="1"/>
        <v>0</v>
      </c>
      <c r="I30" s="344">
        <f ca="1">IF(ROWS($1:17)&gt;COUNT(Dong11),0,IF(LEFT(OFFSET(TH!D$1,SMALL(Dong11,ROWS($1:17)),),1)="X",OFFSET(TH!I$1,SMALL(Dong11,ROWS($1:17)),),0))</f>
        <v>3000</v>
      </c>
      <c r="J30" s="345">
        <f t="shared" ca="1" si="2"/>
        <v>42750000</v>
      </c>
      <c r="K30" s="345">
        <f t="shared" ca="1" si="6"/>
        <v>30754</v>
      </c>
      <c r="L30" s="345">
        <f t="shared" ca="1" si="7"/>
        <v>463496350</v>
      </c>
      <c r="M30" s="345"/>
      <c r="N30" s="335"/>
    </row>
    <row r="31" spans="1:17">
      <c r="A31" s="306">
        <f t="shared" ca="1" si="5"/>
        <v>18</v>
      </c>
      <c r="B31" s="341" t="str">
        <f ca="1">IF(ROWS($1:18)&gt;COUNT(Dong11),"",OFFSET(TH!D$1,SMALL(Dong11,ROWS($1:18)),))</f>
        <v>XB/GV</v>
      </c>
      <c r="C31" s="342">
        <f ca="1">IF(ROWS($1:18)&gt;COUNT(Dong11),"",OFFSET(TH!E$1,SMALL(Dong11,ROWS($1:18)),))</f>
        <v>42449</v>
      </c>
      <c r="D31" s="343" t="str">
        <f ca="1">IF(ROWS($1:18)&gt;COUNT(Dong11),"",OFFSET(TH!H$1,SMALL(Dong11,ROWS($1:18)),))</f>
        <v>Xuất bán</v>
      </c>
      <c r="E31" s="341" t="str">
        <f ca="1">IF(ROWS($1:18)&gt;COUNT(Dong11),"",IF(OFFSET(TH!L$1,SMALL(Dong11,ROWS($1:18)),)=$G$7,OFFSET(TH!M$1,SMALL(Dong11,ROWS($1:18)),),OFFSET(TH!L$1,SMALL(Dong11,ROWS($1:18)),)))</f>
        <v>632</v>
      </c>
      <c r="F31" s="344">
        <f ca="1">IF(ROWS($1:18)&gt;COUNT(Dong11),0,OFFSET(TH!J$1,SMALL(Dong11,ROWS($1:18)),))</f>
        <v>14250</v>
      </c>
      <c r="G31" s="344">
        <f ca="1">IF(ROWS($1:18)&gt;COUNT(Dong11),0,IF(LEFT(OFFSET(TH!D$1,SMALL(Dong11,ROWS($1:18)),),1)="N",OFFSET(TH!I$1,SMALL(Dong11,ROWS($1:18)),),0))</f>
        <v>0</v>
      </c>
      <c r="H31" s="345">
        <f t="shared" ca="1" si="1"/>
        <v>0</v>
      </c>
      <c r="I31" s="344">
        <f ca="1">IF(ROWS($1:18)&gt;COUNT(Dong11),0,IF(LEFT(OFFSET(TH!D$1,SMALL(Dong11,ROWS($1:18)),),1)="X",OFFSET(TH!I$1,SMALL(Dong11,ROWS($1:18)),),0))</f>
        <v>3100</v>
      </c>
      <c r="J31" s="345">
        <f t="shared" ca="1" si="2"/>
        <v>44175000</v>
      </c>
      <c r="K31" s="345">
        <f t="shared" ca="1" si="6"/>
        <v>27654</v>
      </c>
      <c r="L31" s="345">
        <f t="shared" ca="1" si="7"/>
        <v>419321350</v>
      </c>
      <c r="M31" s="345"/>
      <c r="N31" s="335"/>
    </row>
    <row r="32" spans="1:17">
      <c r="A32" s="306">
        <f t="shared" ca="1" si="5"/>
        <v>19</v>
      </c>
      <c r="B32" s="341" t="str">
        <f ca="1">IF(ROWS($1:19)&gt;COUNT(Dong11),"",OFFSET(TH!D$1,SMALL(Dong11,ROWS($1:19)),))</f>
        <v>XB/GV</v>
      </c>
      <c r="C32" s="342">
        <f ca="1">IF(ROWS($1:19)&gt;COUNT(Dong11),"",OFFSET(TH!E$1,SMALL(Dong11,ROWS($1:19)),))</f>
        <v>42449</v>
      </c>
      <c r="D32" s="343" t="str">
        <f ca="1">IF(ROWS($1:19)&gt;COUNT(Dong11),"",OFFSET(TH!H$1,SMALL(Dong11,ROWS($1:19)),))</f>
        <v>Xuất bán</v>
      </c>
      <c r="E32" s="341" t="str">
        <f ca="1">IF(ROWS($1:19)&gt;COUNT(Dong11),"",IF(OFFSET(TH!L$1,SMALL(Dong11,ROWS($1:19)),)=$G$7,OFFSET(TH!M$1,SMALL(Dong11,ROWS($1:19)),),OFFSET(TH!L$1,SMALL(Dong11,ROWS($1:19)),)))</f>
        <v>632</v>
      </c>
      <c r="F32" s="344">
        <f ca="1">IF(ROWS($1:19)&gt;COUNT(Dong11),0,OFFSET(TH!J$1,SMALL(Dong11,ROWS($1:19)),))</f>
        <v>13417.347138763058</v>
      </c>
      <c r="G32" s="344">
        <f ca="1">IF(ROWS($1:19)&gt;COUNT(Dong11),0,IF(LEFT(OFFSET(TH!D$1,SMALL(Dong11,ROWS($1:19)),),1)="N",OFFSET(TH!I$1,SMALL(Dong11,ROWS($1:19)),),0))</f>
        <v>0</v>
      </c>
      <c r="H32" s="345">
        <f t="shared" ca="1" si="1"/>
        <v>0</v>
      </c>
      <c r="I32" s="344">
        <f ca="1">IF(ROWS($1:19)&gt;COUNT(Dong11),0,IF(LEFT(OFFSET(TH!D$1,SMALL(Dong11,ROWS($1:19)),),1)="X",OFFSET(TH!I$1,SMALL(Dong11,ROWS($1:19)),),0))</f>
        <v>100</v>
      </c>
      <c r="J32" s="345">
        <f t="shared" ca="1" si="2"/>
        <v>1341735</v>
      </c>
      <c r="K32" s="345">
        <f t="shared" ca="1" si="6"/>
        <v>27554</v>
      </c>
      <c r="L32" s="345">
        <f t="shared" ca="1" si="7"/>
        <v>417979615</v>
      </c>
      <c r="M32" s="345"/>
      <c r="N32" s="335"/>
    </row>
    <row r="33" spans="1:14">
      <c r="A33" s="306">
        <f t="shared" ca="1" si="5"/>
        <v>20</v>
      </c>
      <c r="B33" s="341" t="str">
        <f ca="1">IF(ROWS($1:20)&gt;COUNT(Dong11),"",OFFSET(TH!D$1,SMALL(Dong11,ROWS($1:20)),))</f>
        <v>XB/GV</v>
      </c>
      <c r="C33" s="342">
        <f ca="1">IF(ROWS($1:20)&gt;COUNT(Dong11),"",OFFSET(TH!E$1,SMALL(Dong11,ROWS($1:20)),))</f>
        <v>42464</v>
      </c>
      <c r="D33" s="343" t="str">
        <f ca="1">IF(ROWS($1:20)&gt;COUNT(Dong11),"",OFFSET(TH!H$1,SMALL(Dong11,ROWS($1:20)),))</f>
        <v>Xuất bán</v>
      </c>
      <c r="E33" s="341" t="str">
        <f ca="1">IF(ROWS($1:20)&gt;COUNT(Dong11),"",IF(OFFSET(TH!L$1,SMALL(Dong11,ROWS($1:20)),)=$G$7,OFFSET(TH!M$1,SMALL(Dong11,ROWS($1:20)),),OFFSET(TH!L$1,SMALL(Dong11,ROWS($1:20)),)))</f>
        <v>632</v>
      </c>
      <c r="F33" s="344">
        <f ca="1">IF(ROWS($1:20)&gt;COUNT(Dong11),0,OFFSET(TH!J$1,SMALL(Dong11,ROWS($1:20)),))</f>
        <v>14550</v>
      </c>
      <c r="G33" s="344">
        <f ca="1">IF(ROWS($1:20)&gt;COUNT(Dong11),0,IF(LEFT(OFFSET(TH!D$1,SMALL(Dong11,ROWS($1:20)),),1)="N",OFFSET(TH!I$1,SMALL(Dong11,ROWS($1:20)),),0))</f>
        <v>0</v>
      </c>
      <c r="H33" s="345">
        <f t="shared" ca="1" si="1"/>
        <v>0</v>
      </c>
      <c r="I33" s="344">
        <f ca="1">IF(ROWS($1:20)&gt;COUNT(Dong11),0,IF(LEFT(OFFSET(TH!D$1,SMALL(Dong11,ROWS($1:20)),),1)="X",OFFSET(TH!I$1,SMALL(Dong11,ROWS($1:20)),),0))</f>
        <v>300</v>
      </c>
      <c r="J33" s="345">
        <f t="shared" ca="1" si="2"/>
        <v>4365000</v>
      </c>
      <c r="K33" s="345">
        <f t="shared" ca="1" si="6"/>
        <v>27254</v>
      </c>
      <c r="L33" s="345">
        <f t="shared" ca="1" si="7"/>
        <v>413614615</v>
      </c>
      <c r="M33" s="345"/>
      <c r="N33" s="335"/>
    </row>
    <row r="34" spans="1:14">
      <c r="A34" s="306">
        <f t="shared" ca="1" si="5"/>
        <v>21</v>
      </c>
      <c r="B34" s="341" t="str">
        <f ca="1">IF(ROWS($1:21)&gt;COUNT(Dong11),"",OFFSET(TH!D$1,SMALL(Dong11,ROWS($1:21)),))</f>
        <v>XB/GV</v>
      </c>
      <c r="C34" s="342">
        <f ca="1">IF(ROWS($1:21)&gt;COUNT(Dong11),"",OFFSET(TH!E$1,SMALL(Dong11,ROWS($1:21)),))</f>
        <v>42465</v>
      </c>
      <c r="D34" s="343" t="str">
        <f ca="1">IF(ROWS($1:21)&gt;COUNT(Dong11),"",OFFSET(TH!H$1,SMALL(Dong11,ROWS($1:21)),))</f>
        <v>Xuất bán</v>
      </c>
      <c r="E34" s="341" t="str">
        <f ca="1">IF(ROWS($1:21)&gt;COUNT(Dong11),"",IF(OFFSET(TH!L$1,SMALL(Dong11,ROWS($1:21)),)=$G$7,OFFSET(TH!M$1,SMALL(Dong11,ROWS($1:21)),),OFFSET(TH!L$1,SMALL(Dong11,ROWS($1:21)),)))</f>
        <v>632</v>
      </c>
      <c r="F34" s="344">
        <f ca="1">IF(ROWS($1:21)&gt;COUNT(Dong11),0,OFFSET(TH!J$1,SMALL(Dong11,ROWS($1:21)),))</f>
        <v>14550</v>
      </c>
      <c r="G34" s="344">
        <f ca="1">IF(ROWS($1:21)&gt;COUNT(Dong11),0,IF(LEFT(OFFSET(TH!D$1,SMALL(Dong11,ROWS($1:21)),),1)="N",OFFSET(TH!I$1,SMALL(Dong11,ROWS($1:21)),),0))</f>
        <v>0</v>
      </c>
      <c r="H34" s="345">
        <f t="shared" ca="1" si="1"/>
        <v>0</v>
      </c>
      <c r="I34" s="344">
        <f ca="1">IF(ROWS($1:21)&gt;COUNT(Dong11),0,IF(LEFT(OFFSET(TH!D$1,SMALL(Dong11,ROWS($1:21)),),1)="X",OFFSET(TH!I$1,SMALL(Dong11,ROWS($1:21)),),0))</f>
        <v>261</v>
      </c>
      <c r="J34" s="345">
        <f t="shared" ca="1" si="2"/>
        <v>3797550</v>
      </c>
      <c r="K34" s="345">
        <f t="shared" ca="1" si="6"/>
        <v>26993</v>
      </c>
      <c r="L34" s="345">
        <f t="shared" ca="1" si="7"/>
        <v>409817065</v>
      </c>
      <c r="M34" s="345"/>
      <c r="N34" s="335"/>
    </row>
    <row r="35" spans="1:14">
      <c r="A35" s="306">
        <f t="shared" ca="1" si="5"/>
        <v>22</v>
      </c>
      <c r="B35" s="341" t="str">
        <f ca="1">IF(ROWS($1:22)&gt;COUNT(Dong11),"",OFFSET(TH!D$1,SMALL(Dong11,ROWS($1:22)),))</f>
        <v>XB/GV</v>
      </c>
      <c r="C35" s="342">
        <f ca="1">IF(ROWS($1:22)&gt;COUNT(Dong11),"",OFFSET(TH!E$1,SMALL(Dong11,ROWS($1:22)),))</f>
        <v>42472</v>
      </c>
      <c r="D35" s="343" t="str">
        <f ca="1">IF(ROWS($1:22)&gt;COUNT(Dong11),"",OFFSET(TH!H$1,SMALL(Dong11,ROWS($1:22)),))</f>
        <v>Xuất bán</v>
      </c>
      <c r="E35" s="341" t="str">
        <f ca="1">IF(ROWS($1:22)&gt;COUNT(Dong11),"",IF(OFFSET(TH!L$1,SMALL(Dong11,ROWS($1:22)),)=$G$7,OFFSET(TH!M$1,SMALL(Dong11,ROWS($1:22)),),OFFSET(TH!L$1,SMALL(Dong11,ROWS($1:22)),)))</f>
        <v>632</v>
      </c>
      <c r="F35" s="344">
        <f ca="1">IF(ROWS($1:22)&gt;COUNT(Dong11),0,OFFSET(TH!J$1,SMALL(Dong11,ROWS($1:22)),))</f>
        <v>14550</v>
      </c>
      <c r="G35" s="344">
        <f ca="1">IF(ROWS($1:22)&gt;COUNT(Dong11),0,IF(LEFT(OFFSET(TH!D$1,SMALL(Dong11,ROWS($1:22)),),1)="N",OFFSET(TH!I$1,SMALL(Dong11,ROWS($1:22)),),0))</f>
        <v>0</v>
      </c>
      <c r="H35" s="345">
        <f t="shared" ca="1" si="1"/>
        <v>0</v>
      </c>
      <c r="I35" s="344">
        <f ca="1">IF(ROWS($1:22)&gt;COUNT(Dong11),0,IF(LEFT(OFFSET(TH!D$1,SMALL(Dong11,ROWS($1:22)),),1)="X",OFFSET(TH!I$1,SMALL(Dong11,ROWS($1:22)),),0))</f>
        <v>282</v>
      </c>
      <c r="J35" s="345">
        <f t="shared" ca="1" si="2"/>
        <v>4103100</v>
      </c>
      <c r="K35" s="345">
        <f t="shared" ca="1" si="6"/>
        <v>26711</v>
      </c>
      <c r="L35" s="345">
        <f t="shared" ca="1" si="7"/>
        <v>405713965</v>
      </c>
      <c r="M35" s="345"/>
      <c r="N35" s="335"/>
    </row>
    <row r="36" spans="1:14">
      <c r="A36" s="306">
        <f t="shared" ca="1" si="5"/>
        <v>23</v>
      </c>
      <c r="B36" s="341" t="str">
        <f ca="1">IF(ROWS($1:23)&gt;COUNT(Dong11),"",OFFSET(TH!D$1,SMALL(Dong11,ROWS($1:23)),))</f>
        <v>XB/GV</v>
      </c>
      <c r="C36" s="342">
        <f ca="1">IF(ROWS($1:23)&gt;COUNT(Dong11),"",OFFSET(TH!E$1,SMALL(Dong11,ROWS($1:23)),))</f>
        <v>42472</v>
      </c>
      <c r="D36" s="343" t="str">
        <f ca="1">IF(ROWS($1:23)&gt;COUNT(Dong11),"",OFFSET(TH!H$1,SMALL(Dong11,ROWS($1:23)),))</f>
        <v>Xuất bán</v>
      </c>
      <c r="E36" s="341" t="str">
        <f ca="1">IF(ROWS($1:23)&gt;COUNT(Dong11),"",IF(OFFSET(TH!L$1,SMALL(Dong11,ROWS($1:23)),)=$G$7,OFFSET(TH!M$1,SMALL(Dong11,ROWS($1:23)),),OFFSET(TH!L$1,SMALL(Dong11,ROWS($1:23)),)))</f>
        <v>632</v>
      </c>
      <c r="F36" s="344">
        <f ca="1">IF(ROWS($1:23)&gt;COUNT(Dong11),0,OFFSET(TH!J$1,SMALL(Dong11,ROWS($1:23)),))</f>
        <v>14550</v>
      </c>
      <c r="G36" s="344">
        <f ca="1">IF(ROWS($1:23)&gt;COUNT(Dong11),0,IF(LEFT(OFFSET(TH!D$1,SMALL(Dong11,ROWS($1:23)),),1)="N",OFFSET(TH!I$1,SMALL(Dong11,ROWS($1:23)),),0))</f>
        <v>0</v>
      </c>
      <c r="H36" s="345">
        <f t="shared" ca="1" si="1"/>
        <v>0</v>
      </c>
      <c r="I36" s="344">
        <f ca="1">IF(ROWS($1:23)&gt;COUNT(Dong11),0,IF(LEFT(OFFSET(TH!D$1,SMALL(Dong11,ROWS($1:23)),),1)="X",OFFSET(TH!I$1,SMALL(Dong11,ROWS($1:23)),),0))</f>
        <v>282</v>
      </c>
      <c r="J36" s="345">
        <f t="shared" ca="1" si="2"/>
        <v>4103100</v>
      </c>
      <c r="K36" s="345">
        <f t="shared" ca="1" si="6"/>
        <v>26429</v>
      </c>
      <c r="L36" s="345">
        <f t="shared" ca="1" si="7"/>
        <v>401610865</v>
      </c>
      <c r="M36" s="345"/>
      <c r="N36" s="335"/>
    </row>
    <row r="37" spans="1:14">
      <c r="A37" s="306">
        <f t="shared" ca="1" si="5"/>
        <v>24</v>
      </c>
      <c r="B37" s="341" t="str">
        <f ca="1">IF(ROWS($1:24)&gt;COUNT(Dong11),"",OFFSET(TH!D$1,SMALL(Dong11,ROWS($1:24)),))</f>
        <v>XB/GV</v>
      </c>
      <c r="C37" s="342">
        <f ca="1">IF(ROWS($1:24)&gt;COUNT(Dong11),"",OFFSET(TH!E$1,SMALL(Dong11,ROWS($1:24)),))</f>
        <v>42474</v>
      </c>
      <c r="D37" s="343" t="str">
        <f ca="1">IF(ROWS($1:24)&gt;COUNT(Dong11),"",OFFSET(TH!H$1,SMALL(Dong11,ROWS($1:24)),))</f>
        <v>Xuất bán</v>
      </c>
      <c r="E37" s="341" t="str">
        <f ca="1">IF(ROWS($1:24)&gt;COUNT(Dong11),"",IF(OFFSET(TH!L$1,SMALL(Dong11,ROWS($1:24)),)=$G$7,OFFSET(TH!M$1,SMALL(Dong11,ROWS($1:24)),),OFFSET(TH!L$1,SMALL(Dong11,ROWS($1:24)),)))</f>
        <v>632</v>
      </c>
      <c r="F37" s="344">
        <f ca="1">IF(ROWS($1:24)&gt;COUNT(Dong11),0,OFFSET(TH!J$1,SMALL(Dong11,ROWS($1:24)),))</f>
        <v>14550</v>
      </c>
      <c r="G37" s="344">
        <f ca="1">IF(ROWS($1:24)&gt;COUNT(Dong11),0,IF(LEFT(OFFSET(TH!D$1,SMALL(Dong11,ROWS($1:24)),),1)="N",OFFSET(TH!I$1,SMALL(Dong11,ROWS($1:24)),),0))</f>
        <v>0</v>
      </c>
      <c r="H37" s="345">
        <f t="shared" ca="1" si="1"/>
        <v>0</v>
      </c>
      <c r="I37" s="344">
        <f ca="1">IF(ROWS($1:24)&gt;COUNT(Dong11),0,IF(LEFT(OFFSET(TH!D$1,SMALL(Dong11,ROWS($1:24)),),1)="X",OFFSET(TH!I$1,SMALL(Dong11,ROWS($1:24)),),0))</f>
        <v>282</v>
      </c>
      <c r="J37" s="345">
        <f t="shared" ca="1" si="2"/>
        <v>4103100</v>
      </c>
      <c r="K37" s="345">
        <f t="shared" ca="1" si="6"/>
        <v>26147</v>
      </c>
      <c r="L37" s="345">
        <f t="shared" ca="1" si="7"/>
        <v>397507765</v>
      </c>
      <c r="M37" s="345"/>
      <c r="N37" s="335"/>
    </row>
    <row r="38" spans="1:14">
      <c r="A38" s="306">
        <f t="shared" ca="1" si="5"/>
        <v>25</v>
      </c>
      <c r="B38" s="341" t="str">
        <f ca="1">IF(ROWS($1:25)&gt;COUNT(Dong11),"",OFFSET(TH!D$1,SMALL(Dong11,ROWS($1:25)),))</f>
        <v>XB/GV</v>
      </c>
      <c r="C38" s="342">
        <f ca="1">IF(ROWS($1:25)&gt;COUNT(Dong11),"",OFFSET(TH!E$1,SMALL(Dong11,ROWS($1:25)),))</f>
        <v>42474</v>
      </c>
      <c r="D38" s="343" t="str">
        <f ca="1">IF(ROWS($1:25)&gt;COUNT(Dong11),"",OFFSET(TH!H$1,SMALL(Dong11,ROWS($1:25)),))</f>
        <v>Xuất bán</v>
      </c>
      <c r="E38" s="341" t="str">
        <f ca="1">IF(ROWS($1:25)&gt;COUNT(Dong11),"",IF(OFFSET(TH!L$1,SMALL(Dong11,ROWS($1:25)),)=$G$7,OFFSET(TH!M$1,SMALL(Dong11,ROWS($1:25)),),OFFSET(TH!L$1,SMALL(Dong11,ROWS($1:25)),)))</f>
        <v>632</v>
      </c>
      <c r="F38" s="344">
        <f ca="1">IF(ROWS($1:25)&gt;COUNT(Dong11),0,OFFSET(TH!J$1,SMALL(Dong11,ROWS($1:25)),))</f>
        <v>14550</v>
      </c>
      <c r="G38" s="344">
        <f ca="1">IF(ROWS($1:25)&gt;COUNT(Dong11),0,IF(LEFT(OFFSET(TH!D$1,SMALL(Dong11,ROWS($1:25)),),1)="N",OFFSET(TH!I$1,SMALL(Dong11,ROWS($1:25)),),0))</f>
        <v>0</v>
      </c>
      <c r="H38" s="345">
        <f t="shared" ca="1" si="1"/>
        <v>0</v>
      </c>
      <c r="I38" s="344">
        <f ca="1">IF(ROWS($1:25)&gt;COUNT(Dong11),0,IF(LEFT(OFFSET(TH!D$1,SMALL(Dong11,ROWS($1:25)),),1)="X",OFFSET(TH!I$1,SMALL(Dong11,ROWS($1:25)),),0))</f>
        <v>280</v>
      </c>
      <c r="J38" s="345">
        <f t="shared" ca="1" si="2"/>
        <v>4074000</v>
      </c>
      <c r="K38" s="345">
        <f t="shared" ca="1" si="6"/>
        <v>25867</v>
      </c>
      <c r="L38" s="345">
        <f t="shared" ca="1" si="7"/>
        <v>393433765</v>
      </c>
      <c r="M38" s="345"/>
      <c r="N38" s="335"/>
    </row>
    <row r="39" spans="1:14">
      <c r="A39" s="306">
        <f t="shared" ref="A39:A62" ca="1" si="8">IF(B39="","",A38+1)</f>
        <v>26</v>
      </c>
      <c r="B39" s="341" t="str">
        <f ca="1">IF(ROWS($1:26)&gt;COUNT(Dong11),"",OFFSET(TH!D$1,SMALL(Dong11,ROWS($1:26)),))</f>
        <v>XB/GV</v>
      </c>
      <c r="C39" s="342">
        <f ca="1">IF(ROWS($1:26)&gt;COUNT(Dong11),"",OFFSET(TH!E$1,SMALL(Dong11,ROWS($1:26)),))</f>
        <v>42475</v>
      </c>
      <c r="D39" s="343" t="str">
        <f ca="1">IF(ROWS($1:26)&gt;COUNT(Dong11),"",OFFSET(TH!H$1,SMALL(Dong11,ROWS($1:26)),))</f>
        <v>Xuất bán</v>
      </c>
      <c r="E39" s="341" t="str">
        <f ca="1">IF(ROWS($1:26)&gt;COUNT(Dong11),"",IF(OFFSET(TH!L$1,SMALL(Dong11,ROWS($1:26)),)=$G$7,OFFSET(TH!M$1,SMALL(Dong11,ROWS($1:26)),),OFFSET(TH!L$1,SMALL(Dong11,ROWS($1:26)),)))</f>
        <v>632</v>
      </c>
      <c r="F39" s="344">
        <f ca="1">IF(ROWS($1:26)&gt;COUNT(Dong11),0,OFFSET(TH!J$1,SMALL(Dong11,ROWS($1:26)),))</f>
        <v>14550</v>
      </c>
      <c r="G39" s="344">
        <f ca="1">IF(ROWS($1:26)&gt;COUNT(Dong11),0,IF(LEFT(OFFSET(TH!D$1,SMALL(Dong11,ROWS($1:26)),),1)="N",OFFSET(TH!I$1,SMALL(Dong11,ROWS($1:26)),),0))</f>
        <v>0</v>
      </c>
      <c r="H39" s="345">
        <f t="shared" ca="1" si="1"/>
        <v>0</v>
      </c>
      <c r="I39" s="344">
        <f ca="1">IF(ROWS($1:26)&gt;COUNT(Dong11),0,IF(LEFT(OFFSET(TH!D$1,SMALL(Dong11,ROWS($1:26)),),1)="X",OFFSET(TH!I$1,SMALL(Dong11,ROWS($1:26)),),0))</f>
        <v>275</v>
      </c>
      <c r="J39" s="345">
        <f t="shared" ca="1" si="2"/>
        <v>4001250</v>
      </c>
      <c r="K39" s="345">
        <f t="shared" ref="K39:K62" ca="1" si="9">IF(D39&lt;&gt;"",K38+G39-I39,0)</f>
        <v>25592</v>
      </c>
      <c r="L39" s="345">
        <f t="shared" ref="L39:L62" ca="1" si="10">IF(D39&lt;&gt;"",L38+H39-J39,0)</f>
        <v>389432515</v>
      </c>
      <c r="M39" s="345"/>
      <c r="N39" s="335"/>
    </row>
    <row r="40" spans="1:14">
      <c r="A40" s="306">
        <f t="shared" ca="1" si="8"/>
        <v>27</v>
      </c>
      <c r="B40" s="341" t="str">
        <f ca="1">IF(ROWS($1:27)&gt;COUNT(Dong11),"",OFFSET(TH!D$1,SMALL(Dong11,ROWS($1:27)),))</f>
        <v>XB/GV</v>
      </c>
      <c r="C40" s="342">
        <f ca="1">IF(ROWS($1:27)&gt;COUNT(Dong11),"",OFFSET(TH!E$1,SMALL(Dong11,ROWS($1:27)),))</f>
        <v>42475</v>
      </c>
      <c r="D40" s="343" t="str">
        <f ca="1">IF(ROWS($1:27)&gt;COUNT(Dong11),"",OFFSET(TH!H$1,SMALL(Dong11,ROWS($1:27)),))</f>
        <v>Xuất bán</v>
      </c>
      <c r="E40" s="341" t="str">
        <f ca="1">IF(ROWS($1:27)&gt;COUNT(Dong11),"",IF(OFFSET(TH!L$1,SMALL(Dong11,ROWS($1:27)),)=$G$7,OFFSET(TH!M$1,SMALL(Dong11,ROWS($1:27)),),OFFSET(TH!L$1,SMALL(Dong11,ROWS($1:27)),)))</f>
        <v>632</v>
      </c>
      <c r="F40" s="344">
        <f ca="1">IF(ROWS($1:27)&gt;COUNT(Dong11),0,OFFSET(TH!J$1,SMALL(Dong11,ROWS($1:27)),))</f>
        <v>14550</v>
      </c>
      <c r="G40" s="344">
        <f ca="1">IF(ROWS($1:27)&gt;COUNT(Dong11),0,IF(LEFT(OFFSET(TH!D$1,SMALL(Dong11,ROWS($1:27)),),1)="N",OFFSET(TH!I$1,SMALL(Dong11,ROWS($1:27)),),0))</f>
        <v>0</v>
      </c>
      <c r="H40" s="345">
        <f t="shared" ca="1" si="1"/>
        <v>0</v>
      </c>
      <c r="I40" s="344">
        <f ca="1">IF(ROWS($1:27)&gt;COUNT(Dong11),0,IF(LEFT(OFFSET(TH!D$1,SMALL(Dong11,ROWS($1:27)),),1)="X",OFFSET(TH!I$1,SMALL(Dong11,ROWS($1:27)),),0))</f>
        <v>291</v>
      </c>
      <c r="J40" s="345">
        <f t="shared" ca="1" si="2"/>
        <v>4234050</v>
      </c>
      <c r="K40" s="345">
        <f t="shared" ca="1" si="9"/>
        <v>25301</v>
      </c>
      <c r="L40" s="345">
        <f t="shared" ca="1" si="10"/>
        <v>385198465</v>
      </c>
      <c r="M40" s="345"/>
      <c r="N40" s="335"/>
    </row>
    <row r="41" spans="1:14">
      <c r="A41" s="306">
        <f t="shared" ca="1" si="8"/>
        <v>28</v>
      </c>
      <c r="B41" s="341" t="str">
        <f ca="1">IF(ROWS($1:28)&gt;COUNT(Dong11),"",OFFSET(TH!D$1,SMALL(Dong11,ROWS($1:28)),))</f>
        <v>XB/GV</v>
      </c>
      <c r="C41" s="342">
        <f ca="1">IF(ROWS($1:28)&gt;COUNT(Dong11),"",OFFSET(TH!E$1,SMALL(Dong11,ROWS($1:28)),))</f>
        <v>42475</v>
      </c>
      <c r="D41" s="343" t="str">
        <f ca="1">IF(ROWS($1:28)&gt;COUNT(Dong11),"",OFFSET(TH!H$1,SMALL(Dong11,ROWS($1:28)),))</f>
        <v>Xuất bán</v>
      </c>
      <c r="E41" s="341" t="str">
        <f ca="1">IF(ROWS($1:28)&gt;COUNT(Dong11),"",IF(OFFSET(TH!L$1,SMALL(Dong11,ROWS($1:28)),)=$G$7,OFFSET(TH!M$1,SMALL(Dong11,ROWS($1:28)),),OFFSET(TH!L$1,SMALL(Dong11,ROWS($1:28)),)))</f>
        <v>632</v>
      </c>
      <c r="F41" s="344">
        <f ca="1">IF(ROWS($1:28)&gt;COUNT(Dong11),0,OFFSET(TH!J$1,SMALL(Dong11,ROWS($1:28)),))</f>
        <v>14550</v>
      </c>
      <c r="G41" s="344">
        <f ca="1">IF(ROWS($1:28)&gt;COUNT(Dong11),0,IF(LEFT(OFFSET(TH!D$1,SMALL(Dong11,ROWS($1:28)),),1)="N",OFFSET(TH!I$1,SMALL(Dong11,ROWS($1:28)),),0))</f>
        <v>0</v>
      </c>
      <c r="H41" s="345">
        <f t="shared" ca="1" si="1"/>
        <v>0</v>
      </c>
      <c r="I41" s="344">
        <f ca="1">IF(ROWS($1:28)&gt;COUNT(Dong11),0,IF(LEFT(OFFSET(TH!D$1,SMALL(Dong11,ROWS($1:28)),),1)="X",OFFSET(TH!I$1,SMALL(Dong11,ROWS($1:28)),),0))</f>
        <v>300</v>
      </c>
      <c r="J41" s="345">
        <f t="shared" ca="1" si="2"/>
        <v>4365000</v>
      </c>
      <c r="K41" s="345">
        <f t="shared" ca="1" si="9"/>
        <v>25001</v>
      </c>
      <c r="L41" s="345">
        <f t="shared" ca="1" si="10"/>
        <v>380833465</v>
      </c>
      <c r="M41" s="345"/>
      <c r="N41" s="335"/>
    </row>
    <row r="42" spans="1:14">
      <c r="A42" s="306">
        <f t="shared" ca="1" si="8"/>
        <v>29</v>
      </c>
      <c r="B42" s="341" t="str">
        <f ca="1">IF(ROWS($1:29)&gt;COUNT(Dong11),"",OFFSET(TH!D$1,SMALL(Dong11,ROWS($1:29)),))</f>
        <v>XB/GV</v>
      </c>
      <c r="C42" s="342">
        <f ca="1">IF(ROWS($1:29)&gt;COUNT(Dong11),"",OFFSET(TH!E$1,SMALL(Dong11,ROWS($1:29)),))</f>
        <v>42475</v>
      </c>
      <c r="D42" s="343" t="str">
        <f ca="1">IF(ROWS($1:29)&gt;COUNT(Dong11),"",OFFSET(TH!H$1,SMALL(Dong11,ROWS($1:29)),))</f>
        <v>Xuất bán</v>
      </c>
      <c r="E42" s="341" t="str">
        <f ca="1">IF(ROWS($1:29)&gt;COUNT(Dong11),"",IF(OFFSET(TH!L$1,SMALL(Dong11,ROWS($1:29)),)=$G$7,OFFSET(TH!M$1,SMALL(Dong11,ROWS($1:29)),),OFFSET(TH!L$1,SMALL(Dong11,ROWS($1:29)),)))</f>
        <v>632</v>
      </c>
      <c r="F42" s="344">
        <f ca="1">IF(ROWS($1:29)&gt;COUNT(Dong11),0,OFFSET(TH!J$1,SMALL(Dong11,ROWS($1:29)),))</f>
        <v>14550</v>
      </c>
      <c r="G42" s="344">
        <f ca="1">IF(ROWS($1:29)&gt;COUNT(Dong11),0,IF(LEFT(OFFSET(TH!D$1,SMALL(Dong11,ROWS($1:29)),),1)="N",OFFSET(TH!I$1,SMALL(Dong11,ROWS($1:29)),),0))</f>
        <v>0</v>
      </c>
      <c r="H42" s="345">
        <f t="shared" ca="1" si="1"/>
        <v>0</v>
      </c>
      <c r="I42" s="344">
        <f ca="1">IF(ROWS($1:29)&gt;COUNT(Dong11),0,IF(LEFT(OFFSET(TH!D$1,SMALL(Dong11,ROWS($1:29)),),1)="X",OFFSET(TH!I$1,SMALL(Dong11,ROWS($1:29)),),0))</f>
        <v>253</v>
      </c>
      <c r="J42" s="345">
        <f t="shared" ca="1" si="2"/>
        <v>3681150</v>
      </c>
      <c r="K42" s="345">
        <f t="shared" ca="1" si="9"/>
        <v>24748</v>
      </c>
      <c r="L42" s="345">
        <f t="shared" ca="1" si="10"/>
        <v>377152315</v>
      </c>
      <c r="M42" s="345"/>
      <c r="N42" s="335"/>
    </row>
    <row r="43" spans="1:14">
      <c r="A43" s="306">
        <f t="shared" ca="1" si="8"/>
        <v>30</v>
      </c>
      <c r="B43" s="341" t="str">
        <f ca="1">IF(ROWS($1:30)&gt;COUNT(Dong11),"",OFFSET(TH!D$1,SMALL(Dong11,ROWS($1:30)),))</f>
        <v>XB/GV</v>
      </c>
      <c r="C43" s="342">
        <f ca="1">IF(ROWS($1:30)&gt;COUNT(Dong11),"",OFFSET(TH!E$1,SMALL(Dong11,ROWS($1:30)),))</f>
        <v>42485</v>
      </c>
      <c r="D43" s="343" t="str">
        <f ca="1">IF(ROWS($1:30)&gt;COUNT(Dong11),"",OFFSET(TH!H$1,SMALL(Dong11,ROWS($1:30)),))</f>
        <v>Xuất bán</v>
      </c>
      <c r="E43" s="341" t="str">
        <f ca="1">IF(ROWS($1:30)&gt;COUNT(Dong11),"",IF(OFFSET(TH!L$1,SMALL(Dong11,ROWS($1:30)),)=$G$7,OFFSET(TH!M$1,SMALL(Dong11,ROWS($1:30)),),OFFSET(TH!L$1,SMALL(Dong11,ROWS($1:30)),)))</f>
        <v>632</v>
      </c>
      <c r="F43" s="344">
        <f ca="1">IF(ROWS($1:30)&gt;COUNT(Dong11),0,OFFSET(TH!J$1,SMALL(Dong11,ROWS($1:30)),))</f>
        <v>14250.942857142858</v>
      </c>
      <c r="G43" s="344">
        <f ca="1">IF(ROWS($1:30)&gt;COUNT(Dong11),0,IF(LEFT(OFFSET(TH!D$1,SMALL(Dong11,ROWS($1:30)),),1)="N",OFFSET(TH!I$1,SMALL(Dong11,ROWS($1:30)),),0))</f>
        <v>0</v>
      </c>
      <c r="H43" s="345">
        <f t="shared" ca="1" si="1"/>
        <v>0</v>
      </c>
      <c r="I43" s="344">
        <f ca="1">IF(ROWS($1:30)&gt;COUNT(Dong11),0,IF(LEFT(OFFSET(TH!D$1,SMALL(Dong11,ROWS($1:30)),),1)="X",OFFSET(TH!I$1,SMALL(Dong11,ROWS($1:30)),),0))</f>
        <v>3500</v>
      </c>
      <c r="J43" s="345">
        <f t="shared" ca="1" si="2"/>
        <v>49878300</v>
      </c>
      <c r="K43" s="345">
        <f t="shared" ca="1" si="9"/>
        <v>21248</v>
      </c>
      <c r="L43" s="345">
        <f t="shared" ca="1" si="10"/>
        <v>327274015</v>
      </c>
      <c r="M43" s="345"/>
      <c r="N43" s="335"/>
    </row>
    <row r="44" spans="1:14">
      <c r="A44" s="306">
        <f t="shared" ca="1" si="8"/>
        <v>31</v>
      </c>
      <c r="B44" s="341" t="str">
        <f ca="1">IF(ROWS($1:31)&gt;COUNT(Dong11),"",OFFSET(TH!D$1,SMALL(Dong11,ROWS($1:31)),))</f>
        <v>XB/GV</v>
      </c>
      <c r="C44" s="342">
        <f ca="1">IF(ROWS($1:31)&gt;COUNT(Dong11),"",OFFSET(TH!E$1,SMALL(Dong11,ROWS($1:31)),))</f>
        <v>42516</v>
      </c>
      <c r="D44" s="343" t="str">
        <f ca="1">IF(ROWS($1:31)&gt;COUNT(Dong11),"",OFFSET(TH!H$1,SMALL(Dong11,ROWS($1:31)),))</f>
        <v>Xuất bán</v>
      </c>
      <c r="E44" s="341" t="str">
        <f ca="1">IF(ROWS($1:31)&gt;COUNT(Dong11),"",IF(OFFSET(TH!L$1,SMALL(Dong11,ROWS($1:31)),)=$G$7,OFFSET(TH!M$1,SMALL(Dong11,ROWS($1:31)),),OFFSET(TH!L$1,SMALL(Dong11,ROWS($1:31)),)))</f>
        <v>632</v>
      </c>
      <c r="F44" s="344">
        <f ca="1">IF(ROWS($1:31)&gt;COUNT(Dong11),0,OFFSET(TH!J$1,SMALL(Dong11,ROWS($1:31)),))</f>
        <v>14250</v>
      </c>
      <c r="G44" s="344">
        <f ca="1">IF(ROWS($1:31)&gt;COUNT(Dong11),0,IF(LEFT(OFFSET(TH!D$1,SMALL(Dong11,ROWS($1:31)),),1)="N",OFFSET(TH!I$1,SMALL(Dong11,ROWS($1:31)),),0))</f>
        <v>0</v>
      </c>
      <c r="H44" s="345">
        <f t="shared" ca="1" si="1"/>
        <v>0</v>
      </c>
      <c r="I44" s="344">
        <f ca="1">IF(ROWS($1:31)&gt;COUNT(Dong11),0,IF(LEFT(OFFSET(TH!D$1,SMALL(Dong11,ROWS($1:31)),),1)="X",OFFSET(TH!I$1,SMALL(Dong11,ROWS($1:31)),),0))</f>
        <v>3900</v>
      </c>
      <c r="J44" s="345">
        <f t="shared" ca="1" si="2"/>
        <v>55575000</v>
      </c>
      <c r="K44" s="345">
        <f t="shared" ca="1" si="9"/>
        <v>17348</v>
      </c>
      <c r="L44" s="345">
        <f t="shared" ca="1" si="10"/>
        <v>271699015</v>
      </c>
      <c r="M44" s="345"/>
      <c r="N44" s="335"/>
    </row>
    <row r="45" spans="1:14">
      <c r="A45" s="306">
        <f t="shared" ca="1" si="8"/>
        <v>32</v>
      </c>
      <c r="B45" s="341" t="str">
        <f ca="1">IF(ROWS($1:32)&gt;COUNT(Dong11),"",OFFSET(TH!D$1,SMALL(Dong11,ROWS($1:32)),))</f>
        <v>XB/GV</v>
      </c>
      <c r="C45" s="342">
        <f ca="1">IF(ROWS($1:32)&gt;COUNT(Dong11),"",OFFSET(TH!E$1,SMALL(Dong11,ROWS($1:32)),))</f>
        <v>42535</v>
      </c>
      <c r="D45" s="343" t="str">
        <f ca="1">IF(ROWS($1:32)&gt;COUNT(Dong11),"",OFFSET(TH!H$1,SMALL(Dong11,ROWS($1:32)),))</f>
        <v>Xuất bán</v>
      </c>
      <c r="E45" s="341" t="str">
        <f ca="1">IF(ROWS($1:32)&gt;COUNT(Dong11),"",IF(OFFSET(TH!L$1,SMALL(Dong11,ROWS($1:32)),)=$G$7,OFFSET(TH!M$1,SMALL(Dong11,ROWS($1:32)),),OFFSET(TH!L$1,SMALL(Dong11,ROWS($1:32)),)))</f>
        <v>632</v>
      </c>
      <c r="F45" s="344">
        <f ca="1">IF(ROWS($1:32)&gt;COUNT(Dong11),0,OFFSET(TH!J$1,SMALL(Dong11,ROWS($1:32)),))</f>
        <v>17760</v>
      </c>
      <c r="G45" s="344">
        <f ca="1">IF(ROWS($1:32)&gt;COUNT(Dong11),0,IF(LEFT(OFFSET(TH!D$1,SMALL(Dong11,ROWS($1:32)),),1)="N",OFFSET(TH!I$1,SMALL(Dong11,ROWS($1:32)),),0))</f>
        <v>0</v>
      </c>
      <c r="H45" s="345">
        <f t="shared" ca="1" si="1"/>
        <v>0</v>
      </c>
      <c r="I45" s="344">
        <f ca="1">IF(ROWS($1:32)&gt;COUNT(Dong11),0,IF(LEFT(OFFSET(TH!D$1,SMALL(Dong11,ROWS($1:32)),),1)="X",OFFSET(TH!I$1,SMALL(Dong11,ROWS($1:32)),),0))</f>
        <v>3900</v>
      </c>
      <c r="J45" s="345">
        <f t="shared" ca="1" si="2"/>
        <v>69264000</v>
      </c>
      <c r="K45" s="345">
        <f t="shared" ca="1" si="9"/>
        <v>13448</v>
      </c>
      <c r="L45" s="345">
        <f t="shared" ca="1" si="10"/>
        <v>202435015</v>
      </c>
      <c r="M45" s="345"/>
      <c r="N45" s="335"/>
    </row>
    <row r="46" spans="1:14">
      <c r="A46" s="306">
        <f t="shared" ca="1" si="8"/>
        <v>33</v>
      </c>
      <c r="B46" s="341" t="str">
        <f ca="1">IF(ROWS($1:33)&gt;COUNT(Dong11),"",OFFSET(TH!D$1,SMALL(Dong11,ROWS($1:33)),))</f>
        <v>XB/GV</v>
      </c>
      <c r="C46" s="342">
        <f ca="1">IF(ROWS($1:33)&gt;COUNT(Dong11),"",OFFSET(TH!E$1,SMALL(Dong11,ROWS($1:33)),))</f>
        <v>42539</v>
      </c>
      <c r="D46" s="343" t="str">
        <f ca="1">IF(ROWS($1:33)&gt;COUNT(Dong11),"",OFFSET(TH!H$1,SMALL(Dong11,ROWS($1:33)),))</f>
        <v>Xuất bán</v>
      </c>
      <c r="E46" s="341" t="str">
        <f ca="1">IF(ROWS($1:33)&gt;COUNT(Dong11),"",IF(OFFSET(TH!L$1,SMALL(Dong11,ROWS($1:33)),)=$G$7,OFFSET(TH!M$1,SMALL(Dong11,ROWS($1:33)),),OFFSET(TH!L$1,SMALL(Dong11,ROWS($1:33)),)))</f>
        <v>632</v>
      </c>
      <c r="F46" s="344">
        <f ca="1">IF(ROWS($1:33)&gt;COUNT(Dong11),0,OFFSET(TH!J$1,SMALL(Dong11,ROWS($1:33)),))</f>
        <v>10080</v>
      </c>
      <c r="G46" s="344">
        <f ca="1">IF(ROWS($1:33)&gt;COUNT(Dong11),0,IF(LEFT(OFFSET(TH!D$1,SMALL(Dong11,ROWS($1:33)),),1)="N",OFFSET(TH!I$1,SMALL(Dong11,ROWS($1:33)),),0))</f>
        <v>0</v>
      </c>
      <c r="H46" s="345">
        <f t="shared" ca="1" si="1"/>
        <v>0</v>
      </c>
      <c r="I46" s="344">
        <f ca="1">IF(ROWS($1:33)&gt;COUNT(Dong11),0,IF(LEFT(OFFSET(TH!D$1,SMALL(Dong11,ROWS($1:33)),),1)="X",OFFSET(TH!I$1,SMALL(Dong11,ROWS($1:33)),),0))</f>
        <v>1000</v>
      </c>
      <c r="J46" s="345">
        <f t="shared" ca="1" si="2"/>
        <v>10080000</v>
      </c>
      <c r="K46" s="345">
        <f t="shared" ca="1" si="9"/>
        <v>12448</v>
      </c>
      <c r="L46" s="345">
        <f t="shared" ca="1" si="10"/>
        <v>192355015</v>
      </c>
      <c r="M46" s="345"/>
      <c r="N46" s="335"/>
    </row>
    <row r="47" spans="1:14">
      <c r="A47" s="306">
        <f t="shared" ca="1" si="8"/>
        <v>34</v>
      </c>
      <c r="B47" s="341" t="str">
        <f ca="1">IF(ROWS($1:34)&gt;COUNT(Dong11),"",OFFSET(TH!D$1,SMALL(Dong11,ROWS($1:34)),))</f>
        <v>XB/GV</v>
      </c>
      <c r="C47" s="342">
        <f ca="1">IF(ROWS($1:34)&gt;COUNT(Dong11),"",OFFSET(TH!E$1,SMALL(Dong11,ROWS($1:34)),))</f>
        <v>42549</v>
      </c>
      <c r="D47" s="343" t="str">
        <f ca="1">IF(ROWS($1:34)&gt;COUNT(Dong11),"",OFFSET(TH!H$1,SMALL(Dong11,ROWS($1:34)),))</f>
        <v>Xuất bán</v>
      </c>
      <c r="E47" s="341" t="str">
        <f ca="1">IF(ROWS($1:34)&gt;COUNT(Dong11),"",IF(OFFSET(TH!L$1,SMALL(Dong11,ROWS($1:34)),)=$G$7,OFFSET(TH!M$1,SMALL(Dong11,ROWS($1:34)),),OFFSET(TH!L$1,SMALL(Dong11,ROWS($1:34)),)))</f>
        <v>632</v>
      </c>
      <c r="F47" s="344">
        <f ca="1">IF(ROWS($1:34)&gt;COUNT(Dong11),0,OFFSET(TH!J$1,SMALL(Dong11,ROWS($1:34)),))</f>
        <v>10560</v>
      </c>
      <c r="G47" s="344">
        <f ca="1">IF(ROWS($1:34)&gt;COUNT(Dong11),0,IF(LEFT(OFFSET(TH!D$1,SMALL(Dong11,ROWS($1:34)),),1)="N",OFFSET(TH!I$1,SMALL(Dong11,ROWS($1:34)),),0))</f>
        <v>0</v>
      </c>
      <c r="H47" s="345">
        <f t="shared" ca="1" si="1"/>
        <v>0</v>
      </c>
      <c r="I47" s="344">
        <f ca="1">IF(ROWS($1:34)&gt;COUNT(Dong11),0,IF(LEFT(OFFSET(TH!D$1,SMALL(Dong11,ROWS($1:34)),),1)="X",OFFSET(TH!I$1,SMALL(Dong11,ROWS($1:34)),),0))</f>
        <v>1420</v>
      </c>
      <c r="J47" s="345">
        <f t="shared" ca="1" si="2"/>
        <v>14995200</v>
      </c>
      <c r="K47" s="345">
        <f t="shared" ca="1" si="9"/>
        <v>11028</v>
      </c>
      <c r="L47" s="345">
        <f t="shared" ca="1" si="10"/>
        <v>177359815</v>
      </c>
      <c r="M47" s="345"/>
      <c r="N47" s="335"/>
    </row>
    <row r="48" spans="1:14">
      <c r="A48" s="306">
        <f t="shared" ca="1" si="8"/>
        <v>35</v>
      </c>
      <c r="B48" s="341" t="str">
        <f ca="1">IF(ROWS($1:35)&gt;COUNT(Dong11),"",OFFSET(TH!D$1,SMALL(Dong11,ROWS($1:35)),))</f>
        <v>XB/GV</v>
      </c>
      <c r="C48" s="342">
        <f ca="1">IF(ROWS($1:35)&gt;COUNT(Dong11),"",OFFSET(TH!E$1,SMALL(Dong11,ROWS($1:35)),))</f>
        <v>42550</v>
      </c>
      <c r="D48" s="343" t="str">
        <f ca="1">IF(ROWS($1:35)&gt;COUNT(Dong11),"",OFFSET(TH!H$1,SMALL(Dong11,ROWS($1:35)),))</f>
        <v>Xuất bán</v>
      </c>
      <c r="E48" s="341" t="str">
        <f ca="1">IF(ROWS($1:35)&gt;COUNT(Dong11),"",IF(OFFSET(TH!L$1,SMALL(Dong11,ROWS($1:35)),)=$G$7,OFFSET(TH!M$1,SMALL(Dong11,ROWS($1:35)),),OFFSET(TH!L$1,SMALL(Dong11,ROWS($1:35)),)))</f>
        <v>632</v>
      </c>
      <c r="F48" s="344">
        <f ca="1">IF(ROWS($1:35)&gt;COUNT(Dong11),0,OFFSET(TH!J$1,SMALL(Dong11,ROWS($1:35)),))</f>
        <v>10560</v>
      </c>
      <c r="G48" s="344">
        <f ca="1">IF(ROWS($1:35)&gt;COUNT(Dong11),0,IF(LEFT(OFFSET(TH!D$1,SMALL(Dong11,ROWS($1:35)),),1)="N",OFFSET(TH!I$1,SMALL(Dong11,ROWS($1:35)),),0))</f>
        <v>0</v>
      </c>
      <c r="H48" s="345">
        <f t="shared" ca="1" si="1"/>
        <v>0</v>
      </c>
      <c r="I48" s="344">
        <f ca="1">IF(ROWS($1:35)&gt;COUNT(Dong11),0,IF(LEFT(OFFSET(TH!D$1,SMALL(Dong11,ROWS($1:35)),),1)="X",OFFSET(TH!I$1,SMALL(Dong11,ROWS($1:35)),),0))</f>
        <v>80</v>
      </c>
      <c r="J48" s="345">
        <f t="shared" ca="1" si="2"/>
        <v>844800</v>
      </c>
      <c r="K48" s="345">
        <f t="shared" ca="1" si="9"/>
        <v>10948</v>
      </c>
      <c r="L48" s="345">
        <f t="shared" ca="1" si="10"/>
        <v>176515015</v>
      </c>
      <c r="M48" s="345"/>
      <c r="N48" s="335"/>
    </row>
    <row r="49" spans="1:17">
      <c r="A49" s="306">
        <f t="shared" ca="1" si="8"/>
        <v>36</v>
      </c>
      <c r="B49" s="341" t="str">
        <f ca="1">IF(ROWS($1:36)&gt;COUNT(Dong11),"",OFFSET(TH!D$1,SMALL(Dong11,ROWS($1:36)),))</f>
        <v>XB/GV</v>
      </c>
      <c r="C49" s="342">
        <f ca="1">IF(ROWS($1:36)&gt;COUNT(Dong11),"",OFFSET(TH!E$1,SMALL(Dong11,ROWS($1:36)),))</f>
        <v>42550</v>
      </c>
      <c r="D49" s="343" t="str">
        <f ca="1">IF(ROWS($1:36)&gt;COUNT(Dong11),"",OFFSET(TH!H$1,SMALL(Dong11,ROWS($1:36)),))</f>
        <v>Xuất bán</v>
      </c>
      <c r="E49" s="341" t="str">
        <f ca="1">IF(ROWS($1:36)&gt;COUNT(Dong11),"",IF(OFFSET(TH!L$1,SMALL(Dong11,ROWS($1:36)),)=$G$7,OFFSET(TH!M$1,SMALL(Dong11,ROWS($1:36)),),OFFSET(TH!L$1,SMALL(Dong11,ROWS($1:36)),)))</f>
        <v>632</v>
      </c>
      <c r="F49" s="344">
        <f ca="1">IF(ROWS($1:36)&gt;COUNT(Dong11),0,OFFSET(TH!J$1,SMALL(Dong11,ROWS($1:36)),))</f>
        <v>14250</v>
      </c>
      <c r="G49" s="344">
        <f ca="1">IF(ROWS($1:36)&gt;COUNT(Dong11),0,IF(LEFT(OFFSET(TH!D$1,SMALL(Dong11,ROWS($1:36)),),1)="N",OFFSET(TH!I$1,SMALL(Dong11,ROWS($1:36)),),0))</f>
        <v>0</v>
      </c>
      <c r="H49" s="345">
        <f t="shared" ca="1" si="1"/>
        <v>0</v>
      </c>
      <c r="I49" s="344">
        <f ca="1">IF(ROWS($1:36)&gt;COUNT(Dong11),0,IF(LEFT(OFFSET(TH!D$1,SMALL(Dong11,ROWS($1:36)),),1)="X",OFFSET(TH!I$1,SMALL(Dong11,ROWS($1:36)),),0))</f>
        <v>11</v>
      </c>
      <c r="J49" s="345">
        <f t="shared" ca="1" si="2"/>
        <v>156750</v>
      </c>
      <c r="K49" s="345">
        <f t="shared" ca="1" si="9"/>
        <v>10937</v>
      </c>
      <c r="L49" s="345">
        <f t="shared" ca="1" si="10"/>
        <v>176358265</v>
      </c>
      <c r="M49" s="345"/>
      <c r="N49" s="335"/>
      <c r="Q49" s="934"/>
    </row>
    <row r="50" spans="1:17">
      <c r="A50" s="306">
        <f t="shared" ca="1" si="8"/>
        <v>37</v>
      </c>
      <c r="B50" s="341" t="str">
        <f ca="1">IF(ROWS($1:37)&gt;COUNT(Dong11),"",OFFSET(TH!D$1,SMALL(Dong11,ROWS($1:37)),))</f>
        <v>XB/GV</v>
      </c>
      <c r="C50" s="342">
        <f ca="1">IF(ROWS($1:37)&gt;COUNT(Dong11),"",OFFSET(TH!E$1,SMALL(Dong11,ROWS($1:37)),))</f>
        <v>42550</v>
      </c>
      <c r="D50" s="343" t="str">
        <f ca="1">IF(ROWS($1:37)&gt;COUNT(Dong11),"",OFFSET(TH!H$1,SMALL(Dong11,ROWS($1:37)),))</f>
        <v>Xuất bán</v>
      </c>
      <c r="E50" s="341" t="str">
        <f ca="1">IF(ROWS($1:37)&gt;COUNT(Dong11),"",IF(OFFSET(TH!L$1,SMALL(Dong11,ROWS($1:37)),)=$G$7,OFFSET(TH!M$1,SMALL(Dong11,ROWS($1:37)),),OFFSET(TH!L$1,SMALL(Dong11,ROWS($1:37)),)))</f>
        <v>632</v>
      </c>
      <c r="F50" s="344">
        <f ca="1">IF(ROWS($1:37)&gt;COUNT(Dong11),0,OFFSET(TH!J$1,SMALL(Dong11,ROWS($1:37)),))</f>
        <v>6907.8</v>
      </c>
      <c r="G50" s="344">
        <f ca="1">IF(ROWS($1:37)&gt;COUNT(Dong11),0,IF(LEFT(OFFSET(TH!D$1,SMALL(Dong11,ROWS($1:37)),),1)="N",OFFSET(TH!I$1,SMALL(Dong11,ROWS($1:37)),),0))</f>
        <v>0</v>
      </c>
      <c r="H50" s="345">
        <f t="shared" ca="1" si="1"/>
        <v>0</v>
      </c>
      <c r="I50" s="344">
        <f ca="1">IF(ROWS($1:37)&gt;COUNT(Dong11),0,IF(LEFT(OFFSET(TH!D$1,SMALL(Dong11,ROWS($1:37)),),1)="X",OFFSET(TH!I$1,SMALL(Dong11,ROWS($1:37)),),0))</f>
        <v>5</v>
      </c>
      <c r="J50" s="345">
        <f t="shared" ca="1" si="2"/>
        <v>34539</v>
      </c>
      <c r="K50" s="345">
        <f t="shared" ca="1" si="9"/>
        <v>10932</v>
      </c>
      <c r="L50" s="345">
        <f t="shared" ca="1" si="10"/>
        <v>176323726</v>
      </c>
      <c r="M50" s="345"/>
      <c r="N50" s="335"/>
    </row>
    <row r="51" spans="1:17">
      <c r="A51" s="306">
        <f t="shared" ca="1" si="8"/>
        <v>38</v>
      </c>
      <c r="B51" s="341" t="str">
        <f ca="1">IF(ROWS($1:38)&gt;COUNT(Dong11),"",OFFSET(TH!D$1,SMALL(Dong11,ROWS($1:38)),))</f>
        <v>XB/GV</v>
      </c>
      <c r="C51" s="342">
        <f ca="1">IF(ROWS($1:38)&gt;COUNT(Dong11),"",OFFSET(TH!E$1,SMALL(Dong11,ROWS($1:38)),))</f>
        <v>42580</v>
      </c>
      <c r="D51" s="343" t="str">
        <f ca="1">IF(ROWS($1:38)&gt;COUNT(Dong11),"",OFFSET(TH!H$1,SMALL(Dong11,ROWS($1:38)),))</f>
        <v>Xuất bán</v>
      </c>
      <c r="E51" s="341" t="str">
        <f ca="1">IF(ROWS($1:38)&gt;COUNT(Dong11),"",IF(OFFSET(TH!L$1,SMALL(Dong11,ROWS($1:38)),)=$G$7,OFFSET(TH!M$1,SMALL(Dong11,ROWS($1:38)),),OFFSET(TH!L$1,SMALL(Dong11,ROWS($1:38)),)))</f>
        <v>632</v>
      </c>
      <c r="F51" s="344">
        <f ca="1">IF(ROWS($1:38)&gt;COUNT(Dong11),0,OFFSET(TH!J$1,SMALL(Dong11,ROWS($1:38)),))</f>
        <v>17760</v>
      </c>
      <c r="G51" s="344">
        <f ca="1">IF(ROWS($1:38)&gt;COUNT(Dong11),0,IF(LEFT(OFFSET(TH!D$1,SMALL(Dong11,ROWS($1:38)),),1)="N",OFFSET(TH!I$1,SMALL(Dong11,ROWS($1:38)),),0))</f>
        <v>0</v>
      </c>
      <c r="H51" s="345">
        <f t="shared" ca="1" si="1"/>
        <v>0</v>
      </c>
      <c r="I51" s="344">
        <f ca="1">IF(ROWS($1:38)&gt;COUNT(Dong11),0,IF(LEFT(OFFSET(TH!D$1,SMALL(Dong11,ROWS($1:38)),),1)="X",OFFSET(TH!I$1,SMALL(Dong11,ROWS($1:38)),),0))</f>
        <v>1400</v>
      </c>
      <c r="J51" s="345">
        <f t="shared" ca="1" si="2"/>
        <v>24864000</v>
      </c>
      <c r="K51" s="345">
        <f t="shared" ca="1" si="9"/>
        <v>9532</v>
      </c>
      <c r="L51" s="345">
        <f t="shared" ca="1" si="10"/>
        <v>151459726</v>
      </c>
      <c r="M51" s="345"/>
      <c r="N51" s="335"/>
    </row>
    <row r="52" spans="1:17">
      <c r="A52" s="306">
        <f t="shared" ca="1" si="8"/>
        <v>39</v>
      </c>
      <c r="B52" s="341" t="str">
        <f ca="1">IF(ROWS($1:39)&gt;COUNT(Dong11),"",OFFSET(TH!D$1,SMALL(Dong11,ROWS($1:39)),))</f>
        <v>XB/GV</v>
      </c>
      <c r="C52" s="342">
        <f ca="1">IF(ROWS($1:39)&gt;COUNT(Dong11),"",OFFSET(TH!E$1,SMALL(Dong11,ROWS($1:39)),))</f>
        <v>42580</v>
      </c>
      <c r="D52" s="343" t="str">
        <f ca="1">IF(ROWS($1:39)&gt;COUNT(Dong11),"",OFFSET(TH!H$1,SMALL(Dong11,ROWS($1:39)),))</f>
        <v>Xuất bán</v>
      </c>
      <c r="E52" s="341" t="str">
        <f ca="1">IF(ROWS($1:39)&gt;COUNT(Dong11),"",IF(OFFSET(TH!L$1,SMALL(Dong11,ROWS($1:39)),)=$G$7,OFFSET(TH!M$1,SMALL(Dong11,ROWS($1:39)),),OFFSET(TH!L$1,SMALL(Dong11,ROWS($1:39)),)))</f>
        <v>632</v>
      </c>
      <c r="F52" s="344">
        <f ca="1">IF(ROWS($1:39)&gt;COUNT(Dong11),0,OFFSET(TH!J$1,SMALL(Dong11,ROWS($1:39)),))</f>
        <v>17575</v>
      </c>
      <c r="G52" s="344">
        <f ca="1">IF(ROWS($1:39)&gt;COUNT(Dong11),0,IF(LEFT(OFFSET(TH!D$1,SMALL(Dong11,ROWS($1:39)),),1)="N",OFFSET(TH!I$1,SMALL(Dong11,ROWS($1:39)),),0))</f>
        <v>0</v>
      </c>
      <c r="H52" s="345">
        <f t="shared" ca="1" si="1"/>
        <v>0</v>
      </c>
      <c r="I52" s="344">
        <f ca="1">IF(ROWS($1:39)&gt;COUNT(Dong11),0,IF(LEFT(OFFSET(TH!D$1,SMALL(Dong11,ROWS($1:39)),),1)="X",OFFSET(TH!I$1,SMALL(Dong11,ROWS($1:39)),),0))</f>
        <v>2900</v>
      </c>
      <c r="J52" s="345">
        <f t="shared" ca="1" si="2"/>
        <v>50967500</v>
      </c>
      <c r="K52" s="345">
        <f t="shared" ca="1" si="9"/>
        <v>6632</v>
      </c>
      <c r="L52" s="345">
        <f t="shared" ca="1" si="10"/>
        <v>100492226</v>
      </c>
      <c r="M52" s="345"/>
      <c r="N52" s="335"/>
    </row>
    <row r="53" spans="1:17">
      <c r="A53" s="306">
        <f t="shared" ca="1" si="8"/>
        <v>40</v>
      </c>
      <c r="B53" s="341" t="str">
        <f ca="1">IF(ROWS($1:40)&gt;COUNT(Dong11),"",OFFSET(TH!D$1,SMALL(Dong11,ROWS($1:40)),))</f>
        <v>XB/GV</v>
      </c>
      <c r="C53" s="342">
        <f ca="1">IF(ROWS($1:40)&gt;COUNT(Dong11),"",OFFSET(TH!E$1,SMALL(Dong11,ROWS($1:40)),))</f>
        <v>42581</v>
      </c>
      <c r="D53" s="343" t="str">
        <f ca="1">IF(ROWS($1:40)&gt;COUNT(Dong11),"",OFFSET(TH!H$1,SMALL(Dong11,ROWS($1:40)),))</f>
        <v>Xuất bán</v>
      </c>
      <c r="E53" s="341" t="str">
        <f ca="1">IF(ROWS($1:40)&gt;COUNT(Dong11),"",IF(OFFSET(TH!L$1,SMALL(Dong11,ROWS($1:40)),)=$G$7,OFFSET(TH!M$1,SMALL(Dong11,ROWS($1:40)),),OFFSET(TH!L$1,SMALL(Dong11,ROWS($1:40)),)))</f>
        <v>632</v>
      </c>
      <c r="F53" s="344">
        <f ca="1">IF(ROWS($1:40)&gt;COUNT(Dong11),0,OFFSET(TH!J$1,SMALL(Dong11,ROWS($1:40)),))</f>
        <v>10500</v>
      </c>
      <c r="G53" s="344">
        <f ca="1">IF(ROWS($1:40)&gt;COUNT(Dong11),0,IF(LEFT(OFFSET(TH!D$1,SMALL(Dong11,ROWS($1:40)),),1)="N",OFFSET(TH!I$1,SMALL(Dong11,ROWS($1:40)),),0))</f>
        <v>0</v>
      </c>
      <c r="H53" s="345">
        <f t="shared" ca="1" si="1"/>
        <v>0</v>
      </c>
      <c r="I53" s="344">
        <f ca="1">IF(ROWS($1:40)&gt;COUNT(Dong11),0,IF(LEFT(OFFSET(TH!D$1,SMALL(Dong11,ROWS($1:40)),),1)="X",OFFSET(TH!I$1,SMALL(Dong11,ROWS($1:40)),),0))</f>
        <v>150</v>
      </c>
      <c r="J53" s="345">
        <f t="shared" ca="1" si="2"/>
        <v>1575000</v>
      </c>
      <c r="K53" s="345">
        <f t="shared" ca="1" si="9"/>
        <v>6482</v>
      </c>
      <c r="L53" s="345">
        <f t="shared" ca="1" si="10"/>
        <v>98917226</v>
      </c>
      <c r="M53" s="345"/>
      <c r="N53" s="335"/>
    </row>
    <row r="54" spans="1:17">
      <c r="A54" s="306">
        <f t="shared" ca="1" si="8"/>
        <v>41</v>
      </c>
      <c r="B54" s="341" t="str">
        <f ca="1">IF(ROWS($1:41)&gt;COUNT(Dong11),"",OFFSET(TH!D$1,SMALL(Dong11,ROWS($1:41)),))</f>
        <v>XB/GV</v>
      </c>
      <c r="C54" s="342">
        <f ca="1">IF(ROWS($1:41)&gt;COUNT(Dong11),"",OFFSET(TH!E$1,SMALL(Dong11,ROWS($1:41)),))</f>
        <v>42581</v>
      </c>
      <c r="D54" s="343" t="str">
        <f ca="1">IF(ROWS($1:41)&gt;COUNT(Dong11),"",OFFSET(TH!H$1,SMALL(Dong11,ROWS($1:41)),))</f>
        <v>Xuất bán</v>
      </c>
      <c r="E54" s="341" t="str">
        <f ca="1">IF(ROWS($1:41)&gt;COUNT(Dong11),"",IF(OFFSET(TH!L$1,SMALL(Dong11,ROWS($1:41)),)=$G$7,OFFSET(TH!M$1,SMALL(Dong11,ROWS($1:41)),),OFFSET(TH!L$1,SMALL(Dong11,ROWS($1:41)),)))</f>
        <v>632</v>
      </c>
      <c r="F54" s="344">
        <f ca="1">IF(ROWS($1:41)&gt;COUNT(Dong11),0,OFFSET(TH!J$1,SMALL(Dong11,ROWS($1:41)),))</f>
        <v>10500</v>
      </c>
      <c r="G54" s="344">
        <f ca="1">IF(ROWS($1:41)&gt;COUNT(Dong11),0,IF(LEFT(OFFSET(TH!D$1,SMALL(Dong11,ROWS($1:41)),),1)="N",OFFSET(TH!I$1,SMALL(Dong11,ROWS($1:41)),),0))</f>
        <v>0</v>
      </c>
      <c r="H54" s="345">
        <f t="shared" ca="1" si="1"/>
        <v>0</v>
      </c>
      <c r="I54" s="344">
        <f ca="1">IF(ROWS($1:41)&gt;COUNT(Dong11),0,IF(LEFT(OFFSET(TH!D$1,SMALL(Dong11,ROWS($1:41)),),1)="X",OFFSET(TH!I$1,SMALL(Dong11,ROWS($1:41)),),0))</f>
        <v>1147</v>
      </c>
      <c r="J54" s="345">
        <f t="shared" ca="1" si="2"/>
        <v>12043500</v>
      </c>
      <c r="K54" s="345">
        <f t="shared" ca="1" si="9"/>
        <v>5335</v>
      </c>
      <c r="L54" s="345">
        <f t="shared" ca="1" si="10"/>
        <v>86873726</v>
      </c>
      <c r="M54" s="345"/>
      <c r="N54" s="335"/>
    </row>
    <row r="55" spans="1:17">
      <c r="A55" s="306">
        <f t="shared" ca="1" si="8"/>
        <v>42</v>
      </c>
      <c r="B55" s="341" t="str">
        <f ca="1">IF(ROWS($1:42)&gt;COUNT(Dong11),"",OFFSET(TH!D$1,SMALL(Dong11,ROWS($1:42)),))</f>
        <v>XB/GV</v>
      </c>
      <c r="C55" s="342">
        <f ca="1">IF(ROWS($1:42)&gt;COUNT(Dong11),"",OFFSET(TH!E$1,SMALL(Dong11,ROWS($1:42)),))</f>
        <v>42581</v>
      </c>
      <c r="D55" s="343" t="str">
        <f ca="1">IF(ROWS($1:42)&gt;COUNT(Dong11),"",OFFSET(TH!H$1,SMALL(Dong11,ROWS($1:42)),))</f>
        <v>Xuất bán</v>
      </c>
      <c r="E55" s="341" t="str">
        <f ca="1">IF(ROWS($1:42)&gt;COUNT(Dong11),"",IF(OFFSET(TH!L$1,SMALL(Dong11,ROWS($1:42)),)=$G$7,OFFSET(TH!M$1,SMALL(Dong11,ROWS($1:42)),),OFFSET(TH!L$1,SMALL(Dong11,ROWS($1:42)),)))</f>
        <v>632</v>
      </c>
      <c r="F55" s="344">
        <f ca="1">IF(ROWS($1:42)&gt;COUNT(Dong11),0,OFFSET(TH!J$1,SMALL(Dong11,ROWS($1:42)),))</f>
        <v>10500</v>
      </c>
      <c r="G55" s="344">
        <f ca="1">IF(ROWS($1:42)&gt;COUNT(Dong11),0,IF(LEFT(OFFSET(TH!D$1,SMALL(Dong11,ROWS($1:42)),),1)="N",OFFSET(TH!I$1,SMALL(Dong11,ROWS($1:42)),),0))</f>
        <v>0</v>
      </c>
      <c r="H55" s="345">
        <f t="shared" ca="1" si="1"/>
        <v>0</v>
      </c>
      <c r="I55" s="344">
        <f ca="1">IF(ROWS($1:42)&gt;COUNT(Dong11),0,IF(LEFT(OFFSET(TH!D$1,SMALL(Dong11,ROWS($1:42)),),1)="X",OFFSET(TH!I$1,SMALL(Dong11,ROWS($1:42)),),0))</f>
        <v>580</v>
      </c>
      <c r="J55" s="345">
        <f t="shared" ca="1" si="2"/>
        <v>6090000</v>
      </c>
      <c r="K55" s="345">
        <f t="shared" ca="1" si="9"/>
        <v>4755</v>
      </c>
      <c r="L55" s="345">
        <f t="shared" ca="1" si="10"/>
        <v>80783726</v>
      </c>
      <c r="M55" s="345"/>
      <c r="N55" s="335"/>
    </row>
    <row r="56" spans="1:17">
      <c r="A56" s="306">
        <f t="shared" ca="1" si="8"/>
        <v>43</v>
      </c>
      <c r="B56" s="341" t="str">
        <f ca="1">IF(ROWS($1:43)&gt;COUNT(Dong11),"",OFFSET(TH!D$1,SMALL(Dong11,ROWS($1:43)),))</f>
        <v>XB/GV</v>
      </c>
      <c r="C56" s="342">
        <f ca="1">IF(ROWS($1:43)&gt;COUNT(Dong11),"",OFFSET(TH!E$1,SMALL(Dong11,ROWS($1:43)),))</f>
        <v>42598</v>
      </c>
      <c r="D56" s="343" t="str">
        <f ca="1">IF(ROWS($1:43)&gt;COUNT(Dong11),"",OFFSET(TH!H$1,SMALL(Dong11,ROWS($1:43)),))</f>
        <v>Xuất bán</v>
      </c>
      <c r="E56" s="341" t="str">
        <f ca="1">IF(ROWS($1:43)&gt;COUNT(Dong11),"",IF(OFFSET(TH!L$1,SMALL(Dong11,ROWS($1:43)),)=$G$7,OFFSET(TH!M$1,SMALL(Dong11,ROWS($1:43)),),OFFSET(TH!L$1,SMALL(Dong11,ROWS($1:43)),)))</f>
        <v>632</v>
      </c>
      <c r="F56" s="344">
        <f ca="1">IF(ROWS($1:43)&gt;COUNT(Dong11),0,OFFSET(TH!J$1,SMALL(Dong11,ROWS($1:43)),))</f>
        <v>10500</v>
      </c>
      <c r="G56" s="344">
        <f ca="1">IF(ROWS($1:43)&gt;COUNT(Dong11),0,IF(LEFT(OFFSET(TH!D$1,SMALL(Dong11,ROWS($1:43)),),1)="N",OFFSET(TH!I$1,SMALL(Dong11,ROWS($1:43)),),0))</f>
        <v>0</v>
      </c>
      <c r="H56" s="345">
        <f t="shared" ca="1" si="1"/>
        <v>0</v>
      </c>
      <c r="I56" s="344">
        <f ca="1">IF(ROWS($1:43)&gt;COUNT(Dong11),0,IF(LEFT(OFFSET(TH!D$1,SMALL(Dong11,ROWS($1:43)),),1)="X",OFFSET(TH!I$1,SMALL(Dong11,ROWS($1:43)),),0))</f>
        <v>460</v>
      </c>
      <c r="J56" s="345">
        <f t="shared" ca="1" si="2"/>
        <v>4830000</v>
      </c>
      <c r="K56" s="345">
        <f t="shared" ca="1" si="9"/>
        <v>4295</v>
      </c>
      <c r="L56" s="345">
        <f t="shared" ca="1" si="10"/>
        <v>75953726</v>
      </c>
      <c r="M56" s="345"/>
      <c r="N56" s="335"/>
    </row>
    <row r="57" spans="1:17">
      <c r="A57" s="306">
        <f t="shared" ca="1" si="8"/>
        <v>44</v>
      </c>
      <c r="B57" s="341" t="str">
        <f ca="1">IF(ROWS($1:44)&gt;COUNT(Dong11),"",OFFSET(TH!D$1,SMALL(Dong11,ROWS($1:44)),))</f>
        <v>XB/GV</v>
      </c>
      <c r="C57" s="342">
        <f ca="1">IF(ROWS($1:44)&gt;COUNT(Dong11),"",OFFSET(TH!E$1,SMALL(Dong11,ROWS($1:44)),))</f>
        <v>42604</v>
      </c>
      <c r="D57" s="343" t="str">
        <f ca="1">IF(ROWS($1:44)&gt;COUNT(Dong11),"",OFFSET(TH!H$1,SMALL(Dong11,ROWS($1:44)),))</f>
        <v>Xuất bán</v>
      </c>
      <c r="E57" s="341" t="str">
        <f ca="1">IF(ROWS($1:44)&gt;COUNT(Dong11),"",IF(OFFSET(TH!L$1,SMALL(Dong11,ROWS($1:44)),)=$G$7,OFFSET(TH!M$1,SMALL(Dong11,ROWS($1:44)),),OFFSET(TH!L$1,SMALL(Dong11,ROWS($1:44)),)))</f>
        <v>632</v>
      </c>
      <c r="F57" s="344">
        <f ca="1">IF(ROWS($1:44)&gt;COUNT(Dong11),0,OFFSET(TH!J$1,SMALL(Dong11,ROWS($1:44)),))</f>
        <v>17575</v>
      </c>
      <c r="G57" s="344">
        <f ca="1">IF(ROWS($1:44)&gt;COUNT(Dong11),0,IF(LEFT(OFFSET(TH!D$1,SMALL(Dong11,ROWS($1:44)),),1)="N",OFFSET(TH!I$1,SMALL(Dong11,ROWS($1:44)),),0))</f>
        <v>0</v>
      </c>
      <c r="H57" s="345">
        <f t="shared" ca="1" si="1"/>
        <v>0</v>
      </c>
      <c r="I57" s="344">
        <f ca="1">IF(ROWS($1:44)&gt;COUNT(Dong11),0,IF(LEFT(OFFSET(TH!D$1,SMALL(Dong11,ROWS($1:44)),),1)="X",OFFSET(TH!I$1,SMALL(Dong11,ROWS($1:44)),),0))</f>
        <v>4400</v>
      </c>
      <c r="J57" s="345">
        <f t="shared" ca="1" si="2"/>
        <v>77330000</v>
      </c>
      <c r="K57" s="345">
        <f t="shared" ca="1" si="9"/>
        <v>-105</v>
      </c>
      <c r="L57" s="345">
        <f t="shared" ca="1" si="10"/>
        <v>-1376274</v>
      </c>
      <c r="M57" s="345"/>
      <c r="N57" s="335"/>
    </row>
    <row r="58" spans="1:17">
      <c r="A58" s="306">
        <f t="shared" ca="1" si="8"/>
        <v>45</v>
      </c>
      <c r="B58" s="341" t="str">
        <f ca="1">IF(ROWS($1:45)&gt;COUNT(Dong11),"",OFFSET(TH!D$1,SMALL(Dong11,ROWS($1:45)),))</f>
        <v>XB/GV</v>
      </c>
      <c r="C58" s="342">
        <f ca="1">IF(ROWS($1:45)&gt;COUNT(Dong11),"",OFFSET(TH!E$1,SMALL(Dong11,ROWS($1:45)),))</f>
        <v>42622</v>
      </c>
      <c r="D58" s="343" t="str">
        <f ca="1">IF(ROWS($1:45)&gt;COUNT(Dong11),"",OFFSET(TH!H$1,SMALL(Dong11,ROWS($1:45)),))</f>
        <v>Xuất bán</v>
      </c>
      <c r="E58" s="341" t="str">
        <f ca="1">IF(ROWS($1:45)&gt;COUNT(Dong11),"",IF(OFFSET(TH!L$1,SMALL(Dong11,ROWS($1:45)),)=$G$7,OFFSET(TH!M$1,SMALL(Dong11,ROWS($1:45)),),OFFSET(TH!L$1,SMALL(Dong11,ROWS($1:45)),)))</f>
        <v>632</v>
      </c>
      <c r="F58" s="344">
        <f ca="1">IF(ROWS($1:45)&gt;COUNT(Dong11),0,OFFSET(TH!J$1,SMALL(Dong11,ROWS($1:45)),))</f>
        <v>9975</v>
      </c>
      <c r="G58" s="344">
        <f ca="1">IF(ROWS($1:45)&gt;COUNT(Dong11),0,IF(LEFT(OFFSET(TH!D$1,SMALL(Dong11,ROWS($1:45)),),1)="N",OFFSET(TH!I$1,SMALL(Dong11,ROWS($1:45)),),0))</f>
        <v>0</v>
      </c>
      <c r="H58" s="345">
        <f t="shared" ca="1" si="1"/>
        <v>0</v>
      </c>
      <c r="I58" s="344">
        <f ca="1">IF(ROWS($1:45)&gt;COUNT(Dong11),0,IF(LEFT(OFFSET(TH!D$1,SMALL(Dong11,ROWS($1:45)),),1)="X",OFFSET(TH!I$1,SMALL(Dong11,ROWS($1:45)),),0))</f>
        <v>1000</v>
      </c>
      <c r="J58" s="345">
        <f t="shared" ca="1" si="2"/>
        <v>9975000</v>
      </c>
      <c r="K58" s="345">
        <f t="shared" ca="1" si="9"/>
        <v>-1105</v>
      </c>
      <c r="L58" s="345">
        <f t="shared" ca="1" si="10"/>
        <v>-11351274</v>
      </c>
      <c r="M58" s="345"/>
      <c r="N58" s="335"/>
    </row>
    <row r="59" spans="1:17">
      <c r="A59" s="306">
        <f t="shared" ca="1" si="8"/>
        <v>46</v>
      </c>
      <c r="B59" s="341" t="str">
        <f ca="1">IF(ROWS($1:46)&gt;COUNT(Dong11),"",OFFSET(TH!D$1,SMALL(Dong11,ROWS($1:46)),))</f>
        <v>XB/GV</v>
      </c>
      <c r="C59" s="342">
        <f ca="1">IF(ROWS($1:46)&gt;COUNT(Dong11),"",OFFSET(TH!E$1,SMALL(Dong11,ROWS($1:46)),))</f>
        <v>42626</v>
      </c>
      <c r="D59" s="343" t="str">
        <f ca="1">IF(ROWS($1:46)&gt;COUNT(Dong11),"",OFFSET(TH!H$1,SMALL(Dong11,ROWS($1:46)),))</f>
        <v>Xuất bán</v>
      </c>
      <c r="E59" s="341" t="str">
        <f ca="1">IF(ROWS($1:46)&gt;COUNT(Dong11),"",IF(OFFSET(TH!L$1,SMALL(Dong11,ROWS($1:46)),)=$G$7,OFFSET(TH!M$1,SMALL(Dong11,ROWS($1:46)),),OFFSET(TH!L$1,SMALL(Dong11,ROWS($1:46)),)))</f>
        <v>632</v>
      </c>
      <c r="F59" s="344">
        <f ca="1">IF(ROWS($1:46)&gt;COUNT(Dong11),0,OFFSET(TH!J$1,SMALL(Dong11,ROWS($1:46)),))</f>
        <v>9975</v>
      </c>
      <c r="G59" s="344">
        <f ca="1">IF(ROWS($1:46)&gt;COUNT(Dong11),0,IF(LEFT(OFFSET(TH!D$1,SMALL(Dong11,ROWS($1:46)),),1)="N",OFFSET(TH!I$1,SMALL(Dong11,ROWS($1:46)),),0))</f>
        <v>0</v>
      </c>
      <c r="H59" s="345">
        <f t="shared" ca="1" si="1"/>
        <v>0</v>
      </c>
      <c r="I59" s="344">
        <f ca="1">IF(ROWS($1:46)&gt;COUNT(Dong11),0,IF(LEFT(OFFSET(TH!D$1,SMALL(Dong11,ROWS($1:46)),),1)="X",OFFSET(TH!I$1,SMALL(Dong11,ROWS($1:46)),),0))</f>
        <v>490</v>
      </c>
      <c r="J59" s="345">
        <f t="shared" ca="1" si="2"/>
        <v>4887750</v>
      </c>
      <c r="K59" s="345">
        <f t="shared" ca="1" si="9"/>
        <v>-1595</v>
      </c>
      <c r="L59" s="345">
        <f t="shared" ca="1" si="10"/>
        <v>-16239024</v>
      </c>
      <c r="M59" s="345"/>
      <c r="N59" s="335"/>
    </row>
    <row r="60" spans="1:17">
      <c r="A60" s="306">
        <f t="shared" ca="1" si="8"/>
        <v>47</v>
      </c>
      <c r="B60" s="341" t="str">
        <f ca="1">IF(ROWS($1:47)&gt;COUNT(Dong11),"",OFFSET(TH!D$1,SMALL(Dong11,ROWS($1:47)),))</f>
        <v>XB/GV</v>
      </c>
      <c r="C60" s="342">
        <f ca="1">IF(ROWS($1:47)&gt;COUNT(Dong11),"",OFFSET(TH!E$1,SMALL(Dong11,ROWS($1:47)),))</f>
        <v>42634</v>
      </c>
      <c r="D60" s="343" t="str">
        <f ca="1">IF(ROWS($1:47)&gt;COUNT(Dong11),"",OFFSET(TH!H$1,SMALL(Dong11,ROWS($1:47)),))</f>
        <v>Xuất bán</v>
      </c>
      <c r="E60" s="341" t="str">
        <f ca="1">IF(ROWS($1:47)&gt;COUNT(Dong11),"",IF(OFFSET(TH!L$1,SMALL(Dong11,ROWS($1:47)),)=$G$7,OFFSET(TH!M$1,SMALL(Dong11,ROWS($1:47)),),OFFSET(TH!L$1,SMALL(Dong11,ROWS($1:47)),)))</f>
        <v>632</v>
      </c>
      <c r="F60" s="344">
        <f ca="1">IF(ROWS($1:47)&gt;COUNT(Dong11),0,OFFSET(TH!J$1,SMALL(Dong11,ROWS($1:47)),))</f>
        <v>17575</v>
      </c>
      <c r="G60" s="344">
        <f ca="1">IF(ROWS($1:47)&gt;COUNT(Dong11),0,IF(LEFT(OFFSET(TH!D$1,SMALL(Dong11,ROWS($1:47)),),1)="N",OFFSET(TH!I$1,SMALL(Dong11,ROWS($1:47)),),0))</f>
        <v>0</v>
      </c>
      <c r="H60" s="345">
        <f t="shared" ca="1" si="1"/>
        <v>0</v>
      </c>
      <c r="I60" s="344">
        <f ca="1">IF(ROWS($1:47)&gt;COUNT(Dong11),0,IF(LEFT(OFFSET(TH!D$1,SMALL(Dong11,ROWS($1:47)),),1)="X",OFFSET(TH!I$1,SMALL(Dong11,ROWS($1:47)),),0))</f>
        <v>4400</v>
      </c>
      <c r="J60" s="345">
        <f t="shared" ca="1" si="2"/>
        <v>77330000</v>
      </c>
      <c r="K60" s="345">
        <f t="shared" ca="1" si="9"/>
        <v>-5995</v>
      </c>
      <c r="L60" s="345">
        <f t="shared" ca="1" si="10"/>
        <v>-93569024</v>
      </c>
      <c r="M60" s="345"/>
      <c r="N60" s="335"/>
    </row>
    <row r="61" spans="1:17">
      <c r="A61" s="306">
        <f t="shared" ca="1" si="8"/>
        <v>48</v>
      </c>
      <c r="B61" s="341" t="str">
        <f ca="1">IF(ROWS($1:48)&gt;COUNT(Dong11),"",OFFSET(TH!D$1,SMALL(Dong11,ROWS($1:48)),))</f>
        <v>XB/GV</v>
      </c>
      <c r="C61" s="342">
        <f ca="1">IF(ROWS($1:48)&gt;COUNT(Dong11),"",OFFSET(TH!E$1,SMALL(Dong11,ROWS($1:48)),))</f>
        <v>42642</v>
      </c>
      <c r="D61" s="343" t="str">
        <f ca="1">IF(ROWS($1:48)&gt;COUNT(Dong11),"",OFFSET(TH!H$1,SMALL(Dong11,ROWS($1:48)),))</f>
        <v>Xuất bán</v>
      </c>
      <c r="E61" s="341" t="str">
        <f ca="1">IF(ROWS($1:48)&gt;COUNT(Dong11),"",IF(OFFSET(TH!L$1,SMALL(Dong11,ROWS($1:48)),)=$G$7,OFFSET(TH!M$1,SMALL(Dong11,ROWS($1:48)),),OFFSET(TH!L$1,SMALL(Dong11,ROWS($1:48)),)))</f>
        <v>632</v>
      </c>
      <c r="F61" s="344">
        <f ca="1">IF(ROWS($1:48)&gt;COUNT(Dong11),0,OFFSET(TH!J$1,SMALL(Dong11,ROWS($1:48)),))</f>
        <v>17575</v>
      </c>
      <c r="G61" s="344">
        <f ca="1">IF(ROWS($1:48)&gt;COUNT(Dong11),0,IF(LEFT(OFFSET(TH!D$1,SMALL(Dong11,ROWS($1:48)),),1)="N",OFFSET(TH!I$1,SMALL(Dong11,ROWS($1:48)),),0))</f>
        <v>0</v>
      </c>
      <c r="H61" s="345">
        <f t="shared" ca="1" si="1"/>
        <v>0</v>
      </c>
      <c r="I61" s="344">
        <f ca="1">IF(ROWS($1:48)&gt;COUNT(Dong11),0,IF(LEFT(OFFSET(TH!D$1,SMALL(Dong11,ROWS($1:48)),),1)="X",OFFSET(TH!I$1,SMALL(Dong11,ROWS($1:48)),),0))</f>
        <v>120</v>
      </c>
      <c r="J61" s="345">
        <f t="shared" ca="1" si="2"/>
        <v>2109000</v>
      </c>
      <c r="K61" s="345">
        <f t="shared" ca="1" si="9"/>
        <v>-6115</v>
      </c>
      <c r="L61" s="345">
        <f t="shared" ca="1" si="10"/>
        <v>-95678024</v>
      </c>
      <c r="M61" s="345"/>
      <c r="N61" s="335"/>
    </row>
    <row r="62" spans="1:17">
      <c r="A62" s="306">
        <f t="shared" ca="1" si="8"/>
        <v>49</v>
      </c>
      <c r="B62" s="341" t="str">
        <f ca="1">IF(ROWS($1:49)&gt;COUNT(Dong11),"",OFFSET(TH!D$1,SMALL(Dong11,ROWS($1:49)),))</f>
        <v>NTP</v>
      </c>
      <c r="C62" s="342">
        <f ca="1">IF(ROWS($1:49)&gt;COUNT(Dong11),"",OFFSET(TH!E$1,SMALL(Dong11,ROWS($1:49)),))</f>
        <v>42449</v>
      </c>
      <c r="D62" s="343" t="str">
        <f ca="1">IF(ROWS($1:49)&gt;COUNT(Dong11),"",OFFSET(TH!H$1,SMALL(Dong11,ROWS($1:49)),))</f>
        <v>Nhập TP</v>
      </c>
      <c r="E62" s="341" t="str">
        <f ca="1">IF(ROWS($1:49)&gt;COUNT(Dong11),"",IF(OFFSET(TH!L$1,SMALL(Dong11,ROWS($1:49)),)=$G$7,OFFSET(TH!M$1,SMALL(Dong11,ROWS($1:49)),),OFFSET(TH!L$1,SMALL(Dong11,ROWS($1:49)),)))</f>
        <v>156</v>
      </c>
      <c r="F62" s="344">
        <f ca="1">IF(ROWS($1:49)&gt;COUNT(Dong11),0,OFFSET(TH!J$1,SMALL(Dong11,ROWS($1:49)),))</f>
        <v>13417.347138763058</v>
      </c>
      <c r="G62" s="344">
        <f ca="1">IF(ROWS($1:49)&gt;COUNT(Dong11),0,IF(LEFT(OFFSET(TH!D$1,SMALL(Dong11,ROWS($1:49)),),1)="N",OFFSET(TH!I$1,SMALL(Dong11,ROWS($1:49)),),0))</f>
        <v>100</v>
      </c>
      <c r="H62" s="345">
        <f t="shared" ca="1" si="1"/>
        <v>1341735</v>
      </c>
      <c r="I62" s="344">
        <f ca="1">IF(ROWS($1:49)&gt;COUNT(Dong11),0,IF(LEFT(OFFSET(TH!D$1,SMALL(Dong11,ROWS($1:49)),),1)="X",OFFSET(TH!I$1,SMALL(Dong11,ROWS($1:49)),),0))</f>
        <v>0</v>
      </c>
      <c r="J62" s="345">
        <f t="shared" ca="1" si="2"/>
        <v>0</v>
      </c>
      <c r="K62" s="345">
        <f t="shared" ca="1" si="9"/>
        <v>-6015</v>
      </c>
      <c r="L62" s="345">
        <f t="shared" ca="1" si="10"/>
        <v>-94336289</v>
      </c>
      <c r="M62" s="345"/>
      <c r="N62" s="335"/>
    </row>
    <row r="63" spans="1:17">
      <c r="A63" s="306">
        <f t="shared" ref="A63:A72" ca="1" si="11">IF(B63="","",A62+1)</f>
        <v>50</v>
      </c>
      <c r="B63" s="341" t="str">
        <f ca="1">IF(ROWS($1:50)&gt;COUNT(Dong11),"",OFFSET(TH!D$1,SMALL(Dong11,ROWS($1:50)),))</f>
        <v>NTP</v>
      </c>
      <c r="C63" s="342">
        <f ca="1">IF(ROWS($1:50)&gt;COUNT(Dong11),"",OFFSET(TH!E$1,SMALL(Dong11,ROWS($1:50)),))</f>
        <v>42550</v>
      </c>
      <c r="D63" s="343" t="str">
        <f ca="1">IF(ROWS($1:50)&gt;COUNT(Dong11),"",OFFSET(TH!H$1,SMALL(Dong11,ROWS($1:50)),))</f>
        <v>Nhập TP</v>
      </c>
      <c r="E63" s="341" t="str">
        <f ca="1">IF(ROWS($1:50)&gt;COUNT(Dong11),"",IF(OFFSET(TH!L$1,SMALL(Dong11,ROWS($1:50)),)=$G$7,OFFSET(TH!M$1,SMALL(Dong11,ROWS($1:50)),),OFFSET(TH!L$1,SMALL(Dong11,ROWS($1:50)),)))</f>
        <v>156</v>
      </c>
      <c r="F63" s="344">
        <f ca="1">IF(ROWS($1:50)&gt;COUNT(Dong11),0,OFFSET(TH!J$1,SMALL(Dong11,ROWS($1:50)),))</f>
        <v>6907.8</v>
      </c>
      <c r="G63" s="344">
        <f ca="1">IF(ROWS($1:50)&gt;COUNT(Dong11),0,IF(LEFT(OFFSET(TH!D$1,SMALL(Dong11,ROWS($1:50)),),1)="N",OFFSET(TH!I$1,SMALL(Dong11,ROWS($1:50)),),0))</f>
        <v>5</v>
      </c>
      <c r="H63" s="345">
        <f t="shared" ca="1" si="1"/>
        <v>34539</v>
      </c>
      <c r="I63" s="344">
        <f ca="1">IF(ROWS($1:50)&gt;COUNT(Dong11),0,IF(LEFT(OFFSET(TH!D$1,SMALL(Dong11,ROWS($1:50)),),1)="X",OFFSET(TH!I$1,SMALL(Dong11,ROWS($1:50)),),0))</f>
        <v>0</v>
      </c>
      <c r="J63" s="345">
        <f t="shared" ca="1" si="2"/>
        <v>0</v>
      </c>
      <c r="K63" s="345">
        <f t="shared" ref="K63:K72" ca="1" si="12">IF(D63&lt;&gt;"",K62+G63-I63,0)</f>
        <v>-6010</v>
      </c>
      <c r="L63" s="345">
        <f t="shared" ref="L63:L72" ca="1" si="13">IF(D63&lt;&gt;"",L62+H63-J63,0)</f>
        <v>-94301750</v>
      </c>
      <c r="M63" s="345"/>
      <c r="N63" s="335"/>
    </row>
    <row r="64" spans="1:17">
      <c r="A64" s="306" t="str">
        <f t="shared" ca="1" si="11"/>
        <v/>
      </c>
      <c r="B64" s="341" t="str">
        <f ca="1">IF(ROWS($1:51)&gt;COUNT(Dong11),"",OFFSET(TH!D$1,SMALL(Dong11,ROWS($1:51)),))</f>
        <v/>
      </c>
      <c r="C64" s="342" t="str">
        <f ca="1">IF(ROWS($1:51)&gt;COUNT(Dong11),"",OFFSET(TH!E$1,SMALL(Dong11,ROWS($1:51)),))</f>
        <v/>
      </c>
      <c r="D64" s="343" t="str">
        <f ca="1">IF(ROWS($1:51)&gt;COUNT(Dong11),"",OFFSET(TH!H$1,SMALL(Dong11,ROWS($1:51)),))</f>
        <v/>
      </c>
      <c r="E64" s="341" t="str">
        <f ca="1">IF(ROWS($1:51)&gt;COUNT(Dong11),"",IF(OFFSET(TH!L$1,SMALL(Dong11,ROWS($1:51)),)=$G$7,OFFSET(TH!M$1,SMALL(Dong11,ROWS($1:51)),),OFFSET(TH!L$1,SMALL(Dong11,ROWS($1:51)),)))</f>
        <v/>
      </c>
      <c r="F64" s="344">
        <f ca="1">IF(ROWS($1:51)&gt;COUNT(Dong11),0,OFFSET(TH!J$1,SMALL(Dong11,ROWS($1:51)),))</f>
        <v>0</v>
      </c>
      <c r="G64" s="344">
        <f ca="1">IF(ROWS($1:51)&gt;COUNT(Dong11),0,IF(LEFT(OFFSET(TH!D$1,SMALL(Dong11,ROWS($1:51)),),1)="N",OFFSET(TH!I$1,SMALL(Dong11,ROWS($1:51)),),0))</f>
        <v>0</v>
      </c>
      <c r="H64" s="345">
        <f t="shared" ca="1" si="1"/>
        <v>0</v>
      </c>
      <c r="I64" s="344">
        <f ca="1">IF(ROWS($1:51)&gt;COUNT(Dong11),0,IF(LEFT(OFFSET(TH!D$1,SMALL(Dong11,ROWS($1:51)),),1)="X",OFFSET(TH!I$1,SMALL(Dong11,ROWS($1:51)),),0))</f>
        <v>0</v>
      </c>
      <c r="J64" s="345">
        <f t="shared" ca="1" si="2"/>
        <v>0</v>
      </c>
      <c r="K64" s="345">
        <f t="shared" ca="1" si="12"/>
        <v>0</v>
      </c>
      <c r="L64" s="345">
        <f t="shared" ca="1" si="13"/>
        <v>0</v>
      </c>
      <c r="M64" s="345"/>
      <c r="N64" s="335"/>
    </row>
    <row r="65" spans="1:14">
      <c r="A65" s="306" t="str">
        <f t="shared" ca="1" si="11"/>
        <v/>
      </c>
      <c r="B65" s="341" t="str">
        <f ca="1">IF(ROWS($1:52)&gt;COUNT(Dong11),"",OFFSET(TH!D$1,SMALL(Dong11,ROWS($1:52)),))</f>
        <v/>
      </c>
      <c r="C65" s="342" t="str">
        <f ca="1">IF(ROWS($1:52)&gt;COUNT(Dong11),"",OFFSET(TH!E$1,SMALL(Dong11,ROWS($1:52)),))</f>
        <v/>
      </c>
      <c r="D65" s="343" t="str">
        <f ca="1">IF(ROWS($1:52)&gt;COUNT(Dong11),"",OFFSET(TH!H$1,SMALL(Dong11,ROWS($1:52)),))</f>
        <v/>
      </c>
      <c r="E65" s="341" t="str">
        <f ca="1">IF(ROWS($1:52)&gt;COUNT(Dong11),"",IF(OFFSET(TH!L$1,SMALL(Dong11,ROWS($1:52)),)=$G$7,OFFSET(TH!M$1,SMALL(Dong11,ROWS($1:52)),),OFFSET(TH!L$1,SMALL(Dong11,ROWS($1:52)),)))</f>
        <v/>
      </c>
      <c r="F65" s="344">
        <f ca="1">IF(ROWS($1:52)&gt;COUNT(Dong11),0,OFFSET(TH!J$1,SMALL(Dong11,ROWS($1:52)),))</f>
        <v>0</v>
      </c>
      <c r="G65" s="344">
        <f ca="1">IF(ROWS($1:52)&gt;COUNT(Dong11),0,IF(LEFT(OFFSET(TH!D$1,SMALL(Dong11,ROWS($1:52)),),1)="N",OFFSET(TH!I$1,SMALL(Dong11,ROWS($1:52)),),0))</f>
        <v>0</v>
      </c>
      <c r="H65" s="345">
        <f t="shared" ca="1" si="1"/>
        <v>0</v>
      </c>
      <c r="I65" s="344">
        <f ca="1">IF(ROWS($1:52)&gt;COUNT(Dong11),0,IF(LEFT(OFFSET(TH!D$1,SMALL(Dong11,ROWS($1:52)),),1)="X",OFFSET(TH!I$1,SMALL(Dong11,ROWS($1:52)),),0))</f>
        <v>0</v>
      </c>
      <c r="J65" s="345">
        <f t="shared" ca="1" si="2"/>
        <v>0</v>
      </c>
      <c r="K65" s="345">
        <f t="shared" ca="1" si="12"/>
        <v>0</v>
      </c>
      <c r="L65" s="345">
        <f t="shared" ca="1" si="13"/>
        <v>0</v>
      </c>
      <c r="M65" s="345"/>
      <c r="N65" s="335"/>
    </row>
    <row r="66" spans="1:14">
      <c r="A66" s="306" t="str">
        <f t="shared" ca="1" si="11"/>
        <v/>
      </c>
      <c r="B66" s="341" t="str">
        <f ca="1">IF(ROWS($1:53)&gt;COUNT(Dong11),"",OFFSET(TH!D$1,SMALL(Dong11,ROWS($1:53)),))</f>
        <v/>
      </c>
      <c r="C66" s="342" t="str">
        <f ca="1">IF(ROWS($1:53)&gt;COUNT(Dong11),"",OFFSET(TH!E$1,SMALL(Dong11,ROWS($1:53)),))</f>
        <v/>
      </c>
      <c r="D66" s="343" t="str">
        <f ca="1">IF(ROWS($1:53)&gt;COUNT(Dong11),"",OFFSET(TH!H$1,SMALL(Dong11,ROWS($1:53)),))</f>
        <v/>
      </c>
      <c r="E66" s="341" t="str">
        <f ca="1">IF(ROWS($1:53)&gt;COUNT(Dong11),"",IF(OFFSET(TH!L$1,SMALL(Dong11,ROWS($1:53)),)=$G$7,OFFSET(TH!M$1,SMALL(Dong11,ROWS($1:53)),),OFFSET(TH!L$1,SMALL(Dong11,ROWS($1:53)),)))</f>
        <v/>
      </c>
      <c r="F66" s="344">
        <f ca="1">IF(ROWS($1:53)&gt;COUNT(Dong11),0,OFFSET(TH!J$1,SMALL(Dong11,ROWS($1:53)),))</f>
        <v>0</v>
      </c>
      <c r="G66" s="344">
        <f ca="1">IF(ROWS($1:53)&gt;COUNT(Dong11),0,IF(LEFT(OFFSET(TH!D$1,SMALL(Dong11,ROWS($1:53)),),1)="N",OFFSET(TH!I$1,SMALL(Dong11,ROWS($1:53)),),0))</f>
        <v>0</v>
      </c>
      <c r="H66" s="345">
        <f t="shared" ca="1" si="1"/>
        <v>0</v>
      </c>
      <c r="I66" s="344">
        <f ca="1">IF(ROWS($1:53)&gt;COUNT(Dong11),0,IF(LEFT(OFFSET(TH!D$1,SMALL(Dong11,ROWS($1:53)),),1)="X",OFFSET(TH!I$1,SMALL(Dong11,ROWS($1:53)),),0))</f>
        <v>0</v>
      </c>
      <c r="J66" s="345">
        <f t="shared" ca="1" si="2"/>
        <v>0</v>
      </c>
      <c r="K66" s="345">
        <f t="shared" ca="1" si="12"/>
        <v>0</v>
      </c>
      <c r="L66" s="345">
        <f t="shared" ca="1" si="13"/>
        <v>0</v>
      </c>
      <c r="M66" s="345"/>
      <c r="N66" s="335"/>
    </row>
    <row r="67" spans="1:14">
      <c r="A67" s="306" t="str">
        <f t="shared" ca="1" si="11"/>
        <v/>
      </c>
      <c r="B67" s="341" t="str">
        <f ca="1">IF(ROWS($1:54)&gt;COUNT(Dong11),"",OFFSET(TH!D$1,SMALL(Dong11,ROWS($1:54)),))</f>
        <v/>
      </c>
      <c r="C67" s="342" t="str">
        <f ca="1">IF(ROWS($1:54)&gt;COUNT(Dong11),"",OFFSET(TH!E$1,SMALL(Dong11,ROWS($1:54)),))</f>
        <v/>
      </c>
      <c r="D67" s="343" t="str">
        <f ca="1">IF(ROWS($1:54)&gt;COUNT(Dong11),"",OFFSET(TH!H$1,SMALL(Dong11,ROWS($1:54)),))</f>
        <v/>
      </c>
      <c r="E67" s="341" t="str">
        <f ca="1">IF(ROWS($1:54)&gt;COUNT(Dong11),"",IF(OFFSET(TH!L$1,SMALL(Dong11,ROWS($1:54)),)=$G$7,OFFSET(TH!M$1,SMALL(Dong11,ROWS($1:54)),),OFFSET(TH!L$1,SMALL(Dong11,ROWS($1:54)),)))</f>
        <v/>
      </c>
      <c r="F67" s="344">
        <f ca="1">IF(ROWS($1:54)&gt;COUNT(Dong11),0,OFFSET(TH!J$1,SMALL(Dong11,ROWS($1:54)),))</f>
        <v>0</v>
      </c>
      <c r="G67" s="344">
        <f ca="1">IF(ROWS($1:54)&gt;COUNT(Dong11),0,IF(LEFT(OFFSET(TH!D$1,SMALL(Dong11,ROWS($1:54)),),1)="N",OFFSET(TH!I$1,SMALL(Dong11,ROWS($1:54)),),0))</f>
        <v>0</v>
      </c>
      <c r="H67" s="345">
        <f t="shared" ca="1" si="1"/>
        <v>0</v>
      </c>
      <c r="I67" s="344">
        <f ca="1">IF(ROWS($1:54)&gt;COUNT(Dong11),0,IF(LEFT(OFFSET(TH!D$1,SMALL(Dong11,ROWS($1:54)),),1)="X",OFFSET(TH!I$1,SMALL(Dong11,ROWS($1:54)),),0))</f>
        <v>0</v>
      </c>
      <c r="J67" s="345">
        <f t="shared" ca="1" si="2"/>
        <v>0</v>
      </c>
      <c r="K67" s="345">
        <f t="shared" ca="1" si="12"/>
        <v>0</v>
      </c>
      <c r="L67" s="345">
        <f t="shared" ca="1" si="13"/>
        <v>0</v>
      </c>
      <c r="M67" s="345"/>
      <c r="N67" s="335"/>
    </row>
    <row r="68" spans="1:14">
      <c r="A68" s="306" t="str">
        <f t="shared" ca="1" si="11"/>
        <v/>
      </c>
      <c r="B68" s="341" t="str">
        <f ca="1">IF(ROWS($1:55)&gt;COUNT(Dong11),"",OFFSET(TH!D$1,SMALL(Dong11,ROWS($1:55)),))</f>
        <v/>
      </c>
      <c r="C68" s="342" t="str">
        <f ca="1">IF(ROWS($1:55)&gt;COUNT(Dong11),"",OFFSET(TH!E$1,SMALL(Dong11,ROWS($1:55)),))</f>
        <v/>
      </c>
      <c r="D68" s="343" t="str">
        <f ca="1">IF(ROWS($1:55)&gt;COUNT(Dong11),"",OFFSET(TH!H$1,SMALL(Dong11,ROWS($1:55)),))</f>
        <v/>
      </c>
      <c r="E68" s="341" t="str">
        <f ca="1">IF(ROWS($1:55)&gt;COUNT(Dong11),"",IF(OFFSET(TH!L$1,SMALL(Dong11,ROWS($1:55)),)=$G$7,OFFSET(TH!M$1,SMALL(Dong11,ROWS($1:55)),),OFFSET(TH!L$1,SMALL(Dong11,ROWS($1:55)),)))</f>
        <v/>
      </c>
      <c r="F68" s="344">
        <f ca="1">IF(ROWS($1:55)&gt;COUNT(Dong11),0,OFFSET(TH!J$1,SMALL(Dong11,ROWS($1:55)),))</f>
        <v>0</v>
      </c>
      <c r="G68" s="344">
        <f ca="1">IF(ROWS($1:55)&gt;COUNT(Dong11),0,IF(LEFT(OFFSET(TH!D$1,SMALL(Dong11,ROWS($1:55)),),1)="N",OFFSET(TH!I$1,SMALL(Dong11,ROWS($1:55)),),0))</f>
        <v>0</v>
      </c>
      <c r="H68" s="345">
        <f t="shared" ca="1" si="1"/>
        <v>0</v>
      </c>
      <c r="I68" s="344">
        <f ca="1">IF(ROWS($1:55)&gt;COUNT(Dong11),0,IF(LEFT(OFFSET(TH!D$1,SMALL(Dong11,ROWS($1:55)),),1)="X",OFFSET(TH!I$1,SMALL(Dong11,ROWS($1:55)),),0))</f>
        <v>0</v>
      </c>
      <c r="J68" s="345">
        <f t="shared" ca="1" si="2"/>
        <v>0</v>
      </c>
      <c r="K68" s="345">
        <f t="shared" ca="1" si="12"/>
        <v>0</v>
      </c>
      <c r="L68" s="345">
        <f t="shared" ca="1" si="13"/>
        <v>0</v>
      </c>
      <c r="M68" s="345"/>
      <c r="N68" s="335"/>
    </row>
    <row r="69" spans="1:14">
      <c r="A69" s="306" t="str">
        <f t="shared" ca="1" si="11"/>
        <v/>
      </c>
      <c r="B69" s="341" t="str">
        <f ca="1">IF(ROWS($1:56)&gt;COUNT(Dong11),"",OFFSET(TH!D$1,SMALL(Dong11,ROWS($1:56)),))</f>
        <v/>
      </c>
      <c r="C69" s="342" t="str">
        <f ca="1">IF(ROWS($1:56)&gt;COUNT(Dong11),"",OFFSET(TH!E$1,SMALL(Dong11,ROWS($1:56)),))</f>
        <v/>
      </c>
      <c r="D69" s="343" t="str">
        <f ca="1">IF(ROWS($1:56)&gt;COUNT(Dong11),"",OFFSET(TH!H$1,SMALL(Dong11,ROWS($1:56)),))</f>
        <v/>
      </c>
      <c r="E69" s="341" t="str">
        <f ca="1">IF(ROWS($1:56)&gt;COUNT(Dong11),"",IF(OFFSET(TH!L$1,SMALL(Dong11,ROWS($1:56)),)=$G$7,OFFSET(TH!M$1,SMALL(Dong11,ROWS($1:56)),),OFFSET(TH!L$1,SMALL(Dong11,ROWS($1:56)),)))</f>
        <v/>
      </c>
      <c r="F69" s="344">
        <f ca="1">IF(ROWS($1:56)&gt;COUNT(Dong11),0,OFFSET(TH!J$1,SMALL(Dong11,ROWS($1:56)),))</f>
        <v>0</v>
      </c>
      <c r="G69" s="344">
        <f ca="1">IF(ROWS($1:56)&gt;COUNT(Dong11),0,IF(LEFT(OFFSET(TH!D$1,SMALL(Dong11,ROWS($1:56)),),1)="N",OFFSET(TH!I$1,SMALL(Dong11,ROWS($1:56)),),0))</f>
        <v>0</v>
      </c>
      <c r="H69" s="345">
        <f t="shared" ca="1" si="1"/>
        <v>0</v>
      </c>
      <c r="I69" s="344">
        <f ca="1">IF(ROWS($1:56)&gt;COUNT(Dong11),0,IF(LEFT(OFFSET(TH!D$1,SMALL(Dong11,ROWS($1:56)),),1)="X",OFFSET(TH!I$1,SMALL(Dong11,ROWS($1:56)),),0))</f>
        <v>0</v>
      </c>
      <c r="J69" s="345">
        <f t="shared" ca="1" si="2"/>
        <v>0</v>
      </c>
      <c r="K69" s="345">
        <f t="shared" ca="1" si="12"/>
        <v>0</v>
      </c>
      <c r="L69" s="345">
        <f t="shared" ca="1" si="13"/>
        <v>0</v>
      </c>
      <c r="M69" s="345"/>
      <c r="N69" s="335"/>
    </row>
    <row r="70" spans="1:14">
      <c r="A70" s="306" t="str">
        <f t="shared" ca="1" si="11"/>
        <v/>
      </c>
      <c r="B70" s="341" t="str">
        <f ca="1">IF(ROWS($1:57)&gt;COUNT(Dong11),"",OFFSET(TH!D$1,SMALL(Dong11,ROWS($1:57)),))</f>
        <v/>
      </c>
      <c r="C70" s="342" t="str">
        <f ca="1">IF(ROWS($1:57)&gt;COUNT(Dong11),"",OFFSET(TH!E$1,SMALL(Dong11,ROWS($1:57)),))</f>
        <v/>
      </c>
      <c r="D70" s="343" t="str">
        <f ca="1">IF(ROWS($1:57)&gt;COUNT(Dong11),"",OFFSET(TH!H$1,SMALL(Dong11,ROWS($1:57)),))</f>
        <v/>
      </c>
      <c r="E70" s="341" t="str">
        <f ca="1">IF(ROWS($1:57)&gt;COUNT(Dong11),"",IF(OFFSET(TH!L$1,SMALL(Dong11,ROWS($1:57)),)=$G$7,OFFSET(TH!M$1,SMALL(Dong11,ROWS($1:57)),),OFFSET(TH!L$1,SMALL(Dong11,ROWS($1:57)),)))</f>
        <v/>
      </c>
      <c r="F70" s="344">
        <f ca="1">IF(ROWS($1:57)&gt;COUNT(Dong11),0,OFFSET(TH!J$1,SMALL(Dong11,ROWS($1:57)),))</f>
        <v>0</v>
      </c>
      <c r="G70" s="344">
        <f ca="1">IF(ROWS($1:57)&gt;COUNT(Dong11),0,IF(LEFT(OFFSET(TH!D$1,SMALL(Dong11,ROWS($1:57)),),1)="N",OFFSET(TH!I$1,SMALL(Dong11,ROWS($1:57)),),0))</f>
        <v>0</v>
      </c>
      <c r="H70" s="345">
        <f t="shared" ca="1" si="1"/>
        <v>0</v>
      </c>
      <c r="I70" s="344">
        <f ca="1">IF(ROWS($1:57)&gt;COUNT(Dong11),0,IF(LEFT(OFFSET(TH!D$1,SMALL(Dong11,ROWS($1:57)),),1)="X",OFFSET(TH!I$1,SMALL(Dong11,ROWS($1:57)),),0))</f>
        <v>0</v>
      </c>
      <c r="J70" s="345">
        <f t="shared" ca="1" si="2"/>
        <v>0</v>
      </c>
      <c r="K70" s="345">
        <f t="shared" ca="1" si="12"/>
        <v>0</v>
      </c>
      <c r="L70" s="345">
        <f t="shared" ca="1" si="13"/>
        <v>0</v>
      </c>
      <c r="M70" s="345"/>
      <c r="N70" s="335"/>
    </row>
    <row r="71" spans="1:14">
      <c r="A71" s="306" t="str">
        <f t="shared" ca="1" si="11"/>
        <v/>
      </c>
      <c r="B71" s="341" t="str">
        <f ca="1">IF(ROWS($1:58)&gt;COUNT(Dong11),"",OFFSET(TH!D$1,SMALL(Dong11,ROWS($1:58)),))</f>
        <v/>
      </c>
      <c r="C71" s="342" t="str">
        <f ca="1">IF(ROWS($1:58)&gt;COUNT(Dong11),"",OFFSET(TH!E$1,SMALL(Dong11,ROWS($1:58)),))</f>
        <v/>
      </c>
      <c r="D71" s="343" t="str">
        <f ca="1">IF(ROWS($1:58)&gt;COUNT(Dong11),"",OFFSET(TH!H$1,SMALL(Dong11,ROWS($1:58)),))</f>
        <v/>
      </c>
      <c r="E71" s="341" t="str">
        <f ca="1">IF(ROWS($1:58)&gt;COUNT(Dong11),"",IF(OFFSET(TH!L$1,SMALL(Dong11,ROWS($1:58)),)=$G$7,OFFSET(TH!M$1,SMALL(Dong11,ROWS($1:58)),),OFFSET(TH!L$1,SMALL(Dong11,ROWS($1:58)),)))</f>
        <v/>
      </c>
      <c r="F71" s="344">
        <f ca="1">IF(ROWS($1:58)&gt;COUNT(Dong11),0,OFFSET(TH!J$1,SMALL(Dong11,ROWS($1:58)),))</f>
        <v>0</v>
      </c>
      <c r="G71" s="344">
        <f ca="1">IF(ROWS($1:58)&gt;COUNT(Dong11),0,IF(LEFT(OFFSET(TH!D$1,SMALL(Dong11,ROWS($1:58)),),1)="N",OFFSET(TH!I$1,SMALL(Dong11,ROWS($1:58)),),0))</f>
        <v>0</v>
      </c>
      <c r="H71" s="345">
        <f t="shared" ca="1" si="1"/>
        <v>0</v>
      </c>
      <c r="I71" s="344">
        <f ca="1">IF(ROWS($1:58)&gt;COUNT(Dong11),0,IF(LEFT(OFFSET(TH!D$1,SMALL(Dong11,ROWS($1:58)),),1)="X",OFFSET(TH!I$1,SMALL(Dong11,ROWS($1:58)),),0))</f>
        <v>0</v>
      </c>
      <c r="J71" s="345">
        <f t="shared" ca="1" si="2"/>
        <v>0</v>
      </c>
      <c r="K71" s="345">
        <f t="shared" ca="1" si="12"/>
        <v>0</v>
      </c>
      <c r="L71" s="345">
        <f t="shared" ca="1" si="13"/>
        <v>0</v>
      </c>
      <c r="M71" s="345"/>
      <c r="N71" s="335"/>
    </row>
    <row r="72" spans="1:14">
      <c r="A72" s="306" t="str">
        <f t="shared" ca="1" si="11"/>
        <v/>
      </c>
      <c r="B72" s="341" t="str">
        <f ca="1">IF(ROWS($1:59)&gt;COUNT(Dong11),"",OFFSET(TH!D$1,SMALL(Dong11,ROWS($1:59)),))</f>
        <v/>
      </c>
      <c r="C72" s="342" t="str">
        <f ca="1">IF(ROWS($1:59)&gt;COUNT(Dong11),"",OFFSET(TH!E$1,SMALL(Dong11,ROWS($1:59)),))</f>
        <v/>
      </c>
      <c r="D72" s="343" t="str">
        <f ca="1">IF(ROWS($1:59)&gt;COUNT(Dong11),"",OFFSET(TH!H$1,SMALL(Dong11,ROWS($1:59)),))</f>
        <v/>
      </c>
      <c r="E72" s="341" t="str">
        <f ca="1">IF(ROWS($1:59)&gt;COUNT(Dong11),"",IF(OFFSET(TH!L$1,SMALL(Dong11,ROWS($1:59)),)=$G$7,OFFSET(TH!M$1,SMALL(Dong11,ROWS($1:59)),),OFFSET(TH!L$1,SMALL(Dong11,ROWS($1:59)),)))</f>
        <v/>
      </c>
      <c r="F72" s="344">
        <f ca="1">IF(ROWS($1:59)&gt;COUNT(Dong11),0,OFFSET(TH!J$1,SMALL(Dong11,ROWS($1:59)),))</f>
        <v>0</v>
      </c>
      <c r="G72" s="344">
        <f ca="1">IF(ROWS($1:59)&gt;COUNT(Dong11),0,IF(LEFT(OFFSET(TH!D$1,SMALL(Dong11,ROWS($1:59)),),1)="N",OFFSET(TH!I$1,SMALL(Dong11,ROWS($1:59)),),0))</f>
        <v>0</v>
      </c>
      <c r="H72" s="345">
        <f t="shared" ca="1" si="1"/>
        <v>0</v>
      </c>
      <c r="I72" s="344">
        <f ca="1">IF(ROWS($1:59)&gt;COUNT(Dong11),0,IF(LEFT(OFFSET(TH!D$1,SMALL(Dong11,ROWS($1:59)),),1)="X",OFFSET(TH!I$1,SMALL(Dong11,ROWS($1:59)),),0))</f>
        <v>0</v>
      </c>
      <c r="J72" s="345">
        <f t="shared" ca="1" si="2"/>
        <v>0</v>
      </c>
      <c r="K72" s="345">
        <f t="shared" ca="1" si="12"/>
        <v>0</v>
      </c>
      <c r="L72" s="345">
        <f t="shared" ca="1" si="13"/>
        <v>0</v>
      </c>
      <c r="M72" s="345"/>
      <c r="N72" s="335"/>
    </row>
    <row r="73" spans="1:14">
      <c r="A73" s="306" t="str">
        <f>IF(B73="","",#REF!+1)</f>
        <v/>
      </c>
      <c r="B73" s="348"/>
      <c r="C73" s="349"/>
      <c r="D73" s="343"/>
      <c r="E73" s="350"/>
      <c r="F73" s="351"/>
      <c r="G73" s="337"/>
      <c r="H73" s="337"/>
      <c r="I73" s="337"/>
      <c r="J73" s="337"/>
      <c r="K73" s="337"/>
      <c r="L73" s="337"/>
      <c r="M73" s="352"/>
      <c r="N73" s="335"/>
    </row>
    <row r="74" spans="1:14">
      <c r="A74" s="353"/>
      <c r="B74" s="353"/>
      <c r="C74" s="353"/>
      <c r="D74" s="353" t="s">
        <v>212</v>
      </c>
      <c r="E74" s="333" t="s">
        <v>19</v>
      </c>
      <c r="F74" s="333" t="s">
        <v>19</v>
      </c>
      <c r="G74" s="354">
        <f ca="1">SUM(G14:G73)</f>
        <v>33359</v>
      </c>
      <c r="H74" s="354">
        <f ca="1">SUM(H14:H73)</f>
        <v>500497624</v>
      </c>
      <c r="I74" s="354">
        <f ca="1">SUM(I14:I73)</f>
        <v>42869</v>
      </c>
      <c r="J74" s="354">
        <f ca="1">SUM(J14:J73)</f>
        <v>644674374</v>
      </c>
      <c r="K74" s="354">
        <f ca="1">K13+G74-I74</f>
        <v>-6010</v>
      </c>
      <c r="L74" s="354">
        <f ca="1">L13+H74-J74</f>
        <v>-94301750</v>
      </c>
      <c r="M74" s="353"/>
      <c r="N74" s="335"/>
    </row>
    <row r="75" spans="1:14">
      <c r="B75" s="355" t="s">
        <v>213</v>
      </c>
      <c r="G75" s="347"/>
      <c r="N75" s="335"/>
    </row>
    <row r="76" spans="1:14">
      <c r="B76" s="35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2 năm 2016</v>
      </c>
      <c r="G76" s="347"/>
      <c r="I76" s="347"/>
      <c r="N76" s="335"/>
    </row>
    <row r="77" spans="1:14">
      <c r="B77" s="322"/>
      <c r="C77" s="322"/>
      <c r="D77" s="322"/>
      <c r="F77" s="322"/>
      <c r="G77" s="357"/>
      <c r="H77" s="323"/>
      <c r="I77" s="358"/>
      <c r="J77" s="1071" t="str">
        <f ca="1">"Ngày 31 tháng  12  năm  "&amp;YEAR($A$14)</f>
        <v>Ngày 31 tháng  12  năm  1900</v>
      </c>
      <c r="K77" s="1071"/>
      <c r="L77" s="1071"/>
      <c r="M77" s="1071"/>
      <c r="N77" s="335"/>
    </row>
    <row r="78" spans="1:14">
      <c r="C78" s="322"/>
      <c r="D78" s="541" t="s">
        <v>11</v>
      </c>
      <c r="E78" s="1071" t="s">
        <v>12</v>
      </c>
      <c r="F78" s="1071"/>
      <c r="G78" s="1071"/>
      <c r="H78" s="1071"/>
      <c r="I78" s="1071"/>
      <c r="J78" s="1071" t="s">
        <v>109</v>
      </c>
      <c r="K78" s="1071"/>
      <c r="L78" s="1071"/>
      <c r="M78" s="1071"/>
      <c r="N78" s="335"/>
    </row>
    <row r="79" spans="1:14">
      <c r="C79" s="322"/>
      <c r="D79" s="541" t="s">
        <v>13</v>
      </c>
      <c r="E79" s="1071" t="s">
        <v>13</v>
      </c>
      <c r="F79" s="1071"/>
      <c r="G79" s="1071"/>
      <c r="H79" s="1071" t="s">
        <v>136</v>
      </c>
      <c r="I79" s="1071"/>
      <c r="J79" s="1071" t="s">
        <v>136</v>
      </c>
      <c r="K79" s="1071"/>
      <c r="L79" s="1071"/>
      <c r="M79" s="1071"/>
      <c r="N79" s="335"/>
    </row>
    <row r="80" spans="1:14">
      <c r="N80" s="359"/>
    </row>
    <row r="81" spans="4:14">
      <c r="E81" s="310"/>
    </row>
    <row r="83" spans="4:14" customFormat="1" ht="12.75">
      <c r="E83" s="360"/>
    </row>
    <row r="88" spans="4:14">
      <c r="D88" s="569" t="s">
        <v>151</v>
      </c>
      <c r="E88" s="569"/>
      <c r="J88" s="1067" t="s">
        <v>103</v>
      </c>
      <c r="K88" s="1067"/>
      <c r="L88" s="1067"/>
      <c r="M88" s="1067"/>
      <c r="N88" s="570"/>
    </row>
  </sheetData>
  <autoFilter ref="A12:Q79"/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64" customWidth="1"/>
    <col min="2" max="2" width="9.140625" style="364"/>
    <col min="3" max="3" width="9.140625" style="423" customWidth="1"/>
    <col min="4" max="4" width="10.85546875" style="423" customWidth="1"/>
    <col min="5" max="5" width="39.42578125" style="424" customWidth="1"/>
    <col min="6" max="6" width="10.85546875" style="425" customWidth="1"/>
    <col min="7" max="7" width="9" style="426" customWidth="1"/>
    <col min="8" max="8" width="9.5703125" style="426" customWidth="1"/>
    <col min="9" max="9" width="10" style="426" customWidth="1"/>
    <col min="10" max="10" width="8" style="364" customWidth="1"/>
    <col min="11" max="11" width="2.42578125" style="364" customWidth="1"/>
    <col min="12" max="12" width="6.5703125" style="364" customWidth="1"/>
    <col min="13" max="16384" width="9.140625" style="364"/>
  </cols>
  <sheetData>
    <row r="1" spans="1:12" ht="15" customHeight="1">
      <c r="A1" s="361" t="str">
        <f>TH!A1</f>
        <v>Đơn vị: CÔNG TY TNHH MỘT THÀNH VIÊN KHỞI NGUYÊN AN</v>
      </c>
      <c r="B1" s="362"/>
      <c r="C1" s="362"/>
      <c r="D1" s="362"/>
      <c r="E1" s="363"/>
      <c r="F1" s="1085" t="s">
        <v>214</v>
      </c>
      <c r="G1" s="1085"/>
      <c r="H1" s="1085"/>
      <c r="I1" s="1085"/>
      <c r="J1" s="1085"/>
      <c r="K1" s="365"/>
      <c r="L1" s="366"/>
    </row>
    <row r="2" spans="1:12" ht="15" customHeight="1">
      <c r="A2" s="601" t="str">
        <f>TH!A2</f>
        <v>Địa chỉ: Thửa đất số 144, tờ bản đồ số 12TĐH.1, tổ 1, khu phố Đông Tác, Phường Tân Đông Hiệp, Thị Xã Dĩ An, Tỉnh Bình Dương, Việt Nam</v>
      </c>
      <c r="B2" s="367"/>
      <c r="C2" s="367"/>
      <c r="D2" s="367"/>
      <c r="E2" s="368"/>
      <c r="F2" s="1084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84"/>
      <c r="H2" s="1084"/>
      <c r="I2" s="1084"/>
      <c r="J2" s="1084"/>
      <c r="K2" s="365"/>
    </row>
    <row r="3" spans="1:12" ht="15">
      <c r="A3" s="367"/>
      <c r="B3" s="367"/>
      <c r="C3" s="367"/>
      <c r="D3" s="367"/>
      <c r="E3" s="368"/>
      <c r="F3" s="1084"/>
      <c r="G3" s="1084"/>
      <c r="H3" s="1084"/>
      <c r="I3" s="1084"/>
      <c r="J3" s="1084"/>
      <c r="K3" s="365"/>
    </row>
    <row r="4" spans="1:12" ht="18.75" customHeight="1">
      <c r="A4" s="370"/>
      <c r="B4" s="370"/>
      <c r="C4" s="370"/>
      <c r="D4" s="370"/>
      <c r="E4" s="371" t="s">
        <v>215</v>
      </c>
      <c r="F4" s="370"/>
      <c r="G4" s="370"/>
      <c r="H4" s="370"/>
      <c r="I4" s="370"/>
      <c r="J4" s="365"/>
      <c r="K4" s="365"/>
    </row>
    <row r="5" spans="1:12" ht="15">
      <c r="A5" s="372"/>
      <c r="B5" s="372"/>
      <c r="C5" s="372"/>
      <c r="D5" s="372"/>
      <c r="E5" s="373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2"/>
      <c r="G5" s="372"/>
      <c r="H5" s="372"/>
      <c r="I5" s="372"/>
      <c r="J5" s="365"/>
      <c r="K5" s="365"/>
    </row>
    <row r="6" spans="1:12" ht="15">
      <c r="A6" s="372"/>
      <c r="B6" s="372"/>
      <c r="C6" s="372"/>
      <c r="D6" s="372"/>
      <c r="E6" s="373" t="s">
        <v>216</v>
      </c>
      <c r="F6" s="372"/>
      <c r="G6" s="372"/>
      <c r="H6" s="372"/>
      <c r="I6" s="372"/>
      <c r="J6" s="365"/>
      <c r="K6" s="365"/>
    </row>
    <row r="7" spans="1:12" ht="15">
      <c r="A7" s="356" t="s">
        <v>217</v>
      </c>
      <c r="B7" s="356"/>
      <c r="C7" s="374"/>
      <c r="D7" s="374"/>
      <c r="E7" s="375" t="s">
        <v>340</v>
      </c>
      <c r="F7" s="369"/>
      <c r="G7" s="376"/>
      <c r="H7" s="376"/>
      <c r="I7" s="376"/>
      <c r="J7" s="365"/>
      <c r="K7" s="365"/>
    </row>
    <row r="8" spans="1:12" ht="15">
      <c r="A8" s="356" t="s">
        <v>218</v>
      </c>
      <c r="B8" s="356"/>
      <c r="C8" s="365" t="e">
        <f>VLOOKUP($E$7,NXT!$C$12:$L$788,2,0)</f>
        <v>#N/A</v>
      </c>
      <c r="D8" s="356"/>
      <c r="E8" s="375"/>
      <c r="F8" s="369"/>
      <c r="G8" s="376"/>
      <c r="H8" s="376"/>
      <c r="I8" s="376"/>
      <c r="J8" s="365"/>
      <c r="K8" s="365"/>
    </row>
    <row r="9" spans="1:12" ht="15">
      <c r="A9" s="1086" t="s">
        <v>219</v>
      </c>
      <c r="B9" s="1087"/>
      <c r="C9" s="1087"/>
      <c r="D9" s="1087"/>
      <c r="E9" s="375"/>
      <c r="F9" s="369"/>
      <c r="G9" s="376"/>
      <c r="H9" s="376"/>
      <c r="I9" s="376"/>
      <c r="J9" s="377"/>
      <c r="K9" s="377"/>
    </row>
    <row r="10" spans="1:12" ht="19.5" customHeight="1">
      <c r="A10" s="1088" t="s">
        <v>220</v>
      </c>
      <c r="B10" s="1089" t="s">
        <v>221</v>
      </c>
      <c r="C10" s="1091" t="s">
        <v>15</v>
      </c>
      <c r="D10" s="1076"/>
      <c r="E10" s="1092" t="s">
        <v>0</v>
      </c>
      <c r="F10" s="1082" t="s">
        <v>222</v>
      </c>
      <c r="G10" s="1075" t="s">
        <v>191</v>
      </c>
      <c r="H10" s="1075"/>
      <c r="I10" s="1076"/>
      <c r="J10" s="1077" t="s">
        <v>223</v>
      </c>
      <c r="K10" s="378"/>
      <c r="L10" s="379" t="s">
        <v>208</v>
      </c>
    </row>
    <row r="11" spans="1:12" ht="19.5" customHeight="1">
      <c r="A11" s="1088"/>
      <c r="B11" s="1090"/>
      <c r="C11" s="380" t="s">
        <v>205</v>
      </c>
      <c r="D11" s="380" t="s">
        <v>206</v>
      </c>
      <c r="E11" s="1093"/>
      <c r="F11" s="1083"/>
      <c r="G11" s="381" t="s">
        <v>205</v>
      </c>
      <c r="H11" s="381" t="s">
        <v>206</v>
      </c>
      <c r="I11" s="381" t="s">
        <v>207</v>
      </c>
      <c r="J11" s="1078"/>
      <c r="K11" s="378"/>
    </row>
    <row r="12" spans="1:12" ht="15">
      <c r="A12" s="382" t="s">
        <v>2</v>
      </c>
      <c r="B12" s="383" t="s">
        <v>3</v>
      </c>
      <c r="C12" s="384" t="s">
        <v>4</v>
      </c>
      <c r="D12" s="384" t="s">
        <v>5</v>
      </c>
      <c r="E12" s="385" t="s">
        <v>6</v>
      </c>
      <c r="F12" s="383" t="s">
        <v>130</v>
      </c>
      <c r="G12" s="386">
        <v>1</v>
      </c>
      <c r="H12" s="386">
        <v>2</v>
      </c>
      <c r="I12" s="386">
        <v>3</v>
      </c>
      <c r="J12" s="384" t="s">
        <v>131</v>
      </c>
      <c r="K12" s="387"/>
    </row>
    <row r="13" spans="1:12" ht="16.5" customHeight="1">
      <c r="A13" s="388"/>
      <c r="B13" s="389"/>
      <c r="C13" s="390"/>
      <c r="D13" s="390"/>
      <c r="E13" s="391" t="s">
        <v>183</v>
      </c>
      <c r="F13" s="389"/>
      <c r="G13" s="392"/>
      <c r="H13" s="392"/>
      <c r="I13" s="393" t="e">
        <f>VLOOKUP($E$7,NXT!$C$12:$L$788,3,0)</f>
        <v>#N/A</v>
      </c>
      <c r="J13" s="388"/>
      <c r="K13" s="394"/>
    </row>
    <row r="14" spans="1:12" ht="16.5" customHeight="1">
      <c r="A14" s="395" t="str">
        <f ca="1">IF(B14&lt;&gt;"",ROW()-(ROW()-1),"")</f>
        <v/>
      </c>
      <c r="B14" s="396" t="str">
        <f ca="1">IF(ROWS($1:1)&gt;COUNT(Dong12),"",OFFSET(TH!E$1,SMALL(Dong12,ROWS($1:1)),))</f>
        <v/>
      </c>
      <c r="C14" s="451" t="str">
        <f ca="1">IF(ROWS($1:1)&gt;COUNT(Dong12),"",IF(MID(OFFSET(TH!D$1,SMALL(Dong12,ROWS($1:1)),),4,1)="N",OFFSET(TH!D$1,SMALL(Dong12,ROWS($1:1)),),""))</f>
        <v/>
      </c>
      <c r="D14" s="396" t="str">
        <f ca="1">IF(ROWS($1:1)&gt;COUNT(Dong12),"",IF(MID(OFFSET(TH!D$1,SMALL(Dong12,ROWS($1:1)),),4,1)="X",OFFSET(TH!D$1,SMALL(Dong12,ROWS($1:1)),),""))</f>
        <v/>
      </c>
      <c r="E14" s="642" t="str">
        <f ca="1">IF(ROWS($1:1)&gt;COUNT(Dong12),"",OFFSET(TH!H$1,SMALL(Dong12,ROWS($1:1)),))</f>
        <v/>
      </c>
      <c r="F14" s="396" t="str">
        <f ca="1">B14</f>
        <v/>
      </c>
      <c r="G14" s="397">
        <f ca="1">IF(ROWS($1:1)&gt;COUNT(Dong12),0,IF(MID(OFFSET(TH!D$1,SMALL(Dong12,ROWS($1:1)),),4,1)="N",OFFSET(TH!I$1,SMALL(Dong12,ROWS($1:1)),),0))</f>
        <v>0</v>
      </c>
      <c r="H14" s="397">
        <f ca="1">IF(ROWS($1:1)&gt;COUNT(Dong12),0,IF(MID(OFFSET(TH!D$1,SMALL(Dong12,ROWS($1:1)),),4,1)="X",OFFSET(TH!I$1,SMALL(Dong12,ROWS($1:1)),),0))</f>
        <v>0</v>
      </c>
      <c r="I14" s="398">
        <f ca="1">IF(E14&lt;&gt;"",I13+G14-H14,0)</f>
        <v>0</v>
      </c>
      <c r="J14" s="399"/>
      <c r="K14" s="400"/>
    </row>
    <row r="15" spans="1:12" ht="16.5" customHeight="1">
      <c r="A15" s="401" t="str">
        <f ca="1">IF(B15&lt;&gt;"",A14+1,"")</f>
        <v/>
      </c>
      <c r="B15" s="396" t="str">
        <f ca="1">IF(ROWS($1:2)&gt;COUNT(Dong12),"",OFFSET(TH!E$1,SMALL(Dong12,ROWS($1:2)),))</f>
        <v/>
      </c>
      <c r="C15" s="451" t="str">
        <f ca="1">IF(ROWS($1:2)&gt;COUNT(Dong12),"",IF(MID(OFFSET(TH!D$1,SMALL(Dong12,ROWS($1:2)),),4,1)="N",OFFSET(TH!D$1,SMALL(Dong12,ROWS($1:2)),),""))</f>
        <v/>
      </c>
      <c r="D15" s="396" t="str">
        <f ca="1">IF(ROWS($1:2)&gt;COUNT(Dong12),"",IF(MID(OFFSET(TH!D$1,SMALL(Dong12,ROWS($1:2)),),4,1)="X",OFFSET(TH!D$1,SMALL(Dong12,ROWS($1:2)),),""))</f>
        <v/>
      </c>
      <c r="E15" s="642" t="str">
        <f ca="1">IF(ROWS($1:2)&gt;COUNT(Dong12),"",OFFSET(TH!H$1,SMALL(Dong12,ROWS($1:2)),))</f>
        <v/>
      </c>
      <c r="F15" s="396" t="str">
        <f t="shared" ref="F15:F30" ca="1" si="0">B15</f>
        <v/>
      </c>
      <c r="G15" s="397">
        <f ca="1">IF(ROWS($1:2)&gt;COUNT(Dong12),0,IF(MID(OFFSET(TH!D$1,SMALL(Dong12,ROWS($1:2)),),4,1)="N",OFFSET(TH!I$1,SMALL(Dong12,ROWS($1:2)),),0))</f>
        <v>0</v>
      </c>
      <c r="H15" s="397">
        <f ca="1">IF(ROWS($1:2)&gt;COUNT(Dong12),0,IF(MID(OFFSET(TH!D$1,SMALL(Dong12,ROWS($1:2)),),4,1)="X",OFFSET(TH!I$1,SMALL(Dong12,ROWS($1:2)),),0))</f>
        <v>0</v>
      </c>
      <c r="I15" s="398">
        <f t="shared" ref="I15:I30" ca="1" si="1">IF(E15&lt;&gt;"",I14+G15-H15,0)</f>
        <v>0</v>
      </c>
      <c r="J15" s="399"/>
      <c r="K15" s="400"/>
    </row>
    <row r="16" spans="1:12" ht="16.5" customHeight="1">
      <c r="A16" s="401" t="str">
        <f t="shared" ref="A16:A30" ca="1" si="2">IF(B16&lt;&gt;"",A15+1,"")</f>
        <v/>
      </c>
      <c r="B16" s="396" t="str">
        <f ca="1">IF(ROWS($1:3)&gt;COUNT(Dong12),"",OFFSET(TH!E$1,SMALL(Dong12,ROWS($1:3)),))</f>
        <v/>
      </c>
      <c r="C16" s="451" t="str">
        <f ca="1">IF(ROWS($1:3)&gt;COUNT(Dong12),"",IF(MID(OFFSET(TH!D$1,SMALL(Dong12,ROWS($1:3)),),4,1)="N",OFFSET(TH!D$1,SMALL(Dong12,ROWS($1:3)),),""))</f>
        <v/>
      </c>
      <c r="D16" s="396" t="str">
        <f ca="1">IF(ROWS($1:3)&gt;COUNT(Dong12),"",IF(MID(OFFSET(TH!D$1,SMALL(Dong12,ROWS($1:3)),),4,1)="X",OFFSET(TH!D$1,SMALL(Dong12,ROWS($1:3)),),""))</f>
        <v/>
      </c>
      <c r="E16" s="642" t="str">
        <f ca="1">IF(ROWS($1:3)&gt;COUNT(Dong12),"",OFFSET(TH!H$1,SMALL(Dong12,ROWS($1:3)),))</f>
        <v/>
      </c>
      <c r="F16" s="396" t="str">
        <f t="shared" ca="1" si="0"/>
        <v/>
      </c>
      <c r="G16" s="397">
        <f ca="1">IF(ROWS($1:3)&gt;COUNT(Dong12),0,IF(MID(OFFSET(TH!D$1,SMALL(Dong12,ROWS($1:3)),),4,1)="N",OFFSET(TH!I$1,SMALL(Dong12,ROWS($1:3)),),0))</f>
        <v>0</v>
      </c>
      <c r="H16" s="397">
        <f ca="1">IF(ROWS($1:3)&gt;COUNT(Dong12),0,IF(MID(OFFSET(TH!D$1,SMALL(Dong12,ROWS($1:3)),),4,1)="X",OFFSET(TH!I$1,SMALL(Dong12,ROWS($1:3)),),0))</f>
        <v>0</v>
      </c>
      <c r="I16" s="398">
        <f t="shared" ca="1" si="1"/>
        <v>0</v>
      </c>
      <c r="J16" s="399"/>
      <c r="K16" s="400"/>
    </row>
    <row r="17" spans="1:11" ht="16.5" customHeight="1">
      <c r="A17" s="401" t="str">
        <f t="shared" ca="1" si="2"/>
        <v/>
      </c>
      <c r="B17" s="396" t="str">
        <f ca="1">IF(ROWS($1:4)&gt;COUNT(Dong12),"",OFFSET(TH!E$1,SMALL(Dong12,ROWS($1:4)),))</f>
        <v/>
      </c>
      <c r="C17" s="451" t="str">
        <f ca="1">IF(ROWS($1:4)&gt;COUNT(Dong12),"",IF(MID(OFFSET(TH!D$1,SMALL(Dong12,ROWS($1:4)),),4,1)="N",OFFSET(TH!D$1,SMALL(Dong12,ROWS($1:4)),),""))</f>
        <v/>
      </c>
      <c r="D17" s="396" t="str">
        <f ca="1">IF(ROWS($1:4)&gt;COUNT(Dong12),"",IF(MID(OFFSET(TH!D$1,SMALL(Dong12,ROWS($1:4)),),4,1)="X",OFFSET(TH!D$1,SMALL(Dong12,ROWS($1:4)),),""))</f>
        <v/>
      </c>
      <c r="E17" s="642" t="str">
        <f ca="1">IF(ROWS($1:4)&gt;COUNT(Dong12),"",OFFSET(TH!H$1,SMALL(Dong12,ROWS($1:4)),))</f>
        <v/>
      </c>
      <c r="F17" s="396" t="str">
        <f t="shared" ca="1" si="0"/>
        <v/>
      </c>
      <c r="G17" s="397">
        <f ca="1">IF(ROWS($1:4)&gt;COUNT(Dong12),0,IF(MID(OFFSET(TH!D$1,SMALL(Dong12,ROWS($1:4)),),4,1)="N",OFFSET(TH!I$1,SMALL(Dong12,ROWS($1:4)),),0))</f>
        <v>0</v>
      </c>
      <c r="H17" s="397">
        <f ca="1">IF(ROWS($1:4)&gt;COUNT(Dong12),0,IF(MID(OFFSET(TH!D$1,SMALL(Dong12,ROWS($1:4)),),4,1)="X",OFFSET(TH!I$1,SMALL(Dong12,ROWS($1:4)),),0))</f>
        <v>0</v>
      </c>
      <c r="I17" s="398">
        <f t="shared" ca="1" si="1"/>
        <v>0</v>
      </c>
      <c r="J17" s="399"/>
      <c r="K17" s="400"/>
    </row>
    <row r="18" spans="1:11" ht="16.5" customHeight="1">
      <c r="A18" s="401" t="str">
        <f t="shared" ca="1" si="2"/>
        <v/>
      </c>
      <c r="B18" s="396" t="str">
        <f ca="1">IF(ROWS($1:5)&gt;COUNT(Dong12),"",OFFSET(TH!E$1,SMALL(Dong12,ROWS($1:5)),))</f>
        <v/>
      </c>
      <c r="C18" s="451" t="str">
        <f ca="1">IF(ROWS($1:5)&gt;COUNT(Dong12),"",IF(MID(OFFSET(TH!D$1,SMALL(Dong12,ROWS($1:5)),),4,1)="N",OFFSET(TH!D$1,SMALL(Dong12,ROWS($1:5)),),""))</f>
        <v/>
      </c>
      <c r="D18" s="396" t="str">
        <f ca="1">IF(ROWS($1:5)&gt;COUNT(Dong12),"",IF(MID(OFFSET(TH!D$1,SMALL(Dong12,ROWS($1:5)),),4,1)="X",OFFSET(TH!D$1,SMALL(Dong12,ROWS($1:5)),),""))</f>
        <v/>
      </c>
      <c r="E18" s="642" t="str">
        <f ca="1">IF(ROWS($1:5)&gt;COUNT(Dong12),"",OFFSET(TH!H$1,SMALL(Dong12,ROWS($1:5)),))</f>
        <v/>
      </c>
      <c r="F18" s="396" t="str">
        <f t="shared" ca="1" si="0"/>
        <v/>
      </c>
      <c r="G18" s="397">
        <f ca="1">IF(ROWS($1:5)&gt;COUNT(Dong12),0,IF(MID(OFFSET(TH!D$1,SMALL(Dong12,ROWS($1:5)),),4,1)="N",OFFSET(TH!I$1,SMALL(Dong12,ROWS($1:5)),),0))</f>
        <v>0</v>
      </c>
      <c r="H18" s="397">
        <f ca="1">IF(ROWS($1:5)&gt;COUNT(Dong12),0,IF(MID(OFFSET(TH!D$1,SMALL(Dong12,ROWS($1:5)),),4,1)="X",OFFSET(TH!I$1,SMALL(Dong12,ROWS($1:5)),),0))</f>
        <v>0</v>
      </c>
      <c r="I18" s="398">
        <f t="shared" ca="1" si="1"/>
        <v>0</v>
      </c>
      <c r="J18" s="399"/>
      <c r="K18" s="400"/>
    </row>
    <row r="19" spans="1:11" ht="16.5" customHeight="1">
      <c r="A19" s="401" t="str">
        <f t="shared" ca="1" si="2"/>
        <v/>
      </c>
      <c r="B19" s="396" t="str">
        <f ca="1">IF(ROWS($1:6)&gt;COUNT(Dong12),"",OFFSET(TH!E$1,SMALL(Dong12,ROWS($1:6)),))</f>
        <v/>
      </c>
      <c r="C19" s="451" t="str">
        <f ca="1">IF(ROWS($1:6)&gt;COUNT(Dong12),"",IF(MID(OFFSET(TH!D$1,SMALL(Dong12,ROWS($1:6)),),4,1)="N",OFFSET(TH!D$1,SMALL(Dong12,ROWS($1:6)),),""))</f>
        <v/>
      </c>
      <c r="D19" s="396" t="str">
        <f ca="1">IF(ROWS($1:6)&gt;COUNT(Dong12),"",IF(MID(OFFSET(TH!D$1,SMALL(Dong12,ROWS($1:6)),),4,1)="X",OFFSET(TH!D$1,SMALL(Dong12,ROWS($1:6)),),""))</f>
        <v/>
      </c>
      <c r="E19" s="642" t="str">
        <f ca="1">IF(ROWS($1:6)&gt;COUNT(Dong12),"",OFFSET(TH!H$1,SMALL(Dong12,ROWS($1:6)),))</f>
        <v/>
      </c>
      <c r="F19" s="396" t="str">
        <f t="shared" ca="1" si="0"/>
        <v/>
      </c>
      <c r="G19" s="397">
        <f ca="1">IF(ROWS($1:6)&gt;COUNT(Dong12),0,IF(MID(OFFSET(TH!D$1,SMALL(Dong12,ROWS($1:6)),),4,1)="N",OFFSET(TH!I$1,SMALL(Dong12,ROWS($1:6)),),0))</f>
        <v>0</v>
      </c>
      <c r="H19" s="397">
        <f ca="1">IF(ROWS($1:6)&gt;COUNT(Dong12),0,IF(MID(OFFSET(TH!D$1,SMALL(Dong12,ROWS($1:6)),),4,1)="X",OFFSET(TH!I$1,SMALL(Dong12,ROWS($1:6)),),0))</f>
        <v>0</v>
      </c>
      <c r="I19" s="398">
        <f t="shared" ca="1" si="1"/>
        <v>0</v>
      </c>
      <c r="J19" s="399"/>
      <c r="K19" s="400"/>
    </row>
    <row r="20" spans="1:11" ht="16.5" customHeight="1">
      <c r="A20" s="401" t="str">
        <f t="shared" ca="1" si="2"/>
        <v/>
      </c>
      <c r="B20" s="396" t="str">
        <f ca="1">IF(ROWS($1:7)&gt;COUNT(Dong12),"",OFFSET(TH!E$1,SMALL(Dong12,ROWS($1:7)),))</f>
        <v/>
      </c>
      <c r="C20" s="451" t="str">
        <f ca="1">IF(ROWS($1:7)&gt;COUNT(Dong12),"",IF(MID(OFFSET(TH!D$1,SMALL(Dong12,ROWS($1:7)),),4,1)="N",OFFSET(TH!D$1,SMALL(Dong12,ROWS($1:7)),),""))</f>
        <v/>
      </c>
      <c r="D20" s="396" t="str">
        <f ca="1">IF(ROWS($1:7)&gt;COUNT(Dong12),"",IF(MID(OFFSET(TH!D$1,SMALL(Dong12,ROWS($1:7)),),4,1)="X",OFFSET(TH!D$1,SMALL(Dong12,ROWS($1:7)),),""))</f>
        <v/>
      </c>
      <c r="E20" s="642" t="str">
        <f ca="1">IF(ROWS($1:7)&gt;COUNT(Dong12),"",OFFSET(TH!H$1,SMALL(Dong12,ROWS($1:7)),))</f>
        <v/>
      </c>
      <c r="F20" s="396" t="str">
        <f t="shared" ca="1" si="0"/>
        <v/>
      </c>
      <c r="G20" s="397">
        <f ca="1">IF(ROWS($1:7)&gt;COUNT(Dong12),0,IF(MID(OFFSET(TH!D$1,SMALL(Dong12,ROWS($1:7)),),4,1)="N",OFFSET(TH!I$1,SMALL(Dong12,ROWS($1:7)),),0))</f>
        <v>0</v>
      </c>
      <c r="H20" s="397">
        <f ca="1">IF(ROWS($1:7)&gt;COUNT(Dong12),0,IF(MID(OFFSET(TH!D$1,SMALL(Dong12,ROWS($1:7)),),4,1)="X",OFFSET(TH!I$1,SMALL(Dong12,ROWS($1:7)),),0))</f>
        <v>0</v>
      </c>
      <c r="I20" s="398">
        <f t="shared" ca="1" si="1"/>
        <v>0</v>
      </c>
      <c r="J20" s="399"/>
      <c r="K20" s="400"/>
    </row>
    <row r="21" spans="1:11" ht="16.5" customHeight="1">
      <c r="A21" s="401" t="str">
        <f t="shared" ca="1" si="2"/>
        <v/>
      </c>
      <c r="B21" s="396" t="str">
        <f ca="1">IF(ROWS($1:8)&gt;COUNT(Dong12),"",OFFSET(TH!E$1,SMALL(Dong12,ROWS($1:8)),))</f>
        <v/>
      </c>
      <c r="C21" s="451" t="str">
        <f ca="1">IF(ROWS($1:8)&gt;COUNT(Dong12),"",IF(MID(OFFSET(TH!D$1,SMALL(Dong12,ROWS($1:8)),),4,1)="N",OFFSET(TH!D$1,SMALL(Dong12,ROWS($1:8)),),""))</f>
        <v/>
      </c>
      <c r="D21" s="396" t="str">
        <f ca="1">IF(ROWS($1:8)&gt;COUNT(Dong12),"",IF(MID(OFFSET(TH!D$1,SMALL(Dong12,ROWS($1:8)),),4,1)="X",OFFSET(TH!D$1,SMALL(Dong12,ROWS($1:8)),),""))</f>
        <v/>
      </c>
      <c r="E21" s="642" t="str">
        <f ca="1">IF(ROWS($1:8)&gt;COUNT(Dong12),"",OFFSET(TH!H$1,SMALL(Dong12,ROWS($1:8)),))</f>
        <v/>
      </c>
      <c r="F21" s="396" t="str">
        <f t="shared" ca="1" si="0"/>
        <v/>
      </c>
      <c r="G21" s="397">
        <f ca="1">IF(ROWS($1:8)&gt;COUNT(Dong12),0,IF(MID(OFFSET(TH!D$1,SMALL(Dong12,ROWS($1:8)),),4,1)="N",OFFSET(TH!I$1,SMALL(Dong12,ROWS($1:8)),),0))</f>
        <v>0</v>
      </c>
      <c r="H21" s="397">
        <f ca="1">IF(ROWS($1:8)&gt;COUNT(Dong12),0,IF(MID(OFFSET(TH!D$1,SMALL(Dong12,ROWS($1:8)),),4,1)="X",OFFSET(TH!I$1,SMALL(Dong12,ROWS($1:8)),),0))</f>
        <v>0</v>
      </c>
      <c r="I21" s="398">
        <f t="shared" ca="1" si="1"/>
        <v>0</v>
      </c>
      <c r="J21" s="399"/>
      <c r="K21" s="400"/>
    </row>
    <row r="22" spans="1:11" ht="16.5" customHeight="1">
      <c r="A22" s="401" t="str">
        <f t="shared" ca="1" si="2"/>
        <v/>
      </c>
      <c r="B22" s="396" t="str">
        <f ca="1">IF(ROWS($1:9)&gt;COUNT(Dong12),"",OFFSET(TH!E$1,SMALL(Dong12,ROWS($1:9)),))</f>
        <v/>
      </c>
      <c r="C22" s="451" t="str">
        <f ca="1">IF(ROWS($1:9)&gt;COUNT(Dong12),"",IF(MID(OFFSET(TH!D$1,SMALL(Dong12,ROWS($1:9)),),4,1)="N",OFFSET(TH!D$1,SMALL(Dong12,ROWS($1:9)),),""))</f>
        <v/>
      </c>
      <c r="D22" s="396" t="str">
        <f ca="1">IF(ROWS($1:9)&gt;COUNT(Dong12),"",IF(MID(OFFSET(TH!D$1,SMALL(Dong12,ROWS($1:9)),),4,1)="X",OFFSET(TH!D$1,SMALL(Dong12,ROWS($1:9)),),""))</f>
        <v/>
      </c>
      <c r="E22" s="642" t="str">
        <f ca="1">IF(ROWS($1:9)&gt;COUNT(Dong12),"",OFFSET(TH!H$1,SMALL(Dong12,ROWS($1:9)),))</f>
        <v/>
      </c>
      <c r="F22" s="396" t="str">
        <f t="shared" ca="1" si="0"/>
        <v/>
      </c>
      <c r="G22" s="397">
        <f ca="1">IF(ROWS($1:9)&gt;COUNT(Dong12),0,IF(MID(OFFSET(TH!D$1,SMALL(Dong12,ROWS($1:9)),),4,1)="N",OFFSET(TH!I$1,SMALL(Dong12,ROWS($1:9)),),0))</f>
        <v>0</v>
      </c>
      <c r="H22" s="397">
        <f ca="1">IF(ROWS($1:9)&gt;COUNT(Dong12),0,IF(MID(OFFSET(TH!D$1,SMALL(Dong12,ROWS($1:9)),),4,1)="X",OFFSET(TH!I$1,SMALL(Dong12,ROWS($1:9)),),0))</f>
        <v>0</v>
      </c>
      <c r="I22" s="398">
        <f t="shared" ca="1" si="1"/>
        <v>0</v>
      </c>
      <c r="J22" s="399"/>
      <c r="K22" s="400"/>
    </row>
    <row r="23" spans="1:11" ht="16.5" customHeight="1">
      <c r="A23" s="401" t="str">
        <f t="shared" ca="1" si="2"/>
        <v/>
      </c>
      <c r="B23" s="396" t="str">
        <f ca="1">IF(ROWS($1:10)&gt;COUNT(Dong12),"",OFFSET(TH!E$1,SMALL(Dong12,ROWS($1:10)),))</f>
        <v/>
      </c>
      <c r="C23" s="451" t="str">
        <f ca="1">IF(ROWS($1:10)&gt;COUNT(Dong12),"",IF(MID(OFFSET(TH!D$1,SMALL(Dong12,ROWS($1:10)),),4,1)="N",OFFSET(TH!D$1,SMALL(Dong12,ROWS($1:10)),),""))</f>
        <v/>
      </c>
      <c r="D23" s="396" t="str">
        <f ca="1">IF(ROWS($1:10)&gt;COUNT(Dong12),"",IF(MID(OFFSET(TH!D$1,SMALL(Dong12,ROWS($1:10)),),4,1)="X",OFFSET(TH!D$1,SMALL(Dong12,ROWS($1:10)),),""))</f>
        <v/>
      </c>
      <c r="E23" s="642" t="str">
        <f ca="1">IF(ROWS($1:10)&gt;COUNT(Dong12),"",OFFSET(TH!H$1,SMALL(Dong12,ROWS($1:10)),))</f>
        <v/>
      </c>
      <c r="F23" s="396" t="str">
        <f t="shared" ca="1" si="0"/>
        <v/>
      </c>
      <c r="G23" s="397">
        <f ca="1">IF(ROWS($1:10)&gt;COUNT(Dong12),0,IF(MID(OFFSET(TH!D$1,SMALL(Dong12,ROWS($1:10)),),4,1)="N",OFFSET(TH!I$1,SMALL(Dong12,ROWS($1:10)),),0))</f>
        <v>0</v>
      </c>
      <c r="H23" s="397">
        <f ca="1">IF(ROWS($1:10)&gt;COUNT(Dong12),0,IF(MID(OFFSET(TH!D$1,SMALL(Dong12,ROWS($1:10)),),4,1)="X",OFFSET(TH!I$1,SMALL(Dong12,ROWS($1:10)),),0))</f>
        <v>0</v>
      </c>
      <c r="I23" s="398">
        <f t="shared" ca="1" si="1"/>
        <v>0</v>
      </c>
      <c r="J23" s="399"/>
      <c r="K23" s="400"/>
    </row>
    <row r="24" spans="1:11" ht="16.5" customHeight="1">
      <c r="A24" s="401" t="str">
        <f t="shared" ca="1" si="2"/>
        <v/>
      </c>
      <c r="B24" s="396" t="str">
        <f ca="1">IF(ROWS($1:11)&gt;COUNT(Dong12),"",OFFSET(TH!E$1,SMALL(Dong12,ROWS($1:11)),))</f>
        <v/>
      </c>
      <c r="C24" s="451" t="str">
        <f ca="1">IF(ROWS($1:11)&gt;COUNT(Dong12),"",IF(MID(OFFSET(TH!D$1,SMALL(Dong12,ROWS($1:11)),),4,1)="N",OFFSET(TH!D$1,SMALL(Dong12,ROWS($1:11)),),""))</f>
        <v/>
      </c>
      <c r="D24" s="396" t="str">
        <f ca="1">IF(ROWS($1:11)&gt;COUNT(Dong12),"",IF(MID(OFFSET(TH!D$1,SMALL(Dong12,ROWS($1:11)),),4,1)="X",OFFSET(TH!D$1,SMALL(Dong12,ROWS($1:11)),),""))</f>
        <v/>
      </c>
      <c r="E24" s="642" t="str">
        <f ca="1">IF(ROWS($1:11)&gt;COUNT(Dong12),"",OFFSET(TH!H$1,SMALL(Dong12,ROWS($1:11)),))</f>
        <v/>
      </c>
      <c r="F24" s="396" t="str">
        <f t="shared" ca="1" si="0"/>
        <v/>
      </c>
      <c r="G24" s="397">
        <f ca="1">IF(ROWS($1:11)&gt;COUNT(Dong12),0,IF(MID(OFFSET(TH!D$1,SMALL(Dong12,ROWS($1:11)),),4,1)="N",OFFSET(TH!I$1,SMALL(Dong12,ROWS($1:11)),),0))</f>
        <v>0</v>
      </c>
      <c r="H24" s="397">
        <f ca="1">IF(ROWS($1:11)&gt;COUNT(Dong12),0,IF(MID(OFFSET(TH!D$1,SMALL(Dong12,ROWS($1:11)),),4,1)="X",OFFSET(TH!I$1,SMALL(Dong12,ROWS($1:11)),),0))</f>
        <v>0</v>
      </c>
      <c r="I24" s="398">
        <f t="shared" ca="1" si="1"/>
        <v>0</v>
      </c>
      <c r="J24" s="399"/>
      <c r="K24" s="400"/>
    </row>
    <row r="25" spans="1:11" ht="16.5" customHeight="1">
      <c r="A25" s="401" t="str">
        <f t="shared" ca="1" si="2"/>
        <v/>
      </c>
      <c r="B25" s="396" t="str">
        <f ca="1">IF(ROWS($1:12)&gt;COUNT(Dong12),"",OFFSET(TH!E$1,SMALL(Dong12,ROWS($1:12)),))</f>
        <v/>
      </c>
      <c r="C25" s="451" t="str">
        <f ca="1">IF(ROWS($1:12)&gt;COUNT(Dong12),"",IF(MID(OFFSET(TH!D$1,SMALL(Dong12,ROWS($1:12)),),4,1)="N",OFFSET(TH!D$1,SMALL(Dong12,ROWS($1:12)),),""))</f>
        <v/>
      </c>
      <c r="D25" s="396" t="str">
        <f ca="1">IF(ROWS($1:12)&gt;COUNT(Dong12),"",IF(MID(OFFSET(TH!D$1,SMALL(Dong12,ROWS($1:12)),),4,1)="X",OFFSET(TH!D$1,SMALL(Dong12,ROWS($1:12)),),""))</f>
        <v/>
      </c>
      <c r="E25" s="642" t="str">
        <f ca="1">IF(ROWS($1:12)&gt;COUNT(Dong12),"",OFFSET(TH!H$1,SMALL(Dong12,ROWS($1:12)),))</f>
        <v/>
      </c>
      <c r="F25" s="396" t="str">
        <f t="shared" ca="1" si="0"/>
        <v/>
      </c>
      <c r="G25" s="397">
        <f ca="1">IF(ROWS($1:12)&gt;COUNT(Dong12),0,IF(MID(OFFSET(TH!D$1,SMALL(Dong12,ROWS($1:12)),),4,1)="N",OFFSET(TH!I$1,SMALL(Dong12,ROWS($1:12)),),0))</f>
        <v>0</v>
      </c>
      <c r="H25" s="397">
        <f ca="1">IF(ROWS($1:12)&gt;COUNT(Dong12),0,IF(MID(OFFSET(TH!D$1,SMALL(Dong12,ROWS($1:12)),),4,1)="X",OFFSET(TH!I$1,SMALL(Dong12,ROWS($1:12)),),0))</f>
        <v>0</v>
      </c>
      <c r="I25" s="398">
        <f t="shared" ca="1" si="1"/>
        <v>0</v>
      </c>
      <c r="J25" s="399"/>
      <c r="K25" s="400"/>
    </row>
    <row r="26" spans="1:11" ht="16.5" customHeight="1">
      <c r="A26" s="401" t="str">
        <f t="shared" ca="1" si="2"/>
        <v/>
      </c>
      <c r="B26" s="396" t="str">
        <f ca="1">IF(ROWS($1:13)&gt;COUNT(Dong12),"",OFFSET(TH!E$1,SMALL(Dong12,ROWS($1:13)),))</f>
        <v/>
      </c>
      <c r="C26" s="451" t="str">
        <f ca="1">IF(ROWS($1:13)&gt;COUNT(Dong12),"",IF(MID(OFFSET(TH!D$1,SMALL(Dong12,ROWS($1:13)),),4,1)="N",OFFSET(TH!D$1,SMALL(Dong12,ROWS($1:13)),),""))</f>
        <v/>
      </c>
      <c r="D26" s="396" t="str">
        <f ca="1">IF(ROWS($1:13)&gt;COUNT(Dong12),"",IF(MID(OFFSET(TH!D$1,SMALL(Dong12,ROWS($1:13)),),4,1)="X",OFFSET(TH!D$1,SMALL(Dong12,ROWS($1:13)),),""))</f>
        <v/>
      </c>
      <c r="E26" s="642" t="str">
        <f ca="1">IF(ROWS($1:13)&gt;COUNT(Dong12),"",OFFSET(TH!H$1,SMALL(Dong12,ROWS($1:13)),))</f>
        <v/>
      </c>
      <c r="F26" s="396" t="str">
        <f t="shared" ca="1" si="0"/>
        <v/>
      </c>
      <c r="G26" s="397">
        <f ca="1">IF(ROWS($1:13)&gt;COUNT(Dong12),0,IF(MID(OFFSET(TH!D$1,SMALL(Dong12,ROWS($1:13)),),4,1)="N",OFFSET(TH!I$1,SMALL(Dong12,ROWS($1:13)),),0))</f>
        <v>0</v>
      </c>
      <c r="H26" s="397">
        <f ca="1">IF(ROWS($1:13)&gt;COUNT(Dong12),0,IF(MID(OFFSET(TH!D$1,SMALL(Dong12,ROWS($1:13)),),4,1)="X",OFFSET(TH!I$1,SMALL(Dong12,ROWS($1:13)),),0))</f>
        <v>0</v>
      </c>
      <c r="I26" s="398">
        <f t="shared" ca="1" si="1"/>
        <v>0</v>
      </c>
      <c r="J26" s="399"/>
      <c r="K26" s="400"/>
    </row>
    <row r="27" spans="1:11" ht="16.5" customHeight="1">
      <c r="A27" s="401" t="str">
        <f t="shared" ca="1" si="2"/>
        <v/>
      </c>
      <c r="B27" s="396" t="str">
        <f ca="1">IF(ROWS($1:14)&gt;COUNT(Dong12),"",OFFSET(TH!E$1,SMALL(Dong12,ROWS($1:14)),))</f>
        <v/>
      </c>
      <c r="C27" s="451" t="str">
        <f ca="1">IF(ROWS($1:14)&gt;COUNT(Dong12),"",IF(MID(OFFSET(TH!D$1,SMALL(Dong12,ROWS($1:14)),),4,1)="N",OFFSET(TH!D$1,SMALL(Dong12,ROWS($1:14)),),""))</f>
        <v/>
      </c>
      <c r="D27" s="396" t="str">
        <f ca="1">IF(ROWS($1:14)&gt;COUNT(Dong12),"",IF(MID(OFFSET(TH!D$1,SMALL(Dong12,ROWS($1:14)),),4,1)="X",OFFSET(TH!D$1,SMALL(Dong12,ROWS($1:14)),),""))</f>
        <v/>
      </c>
      <c r="E27" s="642" t="str">
        <f ca="1">IF(ROWS($1:14)&gt;COUNT(Dong12),"",OFFSET(TH!H$1,SMALL(Dong12,ROWS($1:14)),))</f>
        <v/>
      </c>
      <c r="F27" s="396" t="str">
        <f t="shared" ca="1" si="0"/>
        <v/>
      </c>
      <c r="G27" s="397">
        <f ca="1">IF(ROWS($1:14)&gt;COUNT(Dong12),0,IF(MID(OFFSET(TH!D$1,SMALL(Dong12,ROWS($1:14)),),4,1)="N",OFFSET(TH!I$1,SMALL(Dong12,ROWS($1:14)),),0))</f>
        <v>0</v>
      </c>
      <c r="H27" s="397">
        <f ca="1">IF(ROWS($1:14)&gt;COUNT(Dong12),0,IF(MID(OFFSET(TH!D$1,SMALL(Dong12,ROWS($1:14)),),4,1)="X",OFFSET(TH!I$1,SMALL(Dong12,ROWS($1:14)),),0))</f>
        <v>0</v>
      </c>
      <c r="I27" s="398">
        <f t="shared" ca="1" si="1"/>
        <v>0</v>
      </c>
      <c r="J27" s="399"/>
      <c r="K27" s="400"/>
    </row>
    <row r="28" spans="1:11" ht="16.5" customHeight="1">
      <c r="A28" s="401" t="str">
        <f t="shared" ca="1" si="2"/>
        <v/>
      </c>
      <c r="B28" s="396" t="str">
        <f ca="1">IF(ROWS($1:15)&gt;COUNT(Dong12),"",OFFSET(TH!E$1,SMALL(Dong12,ROWS($1:15)),))</f>
        <v/>
      </c>
      <c r="C28" s="451" t="str">
        <f ca="1">IF(ROWS($1:15)&gt;COUNT(Dong12),"",IF(MID(OFFSET(TH!D$1,SMALL(Dong12,ROWS($1:15)),),4,1)="N",OFFSET(TH!D$1,SMALL(Dong12,ROWS($1:15)),),""))</f>
        <v/>
      </c>
      <c r="D28" s="396" t="str">
        <f ca="1">IF(ROWS($1:15)&gt;COUNT(Dong12),"",IF(MID(OFFSET(TH!D$1,SMALL(Dong12,ROWS($1:15)),),4,1)="X",OFFSET(TH!D$1,SMALL(Dong12,ROWS($1:15)),),""))</f>
        <v/>
      </c>
      <c r="E28" s="642" t="str">
        <f ca="1">IF(ROWS($1:15)&gt;COUNT(Dong12),"",OFFSET(TH!H$1,SMALL(Dong12,ROWS($1:15)),))</f>
        <v/>
      </c>
      <c r="F28" s="396" t="str">
        <f t="shared" ca="1" si="0"/>
        <v/>
      </c>
      <c r="G28" s="397">
        <f ca="1">IF(ROWS($1:15)&gt;COUNT(Dong12),0,IF(MID(OFFSET(TH!D$1,SMALL(Dong12,ROWS($1:15)),),4,1)="N",OFFSET(TH!I$1,SMALL(Dong12,ROWS($1:15)),),0))</f>
        <v>0</v>
      </c>
      <c r="H28" s="397">
        <f ca="1">IF(ROWS($1:15)&gt;COUNT(Dong12),0,IF(MID(OFFSET(TH!D$1,SMALL(Dong12,ROWS($1:15)),),4,1)="X",OFFSET(TH!I$1,SMALL(Dong12,ROWS($1:15)),),0))</f>
        <v>0</v>
      </c>
      <c r="I28" s="398">
        <f t="shared" ca="1" si="1"/>
        <v>0</v>
      </c>
      <c r="J28" s="399"/>
      <c r="K28" s="400"/>
    </row>
    <row r="29" spans="1:11" ht="16.5" customHeight="1">
      <c r="A29" s="401" t="str">
        <f t="shared" ca="1" si="2"/>
        <v/>
      </c>
      <c r="B29" s="396" t="str">
        <f ca="1">IF(ROWS($1:16)&gt;COUNT(Dong12),"",OFFSET(TH!E$1,SMALL(Dong12,ROWS($1:16)),))</f>
        <v/>
      </c>
      <c r="C29" s="451" t="str">
        <f ca="1">IF(ROWS($1:16)&gt;COUNT(Dong12),"",IF(MID(OFFSET(TH!D$1,SMALL(Dong12,ROWS($1:16)),),4,1)="N",OFFSET(TH!D$1,SMALL(Dong12,ROWS($1:16)),),""))</f>
        <v/>
      </c>
      <c r="D29" s="396" t="str">
        <f ca="1">IF(ROWS($1:16)&gt;COUNT(Dong12),"",IF(MID(OFFSET(TH!D$1,SMALL(Dong12,ROWS($1:16)),),4,1)="X",OFFSET(TH!D$1,SMALL(Dong12,ROWS($1:16)),),""))</f>
        <v/>
      </c>
      <c r="E29" s="642" t="str">
        <f ca="1">IF(ROWS($1:16)&gt;COUNT(Dong12),"",OFFSET(TH!H$1,SMALL(Dong12,ROWS($1:16)),))</f>
        <v/>
      </c>
      <c r="F29" s="396" t="str">
        <f t="shared" ca="1" si="0"/>
        <v/>
      </c>
      <c r="G29" s="397">
        <f ca="1">IF(ROWS($1:16)&gt;COUNT(Dong12),0,IF(MID(OFFSET(TH!D$1,SMALL(Dong12,ROWS($1:16)),),4,1)="N",OFFSET(TH!I$1,SMALL(Dong12,ROWS($1:16)),),0))</f>
        <v>0</v>
      </c>
      <c r="H29" s="397">
        <f ca="1">IF(ROWS($1:16)&gt;COUNT(Dong12),0,IF(MID(OFFSET(TH!D$1,SMALL(Dong12,ROWS($1:16)),),4,1)="X",OFFSET(TH!I$1,SMALL(Dong12,ROWS($1:16)),),0))</f>
        <v>0</v>
      </c>
      <c r="I29" s="398">
        <f t="shared" ca="1" si="1"/>
        <v>0</v>
      </c>
      <c r="J29" s="399"/>
      <c r="K29" s="400"/>
    </row>
    <row r="30" spans="1:11" ht="16.5" customHeight="1">
      <c r="A30" s="401" t="str">
        <f t="shared" ca="1" si="2"/>
        <v/>
      </c>
      <c r="B30" s="396" t="str">
        <f ca="1">IF(ROWS($1:17)&gt;COUNT(Dong12),"",OFFSET(TH!E$1,SMALL(Dong12,ROWS($1:17)),))</f>
        <v/>
      </c>
      <c r="C30" s="451" t="str">
        <f ca="1">IF(ROWS($1:17)&gt;COUNT(Dong12),"",IF(MID(OFFSET(TH!D$1,SMALL(Dong12,ROWS($1:17)),),4,1)="N",OFFSET(TH!D$1,SMALL(Dong12,ROWS($1:17)),),""))</f>
        <v/>
      </c>
      <c r="D30" s="396" t="str">
        <f ca="1">IF(ROWS($1:17)&gt;COUNT(Dong12),"",IF(MID(OFFSET(TH!D$1,SMALL(Dong12,ROWS($1:17)),),4,1)="X",OFFSET(TH!D$1,SMALL(Dong12,ROWS($1:17)),),""))</f>
        <v/>
      </c>
      <c r="E30" s="642" t="str">
        <f ca="1">IF(ROWS($1:17)&gt;COUNT(Dong12),"",OFFSET(TH!H$1,SMALL(Dong12,ROWS($1:17)),))</f>
        <v/>
      </c>
      <c r="F30" s="396" t="str">
        <f t="shared" ca="1" si="0"/>
        <v/>
      </c>
      <c r="G30" s="397">
        <f ca="1">IF(ROWS($1:17)&gt;COUNT(Dong12),0,IF(MID(OFFSET(TH!D$1,SMALL(Dong12,ROWS($1:17)),),4,1)="N",OFFSET(TH!I$1,SMALL(Dong12,ROWS($1:17)),),0))</f>
        <v>0</v>
      </c>
      <c r="H30" s="397">
        <f ca="1">IF(ROWS($1:17)&gt;COUNT(Dong12),0,IF(MID(OFFSET(TH!D$1,SMALL(Dong12,ROWS($1:17)),),4,1)="X",OFFSET(TH!I$1,SMALL(Dong12,ROWS($1:17)),),0))</f>
        <v>0</v>
      </c>
      <c r="I30" s="398">
        <f t="shared" ca="1" si="1"/>
        <v>0</v>
      </c>
      <c r="J30" s="399"/>
      <c r="K30" s="400"/>
    </row>
    <row r="31" spans="1:11" ht="16.5" customHeight="1">
      <c r="A31" s="402" t="str">
        <f>IF(D31&lt;&gt;"",A21+1,"")</f>
        <v/>
      </c>
      <c r="B31" s="403"/>
      <c r="C31" s="404"/>
      <c r="D31" s="404"/>
      <c r="E31" s="643"/>
      <c r="F31" s="403"/>
      <c r="G31" s="405"/>
      <c r="H31" s="405"/>
      <c r="I31" s="405"/>
      <c r="J31" s="406"/>
      <c r="K31" s="400"/>
    </row>
    <row r="32" spans="1:11" ht="16.5" customHeight="1">
      <c r="A32" s="390"/>
      <c r="B32" s="407"/>
      <c r="C32" s="390"/>
      <c r="D32" s="390"/>
      <c r="E32" s="391" t="s">
        <v>224</v>
      </c>
      <c r="F32" s="408" t="s">
        <v>19</v>
      </c>
      <c r="G32" s="409">
        <f ca="1">SUM(G14:G31)</f>
        <v>0</v>
      </c>
      <c r="H32" s="409">
        <f ca="1">SUM(H14:H31)</f>
        <v>0</v>
      </c>
      <c r="I32" s="409" t="e">
        <f ca="1">I13+G32-H32</f>
        <v>#N/A</v>
      </c>
      <c r="J32" s="390" t="s">
        <v>19</v>
      </c>
      <c r="K32" s="410"/>
    </row>
    <row r="33" spans="1:11" ht="12.75" customHeight="1">
      <c r="A33" s="411"/>
      <c r="B33" s="369"/>
      <c r="C33" s="411"/>
      <c r="D33" s="411"/>
      <c r="E33" s="375"/>
      <c r="F33" s="369"/>
      <c r="G33" s="376"/>
      <c r="H33" s="376"/>
      <c r="I33" s="376"/>
      <c r="J33" s="365"/>
      <c r="K33" s="365"/>
    </row>
    <row r="34" spans="1:11" ht="15">
      <c r="A34" s="412" t="s">
        <v>225</v>
      </c>
      <c r="B34" s="412"/>
      <c r="C34" s="413"/>
      <c r="D34" s="413"/>
      <c r="E34" s="375"/>
      <c r="F34" s="369"/>
      <c r="G34" s="376"/>
      <c r="H34" s="376"/>
      <c r="I34" s="376"/>
      <c r="J34" s="365"/>
      <c r="K34" s="365"/>
    </row>
    <row r="35" spans="1:11" ht="15">
      <c r="A35" s="107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80"/>
      <c r="C35" s="1080"/>
      <c r="D35" s="1080"/>
      <c r="E35" s="1080"/>
      <c r="F35" s="369"/>
      <c r="G35" s="376"/>
      <c r="H35" s="376"/>
      <c r="I35" s="376"/>
      <c r="J35" s="365"/>
      <c r="K35" s="365"/>
    </row>
    <row r="36" spans="1:11" ht="15">
      <c r="A36" s="414"/>
      <c r="B36" s="415"/>
      <c r="C36" s="416"/>
      <c r="D36" s="411"/>
      <c r="E36" s="375"/>
      <c r="F36" s="369"/>
      <c r="H36" s="297"/>
      <c r="I36" s="540" t="e">
        <f ca="1">"Ngày 31 tháng  12  năm  "&amp;YEAR($B$14)</f>
        <v>#VALUE!</v>
      </c>
      <c r="J36" s="297"/>
      <c r="K36" s="298"/>
    </row>
    <row r="37" spans="1:11" ht="15" customHeight="1">
      <c r="A37" s="414"/>
      <c r="C37" s="417" t="s">
        <v>226</v>
      </c>
      <c r="D37" s="411"/>
      <c r="E37" s="1081" t="s">
        <v>12</v>
      </c>
      <c r="F37" s="1081"/>
      <c r="G37" s="376"/>
      <c r="I37" s="573" t="s">
        <v>109</v>
      </c>
      <c r="J37" s="367"/>
      <c r="K37" s="414"/>
    </row>
    <row r="38" spans="1:11" ht="15" customHeight="1">
      <c r="A38" s="418"/>
      <c r="C38" s="419" t="s">
        <v>13</v>
      </c>
      <c r="D38" s="420"/>
      <c r="E38" s="1074" t="s">
        <v>13</v>
      </c>
      <c r="F38" s="1074"/>
      <c r="G38" s="376"/>
      <c r="I38" s="574" t="s">
        <v>136</v>
      </c>
      <c r="J38" s="572"/>
      <c r="K38" s="418"/>
    </row>
    <row r="39" spans="1:11" ht="15">
      <c r="A39" s="418"/>
      <c r="C39" s="419"/>
      <c r="D39" s="411"/>
      <c r="E39" s="421"/>
      <c r="F39" s="422"/>
      <c r="G39" s="376"/>
      <c r="H39" s="418"/>
      <c r="I39" s="418"/>
      <c r="J39" s="418"/>
      <c r="K39" s="418"/>
    </row>
    <row r="40" spans="1:11" ht="15">
      <c r="A40" s="418"/>
      <c r="B40" s="419"/>
      <c r="C40" s="418"/>
      <c r="D40" s="411"/>
      <c r="E40" s="421"/>
      <c r="F40" s="422"/>
      <c r="G40" s="376"/>
      <c r="H40" s="418"/>
      <c r="I40" s="418"/>
      <c r="J40" s="418"/>
      <c r="K40" s="418"/>
    </row>
    <row r="41" spans="1:11" ht="15">
      <c r="A41" s="418"/>
      <c r="B41" s="419"/>
      <c r="C41" s="418"/>
      <c r="D41" s="411"/>
      <c r="E41" s="421"/>
      <c r="F41" s="422"/>
      <c r="G41" s="376"/>
      <c r="H41" s="418"/>
      <c r="I41" s="418"/>
      <c r="J41" s="418"/>
      <c r="K41" s="418"/>
    </row>
    <row r="46" spans="1:11" ht="15">
      <c r="C46" s="575" t="s">
        <v>315</v>
      </c>
      <c r="H46" s="571"/>
      <c r="I46" s="570" t="s">
        <v>103</v>
      </c>
      <c r="J46" s="571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30"/>
  <sheetViews>
    <sheetView topLeftCell="A193" workbookViewId="0">
      <selection activeCell="I191" sqref="I191:J191"/>
    </sheetView>
  </sheetViews>
  <sheetFormatPr defaultColWidth="10.28515625" defaultRowHeight="12.75"/>
  <cols>
    <col min="1" max="1" width="4.7109375" style="721" customWidth="1"/>
    <col min="2" max="2" width="29.28515625" style="721" customWidth="1"/>
    <col min="3" max="4" width="12.140625" style="721" customWidth="1"/>
    <col min="5" max="5" width="11" style="721" customWidth="1"/>
    <col min="6" max="6" width="11.28515625" style="721" customWidth="1"/>
    <col min="7" max="7" width="11.140625" style="721" customWidth="1"/>
    <col min="8" max="8" width="12" style="721" customWidth="1"/>
    <col min="9" max="10" width="7.42578125" style="721" customWidth="1"/>
    <col min="11" max="11" width="7.7109375" style="733" customWidth="1"/>
    <col min="12" max="12" width="2" style="733" customWidth="1"/>
    <col min="13" max="13" width="23" style="721" customWidth="1"/>
    <col min="14" max="14" width="8.42578125" style="734" customWidth="1"/>
    <col min="15" max="15" width="7" style="768" customWidth="1"/>
    <col min="16" max="16" width="7.5703125" style="289" customWidth="1"/>
    <col min="17" max="17" width="12.42578125" style="721" customWidth="1"/>
    <col min="18" max="18" width="8.28515625" style="721" customWidth="1"/>
    <col min="19" max="19" width="8.28515625" style="734" customWidth="1"/>
    <col min="20" max="20" width="11.140625" style="721" bestFit="1" customWidth="1"/>
    <col min="21" max="16384" width="10.28515625" style="721"/>
  </cols>
  <sheetData>
    <row r="1" spans="1:20">
      <c r="B1" s="721">
        <v>1</v>
      </c>
      <c r="C1" s="721">
        <v>5</v>
      </c>
      <c r="E1" s="721">
        <v>6</v>
      </c>
      <c r="F1" s="721">
        <v>7</v>
      </c>
      <c r="G1" s="721">
        <v>8</v>
      </c>
      <c r="H1" s="721">
        <v>13</v>
      </c>
      <c r="I1" s="721">
        <v>14</v>
      </c>
      <c r="J1" s="721">
        <v>15</v>
      </c>
    </row>
    <row r="2" spans="1:20" ht="18" hidden="1" customHeight="1">
      <c r="A2" s="554" t="str">
        <f>TH!$A$1</f>
        <v>Đơn vị: CÔNG TY TNHH MỘT THÀNH VIÊN KHỞI NGUYÊN AN</v>
      </c>
      <c r="B2" s="722"/>
      <c r="C2" s="289"/>
      <c r="D2" s="289"/>
      <c r="E2" s="289"/>
      <c r="F2" s="289"/>
      <c r="G2" s="289"/>
      <c r="H2" s="289"/>
      <c r="I2" s="582"/>
      <c r="J2" s="289"/>
      <c r="K2" s="735"/>
      <c r="L2" s="735"/>
      <c r="M2" s="289"/>
      <c r="N2" s="718"/>
      <c r="R2" s="289"/>
      <c r="S2" s="718"/>
    </row>
    <row r="3" spans="1:20" ht="18.75" customHeight="1">
      <c r="A3" s="723" t="s">
        <v>1016</v>
      </c>
      <c r="B3" s="723"/>
      <c r="C3" s="723"/>
      <c r="D3" s="723"/>
      <c r="E3" s="723"/>
      <c r="F3" s="723"/>
      <c r="G3" s="723"/>
      <c r="H3" s="723"/>
      <c r="I3" s="723"/>
      <c r="J3" s="723"/>
      <c r="K3" s="735"/>
      <c r="L3" s="735"/>
      <c r="M3" s="289"/>
      <c r="N3" s="718"/>
      <c r="R3" s="289"/>
      <c r="S3" s="718"/>
    </row>
    <row r="4" spans="1:20" ht="18.75" customHeight="1">
      <c r="A4" s="723"/>
      <c r="B4" s="724"/>
      <c r="C4" s="724"/>
      <c r="D4" s="724"/>
      <c r="E4" s="724"/>
      <c r="F4" s="724"/>
      <c r="G4" s="724"/>
      <c r="H4" s="724"/>
      <c r="I4" s="736"/>
      <c r="J4" s="724"/>
      <c r="K4" s="735"/>
      <c r="L4" s="735"/>
      <c r="M4" s="289"/>
      <c r="N4" s="718"/>
      <c r="R4" s="289"/>
      <c r="S4" s="718"/>
    </row>
    <row r="5" spans="1:20" ht="12.75" customHeight="1">
      <c r="A5" s="762"/>
      <c r="B5" s="754"/>
      <c r="C5" s="754"/>
      <c r="D5" s="754"/>
      <c r="E5" s="754"/>
      <c r="F5" s="754"/>
      <c r="G5" s="754"/>
      <c r="H5" s="754"/>
      <c r="I5" s="737"/>
      <c r="J5" s="754"/>
      <c r="K5" s="735"/>
      <c r="L5" s="735"/>
      <c r="M5" s="731"/>
      <c r="N5" s="762"/>
      <c r="O5" s="769"/>
      <c r="P5" s="738"/>
      <c r="Q5" s="762"/>
      <c r="R5" s="762"/>
      <c r="S5" s="762"/>
    </row>
    <row r="6" spans="1:20" s="434" customFormat="1" ht="30.75" customHeight="1">
      <c r="A6" s="779" t="s">
        <v>35</v>
      </c>
      <c r="B6" s="430" t="s">
        <v>227</v>
      </c>
      <c r="C6" s="431" t="s">
        <v>230</v>
      </c>
      <c r="D6" s="431" t="s">
        <v>1311</v>
      </c>
      <c r="E6" s="431" t="s">
        <v>364</v>
      </c>
      <c r="F6" s="431" t="s">
        <v>231</v>
      </c>
      <c r="G6" s="431" t="s">
        <v>356</v>
      </c>
      <c r="H6" s="431" t="s">
        <v>232</v>
      </c>
      <c r="I6" s="432" t="s">
        <v>228</v>
      </c>
      <c r="J6" s="431" t="s">
        <v>233</v>
      </c>
      <c r="K6" s="433"/>
      <c r="L6" s="433"/>
      <c r="M6" s="430" t="s">
        <v>227</v>
      </c>
      <c r="N6" s="431" t="s">
        <v>221</v>
      </c>
      <c r="O6" s="770" t="s">
        <v>187</v>
      </c>
      <c r="P6" s="431" t="s">
        <v>229</v>
      </c>
      <c r="Q6" s="431" t="s">
        <v>234</v>
      </c>
      <c r="R6" s="430" t="s">
        <v>227</v>
      </c>
      <c r="S6" s="431" t="s">
        <v>221</v>
      </c>
    </row>
    <row r="7" spans="1:20">
      <c r="A7" s="725">
        <f>IF(B7&lt;&gt;"",ROW()-(ROW()-1),"")</f>
        <v>1</v>
      </c>
      <c r="B7" s="292" t="s">
        <v>448</v>
      </c>
      <c r="C7" s="25">
        <f>Q7</f>
        <v>6510250</v>
      </c>
      <c r="D7" s="25"/>
      <c r="E7" s="726">
        <f t="shared" ref="E7:G26" si="0">IF($I$61&lt;&gt;0,E$61/$I$61*$I7,0)</f>
        <v>485347.13876305812</v>
      </c>
      <c r="F7" s="726">
        <f t="shared" si="0"/>
        <v>0</v>
      </c>
      <c r="G7" s="726">
        <f t="shared" si="0"/>
        <v>0</v>
      </c>
      <c r="H7" s="25">
        <f t="shared" ref="H7:H14" si="1">SUM(C7:G7)</f>
        <v>6995597.138763058</v>
      </c>
      <c r="I7" s="726">
        <v>1000</v>
      </c>
      <c r="J7" s="726">
        <f>IF(I7&lt;&gt;"",H7/I7,"")</f>
        <v>6995.597138763058</v>
      </c>
      <c r="K7" s="641">
        <v>8700</v>
      </c>
      <c r="L7" s="739"/>
      <c r="M7" s="435" t="s">
        <v>1174</v>
      </c>
      <c r="N7" s="740">
        <f>S7-2</f>
        <v>42371</v>
      </c>
      <c r="O7" s="295">
        <v>250</v>
      </c>
      <c r="P7" s="758">
        <v>26041</v>
      </c>
      <c r="Q7" s="25">
        <f>ROUND(O7*P7,0)</f>
        <v>6510250</v>
      </c>
      <c r="R7" s="435" t="s">
        <v>1020</v>
      </c>
      <c r="S7" s="740">
        <v>42373</v>
      </c>
      <c r="T7" s="289">
        <f>I7*K7</f>
        <v>8700000</v>
      </c>
    </row>
    <row r="8" spans="1:20">
      <c r="A8" s="725">
        <f>IF(B8&lt;&gt;"",A7+1,"")</f>
        <v>2</v>
      </c>
      <c r="B8" s="292" t="s">
        <v>1024</v>
      </c>
      <c r="C8" s="25">
        <f t="shared" ref="C8" si="2">Q8</f>
        <v>782460</v>
      </c>
      <c r="D8" s="25"/>
      <c r="E8" s="726">
        <f t="shared" si="0"/>
        <v>26694.092631968197</v>
      </c>
      <c r="F8" s="726">
        <f t="shared" si="0"/>
        <v>0</v>
      </c>
      <c r="G8" s="726">
        <f t="shared" si="0"/>
        <v>0</v>
      </c>
      <c r="H8" s="25">
        <f t="shared" si="1"/>
        <v>809154.0926319682</v>
      </c>
      <c r="I8" s="254">
        <v>55</v>
      </c>
      <c r="J8" s="726">
        <f>IF(I8&lt;&gt;"",H8/I8,"")</f>
        <v>14711.892593308512</v>
      </c>
      <c r="K8" s="641">
        <v>18080</v>
      </c>
      <c r="L8" s="739"/>
      <c r="M8" s="436" t="s">
        <v>1270</v>
      </c>
      <c r="N8" s="740">
        <f t="shared" ref="N8:N59" si="3">S8-2</f>
        <v>42373</v>
      </c>
      <c r="O8" s="771">
        <v>36</v>
      </c>
      <c r="P8" s="756">
        <v>21735</v>
      </c>
      <c r="Q8" s="8">
        <f t="shared" ref="Q8:Q59" si="4">ROUND(O8*P8,0)</f>
        <v>782460</v>
      </c>
      <c r="R8" s="436" t="s">
        <v>1022</v>
      </c>
      <c r="S8" s="741">
        <v>42375</v>
      </c>
      <c r="T8" s="289">
        <f t="shared" ref="T8:T59" si="5">I8*K8</f>
        <v>994400</v>
      </c>
    </row>
    <row r="9" spans="1:20">
      <c r="A9" s="725">
        <f t="shared" ref="A9:A59" si="6">IF(B9&lt;&gt;"",A8+1,"")</f>
        <v>3</v>
      </c>
      <c r="B9" s="292" t="s">
        <v>1303</v>
      </c>
      <c r="C9" s="25">
        <f t="shared" ref="C9:C14" si="7">Q9</f>
        <v>453600</v>
      </c>
      <c r="D9" s="25"/>
      <c r="E9" s="726">
        <f t="shared" si="0"/>
        <v>9706.9427752611628</v>
      </c>
      <c r="F9" s="726">
        <f t="shared" si="0"/>
        <v>0</v>
      </c>
      <c r="G9" s="726">
        <f t="shared" si="0"/>
        <v>0</v>
      </c>
      <c r="H9" s="25">
        <f t="shared" si="1"/>
        <v>463306.94277526118</v>
      </c>
      <c r="I9" s="254">
        <v>20</v>
      </c>
      <c r="J9" s="726">
        <f t="shared" ref="J9:J59" si="8">IF(I9&lt;&gt;"",H9/I9,"")</f>
        <v>23165.34713876306</v>
      </c>
      <c r="K9" s="641">
        <v>33120</v>
      </c>
      <c r="L9" s="739"/>
      <c r="M9" s="188" t="s">
        <v>1269</v>
      </c>
      <c r="N9" s="740">
        <f t="shared" si="3"/>
        <v>42386</v>
      </c>
      <c r="O9" s="772">
        <v>20</v>
      </c>
      <c r="P9" s="757">
        <v>22680</v>
      </c>
      <c r="Q9" s="8">
        <f t="shared" si="4"/>
        <v>453600</v>
      </c>
      <c r="R9" s="490" t="s">
        <v>1028</v>
      </c>
      <c r="S9" s="741">
        <v>42388</v>
      </c>
      <c r="T9" s="289">
        <f t="shared" si="5"/>
        <v>662400</v>
      </c>
    </row>
    <row r="10" spans="1:20">
      <c r="A10" s="725">
        <f t="shared" si="6"/>
        <v>4</v>
      </c>
      <c r="B10" s="292" t="s">
        <v>1304</v>
      </c>
      <c r="C10" s="25">
        <f t="shared" si="7"/>
        <v>247940</v>
      </c>
      <c r="D10" s="25"/>
      <c r="E10" s="726">
        <f t="shared" si="0"/>
        <v>24267.356938152905</v>
      </c>
      <c r="F10" s="726">
        <f t="shared" si="0"/>
        <v>0</v>
      </c>
      <c r="G10" s="726">
        <f t="shared" si="0"/>
        <v>0</v>
      </c>
      <c r="H10" s="25">
        <f t="shared" si="1"/>
        <v>272207.35693815292</v>
      </c>
      <c r="I10" s="254">
        <v>50</v>
      </c>
      <c r="J10" s="726">
        <f t="shared" si="8"/>
        <v>5444.1471387630581</v>
      </c>
      <c r="K10" s="641">
        <v>6350</v>
      </c>
      <c r="L10" s="739"/>
      <c r="M10" s="188" t="s">
        <v>1290</v>
      </c>
      <c r="N10" s="740">
        <f t="shared" si="3"/>
        <v>42386</v>
      </c>
      <c r="O10" s="772">
        <v>11</v>
      </c>
      <c r="P10" s="757">
        <v>22540</v>
      </c>
      <c r="Q10" s="8">
        <f t="shared" si="4"/>
        <v>247940</v>
      </c>
      <c r="R10" s="490" t="s">
        <v>1028</v>
      </c>
      <c r="S10" s="741">
        <v>42388</v>
      </c>
      <c r="T10" s="289">
        <f t="shared" si="5"/>
        <v>317500</v>
      </c>
    </row>
    <row r="11" spans="1:20">
      <c r="A11" s="725">
        <f t="shared" si="6"/>
        <v>5</v>
      </c>
      <c r="B11" s="292" t="s">
        <v>448</v>
      </c>
      <c r="C11" s="25">
        <f t="shared" si="7"/>
        <v>8265000</v>
      </c>
      <c r="D11" s="25"/>
      <c r="E11" s="726">
        <f t="shared" si="0"/>
        <v>485347.13876305812</v>
      </c>
      <c r="F11" s="726">
        <f t="shared" si="0"/>
        <v>0</v>
      </c>
      <c r="G11" s="726">
        <f t="shared" si="0"/>
        <v>0</v>
      </c>
      <c r="H11" s="25">
        <f t="shared" si="1"/>
        <v>8750347.1387630589</v>
      </c>
      <c r="I11" s="254">
        <v>1000</v>
      </c>
      <c r="J11" s="726">
        <f t="shared" si="8"/>
        <v>8750.3471387630598</v>
      </c>
      <c r="K11" s="641">
        <v>8700</v>
      </c>
      <c r="L11" s="739"/>
      <c r="M11" s="191" t="s">
        <v>970</v>
      </c>
      <c r="N11" s="740">
        <f t="shared" si="3"/>
        <v>42399</v>
      </c>
      <c r="O11" s="772">
        <v>1000</v>
      </c>
      <c r="P11" s="757">
        <v>8265</v>
      </c>
      <c r="Q11" s="8">
        <f t="shared" si="4"/>
        <v>8265000</v>
      </c>
      <c r="R11" s="490" t="s">
        <v>1038</v>
      </c>
      <c r="S11" s="741">
        <v>42401</v>
      </c>
      <c r="T11" s="289">
        <f t="shared" si="5"/>
        <v>8700000</v>
      </c>
    </row>
    <row r="12" spans="1:20">
      <c r="A12" s="725">
        <f t="shared" si="6"/>
        <v>6</v>
      </c>
      <c r="B12" s="292" t="s">
        <v>1007</v>
      </c>
      <c r="C12" s="25">
        <f t="shared" si="7"/>
        <v>361290</v>
      </c>
      <c r="D12" s="25"/>
      <c r="E12" s="726">
        <f t="shared" si="0"/>
        <v>5824.1656651566973</v>
      </c>
      <c r="F12" s="726">
        <f t="shared" si="0"/>
        <v>0</v>
      </c>
      <c r="G12" s="726">
        <f t="shared" si="0"/>
        <v>0</v>
      </c>
      <c r="H12" s="25">
        <f t="shared" si="1"/>
        <v>367114.16566515667</v>
      </c>
      <c r="I12" s="254">
        <v>12</v>
      </c>
      <c r="J12" s="726">
        <f t="shared" si="8"/>
        <v>30592.847138763056</v>
      </c>
      <c r="K12" s="641">
        <v>54136</v>
      </c>
      <c r="L12" s="739"/>
      <c r="M12" s="191" t="s">
        <v>1286</v>
      </c>
      <c r="N12" s="740">
        <f t="shared" si="3"/>
        <v>42427</v>
      </c>
      <c r="O12" s="772">
        <v>15</v>
      </c>
      <c r="P12" s="757">
        <v>24086</v>
      </c>
      <c r="Q12" s="8">
        <f t="shared" si="4"/>
        <v>361290</v>
      </c>
      <c r="R12" s="490" t="s">
        <v>1054</v>
      </c>
      <c r="S12" s="741">
        <v>42429</v>
      </c>
      <c r="T12" s="289">
        <f t="shared" si="5"/>
        <v>649632</v>
      </c>
    </row>
    <row r="13" spans="1:20">
      <c r="A13" s="725">
        <f t="shared" si="6"/>
        <v>7</v>
      </c>
      <c r="B13" s="292" t="s">
        <v>1057</v>
      </c>
      <c r="C13" s="25">
        <f t="shared" si="7"/>
        <v>1147959</v>
      </c>
      <c r="D13" s="25"/>
      <c r="E13" s="726">
        <f t="shared" si="0"/>
        <v>97069.42775261162</v>
      </c>
      <c r="F13" s="726">
        <f t="shared" si="0"/>
        <v>0</v>
      </c>
      <c r="G13" s="726">
        <f t="shared" si="0"/>
        <v>0</v>
      </c>
      <c r="H13" s="25">
        <f t="shared" si="1"/>
        <v>1245028.4277526117</v>
      </c>
      <c r="I13" s="254">
        <v>200</v>
      </c>
      <c r="J13" s="726">
        <f t="shared" si="8"/>
        <v>6225.142138763058</v>
      </c>
      <c r="K13" s="641">
        <v>8030</v>
      </c>
      <c r="L13" s="739"/>
      <c r="M13" s="188" t="s">
        <v>1192</v>
      </c>
      <c r="N13" s="740">
        <f t="shared" si="3"/>
        <v>42431</v>
      </c>
      <c r="O13" s="772">
        <v>61</v>
      </c>
      <c r="P13" s="757">
        <v>18819</v>
      </c>
      <c r="Q13" s="8">
        <f t="shared" si="4"/>
        <v>1147959</v>
      </c>
      <c r="R13" s="490" t="s">
        <v>1056</v>
      </c>
      <c r="S13" s="741">
        <v>42433</v>
      </c>
      <c r="T13" s="289">
        <f t="shared" si="5"/>
        <v>1606000</v>
      </c>
    </row>
    <row r="14" spans="1:20">
      <c r="A14" s="725">
        <f>IF(B14&lt;&gt;"",A13+1,"")</f>
        <v>8</v>
      </c>
      <c r="B14" s="292" t="s">
        <v>451</v>
      </c>
      <c r="C14" s="25">
        <f t="shared" si="7"/>
        <v>1293200</v>
      </c>
      <c r="D14" s="25"/>
      <c r="E14" s="726">
        <f t="shared" si="0"/>
        <v>48534.71387630581</v>
      </c>
      <c r="F14" s="726">
        <f t="shared" si="0"/>
        <v>0</v>
      </c>
      <c r="G14" s="726">
        <f t="shared" si="0"/>
        <v>0</v>
      </c>
      <c r="H14" s="25">
        <f t="shared" si="1"/>
        <v>1341734.7138763058</v>
      </c>
      <c r="I14" s="254">
        <v>100</v>
      </c>
      <c r="J14" s="726">
        <f t="shared" si="8"/>
        <v>13417.347138763058</v>
      </c>
      <c r="K14" s="641">
        <v>15000</v>
      </c>
      <c r="L14" s="739"/>
      <c r="M14" s="188" t="s">
        <v>1283</v>
      </c>
      <c r="N14" s="740">
        <f t="shared" si="3"/>
        <v>42447</v>
      </c>
      <c r="O14" s="772">
        <v>100</v>
      </c>
      <c r="P14" s="757">
        <v>12932</v>
      </c>
      <c r="Q14" s="8">
        <f t="shared" si="4"/>
        <v>1293200</v>
      </c>
      <c r="R14" s="490" t="s">
        <v>1072</v>
      </c>
      <c r="S14" s="741">
        <v>42449</v>
      </c>
      <c r="T14" s="289">
        <f t="shared" si="5"/>
        <v>1500000</v>
      </c>
    </row>
    <row r="15" spans="1:20" s="903" customFormat="1">
      <c r="A15" s="892">
        <f t="shared" si="6"/>
        <v>9</v>
      </c>
      <c r="B15" s="855" t="s">
        <v>1178</v>
      </c>
      <c r="C15" s="893">
        <f t="shared" ref="C15:C59" si="9">Q15</f>
        <v>584868</v>
      </c>
      <c r="D15" s="893">
        <v>26243750</v>
      </c>
      <c r="E15" s="894">
        <f t="shared" si="0"/>
        <v>412545.0679485994</v>
      </c>
      <c r="F15" s="894">
        <f t="shared" si="0"/>
        <v>0</v>
      </c>
      <c r="G15" s="894">
        <f t="shared" si="0"/>
        <v>0</v>
      </c>
      <c r="H15" s="893">
        <f t="shared" ref="H15:H59" si="10">SUM(C15:G15)</f>
        <v>27241163.067948598</v>
      </c>
      <c r="I15" s="895">
        <v>850</v>
      </c>
      <c r="J15" s="894">
        <f t="shared" si="8"/>
        <v>32048.427138763058</v>
      </c>
      <c r="K15" s="896">
        <v>32500</v>
      </c>
      <c r="L15" s="897"/>
      <c r="M15" s="898" t="s">
        <v>1207</v>
      </c>
      <c r="N15" s="899">
        <f t="shared" si="3"/>
        <v>42371</v>
      </c>
      <c r="O15" s="900">
        <v>47</v>
      </c>
      <c r="P15" s="901">
        <v>12444</v>
      </c>
      <c r="Q15" s="902">
        <f t="shared" si="4"/>
        <v>584868</v>
      </c>
      <c r="R15" s="898" t="s">
        <v>1019</v>
      </c>
      <c r="S15" s="849">
        <v>42373</v>
      </c>
      <c r="T15" s="289">
        <f t="shared" si="5"/>
        <v>27625000</v>
      </c>
    </row>
    <row r="16" spans="1:20">
      <c r="A16" s="725">
        <f t="shared" si="6"/>
        <v>10</v>
      </c>
      <c r="B16" s="292" t="s">
        <v>922</v>
      </c>
      <c r="C16" s="25">
        <f t="shared" si="9"/>
        <v>820100</v>
      </c>
      <c r="D16" s="25">
        <v>2002600</v>
      </c>
      <c r="E16" s="726">
        <f t="shared" si="0"/>
        <v>97069.42775261162</v>
      </c>
      <c r="F16" s="726">
        <f t="shared" si="0"/>
        <v>0</v>
      </c>
      <c r="G16" s="726">
        <f t="shared" si="0"/>
        <v>0</v>
      </c>
      <c r="H16" s="25">
        <f t="shared" si="10"/>
        <v>2919769.4277526117</v>
      </c>
      <c r="I16" s="254">
        <v>200</v>
      </c>
      <c r="J16" s="726">
        <f t="shared" si="8"/>
        <v>14598.847138763058</v>
      </c>
      <c r="K16" s="641">
        <v>16308</v>
      </c>
      <c r="L16" s="739"/>
      <c r="M16" s="490" t="s">
        <v>1217</v>
      </c>
      <c r="N16" s="740">
        <f t="shared" si="3"/>
        <v>42375</v>
      </c>
      <c r="O16" s="772">
        <v>100</v>
      </c>
      <c r="P16" s="757">
        <v>8201</v>
      </c>
      <c r="Q16" s="8">
        <f t="shared" si="4"/>
        <v>820100</v>
      </c>
      <c r="R16" s="490" t="s">
        <v>1025</v>
      </c>
      <c r="S16" s="741">
        <v>42377</v>
      </c>
      <c r="T16" s="289">
        <f t="shared" si="5"/>
        <v>3261600</v>
      </c>
    </row>
    <row r="17" spans="1:20">
      <c r="A17" s="725">
        <f t="shared" si="6"/>
        <v>11</v>
      </c>
      <c r="B17" s="292" t="s">
        <v>659</v>
      </c>
      <c r="C17" s="25">
        <f t="shared" ref="C17" si="11">Q17</f>
        <v>831080</v>
      </c>
      <c r="D17" s="25">
        <v>8771000</v>
      </c>
      <c r="E17" s="726">
        <f t="shared" si="0"/>
        <v>485347.13876305812</v>
      </c>
      <c r="F17" s="726">
        <f t="shared" si="0"/>
        <v>0</v>
      </c>
      <c r="G17" s="726">
        <f t="shared" si="0"/>
        <v>0</v>
      </c>
      <c r="H17" s="25">
        <f t="shared" si="10"/>
        <v>10087427.138763059</v>
      </c>
      <c r="I17" s="254">
        <v>1000</v>
      </c>
      <c r="J17" s="726">
        <f t="shared" ref="J17" si="12">IF(I17&lt;&gt;"",H17/I17,"")</f>
        <v>10087.42713876306</v>
      </c>
      <c r="K17" s="641">
        <v>9800</v>
      </c>
      <c r="L17" s="739"/>
      <c r="M17" s="490" t="s">
        <v>1177</v>
      </c>
      <c r="N17" s="740">
        <f t="shared" si="3"/>
        <v>42379</v>
      </c>
      <c r="O17" s="772">
        <v>40</v>
      </c>
      <c r="P17" s="757">
        <v>20777</v>
      </c>
      <c r="Q17" s="8">
        <f t="shared" si="4"/>
        <v>831080</v>
      </c>
      <c r="R17" s="490" t="s">
        <v>1026</v>
      </c>
      <c r="S17" s="741">
        <v>42381</v>
      </c>
      <c r="T17" s="289">
        <f t="shared" si="5"/>
        <v>9800000</v>
      </c>
    </row>
    <row r="18" spans="1:20">
      <c r="A18" s="725">
        <f t="shared" si="6"/>
        <v>12</v>
      </c>
      <c r="B18" s="292" t="s">
        <v>924</v>
      </c>
      <c r="C18" s="25">
        <f t="shared" si="9"/>
        <v>2357500</v>
      </c>
      <c r="D18" s="25">
        <v>8150850</v>
      </c>
      <c r="E18" s="726">
        <f t="shared" si="0"/>
        <v>218406.21244337616</v>
      </c>
      <c r="F18" s="726">
        <f t="shared" si="0"/>
        <v>0</v>
      </c>
      <c r="G18" s="726">
        <f t="shared" si="0"/>
        <v>0</v>
      </c>
      <c r="H18" s="25">
        <f t="shared" si="10"/>
        <v>10726756.212443376</v>
      </c>
      <c r="I18" s="254">
        <v>450</v>
      </c>
      <c r="J18" s="726">
        <f t="shared" si="8"/>
        <v>23837.236027651947</v>
      </c>
      <c r="K18" s="641">
        <v>24877</v>
      </c>
      <c r="L18" s="739"/>
      <c r="M18" s="490" t="s">
        <v>1169</v>
      </c>
      <c r="N18" s="740">
        <f t="shared" si="3"/>
        <v>42386</v>
      </c>
      <c r="O18" s="772">
        <v>250</v>
      </c>
      <c r="P18" s="757">
        <v>9430</v>
      </c>
      <c r="Q18" s="8">
        <f t="shared" si="4"/>
        <v>2357500</v>
      </c>
      <c r="R18" s="490" t="s">
        <v>1027</v>
      </c>
      <c r="S18" s="741">
        <v>42388</v>
      </c>
      <c r="T18" s="289">
        <f t="shared" si="5"/>
        <v>11194650</v>
      </c>
    </row>
    <row r="19" spans="1:20">
      <c r="A19" s="725">
        <f t="shared" si="6"/>
        <v>13</v>
      </c>
      <c r="B19" s="292" t="s">
        <v>930</v>
      </c>
      <c r="C19" s="25">
        <f t="shared" si="9"/>
        <v>1035000</v>
      </c>
      <c r="D19" s="25">
        <v>5439690</v>
      </c>
      <c r="E19" s="726">
        <f t="shared" si="0"/>
        <v>131043.7274660257</v>
      </c>
      <c r="F19" s="726">
        <f t="shared" si="0"/>
        <v>0</v>
      </c>
      <c r="G19" s="726">
        <f t="shared" si="0"/>
        <v>0</v>
      </c>
      <c r="H19" s="25">
        <f t="shared" si="10"/>
        <v>6605733.7274660254</v>
      </c>
      <c r="I19" s="254">
        <v>270</v>
      </c>
      <c r="J19" s="726">
        <f t="shared" si="8"/>
        <v>24465.680472096392</v>
      </c>
      <c r="K19" s="641">
        <v>29190</v>
      </c>
      <c r="L19" s="739"/>
      <c r="M19" s="490" t="s">
        <v>1160</v>
      </c>
      <c r="N19" s="740">
        <f t="shared" si="3"/>
        <v>42392</v>
      </c>
      <c r="O19" s="772">
        <v>60</v>
      </c>
      <c r="P19" s="757">
        <v>17250</v>
      </c>
      <c r="Q19" s="8">
        <f t="shared" si="4"/>
        <v>1035000</v>
      </c>
      <c r="R19" s="490" t="s">
        <v>1029</v>
      </c>
      <c r="S19" s="741">
        <v>42394</v>
      </c>
      <c r="T19" s="289">
        <f t="shared" si="5"/>
        <v>7881300</v>
      </c>
    </row>
    <row r="20" spans="1:20">
      <c r="A20" s="725">
        <f t="shared" si="6"/>
        <v>14</v>
      </c>
      <c r="B20" s="292" t="s">
        <v>664</v>
      </c>
      <c r="C20" s="25">
        <f t="shared" ref="C20:C36" si="13">Q20</f>
        <v>367080</v>
      </c>
      <c r="D20" s="25">
        <v>17319330</v>
      </c>
      <c r="E20" s="726">
        <f t="shared" si="0"/>
        <v>101922.89914024221</v>
      </c>
      <c r="F20" s="726">
        <f t="shared" si="0"/>
        <v>0</v>
      </c>
      <c r="G20" s="726">
        <f t="shared" si="0"/>
        <v>0</v>
      </c>
      <c r="H20" s="25">
        <f t="shared" si="10"/>
        <v>17788332.899140242</v>
      </c>
      <c r="I20" s="254">
        <v>210</v>
      </c>
      <c r="J20" s="726">
        <f t="shared" ref="J20:J36" si="14">IF(I20&lt;&gt;"",H20/I20,"")</f>
        <v>84706.347138763056</v>
      </c>
      <c r="K20" s="641">
        <v>86596.652380952379</v>
      </c>
      <c r="L20" s="739"/>
      <c r="M20" s="490" t="s">
        <v>1284</v>
      </c>
      <c r="N20" s="740">
        <f t="shared" si="3"/>
        <v>42397</v>
      </c>
      <c r="O20" s="772">
        <v>15</v>
      </c>
      <c r="P20" s="757">
        <v>24472</v>
      </c>
      <c r="Q20" s="8">
        <f t="shared" si="4"/>
        <v>367080</v>
      </c>
      <c r="R20" s="490" t="s">
        <v>1032</v>
      </c>
      <c r="S20" s="741">
        <v>42399</v>
      </c>
      <c r="T20" s="289">
        <f t="shared" si="5"/>
        <v>18185297</v>
      </c>
    </row>
    <row r="21" spans="1:20">
      <c r="A21" s="725">
        <f t="shared" si="6"/>
        <v>15</v>
      </c>
      <c r="B21" s="292" t="s">
        <v>683</v>
      </c>
      <c r="C21" s="25">
        <f t="shared" si="13"/>
        <v>391664</v>
      </c>
      <c r="D21" s="25">
        <v>11546220</v>
      </c>
      <c r="E21" s="726">
        <f t="shared" si="0"/>
        <v>101922.89914024221</v>
      </c>
      <c r="F21" s="726">
        <f t="shared" si="0"/>
        <v>0</v>
      </c>
      <c r="G21" s="726">
        <f t="shared" si="0"/>
        <v>0</v>
      </c>
      <c r="H21" s="25">
        <f t="shared" si="10"/>
        <v>12039806.899140242</v>
      </c>
      <c r="I21" s="254">
        <v>210</v>
      </c>
      <c r="J21" s="726">
        <f t="shared" si="14"/>
        <v>57332.413805429729</v>
      </c>
      <c r="K21" s="641">
        <v>57731.1</v>
      </c>
      <c r="L21" s="739"/>
      <c r="M21" s="490" t="s">
        <v>1117</v>
      </c>
      <c r="N21" s="740">
        <f t="shared" si="3"/>
        <v>42397</v>
      </c>
      <c r="O21" s="772">
        <v>28</v>
      </c>
      <c r="P21" s="757">
        <v>13988</v>
      </c>
      <c r="Q21" s="8">
        <f t="shared" si="4"/>
        <v>391664</v>
      </c>
      <c r="R21" s="490" t="s">
        <v>1032</v>
      </c>
      <c r="S21" s="741">
        <v>42399</v>
      </c>
      <c r="T21" s="289">
        <f t="shared" si="5"/>
        <v>12123531</v>
      </c>
    </row>
    <row r="22" spans="1:20">
      <c r="A22" s="725">
        <f t="shared" si="6"/>
        <v>16</v>
      </c>
      <c r="B22" s="292" t="s">
        <v>921</v>
      </c>
      <c r="C22" s="25">
        <f t="shared" si="13"/>
        <v>767520</v>
      </c>
      <c r="D22" s="25">
        <v>5926520</v>
      </c>
      <c r="E22" s="726">
        <f t="shared" si="0"/>
        <v>444577.97910696123</v>
      </c>
      <c r="F22" s="726">
        <f t="shared" si="0"/>
        <v>0</v>
      </c>
      <c r="G22" s="726">
        <f t="shared" si="0"/>
        <v>0</v>
      </c>
      <c r="H22" s="25">
        <f t="shared" si="10"/>
        <v>7138617.9791069608</v>
      </c>
      <c r="I22" s="254">
        <v>916</v>
      </c>
      <c r="J22" s="726">
        <f t="shared" si="14"/>
        <v>7793.251068894062</v>
      </c>
      <c r="K22" s="641">
        <v>7473</v>
      </c>
      <c r="L22" s="739"/>
      <c r="M22" s="490" t="s">
        <v>1171</v>
      </c>
      <c r="N22" s="740">
        <f t="shared" si="3"/>
        <v>42397</v>
      </c>
      <c r="O22" s="772">
        <v>40</v>
      </c>
      <c r="P22" s="757">
        <v>19188</v>
      </c>
      <c r="Q22" s="8">
        <f t="shared" si="4"/>
        <v>767520</v>
      </c>
      <c r="R22" s="490" t="s">
        <v>1032</v>
      </c>
      <c r="S22" s="741">
        <v>42399</v>
      </c>
      <c r="T22" s="289">
        <f t="shared" si="5"/>
        <v>6845268</v>
      </c>
    </row>
    <row r="23" spans="1:20">
      <c r="A23" s="725">
        <f t="shared" si="6"/>
        <v>17</v>
      </c>
      <c r="B23" s="292" t="s">
        <v>937</v>
      </c>
      <c r="C23" s="25">
        <f t="shared" si="13"/>
        <v>2332680</v>
      </c>
      <c r="D23" s="25">
        <v>7172748</v>
      </c>
      <c r="E23" s="726">
        <f t="shared" si="0"/>
        <v>192197.46695017102</v>
      </c>
      <c r="F23" s="726">
        <f t="shared" si="0"/>
        <v>0</v>
      </c>
      <c r="G23" s="726">
        <f t="shared" si="0"/>
        <v>0</v>
      </c>
      <c r="H23" s="25">
        <f t="shared" si="10"/>
        <v>9697625.4669501707</v>
      </c>
      <c r="I23" s="254">
        <v>396</v>
      </c>
      <c r="J23" s="726">
        <f t="shared" si="14"/>
        <v>24488.953199369116</v>
      </c>
      <c r="K23" s="641">
        <v>24877</v>
      </c>
      <c r="L23" s="739"/>
      <c r="M23" s="490" t="s">
        <v>1161</v>
      </c>
      <c r="N23" s="740">
        <f t="shared" si="3"/>
        <v>42399</v>
      </c>
      <c r="O23" s="772">
        <v>140</v>
      </c>
      <c r="P23" s="757">
        <v>16662</v>
      </c>
      <c r="Q23" s="8">
        <f t="shared" si="4"/>
        <v>2332680</v>
      </c>
      <c r="R23" s="490" t="s">
        <v>1039</v>
      </c>
      <c r="S23" s="741">
        <v>42401</v>
      </c>
      <c r="T23" s="289">
        <f t="shared" si="5"/>
        <v>9851292</v>
      </c>
    </row>
    <row r="24" spans="1:20">
      <c r="A24" s="725">
        <f t="shared" si="6"/>
        <v>18</v>
      </c>
      <c r="B24" s="292" t="s">
        <v>939</v>
      </c>
      <c r="C24" s="25">
        <f t="shared" si="13"/>
        <v>981640</v>
      </c>
      <c r="D24" s="25">
        <v>2169900</v>
      </c>
      <c r="E24" s="726">
        <f t="shared" si="0"/>
        <v>72802.070814458726</v>
      </c>
      <c r="F24" s="726">
        <f t="shared" si="0"/>
        <v>0</v>
      </c>
      <c r="G24" s="726">
        <f t="shared" si="0"/>
        <v>0</v>
      </c>
      <c r="H24" s="25">
        <f t="shared" si="10"/>
        <v>3224342.0708144587</v>
      </c>
      <c r="I24" s="254">
        <v>150</v>
      </c>
      <c r="J24" s="726">
        <f t="shared" si="14"/>
        <v>21495.613805429723</v>
      </c>
      <c r="K24" s="641">
        <v>22650</v>
      </c>
      <c r="L24" s="739"/>
      <c r="M24" s="490" t="s">
        <v>1158</v>
      </c>
      <c r="N24" s="740">
        <f t="shared" si="3"/>
        <v>42399</v>
      </c>
      <c r="O24" s="772">
        <v>88</v>
      </c>
      <c r="P24" s="757">
        <v>11155</v>
      </c>
      <c r="Q24" s="8">
        <f t="shared" si="4"/>
        <v>981640</v>
      </c>
      <c r="R24" s="490" t="s">
        <v>1039</v>
      </c>
      <c r="S24" s="741">
        <v>42401</v>
      </c>
      <c r="T24" s="289">
        <f t="shared" si="5"/>
        <v>3397500</v>
      </c>
    </row>
    <row r="25" spans="1:20">
      <c r="A25" s="725">
        <f t="shared" si="6"/>
        <v>19</v>
      </c>
      <c r="B25" s="292" t="s">
        <v>659</v>
      </c>
      <c r="C25" s="25">
        <f t="shared" si="13"/>
        <v>804705</v>
      </c>
      <c r="D25" s="25">
        <v>8771000</v>
      </c>
      <c r="E25" s="726">
        <f t="shared" si="0"/>
        <v>485347.13876305812</v>
      </c>
      <c r="F25" s="726">
        <f t="shared" si="0"/>
        <v>0</v>
      </c>
      <c r="G25" s="726">
        <f t="shared" si="0"/>
        <v>0</v>
      </c>
      <c r="H25" s="25">
        <f t="shared" si="10"/>
        <v>10061052.138763059</v>
      </c>
      <c r="I25" s="254">
        <v>1000</v>
      </c>
      <c r="J25" s="726">
        <f t="shared" si="14"/>
        <v>10061.05213876306</v>
      </c>
      <c r="K25" s="641">
        <v>9800</v>
      </c>
      <c r="L25" s="739"/>
      <c r="M25" s="490" t="s">
        <v>1165</v>
      </c>
      <c r="N25" s="740">
        <f t="shared" si="3"/>
        <v>42400</v>
      </c>
      <c r="O25" s="772">
        <v>33</v>
      </c>
      <c r="P25" s="757">
        <v>24385</v>
      </c>
      <c r="Q25" s="8">
        <f t="shared" si="4"/>
        <v>804705</v>
      </c>
      <c r="R25" s="490" t="s">
        <v>1040</v>
      </c>
      <c r="S25" s="741">
        <v>42402</v>
      </c>
      <c r="T25" s="289">
        <f t="shared" si="5"/>
        <v>9800000</v>
      </c>
    </row>
    <row r="26" spans="1:20">
      <c r="A26" s="725">
        <f t="shared" si="6"/>
        <v>20</v>
      </c>
      <c r="B26" s="292" t="s">
        <v>659</v>
      </c>
      <c r="C26" s="25">
        <f t="shared" si="13"/>
        <v>699501</v>
      </c>
      <c r="D26" s="25">
        <v>8771000</v>
      </c>
      <c r="E26" s="726">
        <f t="shared" si="0"/>
        <v>485347.13876305812</v>
      </c>
      <c r="F26" s="726">
        <f t="shared" si="0"/>
        <v>0</v>
      </c>
      <c r="G26" s="726">
        <f t="shared" si="0"/>
        <v>0</v>
      </c>
      <c r="H26" s="25">
        <f t="shared" si="10"/>
        <v>9955848.1387630589</v>
      </c>
      <c r="I26" s="254">
        <v>1000</v>
      </c>
      <c r="J26" s="726">
        <f t="shared" si="14"/>
        <v>9955.8481387630582</v>
      </c>
      <c r="K26" s="641">
        <v>9800</v>
      </c>
      <c r="L26" s="739"/>
      <c r="M26" s="490" t="s">
        <v>1128</v>
      </c>
      <c r="N26" s="740">
        <f t="shared" si="3"/>
        <v>42414</v>
      </c>
      <c r="O26" s="772">
        <v>33</v>
      </c>
      <c r="P26" s="757">
        <v>21197</v>
      </c>
      <c r="Q26" s="8">
        <f t="shared" si="4"/>
        <v>699501</v>
      </c>
      <c r="R26" s="490" t="s">
        <v>1043</v>
      </c>
      <c r="S26" s="741">
        <v>42416</v>
      </c>
      <c r="T26" s="289">
        <f t="shared" si="5"/>
        <v>9800000</v>
      </c>
    </row>
    <row r="27" spans="1:20">
      <c r="A27" s="725">
        <f t="shared" si="6"/>
        <v>21</v>
      </c>
      <c r="B27" s="292" t="s">
        <v>637</v>
      </c>
      <c r="C27" s="25">
        <f t="shared" si="13"/>
        <v>344760</v>
      </c>
      <c r="D27" s="25">
        <v>2602596</v>
      </c>
      <c r="E27" s="726">
        <f t="shared" ref="E27:G46" si="15">IF($I$61&lt;&gt;0,E$61/$I$61*$I27,0)</f>
        <v>212582.04677821946</v>
      </c>
      <c r="F27" s="726">
        <f t="shared" si="15"/>
        <v>0</v>
      </c>
      <c r="G27" s="726">
        <f t="shared" si="15"/>
        <v>0</v>
      </c>
      <c r="H27" s="25">
        <f t="shared" si="10"/>
        <v>3159938.0467782193</v>
      </c>
      <c r="I27" s="254">
        <v>438</v>
      </c>
      <c r="J27" s="726">
        <f t="shared" si="14"/>
        <v>7214.4704264342909</v>
      </c>
      <c r="K27" s="641">
        <v>6881</v>
      </c>
      <c r="L27" s="739"/>
      <c r="M27" s="490" t="s">
        <v>1140</v>
      </c>
      <c r="N27" s="740">
        <f t="shared" si="3"/>
        <v>42414</v>
      </c>
      <c r="O27" s="772">
        <v>16</v>
      </c>
      <c r="P27" s="757">
        <v>21547.5</v>
      </c>
      <c r="Q27" s="8">
        <f t="shared" si="4"/>
        <v>344760</v>
      </c>
      <c r="R27" s="490" t="s">
        <v>1044</v>
      </c>
      <c r="S27" s="741">
        <v>42416</v>
      </c>
      <c r="T27" s="289">
        <f t="shared" si="5"/>
        <v>3013878</v>
      </c>
    </row>
    <row r="28" spans="1:20">
      <c r="A28" s="725">
        <f t="shared" si="6"/>
        <v>22</v>
      </c>
      <c r="B28" s="292" t="s">
        <v>1178</v>
      </c>
      <c r="C28" s="25">
        <f t="shared" si="13"/>
        <v>1247976</v>
      </c>
      <c r="D28" s="25">
        <v>26243750</v>
      </c>
      <c r="E28" s="726">
        <f t="shared" si="15"/>
        <v>412545.0679485994</v>
      </c>
      <c r="F28" s="726">
        <f t="shared" si="15"/>
        <v>0</v>
      </c>
      <c r="G28" s="726">
        <f t="shared" si="15"/>
        <v>0</v>
      </c>
      <c r="H28" s="25">
        <f t="shared" ref="H28:H36" si="16">SUM(C28:G28)</f>
        <v>27904271.067948598</v>
      </c>
      <c r="I28" s="254">
        <v>850</v>
      </c>
      <c r="J28" s="726">
        <f t="shared" si="14"/>
        <v>32828.554197586585</v>
      </c>
      <c r="K28" s="641">
        <v>32500</v>
      </c>
      <c r="L28" s="739"/>
      <c r="M28" s="490" t="s">
        <v>1127</v>
      </c>
      <c r="N28" s="740">
        <f t="shared" si="3"/>
        <v>42420</v>
      </c>
      <c r="O28" s="772">
        <v>72</v>
      </c>
      <c r="P28" s="757">
        <v>17333</v>
      </c>
      <c r="Q28" s="8">
        <f t="shared" si="4"/>
        <v>1247976</v>
      </c>
      <c r="R28" s="490" t="s">
        <v>1047</v>
      </c>
      <c r="S28" s="741">
        <v>42422</v>
      </c>
      <c r="T28" s="289">
        <f t="shared" si="5"/>
        <v>27625000</v>
      </c>
    </row>
    <row r="29" spans="1:20">
      <c r="A29" s="725">
        <f t="shared" si="6"/>
        <v>23</v>
      </c>
      <c r="B29" s="292" t="s">
        <v>1179</v>
      </c>
      <c r="C29" s="25">
        <f t="shared" si="13"/>
        <v>146070</v>
      </c>
      <c r="D29" s="25">
        <v>26481750</v>
      </c>
      <c r="E29" s="726">
        <f t="shared" si="15"/>
        <v>412545.0679485994</v>
      </c>
      <c r="F29" s="726">
        <f t="shared" si="15"/>
        <v>0</v>
      </c>
      <c r="G29" s="726">
        <f t="shared" si="15"/>
        <v>0</v>
      </c>
      <c r="H29" s="25">
        <f t="shared" si="16"/>
        <v>27040365.067948598</v>
      </c>
      <c r="I29" s="254">
        <v>850</v>
      </c>
      <c r="J29" s="726">
        <f t="shared" si="14"/>
        <v>31812.194197586585</v>
      </c>
      <c r="K29" s="641">
        <v>31700</v>
      </c>
      <c r="L29" s="739"/>
      <c r="M29" s="490" t="s">
        <v>1155</v>
      </c>
      <c r="N29" s="740">
        <f t="shared" si="3"/>
        <v>42420</v>
      </c>
      <c r="O29" s="772">
        <v>15</v>
      </c>
      <c r="P29" s="757">
        <v>9738</v>
      </c>
      <c r="Q29" s="8">
        <f t="shared" si="4"/>
        <v>146070</v>
      </c>
      <c r="R29" s="490" t="s">
        <v>1047</v>
      </c>
      <c r="S29" s="741">
        <v>42422</v>
      </c>
      <c r="T29" s="289">
        <f t="shared" si="5"/>
        <v>26945000</v>
      </c>
    </row>
    <row r="30" spans="1:20">
      <c r="A30" s="725">
        <f t="shared" si="6"/>
        <v>24</v>
      </c>
      <c r="B30" s="292" t="s">
        <v>946</v>
      </c>
      <c r="C30" s="25">
        <f t="shared" si="13"/>
        <v>337688</v>
      </c>
      <c r="D30" s="25">
        <v>2071000</v>
      </c>
      <c r="E30" s="726">
        <f t="shared" si="15"/>
        <v>97069.42775261162</v>
      </c>
      <c r="F30" s="726">
        <f t="shared" si="15"/>
        <v>0</v>
      </c>
      <c r="G30" s="726">
        <f t="shared" si="15"/>
        <v>0</v>
      </c>
      <c r="H30" s="25">
        <f t="shared" si="16"/>
        <v>2505757.4277526117</v>
      </c>
      <c r="I30" s="254">
        <v>200</v>
      </c>
      <c r="J30" s="726">
        <f t="shared" si="14"/>
        <v>12528.787138763058</v>
      </c>
      <c r="K30" s="641">
        <v>14266</v>
      </c>
      <c r="L30" s="739"/>
      <c r="M30" s="490" t="s">
        <v>1139</v>
      </c>
      <c r="N30" s="740">
        <f t="shared" si="3"/>
        <v>42421</v>
      </c>
      <c r="O30" s="772">
        <v>16</v>
      </c>
      <c r="P30" s="757">
        <v>21105.5</v>
      </c>
      <c r="Q30" s="8">
        <f t="shared" si="4"/>
        <v>337688</v>
      </c>
      <c r="R30" s="490" t="s">
        <v>1048</v>
      </c>
      <c r="S30" s="741">
        <v>42423</v>
      </c>
      <c r="T30" s="289">
        <f t="shared" si="5"/>
        <v>2853200</v>
      </c>
    </row>
    <row r="31" spans="1:20">
      <c r="A31" s="725">
        <f t="shared" si="6"/>
        <v>25</v>
      </c>
      <c r="B31" s="292" t="s">
        <v>954</v>
      </c>
      <c r="C31" s="25">
        <f t="shared" si="13"/>
        <v>2887570</v>
      </c>
      <c r="D31" s="25">
        <v>8667000</v>
      </c>
      <c r="E31" s="726">
        <f t="shared" si="15"/>
        <v>242673.56938152906</v>
      </c>
      <c r="F31" s="726">
        <f t="shared" si="15"/>
        <v>0</v>
      </c>
      <c r="G31" s="726">
        <f t="shared" si="15"/>
        <v>0</v>
      </c>
      <c r="H31" s="25">
        <f t="shared" si="16"/>
        <v>11797243.569381529</v>
      </c>
      <c r="I31" s="254">
        <v>500</v>
      </c>
      <c r="J31" s="726">
        <f t="shared" si="14"/>
        <v>23594.487138763059</v>
      </c>
      <c r="K31" s="641">
        <v>24140</v>
      </c>
      <c r="L31" s="739"/>
      <c r="M31" s="490" t="s">
        <v>1182</v>
      </c>
      <c r="N31" s="740">
        <f t="shared" si="3"/>
        <v>42424</v>
      </c>
      <c r="O31" s="772">
        <v>240</v>
      </c>
      <c r="P31" s="757">
        <v>12031.541666666666</v>
      </c>
      <c r="Q31" s="8">
        <f t="shared" si="4"/>
        <v>2887570</v>
      </c>
      <c r="R31" s="490" t="s">
        <v>1049</v>
      </c>
      <c r="S31" s="741">
        <v>42426</v>
      </c>
      <c r="T31" s="289">
        <f t="shared" si="5"/>
        <v>12070000</v>
      </c>
    </row>
    <row r="32" spans="1:20">
      <c r="A32" s="725">
        <f t="shared" si="6"/>
        <v>26</v>
      </c>
      <c r="B32" s="292" t="s">
        <v>659</v>
      </c>
      <c r="C32" s="25">
        <f t="shared" si="13"/>
        <v>876408</v>
      </c>
      <c r="D32" s="25">
        <v>8771000</v>
      </c>
      <c r="E32" s="726">
        <f t="shared" si="15"/>
        <v>485347.13876305812</v>
      </c>
      <c r="F32" s="726">
        <f t="shared" si="15"/>
        <v>0</v>
      </c>
      <c r="G32" s="726">
        <f t="shared" si="15"/>
        <v>0</v>
      </c>
      <c r="H32" s="25">
        <f t="shared" si="16"/>
        <v>10132755.138763059</v>
      </c>
      <c r="I32" s="254">
        <v>1000</v>
      </c>
      <c r="J32" s="726">
        <f t="shared" si="14"/>
        <v>10132.755138763059</v>
      </c>
      <c r="K32" s="641">
        <v>9800</v>
      </c>
      <c r="L32" s="739"/>
      <c r="M32" s="490" t="s">
        <v>1149</v>
      </c>
      <c r="N32" s="740">
        <f t="shared" si="3"/>
        <v>42425</v>
      </c>
      <c r="O32" s="772">
        <v>52</v>
      </c>
      <c r="P32" s="757">
        <v>16854</v>
      </c>
      <c r="Q32" s="8">
        <f t="shared" si="4"/>
        <v>876408</v>
      </c>
      <c r="R32" s="490" t="s">
        <v>1053</v>
      </c>
      <c r="S32" s="741">
        <v>42427</v>
      </c>
      <c r="T32" s="289">
        <f t="shared" si="5"/>
        <v>9800000</v>
      </c>
    </row>
    <row r="33" spans="1:20">
      <c r="A33" s="725">
        <f t="shared" si="6"/>
        <v>27</v>
      </c>
      <c r="B33" s="292" t="s">
        <v>542</v>
      </c>
      <c r="C33" s="25">
        <f t="shared" si="13"/>
        <v>100050</v>
      </c>
      <c r="D33" s="25">
        <v>6839280</v>
      </c>
      <c r="E33" s="726">
        <f t="shared" si="15"/>
        <v>87362.484977350468</v>
      </c>
      <c r="F33" s="726">
        <f t="shared" si="15"/>
        <v>0</v>
      </c>
      <c r="G33" s="726">
        <f t="shared" si="15"/>
        <v>0</v>
      </c>
      <c r="H33" s="25">
        <f t="shared" si="16"/>
        <v>7026692.4849773506</v>
      </c>
      <c r="I33" s="254">
        <v>180</v>
      </c>
      <c r="J33" s="726">
        <f t="shared" si="14"/>
        <v>39037.180472096392</v>
      </c>
      <c r="K33" s="641">
        <v>39996</v>
      </c>
      <c r="L33" s="739"/>
      <c r="M33" s="490" t="s">
        <v>1150</v>
      </c>
      <c r="N33" s="740">
        <f t="shared" si="3"/>
        <v>42427</v>
      </c>
      <c r="O33" s="772">
        <v>5</v>
      </c>
      <c r="P33" s="757">
        <v>20010</v>
      </c>
      <c r="Q33" s="8">
        <f t="shared" si="4"/>
        <v>100050</v>
      </c>
      <c r="R33" s="490" t="s">
        <v>1054</v>
      </c>
      <c r="S33" s="741">
        <v>42429</v>
      </c>
      <c r="T33" s="289">
        <f t="shared" si="5"/>
        <v>7199280</v>
      </c>
    </row>
    <row r="34" spans="1:20">
      <c r="A34" s="725">
        <f t="shared" si="6"/>
        <v>28</v>
      </c>
      <c r="B34" s="292" t="s">
        <v>1014</v>
      </c>
      <c r="C34" s="25">
        <f t="shared" si="13"/>
        <v>1548768</v>
      </c>
      <c r="D34" s="25">
        <v>11253000</v>
      </c>
      <c r="E34" s="726">
        <f t="shared" si="15"/>
        <v>97069.42775261162</v>
      </c>
      <c r="F34" s="726">
        <f t="shared" si="15"/>
        <v>0</v>
      </c>
      <c r="G34" s="726">
        <f t="shared" si="15"/>
        <v>0</v>
      </c>
      <c r="H34" s="25">
        <f t="shared" si="16"/>
        <v>12898837.427752612</v>
      </c>
      <c r="I34" s="254">
        <v>200</v>
      </c>
      <c r="J34" s="726">
        <f t="shared" si="14"/>
        <v>64494.18713876306</v>
      </c>
      <c r="K34" s="641">
        <v>67708</v>
      </c>
      <c r="L34" s="739"/>
      <c r="M34" s="490" t="s">
        <v>1274</v>
      </c>
      <c r="N34" s="740">
        <f t="shared" si="3"/>
        <v>42427</v>
      </c>
      <c r="O34" s="772">
        <v>52</v>
      </c>
      <c r="P34" s="757">
        <v>29784</v>
      </c>
      <c r="Q34" s="8">
        <f t="shared" si="4"/>
        <v>1548768</v>
      </c>
      <c r="R34" s="490" t="s">
        <v>1054</v>
      </c>
      <c r="S34" s="741">
        <v>42429</v>
      </c>
      <c r="T34" s="289">
        <f t="shared" si="5"/>
        <v>13541600</v>
      </c>
    </row>
    <row r="35" spans="1:20">
      <c r="A35" s="725">
        <f t="shared" si="6"/>
        <v>29</v>
      </c>
      <c r="B35" s="292" t="s">
        <v>939</v>
      </c>
      <c r="C35" s="25">
        <f t="shared" si="13"/>
        <v>3422400</v>
      </c>
      <c r="D35" s="25">
        <v>9981820</v>
      </c>
      <c r="E35" s="726">
        <f t="shared" si="15"/>
        <v>332462.79005269479</v>
      </c>
      <c r="F35" s="726">
        <f t="shared" si="15"/>
        <v>0</v>
      </c>
      <c r="G35" s="726">
        <f t="shared" si="15"/>
        <v>0</v>
      </c>
      <c r="H35" s="25">
        <f t="shared" si="16"/>
        <v>13736682.790052695</v>
      </c>
      <c r="I35" s="254">
        <v>685</v>
      </c>
      <c r="J35" s="726">
        <f t="shared" si="14"/>
        <v>20053.551518325101</v>
      </c>
      <c r="K35" s="641">
        <v>21835</v>
      </c>
      <c r="L35" s="739"/>
      <c r="M35" s="490" t="s">
        <v>1222</v>
      </c>
      <c r="N35" s="740">
        <f t="shared" si="3"/>
        <v>42434</v>
      </c>
      <c r="O35" s="772">
        <v>400</v>
      </c>
      <c r="P35" s="757">
        <v>8556</v>
      </c>
      <c r="Q35" s="8">
        <f t="shared" si="4"/>
        <v>3422400</v>
      </c>
      <c r="R35" s="490" t="s">
        <v>1059</v>
      </c>
      <c r="S35" s="741">
        <v>42436</v>
      </c>
      <c r="T35" s="289">
        <f t="shared" si="5"/>
        <v>14956975</v>
      </c>
    </row>
    <row r="36" spans="1:20">
      <c r="A36" s="725">
        <f t="shared" si="6"/>
        <v>30</v>
      </c>
      <c r="B36" s="292" t="s">
        <v>637</v>
      </c>
      <c r="C36" s="25">
        <f t="shared" si="13"/>
        <v>216580</v>
      </c>
      <c r="D36" s="25">
        <v>1830136</v>
      </c>
      <c r="E36" s="726">
        <f t="shared" si="15"/>
        <v>149486.9187390219</v>
      </c>
      <c r="F36" s="726">
        <f t="shared" si="15"/>
        <v>0</v>
      </c>
      <c r="G36" s="726">
        <f t="shared" si="15"/>
        <v>0</v>
      </c>
      <c r="H36" s="25">
        <f t="shared" si="16"/>
        <v>2196202.9187390218</v>
      </c>
      <c r="I36" s="254">
        <v>308</v>
      </c>
      <c r="J36" s="726">
        <f t="shared" si="14"/>
        <v>7130.528956944876</v>
      </c>
      <c r="K36" s="641">
        <v>6888</v>
      </c>
      <c r="L36" s="739"/>
      <c r="M36" s="490" t="s">
        <v>1141</v>
      </c>
      <c r="N36" s="740">
        <f t="shared" si="3"/>
        <v>42438</v>
      </c>
      <c r="O36" s="772">
        <v>10</v>
      </c>
      <c r="P36" s="757">
        <v>21658</v>
      </c>
      <c r="Q36" s="8">
        <f t="shared" si="4"/>
        <v>216580</v>
      </c>
      <c r="R36" s="490" t="s">
        <v>1066</v>
      </c>
      <c r="S36" s="741">
        <v>42440</v>
      </c>
      <c r="T36" s="289">
        <f t="shared" si="5"/>
        <v>2121504</v>
      </c>
    </row>
    <row r="37" spans="1:20">
      <c r="A37" s="725">
        <f t="shared" si="6"/>
        <v>31</v>
      </c>
      <c r="B37" s="292" t="s">
        <v>655</v>
      </c>
      <c r="C37" s="25">
        <f t="shared" si="9"/>
        <v>45747</v>
      </c>
      <c r="D37" s="25">
        <v>4199832</v>
      </c>
      <c r="E37" s="726">
        <f t="shared" si="15"/>
        <v>311107.51594712026</v>
      </c>
      <c r="F37" s="726">
        <f t="shared" si="15"/>
        <v>0</v>
      </c>
      <c r="G37" s="726">
        <f t="shared" si="15"/>
        <v>0</v>
      </c>
      <c r="H37" s="25">
        <f t="shared" si="10"/>
        <v>4556686.5159471203</v>
      </c>
      <c r="I37" s="254">
        <v>641</v>
      </c>
      <c r="J37" s="726">
        <f t="shared" si="8"/>
        <v>7108.7153134900473</v>
      </c>
      <c r="K37" s="641">
        <v>6880</v>
      </c>
      <c r="L37" s="739"/>
      <c r="M37" s="490" t="s">
        <v>1142</v>
      </c>
      <c r="N37" s="740">
        <f t="shared" si="3"/>
        <v>42440</v>
      </c>
      <c r="O37" s="772">
        <v>2</v>
      </c>
      <c r="P37" s="757">
        <v>22873.5</v>
      </c>
      <c r="Q37" s="8">
        <f t="shared" si="4"/>
        <v>45747</v>
      </c>
      <c r="R37" s="490" t="s">
        <v>1067</v>
      </c>
      <c r="S37" s="741">
        <v>42442</v>
      </c>
      <c r="T37" s="289">
        <f t="shared" si="5"/>
        <v>4410080</v>
      </c>
    </row>
    <row r="38" spans="1:20">
      <c r="A38" s="725">
        <f t="shared" si="6"/>
        <v>32</v>
      </c>
      <c r="B38" s="292" t="s">
        <v>766</v>
      </c>
      <c r="C38" s="25">
        <f t="shared" si="9"/>
        <v>567216</v>
      </c>
      <c r="D38" s="25">
        <v>5167600</v>
      </c>
      <c r="E38" s="726">
        <f t="shared" si="15"/>
        <v>194138.85550522324</v>
      </c>
      <c r="F38" s="726">
        <f t="shared" si="15"/>
        <v>0</v>
      </c>
      <c r="G38" s="726">
        <f t="shared" si="15"/>
        <v>0</v>
      </c>
      <c r="H38" s="25">
        <f t="shared" si="10"/>
        <v>5928954.8555052234</v>
      </c>
      <c r="I38" s="254">
        <v>400</v>
      </c>
      <c r="J38" s="726">
        <f t="shared" si="8"/>
        <v>14822.387138763059</v>
      </c>
      <c r="K38" s="641">
        <v>15000</v>
      </c>
      <c r="L38" s="739"/>
      <c r="M38" s="490" t="s">
        <v>1275</v>
      </c>
      <c r="N38" s="740">
        <f t="shared" si="3"/>
        <v>42440</v>
      </c>
      <c r="O38" s="772">
        <v>24</v>
      </c>
      <c r="P38" s="757">
        <v>23634</v>
      </c>
      <c r="Q38" s="8">
        <f t="shared" si="4"/>
        <v>567216</v>
      </c>
      <c r="R38" s="490" t="s">
        <v>1068</v>
      </c>
      <c r="S38" s="741">
        <v>42442</v>
      </c>
      <c r="T38" s="289">
        <f t="shared" si="5"/>
        <v>6000000</v>
      </c>
    </row>
    <row r="39" spans="1:20">
      <c r="A39" s="725">
        <f t="shared" si="6"/>
        <v>33</v>
      </c>
      <c r="B39" s="292" t="s">
        <v>1178</v>
      </c>
      <c r="C39" s="25">
        <f t="shared" si="9"/>
        <v>1259720</v>
      </c>
      <c r="D39" s="25">
        <v>29331250</v>
      </c>
      <c r="E39" s="726">
        <f t="shared" si="15"/>
        <v>461079.78182490519</v>
      </c>
      <c r="F39" s="726">
        <f t="shared" si="15"/>
        <v>0</v>
      </c>
      <c r="G39" s="726">
        <f t="shared" si="15"/>
        <v>0</v>
      </c>
      <c r="H39" s="25">
        <f t="shared" si="10"/>
        <v>31052049.781824905</v>
      </c>
      <c r="I39" s="254">
        <v>950</v>
      </c>
      <c r="J39" s="726">
        <f t="shared" si="8"/>
        <v>32686.368191394638</v>
      </c>
      <c r="K39" s="641">
        <v>32500</v>
      </c>
      <c r="L39" s="739"/>
      <c r="M39" s="490" t="s">
        <v>1131</v>
      </c>
      <c r="N39" s="740">
        <f t="shared" si="3"/>
        <v>42447</v>
      </c>
      <c r="O39" s="772">
        <v>140</v>
      </c>
      <c r="P39" s="757">
        <v>8998</v>
      </c>
      <c r="Q39" s="8">
        <f t="shared" si="4"/>
        <v>1259720</v>
      </c>
      <c r="R39" s="490" t="s">
        <v>1072</v>
      </c>
      <c r="S39" s="741">
        <v>42449</v>
      </c>
      <c r="T39" s="289">
        <f t="shared" si="5"/>
        <v>30875000</v>
      </c>
    </row>
    <row r="40" spans="1:20">
      <c r="A40" s="725">
        <f t="shared" si="6"/>
        <v>34</v>
      </c>
      <c r="B40" s="292" t="s">
        <v>1179</v>
      </c>
      <c r="C40" s="25">
        <f t="shared" si="9"/>
        <v>399126</v>
      </c>
      <c r="D40" s="25">
        <v>29597250</v>
      </c>
      <c r="E40" s="726">
        <f t="shared" si="15"/>
        <v>461079.78182490519</v>
      </c>
      <c r="F40" s="726">
        <f t="shared" si="15"/>
        <v>0</v>
      </c>
      <c r="G40" s="726">
        <f t="shared" si="15"/>
        <v>0</v>
      </c>
      <c r="H40" s="25">
        <f t="shared" si="10"/>
        <v>30457455.781824905</v>
      </c>
      <c r="I40" s="254">
        <v>950</v>
      </c>
      <c r="J40" s="726">
        <f t="shared" si="8"/>
        <v>32060.479770342004</v>
      </c>
      <c r="K40" s="641">
        <v>31700</v>
      </c>
      <c r="L40" s="739"/>
      <c r="M40" s="490" t="s">
        <v>1152</v>
      </c>
      <c r="N40" s="740">
        <f t="shared" si="3"/>
        <v>42447</v>
      </c>
      <c r="O40" s="772">
        <v>17</v>
      </c>
      <c r="P40" s="757">
        <v>23478</v>
      </c>
      <c r="Q40" s="8">
        <f t="shared" si="4"/>
        <v>399126</v>
      </c>
      <c r="R40" s="490" t="s">
        <v>1072</v>
      </c>
      <c r="S40" s="741">
        <v>42449</v>
      </c>
      <c r="T40" s="289">
        <f t="shared" si="5"/>
        <v>30115000</v>
      </c>
    </row>
    <row r="41" spans="1:20">
      <c r="A41" s="725">
        <f t="shared" si="6"/>
        <v>35</v>
      </c>
      <c r="B41" s="292" t="s">
        <v>655</v>
      </c>
      <c r="C41" s="25">
        <f t="shared" si="9"/>
        <v>87270</v>
      </c>
      <c r="D41" s="25">
        <v>3092544</v>
      </c>
      <c r="E41" s="726">
        <f t="shared" si="15"/>
        <v>229083.84949616343</v>
      </c>
      <c r="F41" s="726">
        <f t="shared" si="15"/>
        <v>0</v>
      </c>
      <c r="G41" s="726">
        <f t="shared" si="15"/>
        <v>0</v>
      </c>
      <c r="H41" s="25">
        <f t="shared" si="10"/>
        <v>3408897.8494961634</v>
      </c>
      <c r="I41" s="254">
        <v>472</v>
      </c>
      <c r="J41" s="726">
        <f t="shared" si="8"/>
        <v>7222.2412065596682</v>
      </c>
      <c r="K41" s="641">
        <v>6880</v>
      </c>
      <c r="L41" s="739"/>
      <c r="M41" s="490" t="s">
        <v>1167</v>
      </c>
      <c r="N41" s="740">
        <f t="shared" si="3"/>
        <v>42455</v>
      </c>
      <c r="O41" s="772">
        <v>3</v>
      </c>
      <c r="P41" s="757">
        <v>29090</v>
      </c>
      <c r="Q41" s="8">
        <f t="shared" si="4"/>
        <v>87270</v>
      </c>
      <c r="R41" s="490" t="s">
        <v>1074</v>
      </c>
      <c r="S41" s="741">
        <v>42457</v>
      </c>
      <c r="T41" s="289">
        <f t="shared" si="5"/>
        <v>3247360</v>
      </c>
    </row>
    <row r="42" spans="1:20">
      <c r="A42" s="725">
        <f t="shared" si="6"/>
        <v>36</v>
      </c>
      <c r="B42" s="292" t="s">
        <v>656</v>
      </c>
      <c r="C42" s="25">
        <f t="shared" si="9"/>
        <v>133400</v>
      </c>
      <c r="D42" s="25">
        <v>3056469</v>
      </c>
      <c r="E42" s="726">
        <f t="shared" si="15"/>
        <v>348964.59277063882</v>
      </c>
      <c r="F42" s="726">
        <f t="shared" si="15"/>
        <v>0</v>
      </c>
      <c r="G42" s="726">
        <f t="shared" si="15"/>
        <v>0</v>
      </c>
      <c r="H42" s="25">
        <f t="shared" si="10"/>
        <v>3538833.5927706389</v>
      </c>
      <c r="I42" s="254">
        <v>719</v>
      </c>
      <c r="J42" s="726">
        <f t="shared" si="8"/>
        <v>4921.882604687954</v>
      </c>
      <c r="K42" s="641">
        <v>4464</v>
      </c>
      <c r="L42" s="739"/>
      <c r="M42" s="490" t="s">
        <v>1153</v>
      </c>
      <c r="N42" s="740">
        <f t="shared" si="3"/>
        <v>42456</v>
      </c>
      <c r="O42" s="772">
        <v>5</v>
      </c>
      <c r="P42" s="757">
        <v>26680</v>
      </c>
      <c r="Q42" s="8">
        <f t="shared" si="4"/>
        <v>133400</v>
      </c>
      <c r="R42" s="490" t="s">
        <v>1075</v>
      </c>
      <c r="S42" s="741">
        <v>42458</v>
      </c>
      <c r="T42" s="289">
        <f t="shared" si="5"/>
        <v>3209616</v>
      </c>
    </row>
    <row r="43" spans="1:20">
      <c r="A43" s="725">
        <f t="shared" si="6"/>
        <v>37</v>
      </c>
      <c r="B43" s="292" t="s">
        <v>959</v>
      </c>
      <c r="C43" s="25">
        <f t="shared" si="9"/>
        <v>574560</v>
      </c>
      <c r="D43" s="25">
        <v>4030320</v>
      </c>
      <c r="E43" s="726">
        <f t="shared" si="15"/>
        <v>29120.828325783488</v>
      </c>
      <c r="F43" s="726">
        <f t="shared" si="15"/>
        <v>0</v>
      </c>
      <c r="G43" s="726">
        <f t="shared" si="15"/>
        <v>0</v>
      </c>
      <c r="H43" s="25">
        <f t="shared" si="10"/>
        <v>4634000.8283257838</v>
      </c>
      <c r="I43" s="254">
        <v>60</v>
      </c>
      <c r="J43" s="726">
        <f t="shared" si="8"/>
        <v>77233.347138763071</v>
      </c>
      <c r="K43" s="641">
        <v>81157</v>
      </c>
      <c r="L43" s="739"/>
      <c r="M43" s="490" t="s">
        <v>1116</v>
      </c>
      <c r="N43" s="740">
        <f t="shared" si="3"/>
        <v>42456</v>
      </c>
      <c r="O43" s="772">
        <v>40</v>
      </c>
      <c r="P43" s="757">
        <v>14364</v>
      </c>
      <c r="Q43" s="8">
        <f t="shared" si="4"/>
        <v>574560</v>
      </c>
      <c r="R43" s="490" t="s">
        <v>1080</v>
      </c>
      <c r="S43" s="741">
        <v>42458</v>
      </c>
      <c r="T43" s="289">
        <f t="shared" si="5"/>
        <v>4869420</v>
      </c>
    </row>
    <row r="44" spans="1:20">
      <c r="A44" s="725">
        <f t="shared" si="6"/>
        <v>38</v>
      </c>
      <c r="B44" s="292" t="s">
        <v>761</v>
      </c>
      <c r="C44" s="25">
        <f t="shared" si="9"/>
        <v>427907</v>
      </c>
      <c r="D44" s="25">
        <v>2268608</v>
      </c>
      <c r="E44" s="726">
        <f t="shared" si="15"/>
        <v>15531.10844041786</v>
      </c>
      <c r="F44" s="726">
        <f t="shared" si="15"/>
        <v>0</v>
      </c>
      <c r="G44" s="726">
        <f t="shared" si="15"/>
        <v>0</v>
      </c>
      <c r="H44" s="25">
        <f t="shared" si="10"/>
        <v>2712046.1084404178</v>
      </c>
      <c r="I44" s="254">
        <v>32</v>
      </c>
      <c r="J44" s="726">
        <f t="shared" si="8"/>
        <v>84751.440888763056</v>
      </c>
      <c r="K44" s="641">
        <v>91104</v>
      </c>
      <c r="L44" s="739"/>
      <c r="M44" s="490" t="s">
        <v>1130</v>
      </c>
      <c r="N44" s="740">
        <f t="shared" si="3"/>
        <v>42456</v>
      </c>
      <c r="O44" s="772">
        <v>17</v>
      </c>
      <c r="P44" s="757">
        <v>25171</v>
      </c>
      <c r="Q44" s="8">
        <f t="shared" si="4"/>
        <v>427907</v>
      </c>
      <c r="R44" s="490" t="s">
        <v>1080</v>
      </c>
      <c r="S44" s="741">
        <v>42458</v>
      </c>
      <c r="T44" s="289">
        <f t="shared" si="5"/>
        <v>2915328</v>
      </c>
    </row>
    <row r="45" spans="1:20">
      <c r="A45" s="725">
        <f t="shared" si="6"/>
        <v>39</v>
      </c>
      <c r="B45" s="292" t="s">
        <v>957</v>
      </c>
      <c r="C45" s="25">
        <f t="shared" si="9"/>
        <v>137118</v>
      </c>
      <c r="D45" s="25">
        <v>1105236</v>
      </c>
      <c r="E45" s="726">
        <f t="shared" si="15"/>
        <v>17472.496995470094</v>
      </c>
      <c r="F45" s="726">
        <f t="shared" si="15"/>
        <v>0</v>
      </c>
      <c r="G45" s="726">
        <f t="shared" si="15"/>
        <v>0</v>
      </c>
      <c r="H45" s="25">
        <f t="shared" si="10"/>
        <v>1259826.49699547</v>
      </c>
      <c r="I45" s="254">
        <v>36</v>
      </c>
      <c r="J45" s="726">
        <f t="shared" si="8"/>
        <v>34995.180472096392</v>
      </c>
      <c r="K45" s="641">
        <v>36187</v>
      </c>
      <c r="L45" s="739"/>
      <c r="M45" s="490" t="s">
        <v>1129</v>
      </c>
      <c r="N45" s="740">
        <f t="shared" si="3"/>
        <v>42456</v>
      </c>
      <c r="O45" s="772">
        <v>6</v>
      </c>
      <c r="P45" s="757">
        <v>22853</v>
      </c>
      <c r="Q45" s="8">
        <f t="shared" si="4"/>
        <v>137118</v>
      </c>
      <c r="R45" s="490" t="s">
        <v>1080</v>
      </c>
      <c r="S45" s="741">
        <v>42458</v>
      </c>
      <c r="T45" s="289">
        <f t="shared" si="5"/>
        <v>1302732</v>
      </c>
    </row>
    <row r="46" spans="1:20">
      <c r="A46" s="725">
        <f t="shared" si="6"/>
        <v>40</v>
      </c>
      <c r="B46" s="292" t="s">
        <v>957</v>
      </c>
      <c r="C46" s="25">
        <f t="shared" si="9"/>
        <v>34697</v>
      </c>
      <c r="D46" s="25">
        <v>614020</v>
      </c>
      <c r="E46" s="726">
        <f t="shared" si="15"/>
        <v>9706.9427752611628</v>
      </c>
      <c r="F46" s="726">
        <f t="shared" si="15"/>
        <v>0</v>
      </c>
      <c r="G46" s="726">
        <f t="shared" si="15"/>
        <v>0</v>
      </c>
      <c r="H46" s="25">
        <f t="shared" si="10"/>
        <v>658423.94277526112</v>
      </c>
      <c r="I46" s="254">
        <v>20</v>
      </c>
      <c r="J46" s="726">
        <f t="shared" si="8"/>
        <v>32921.197138763055</v>
      </c>
      <c r="K46" s="641">
        <v>37997</v>
      </c>
      <c r="L46" s="739"/>
      <c r="M46" s="490" t="s">
        <v>1138</v>
      </c>
      <c r="N46" s="740">
        <f t="shared" si="3"/>
        <v>42456</v>
      </c>
      <c r="O46" s="772">
        <v>2</v>
      </c>
      <c r="P46" s="757">
        <v>17348.5</v>
      </c>
      <c r="Q46" s="8">
        <f t="shared" si="4"/>
        <v>34697</v>
      </c>
      <c r="R46" s="490" t="s">
        <v>1080</v>
      </c>
      <c r="S46" s="741">
        <v>42458</v>
      </c>
      <c r="T46" s="289">
        <f t="shared" si="5"/>
        <v>759940</v>
      </c>
    </row>
    <row r="47" spans="1:20">
      <c r="A47" s="725">
        <f t="shared" si="6"/>
        <v>41</v>
      </c>
      <c r="B47" s="292" t="s">
        <v>758</v>
      </c>
      <c r="C47" s="25">
        <f t="shared" ref="C47:C55" si="17">Q47</f>
        <v>113390</v>
      </c>
      <c r="D47" s="25">
        <v>728676</v>
      </c>
      <c r="E47" s="726">
        <f t="shared" ref="E47:G59" si="18">IF($I$61&lt;&gt;0,E$61/$I$61*$I47,0)</f>
        <v>8736.2484977350468</v>
      </c>
      <c r="F47" s="726">
        <f t="shared" si="18"/>
        <v>0</v>
      </c>
      <c r="G47" s="726">
        <f t="shared" si="18"/>
        <v>0</v>
      </c>
      <c r="H47" s="25">
        <f t="shared" ref="H47:H55" si="19">SUM(C47:G47)</f>
        <v>850802.24849773501</v>
      </c>
      <c r="I47" s="254">
        <v>18</v>
      </c>
      <c r="J47" s="726">
        <f t="shared" ref="J47:J55" si="20">IF(I47&lt;&gt;"",H47/I47,"")</f>
        <v>47266.791583207501</v>
      </c>
      <c r="K47" s="641">
        <v>50880</v>
      </c>
      <c r="L47" s="739"/>
      <c r="M47" s="490" t="s">
        <v>1151</v>
      </c>
      <c r="N47" s="740">
        <f t="shared" si="3"/>
        <v>42456</v>
      </c>
      <c r="O47" s="772">
        <v>5</v>
      </c>
      <c r="P47" s="757">
        <v>22678</v>
      </c>
      <c r="Q47" s="8">
        <f t="shared" si="4"/>
        <v>113390</v>
      </c>
      <c r="R47" s="490" t="s">
        <v>1080</v>
      </c>
      <c r="S47" s="741">
        <v>42458</v>
      </c>
      <c r="T47" s="289">
        <f t="shared" si="5"/>
        <v>915840</v>
      </c>
    </row>
    <row r="48" spans="1:20">
      <c r="A48" s="725">
        <f t="shared" si="6"/>
        <v>42</v>
      </c>
      <c r="B48" s="292" t="s">
        <v>757</v>
      </c>
      <c r="C48" s="25">
        <f t="shared" si="17"/>
        <v>280140</v>
      </c>
      <c r="D48" s="25">
        <v>2310640</v>
      </c>
      <c r="E48" s="726">
        <f t="shared" si="18"/>
        <v>19413.885550522326</v>
      </c>
      <c r="F48" s="726">
        <f t="shared" si="18"/>
        <v>0</v>
      </c>
      <c r="G48" s="726">
        <f t="shared" si="18"/>
        <v>0</v>
      </c>
      <c r="H48" s="25">
        <f t="shared" si="19"/>
        <v>2610193.8855505222</v>
      </c>
      <c r="I48" s="254">
        <v>40</v>
      </c>
      <c r="J48" s="726">
        <f t="shared" si="20"/>
        <v>65254.847138763056</v>
      </c>
      <c r="K48" s="641">
        <v>68605</v>
      </c>
      <c r="L48" s="739"/>
      <c r="M48" s="490" t="s">
        <v>1148</v>
      </c>
      <c r="N48" s="740">
        <f t="shared" si="3"/>
        <v>42456</v>
      </c>
      <c r="O48" s="772">
        <v>20</v>
      </c>
      <c r="P48" s="757">
        <v>14007</v>
      </c>
      <c r="Q48" s="8">
        <f t="shared" si="4"/>
        <v>280140</v>
      </c>
      <c r="R48" s="490" t="s">
        <v>1080</v>
      </c>
      <c r="S48" s="741">
        <v>42458</v>
      </c>
      <c r="T48" s="289">
        <f t="shared" si="5"/>
        <v>2744200</v>
      </c>
    </row>
    <row r="49" spans="1:20">
      <c r="A49" s="725">
        <f t="shared" si="6"/>
        <v>43</v>
      </c>
      <c r="B49" s="292" t="s">
        <v>958</v>
      </c>
      <c r="C49" s="25">
        <f t="shared" si="17"/>
        <v>961554</v>
      </c>
      <c r="D49" s="25">
        <v>1618700</v>
      </c>
      <c r="E49" s="726">
        <f t="shared" si="18"/>
        <v>24267.356938152905</v>
      </c>
      <c r="F49" s="726">
        <f t="shared" si="18"/>
        <v>0</v>
      </c>
      <c r="G49" s="726">
        <f t="shared" si="18"/>
        <v>0</v>
      </c>
      <c r="H49" s="25">
        <f t="shared" si="19"/>
        <v>2604521.356938153</v>
      </c>
      <c r="I49" s="254">
        <v>50</v>
      </c>
      <c r="J49" s="726">
        <f t="shared" si="20"/>
        <v>52090.427138763058</v>
      </c>
      <c r="K49" s="641">
        <v>62643</v>
      </c>
      <c r="L49" s="739"/>
      <c r="M49" s="490" t="s">
        <v>1154</v>
      </c>
      <c r="N49" s="740">
        <f t="shared" si="3"/>
        <v>42456</v>
      </c>
      <c r="O49" s="772">
        <v>34</v>
      </c>
      <c r="P49" s="757">
        <v>28281</v>
      </c>
      <c r="Q49" s="8">
        <f t="shared" si="4"/>
        <v>961554</v>
      </c>
      <c r="R49" s="490" t="s">
        <v>1080</v>
      </c>
      <c r="S49" s="741">
        <v>42458</v>
      </c>
      <c r="T49" s="289">
        <f t="shared" si="5"/>
        <v>3132150</v>
      </c>
    </row>
    <row r="50" spans="1:20">
      <c r="A50" s="725">
        <f t="shared" si="6"/>
        <v>44</v>
      </c>
      <c r="B50" s="292" t="s">
        <v>760</v>
      </c>
      <c r="C50" s="25">
        <f t="shared" si="17"/>
        <v>65880</v>
      </c>
      <c r="D50" s="25">
        <v>715176</v>
      </c>
      <c r="E50" s="726">
        <f t="shared" si="18"/>
        <v>8736.2484977350468</v>
      </c>
      <c r="F50" s="726">
        <f t="shared" si="18"/>
        <v>0</v>
      </c>
      <c r="G50" s="726">
        <f t="shared" si="18"/>
        <v>0</v>
      </c>
      <c r="H50" s="25">
        <f t="shared" si="19"/>
        <v>789792.24849773501</v>
      </c>
      <c r="I50" s="254">
        <v>18</v>
      </c>
      <c r="J50" s="726">
        <f t="shared" si="20"/>
        <v>43877.347138763056</v>
      </c>
      <c r="K50" s="641">
        <v>48640</v>
      </c>
      <c r="L50" s="739"/>
      <c r="M50" s="490" t="s">
        <v>1163</v>
      </c>
      <c r="N50" s="740">
        <f t="shared" si="3"/>
        <v>42456</v>
      </c>
      <c r="O50" s="772">
        <v>3</v>
      </c>
      <c r="P50" s="757">
        <v>21960</v>
      </c>
      <c r="Q50" s="8">
        <f t="shared" si="4"/>
        <v>65880</v>
      </c>
      <c r="R50" s="490" t="s">
        <v>1080</v>
      </c>
      <c r="S50" s="741">
        <v>42458</v>
      </c>
      <c r="T50" s="289">
        <f t="shared" si="5"/>
        <v>875520</v>
      </c>
    </row>
    <row r="51" spans="1:20">
      <c r="A51" s="725">
        <f t="shared" si="6"/>
        <v>45</v>
      </c>
      <c r="B51" s="292" t="s">
        <v>670</v>
      </c>
      <c r="C51" s="25">
        <f t="shared" si="17"/>
        <v>496800</v>
      </c>
      <c r="D51" s="25">
        <v>2853684</v>
      </c>
      <c r="E51" s="726">
        <f t="shared" si="18"/>
        <v>13104.37274660257</v>
      </c>
      <c r="F51" s="726">
        <f t="shared" si="18"/>
        <v>0</v>
      </c>
      <c r="G51" s="726">
        <f t="shared" si="18"/>
        <v>0</v>
      </c>
      <c r="H51" s="25">
        <f t="shared" si="19"/>
        <v>3363588.3727466026</v>
      </c>
      <c r="I51" s="254">
        <v>27</v>
      </c>
      <c r="J51" s="726">
        <f t="shared" si="20"/>
        <v>124577.34713876306</v>
      </c>
      <c r="K51" s="641">
        <v>138533</v>
      </c>
      <c r="L51" s="739"/>
      <c r="M51" s="490" t="s">
        <v>1124</v>
      </c>
      <c r="N51" s="740">
        <f t="shared" si="3"/>
        <v>42456</v>
      </c>
      <c r="O51" s="772">
        <v>40</v>
      </c>
      <c r="P51" s="757">
        <v>12420</v>
      </c>
      <c r="Q51" s="8">
        <f t="shared" si="4"/>
        <v>496800</v>
      </c>
      <c r="R51" s="490" t="s">
        <v>1080</v>
      </c>
      <c r="S51" s="741">
        <v>42458</v>
      </c>
      <c r="T51" s="289">
        <f t="shared" si="5"/>
        <v>3740391</v>
      </c>
    </row>
    <row r="52" spans="1:20">
      <c r="A52" s="725">
        <f t="shared" si="6"/>
        <v>46</v>
      </c>
      <c r="B52" s="292" t="s">
        <v>762</v>
      </c>
      <c r="C52" s="25">
        <f t="shared" si="17"/>
        <v>287776</v>
      </c>
      <c r="D52" s="25">
        <v>1582333</v>
      </c>
      <c r="E52" s="726">
        <f t="shared" si="18"/>
        <v>15045.761301654802</v>
      </c>
      <c r="F52" s="726">
        <f t="shared" si="18"/>
        <v>0</v>
      </c>
      <c r="G52" s="726">
        <f t="shared" si="18"/>
        <v>0</v>
      </c>
      <c r="H52" s="25">
        <f t="shared" si="19"/>
        <v>1885154.7613016549</v>
      </c>
      <c r="I52" s="254">
        <v>31</v>
      </c>
      <c r="J52" s="726">
        <f t="shared" si="20"/>
        <v>60811.443912956609</v>
      </c>
      <c r="K52" s="641">
        <v>63956</v>
      </c>
      <c r="L52" s="739"/>
      <c r="M52" s="490" t="s">
        <v>1122</v>
      </c>
      <c r="N52" s="740">
        <f t="shared" si="3"/>
        <v>42456</v>
      </c>
      <c r="O52" s="772">
        <v>16</v>
      </c>
      <c r="P52" s="757">
        <v>17986</v>
      </c>
      <c r="Q52" s="8">
        <f t="shared" si="4"/>
        <v>287776</v>
      </c>
      <c r="R52" s="490" t="s">
        <v>1080</v>
      </c>
      <c r="S52" s="741">
        <v>42458</v>
      </c>
      <c r="T52" s="289">
        <f t="shared" si="5"/>
        <v>1982636</v>
      </c>
    </row>
    <row r="53" spans="1:20">
      <c r="A53" s="725">
        <f t="shared" si="6"/>
        <v>47</v>
      </c>
      <c r="B53" s="292" t="s">
        <v>759</v>
      </c>
      <c r="C53" s="25">
        <f t="shared" si="17"/>
        <v>70876</v>
      </c>
      <c r="D53" s="25">
        <v>506904</v>
      </c>
      <c r="E53" s="726">
        <f t="shared" si="18"/>
        <v>5824.1656651566973</v>
      </c>
      <c r="F53" s="726">
        <f t="shared" si="18"/>
        <v>0</v>
      </c>
      <c r="G53" s="726">
        <f t="shared" si="18"/>
        <v>0</v>
      </c>
      <c r="H53" s="25">
        <f t="shared" si="19"/>
        <v>583604.16566515667</v>
      </c>
      <c r="I53" s="254">
        <v>12</v>
      </c>
      <c r="J53" s="726">
        <f t="shared" si="20"/>
        <v>48633.680472096392</v>
      </c>
      <c r="K53" s="641">
        <v>53685</v>
      </c>
      <c r="L53" s="739"/>
      <c r="M53" s="490" t="s">
        <v>1119</v>
      </c>
      <c r="N53" s="740">
        <f t="shared" si="3"/>
        <v>42456</v>
      </c>
      <c r="O53" s="772">
        <v>2</v>
      </c>
      <c r="P53" s="757">
        <v>35438</v>
      </c>
      <c r="Q53" s="8">
        <f t="shared" si="4"/>
        <v>70876</v>
      </c>
      <c r="R53" s="490" t="s">
        <v>1080</v>
      </c>
      <c r="S53" s="741">
        <v>42458</v>
      </c>
      <c r="T53" s="289">
        <f t="shared" si="5"/>
        <v>644220</v>
      </c>
    </row>
    <row r="54" spans="1:20">
      <c r="A54" s="725">
        <f t="shared" si="6"/>
        <v>48</v>
      </c>
      <c r="B54" s="292" t="s">
        <v>759</v>
      </c>
      <c r="C54" s="25">
        <f t="shared" si="17"/>
        <v>242420</v>
      </c>
      <c r="D54" s="25">
        <v>1520712</v>
      </c>
      <c r="E54" s="726">
        <f t="shared" si="18"/>
        <v>17472.496995470094</v>
      </c>
      <c r="F54" s="726">
        <f t="shared" si="18"/>
        <v>0</v>
      </c>
      <c r="G54" s="726">
        <f t="shared" si="18"/>
        <v>0</v>
      </c>
      <c r="H54" s="25">
        <f t="shared" si="19"/>
        <v>1780604.49699547</v>
      </c>
      <c r="I54" s="254">
        <v>36</v>
      </c>
      <c r="J54" s="726">
        <f t="shared" si="20"/>
        <v>49461.236027651947</v>
      </c>
      <c r="K54" s="641">
        <v>53685</v>
      </c>
      <c r="L54" s="739"/>
      <c r="M54" s="490" t="s">
        <v>1120</v>
      </c>
      <c r="N54" s="740">
        <f t="shared" si="3"/>
        <v>42456</v>
      </c>
      <c r="O54" s="772">
        <v>16</v>
      </c>
      <c r="P54" s="757">
        <v>15151.25</v>
      </c>
      <c r="Q54" s="8">
        <f t="shared" si="4"/>
        <v>242420</v>
      </c>
      <c r="R54" s="490" t="s">
        <v>1080</v>
      </c>
      <c r="S54" s="741">
        <v>42458</v>
      </c>
      <c r="T54" s="289">
        <f t="shared" si="5"/>
        <v>1932660</v>
      </c>
    </row>
    <row r="55" spans="1:20">
      <c r="A55" s="725">
        <f t="shared" si="6"/>
        <v>49</v>
      </c>
      <c r="B55" s="292" t="s">
        <v>1014</v>
      </c>
      <c r="C55" s="25">
        <f t="shared" si="17"/>
        <v>158355</v>
      </c>
      <c r="D55" s="25">
        <v>2572880</v>
      </c>
      <c r="E55" s="726">
        <f t="shared" si="18"/>
        <v>19413.885550522326</v>
      </c>
      <c r="F55" s="726">
        <f t="shared" si="18"/>
        <v>0</v>
      </c>
      <c r="G55" s="726">
        <f t="shared" si="18"/>
        <v>0</v>
      </c>
      <c r="H55" s="25">
        <f t="shared" si="19"/>
        <v>2750648.8855505222</v>
      </c>
      <c r="I55" s="254">
        <v>40</v>
      </c>
      <c r="J55" s="726">
        <f t="shared" si="20"/>
        <v>68766.222138763056</v>
      </c>
      <c r="K55" s="641">
        <v>67708</v>
      </c>
      <c r="L55" s="739"/>
      <c r="M55" s="490" t="s">
        <v>1121</v>
      </c>
      <c r="N55" s="740">
        <f t="shared" si="3"/>
        <v>42456</v>
      </c>
      <c r="O55" s="772">
        <v>10</v>
      </c>
      <c r="P55" s="757">
        <v>15835.5</v>
      </c>
      <c r="Q55" s="8">
        <f t="shared" si="4"/>
        <v>158355</v>
      </c>
      <c r="R55" s="490" t="s">
        <v>1080</v>
      </c>
      <c r="S55" s="741">
        <v>42458</v>
      </c>
      <c r="T55" s="289">
        <f t="shared" si="5"/>
        <v>2708320</v>
      </c>
    </row>
    <row r="56" spans="1:20">
      <c r="A56" s="725">
        <f t="shared" si="6"/>
        <v>50</v>
      </c>
      <c r="B56" s="292" t="s">
        <v>764</v>
      </c>
      <c r="C56" s="25">
        <f t="shared" si="9"/>
        <v>1033200</v>
      </c>
      <c r="D56" s="25">
        <v>1004124</v>
      </c>
      <c r="E56" s="726">
        <f t="shared" si="18"/>
        <v>5824.1656651566973</v>
      </c>
      <c r="F56" s="726">
        <f t="shared" si="18"/>
        <v>0</v>
      </c>
      <c r="G56" s="726">
        <f t="shared" si="18"/>
        <v>0</v>
      </c>
      <c r="H56" s="25">
        <f t="shared" si="10"/>
        <v>2043148.1656651567</v>
      </c>
      <c r="I56" s="254">
        <v>12</v>
      </c>
      <c r="J56" s="726">
        <f t="shared" si="8"/>
        <v>170262.34713876306</v>
      </c>
      <c r="K56" s="641">
        <v>221021</v>
      </c>
      <c r="L56" s="739"/>
      <c r="M56" s="490" t="s">
        <v>1172</v>
      </c>
      <c r="N56" s="740">
        <f t="shared" si="3"/>
        <v>42456</v>
      </c>
      <c r="O56" s="772">
        <v>40</v>
      </c>
      <c r="P56" s="757">
        <v>25830</v>
      </c>
      <c r="Q56" s="8">
        <f t="shared" si="4"/>
        <v>1033200</v>
      </c>
      <c r="R56" s="490" t="s">
        <v>1080</v>
      </c>
      <c r="S56" s="741">
        <v>42458</v>
      </c>
      <c r="T56" s="289">
        <f t="shared" si="5"/>
        <v>2652252</v>
      </c>
    </row>
    <row r="57" spans="1:20">
      <c r="A57" s="725">
        <f t="shared" si="6"/>
        <v>51</v>
      </c>
      <c r="B57" s="292" t="s">
        <v>454</v>
      </c>
      <c r="C57" s="25">
        <f t="shared" si="9"/>
        <v>606900</v>
      </c>
      <c r="D57" s="25">
        <v>739960</v>
      </c>
      <c r="E57" s="726">
        <f t="shared" si="18"/>
        <v>4853.4713876305814</v>
      </c>
      <c r="F57" s="726">
        <f t="shared" si="18"/>
        <v>0</v>
      </c>
      <c r="G57" s="726">
        <f t="shared" si="18"/>
        <v>0</v>
      </c>
      <c r="H57" s="25">
        <f t="shared" si="10"/>
        <v>1351713.4713876306</v>
      </c>
      <c r="I57" s="254">
        <v>10</v>
      </c>
      <c r="J57" s="726">
        <f t="shared" si="8"/>
        <v>135171.34713876306</v>
      </c>
      <c r="K57" s="641">
        <v>201814</v>
      </c>
      <c r="L57" s="739"/>
      <c r="M57" s="490" t="s">
        <v>1147</v>
      </c>
      <c r="N57" s="740">
        <f t="shared" si="3"/>
        <v>42456</v>
      </c>
      <c r="O57" s="772">
        <v>30</v>
      </c>
      <c r="P57" s="757">
        <v>20230</v>
      </c>
      <c r="Q57" s="8">
        <f t="shared" si="4"/>
        <v>606900</v>
      </c>
      <c r="R57" s="490" t="s">
        <v>1080</v>
      </c>
      <c r="S57" s="741">
        <v>42458</v>
      </c>
      <c r="T57" s="289">
        <f t="shared" si="5"/>
        <v>2018140</v>
      </c>
    </row>
    <row r="58" spans="1:20">
      <c r="A58" s="725">
        <f t="shared" si="6"/>
        <v>52</v>
      </c>
      <c r="B58" s="292" t="s">
        <v>765</v>
      </c>
      <c r="C58" s="25">
        <f t="shared" si="9"/>
        <v>171120</v>
      </c>
      <c r="D58" s="25">
        <v>723800</v>
      </c>
      <c r="E58" s="726">
        <f t="shared" si="18"/>
        <v>4853.4713876305814</v>
      </c>
      <c r="F58" s="726">
        <f t="shared" si="18"/>
        <v>0</v>
      </c>
      <c r="G58" s="726">
        <f t="shared" si="18"/>
        <v>0</v>
      </c>
      <c r="H58" s="25">
        <f t="shared" si="10"/>
        <v>899773.47138763056</v>
      </c>
      <c r="I58" s="254">
        <v>10</v>
      </c>
      <c r="J58" s="726">
        <f t="shared" si="8"/>
        <v>89977.347138763056</v>
      </c>
      <c r="K58" s="641">
        <v>98427</v>
      </c>
      <c r="L58" s="739"/>
      <c r="M58" s="490" t="s">
        <v>1126</v>
      </c>
      <c r="N58" s="740">
        <f t="shared" si="3"/>
        <v>42456</v>
      </c>
      <c r="O58" s="772">
        <v>10</v>
      </c>
      <c r="P58" s="757">
        <v>17112</v>
      </c>
      <c r="Q58" s="8">
        <f t="shared" si="4"/>
        <v>171120</v>
      </c>
      <c r="R58" s="490" t="s">
        <v>1080</v>
      </c>
      <c r="S58" s="741">
        <v>42458</v>
      </c>
      <c r="T58" s="289">
        <f t="shared" si="5"/>
        <v>984270</v>
      </c>
    </row>
    <row r="59" spans="1:20">
      <c r="A59" s="725">
        <f t="shared" si="6"/>
        <v>53</v>
      </c>
      <c r="B59" s="292" t="s">
        <v>627</v>
      </c>
      <c r="C59" s="25">
        <f t="shared" si="9"/>
        <v>605520</v>
      </c>
      <c r="D59" s="25">
        <v>17074750</v>
      </c>
      <c r="E59" s="726">
        <f t="shared" si="18"/>
        <v>1334704.6315984097</v>
      </c>
      <c r="F59" s="726">
        <f t="shared" si="18"/>
        <v>0</v>
      </c>
      <c r="G59" s="726">
        <f t="shared" si="18"/>
        <v>0</v>
      </c>
      <c r="H59" s="25">
        <f t="shared" si="10"/>
        <v>19014974.631598409</v>
      </c>
      <c r="I59" s="254">
        <v>2750</v>
      </c>
      <c r="J59" s="726">
        <f t="shared" si="8"/>
        <v>6914.5362296721487</v>
      </c>
      <c r="K59" s="641">
        <v>6519</v>
      </c>
      <c r="L59" s="739"/>
      <c r="M59" s="490" t="s">
        <v>1123</v>
      </c>
      <c r="N59" s="740">
        <f t="shared" si="3"/>
        <v>42457</v>
      </c>
      <c r="O59" s="772">
        <v>40</v>
      </c>
      <c r="P59" s="757">
        <v>15138</v>
      </c>
      <c r="Q59" s="8">
        <f t="shared" si="4"/>
        <v>605520</v>
      </c>
      <c r="R59" s="490" t="s">
        <v>1081</v>
      </c>
      <c r="S59" s="741">
        <v>42459</v>
      </c>
      <c r="T59" s="289">
        <f t="shared" si="5"/>
        <v>17927250</v>
      </c>
    </row>
    <row r="60" spans="1:20" s="743" customFormat="1">
      <c r="A60" s="725"/>
      <c r="B60" s="292"/>
      <c r="C60" s="25"/>
      <c r="D60" s="25"/>
      <c r="E60" s="726"/>
      <c r="F60" s="726"/>
      <c r="G60" s="726"/>
      <c r="H60" s="25"/>
      <c r="I60" s="254"/>
      <c r="J60" s="726"/>
      <c r="K60" s="641"/>
      <c r="L60" s="641"/>
      <c r="M60" s="742"/>
      <c r="N60" s="741"/>
      <c r="O60" s="772"/>
      <c r="P60" s="757"/>
      <c r="Q60" s="757"/>
      <c r="R60" s="742"/>
      <c r="S60" s="741"/>
    </row>
    <row r="61" spans="1:20" s="722" customFormat="1">
      <c r="A61" s="727"/>
      <c r="B61" s="728" t="s">
        <v>235</v>
      </c>
      <c r="C61" s="516">
        <f>SUM(C7:C60)</f>
        <v>50923999</v>
      </c>
      <c r="D61" s="516">
        <f>SUM(D7:D60)</f>
        <v>333441408</v>
      </c>
      <c r="E61" s="516">
        <v>10500000</v>
      </c>
      <c r="F61" s="516"/>
      <c r="G61" s="516"/>
      <c r="H61" s="516">
        <f>ROUND(SUM(H7:H60),0)</f>
        <v>394865407</v>
      </c>
      <c r="I61" s="516">
        <f>ROUND(SUM(I7:I60),0)</f>
        <v>21634</v>
      </c>
      <c r="J61" s="516"/>
      <c r="K61" s="735"/>
      <c r="L61" s="735"/>
      <c r="M61" s="744"/>
      <c r="N61" s="745"/>
      <c r="O61" s="773">
        <f>SUM(O7:O60)</f>
        <v>3767</v>
      </c>
      <c r="P61" s="47"/>
      <c r="Q61" s="47">
        <f>SUM(Q7:Q60)</f>
        <v>50923999</v>
      </c>
      <c r="R61" s="744"/>
      <c r="S61" s="745"/>
    </row>
    <row r="62" spans="1:20" s="722" customFormat="1">
      <c r="A62" s="729"/>
      <c r="B62" s="730"/>
      <c r="C62" s="723"/>
      <c r="D62" s="723"/>
      <c r="E62" s="723"/>
      <c r="F62" s="723"/>
      <c r="G62" s="723"/>
      <c r="H62" s="723"/>
      <c r="I62" s="723"/>
      <c r="J62" s="723"/>
      <c r="K62" s="735"/>
      <c r="L62" s="735"/>
      <c r="M62" s="437"/>
      <c r="N62" s="746"/>
      <c r="O62" s="774"/>
      <c r="P62" s="738"/>
      <c r="Q62" s="747"/>
      <c r="R62" s="437"/>
      <c r="S62" s="746"/>
    </row>
    <row r="63" spans="1:20">
      <c r="C63" s="731"/>
      <c r="D63" s="731"/>
      <c r="E63" s="731"/>
      <c r="F63" s="732"/>
      <c r="G63" s="732"/>
      <c r="H63" s="748"/>
      <c r="I63" s="723"/>
      <c r="M63" s="437"/>
      <c r="N63" s="746"/>
      <c r="O63" s="774"/>
      <c r="P63" s="738"/>
      <c r="Q63" s="747"/>
      <c r="R63" s="437"/>
      <c r="S63" s="746"/>
    </row>
    <row r="64" spans="1:20" ht="18" hidden="1" customHeight="1">
      <c r="A64" s="554" t="str">
        <f>TH!$A$1</f>
        <v>Đơn vị: CÔNG TY TNHH MỘT THÀNH VIÊN KHỞI NGUYÊN AN</v>
      </c>
      <c r="B64" s="722"/>
      <c r="C64" s="289"/>
      <c r="D64" s="289"/>
      <c r="E64" s="289"/>
      <c r="F64" s="289"/>
      <c r="G64" s="289"/>
      <c r="H64" s="289"/>
      <c r="I64" s="582"/>
      <c r="J64" s="289"/>
      <c r="K64" s="735"/>
      <c r="L64" s="735"/>
      <c r="M64" s="437"/>
      <c r="N64" s="746"/>
      <c r="O64" s="774"/>
      <c r="P64" s="738"/>
      <c r="Q64" s="747"/>
      <c r="R64" s="437"/>
      <c r="S64" s="746"/>
    </row>
    <row r="65" spans="1:20" ht="18.75" customHeight="1">
      <c r="A65" s="723" t="s">
        <v>1015</v>
      </c>
      <c r="B65" s="723"/>
      <c r="C65" s="723"/>
      <c r="D65" s="723"/>
      <c r="E65" s="723"/>
      <c r="F65" s="723"/>
      <c r="G65" s="723"/>
      <c r="H65" s="723"/>
      <c r="I65" s="723"/>
      <c r="J65" s="723"/>
      <c r="K65" s="735"/>
      <c r="L65" s="735"/>
      <c r="M65" s="437"/>
      <c r="N65" s="746"/>
      <c r="O65" s="774"/>
      <c r="P65" s="738"/>
      <c r="Q65" s="747"/>
      <c r="R65" s="437"/>
      <c r="S65" s="746"/>
    </row>
    <row r="66" spans="1:20" ht="18.75" hidden="1" customHeight="1">
      <c r="A66" s="723"/>
      <c r="B66" s="724"/>
      <c r="C66" s="724"/>
      <c r="D66" s="724"/>
      <c r="E66" s="724"/>
      <c r="F66" s="724"/>
      <c r="G66" s="724"/>
      <c r="H66" s="724"/>
      <c r="I66" s="736"/>
      <c r="J66" s="724"/>
      <c r="K66" s="735"/>
      <c r="L66" s="735"/>
      <c r="M66" s="437"/>
      <c r="N66" s="746"/>
      <c r="O66" s="774"/>
      <c r="P66" s="738"/>
      <c r="Q66" s="747"/>
      <c r="R66" s="437"/>
      <c r="S66" s="746"/>
    </row>
    <row r="67" spans="1:20" ht="12.75" hidden="1" customHeight="1">
      <c r="A67" s="762"/>
      <c r="B67" s="754"/>
      <c r="C67" s="754"/>
      <c r="D67" s="754"/>
      <c r="E67" s="754"/>
      <c r="F67" s="754"/>
      <c r="G67" s="754"/>
      <c r="H67" s="754"/>
      <c r="I67" s="737"/>
      <c r="J67" s="754"/>
      <c r="K67" s="735"/>
      <c r="L67" s="735"/>
      <c r="M67" s="437"/>
      <c r="N67" s="746"/>
      <c r="O67" s="774"/>
      <c r="P67" s="738"/>
      <c r="Q67" s="747"/>
      <c r="R67" s="437"/>
      <c r="S67" s="746"/>
    </row>
    <row r="68" spans="1:20" s="434" customFormat="1" ht="30.75" customHeight="1">
      <c r="A68" s="779" t="s">
        <v>35</v>
      </c>
      <c r="B68" s="430" t="s">
        <v>227</v>
      </c>
      <c r="C68" s="431" t="s">
        <v>230</v>
      </c>
      <c r="D68" s="431"/>
      <c r="E68" s="431" t="s">
        <v>364</v>
      </c>
      <c r="F68" s="431" t="s">
        <v>231</v>
      </c>
      <c r="G68" s="431" t="s">
        <v>356</v>
      </c>
      <c r="H68" s="431" t="s">
        <v>232</v>
      </c>
      <c r="I68" s="432" t="s">
        <v>228</v>
      </c>
      <c r="J68" s="431" t="s">
        <v>233</v>
      </c>
      <c r="K68" s="433"/>
      <c r="L68" s="433"/>
      <c r="M68" s="430" t="s">
        <v>227</v>
      </c>
      <c r="N68" s="431" t="s">
        <v>221</v>
      </c>
      <c r="O68" s="770" t="s">
        <v>187</v>
      </c>
      <c r="P68" s="431" t="s">
        <v>229</v>
      </c>
      <c r="Q68" s="431" t="s">
        <v>234</v>
      </c>
      <c r="R68" s="430" t="s">
        <v>227</v>
      </c>
      <c r="S68" s="431" t="s">
        <v>221</v>
      </c>
    </row>
    <row r="69" spans="1:20">
      <c r="A69" s="780">
        <f>IF(B69&lt;&gt;"",ROW()-68,"")</f>
        <v>1</v>
      </c>
      <c r="B69" s="875" t="s">
        <v>641</v>
      </c>
      <c r="C69" s="751">
        <f t="shared" ref="C69:C137" si="21">Q69</f>
        <v>4571520</v>
      </c>
      <c r="D69" s="751"/>
      <c r="E69" s="751">
        <f t="shared" ref="E69:G70" si="22">IF($I$140&lt;&gt;0,E$140/$I$140*$I69,0)</f>
        <v>127025.48299158469</v>
      </c>
      <c r="F69" s="751">
        <f t="shared" si="22"/>
        <v>23987.130401801587</v>
      </c>
      <c r="G69" s="751">
        <f t="shared" si="22"/>
        <v>0</v>
      </c>
      <c r="H69" s="751">
        <f>ROUND(SUM(C69:G69),0)+1</f>
        <v>4722534</v>
      </c>
      <c r="I69" s="751">
        <v>474</v>
      </c>
      <c r="J69" s="751">
        <f>IF(I69&lt;&gt;"",H69/I69,"")</f>
        <v>9963.1518987341769</v>
      </c>
      <c r="K69" s="641">
        <v>10078</v>
      </c>
      <c r="L69" s="641"/>
      <c r="M69" s="188" t="s">
        <v>1176</v>
      </c>
      <c r="N69" s="740">
        <f t="shared" ref="N69:N136" si="23">S69-2</f>
        <v>42470</v>
      </c>
      <c r="O69" s="295">
        <v>240</v>
      </c>
      <c r="P69" s="758">
        <v>19048</v>
      </c>
      <c r="Q69" s="25">
        <f>O69*P69</f>
        <v>4571520</v>
      </c>
      <c r="R69" s="435" t="s">
        <v>640</v>
      </c>
      <c r="S69" s="740">
        <v>42472</v>
      </c>
      <c r="T69" s="289">
        <f>I69*K69</f>
        <v>4776972</v>
      </c>
    </row>
    <row r="70" spans="1:20">
      <c r="A70" s="752">
        <f>IF(B70&lt;&gt;"",A69+1,"")</f>
        <v>2</v>
      </c>
      <c r="B70" s="292" t="s">
        <v>664</v>
      </c>
      <c r="C70" s="778">
        <f>Q70+Q71</f>
        <v>17398964</v>
      </c>
      <c r="D70" s="778"/>
      <c r="E70" s="254">
        <f t="shared" si="22"/>
        <v>53597.250207419696</v>
      </c>
      <c r="F70" s="254">
        <f t="shared" si="22"/>
        <v>10121.152068270712</v>
      </c>
      <c r="G70" s="254">
        <f t="shared" si="22"/>
        <v>0</v>
      </c>
      <c r="H70" s="778">
        <f t="shared" ref="H70:H74" si="24">ROUND(SUM(C70:G70),0)+1</f>
        <v>17462683</v>
      </c>
      <c r="I70" s="254">
        <v>200</v>
      </c>
      <c r="J70" s="254">
        <f t="shared" ref="J70:J72" si="25">IF(I70&lt;&gt;"",H70/I70,"")</f>
        <v>87313.414999999994</v>
      </c>
      <c r="K70" s="641">
        <v>86597</v>
      </c>
      <c r="L70" s="641"/>
      <c r="M70" s="188" t="s">
        <v>1279</v>
      </c>
      <c r="N70" s="740">
        <f t="shared" si="23"/>
        <v>42484</v>
      </c>
      <c r="O70" s="295">
        <v>430</v>
      </c>
      <c r="P70" s="253">
        <v>33053</v>
      </c>
      <c r="Q70" s="25">
        <f t="shared" ref="Q70:Q71" si="26">O70*P70</f>
        <v>14212790</v>
      </c>
      <c r="R70" s="436" t="s">
        <v>663</v>
      </c>
      <c r="S70" s="741">
        <v>42486</v>
      </c>
      <c r="T70" s="289">
        <f t="shared" ref="T70:T96" si="27">I70*K70</f>
        <v>17319400</v>
      </c>
    </row>
    <row r="71" spans="1:20">
      <c r="A71" s="752"/>
      <c r="B71" s="292"/>
      <c r="C71" s="778"/>
      <c r="D71" s="778"/>
      <c r="E71" s="254"/>
      <c r="F71" s="254"/>
      <c r="G71" s="254"/>
      <c r="H71" s="778"/>
      <c r="I71" s="254"/>
      <c r="J71" s="254"/>
      <c r="K71" s="641"/>
      <c r="L71" s="641"/>
      <c r="M71" s="188" t="s">
        <v>1260</v>
      </c>
      <c r="N71" s="740">
        <f t="shared" si="23"/>
        <v>42484</v>
      </c>
      <c r="O71" s="295">
        <v>102</v>
      </c>
      <c r="P71" s="253">
        <v>31237</v>
      </c>
      <c r="Q71" s="25">
        <f t="shared" si="26"/>
        <v>3186174</v>
      </c>
      <c r="R71" s="436" t="s">
        <v>663</v>
      </c>
      <c r="S71" s="741">
        <v>42486</v>
      </c>
      <c r="T71" s="289"/>
    </row>
    <row r="72" spans="1:20">
      <c r="A72" s="752">
        <f>IF(B72&lt;&gt;"",A70+1,"")</f>
        <v>3</v>
      </c>
      <c r="B72" s="292" t="s">
        <v>683</v>
      </c>
      <c r="C72" s="778">
        <f>Q72+Q73</f>
        <v>13287520</v>
      </c>
      <c r="D72" s="778"/>
      <c r="E72" s="254">
        <f>IF($I$140&lt;&gt;0,E$140/$I$140*$I72,0)</f>
        <v>56277.112717790682</v>
      </c>
      <c r="F72" s="254">
        <f>IF($I$140&lt;&gt;0,F$140/$I$140*$I72,0)</f>
        <v>10627.209671684248</v>
      </c>
      <c r="G72" s="254">
        <f>IF($I$140&lt;&gt;0,G$140/$I$140*$I72,0)</f>
        <v>0</v>
      </c>
      <c r="H72" s="778">
        <f t="shared" si="24"/>
        <v>13354425</v>
      </c>
      <c r="I72" s="254">
        <v>210</v>
      </c>
      <c r="J72" s="254">
        <f t="shared" si="25"/>
        <v>63592.5</v>
      </c>
      <c r="K72" s="641">
        <v>57731</v>
      </c>
      <c r="L72" s="641"/>
      <c r="M72" s="188" t="s">
        <v>1279</v>
      </c>
      <c r="N72" s="740">
        <f t="shared" si="23"/>
        <v>42486</v>
      </c>
      <c r="O72" s="295">
        <v>320</v>
      </c>
      <c r="P72" s="253">
        <v>33053</v>
      </c>
      <c r="Q72" s="8">
        <f t="shared" ref="Q72:Q73" si="28">O72*P72</f>
        <v>10576960</v>
      </c>
      <c r="R72" s="436" t="s">
        <v>666</v>
      </c>
      <c r="S72" s="741">
        <v>42488</v>
      </c>
      <c r="T72" s="289">
        <f t="shared" si="27"/>
        <v>12123510</v>
      </c>
    </row>
    <row r="73" spans="1:20">
      <c r="A73" s="752"/>
      <c r="B73" s="292"/>
      <c r="C73" s="778"/>
      <c r="D73" s="778"/>
      <c r="E73" s="254"/>
      <c r="F73" s="254"/>
      <c r="G73" s="254"/>
      <c r="H73" s="778"/>
      <c r="I73" s="254"/>
      <c r="J73" s="254"/>
      <c r="K73" s="641"/>
      <c r="L73" s="641"/>
      <c r="M73" s="191" t="s">
        <v>1266</v>
      </c>
      <c r="N73" s="740">
        <f t="shared" si="23"/>
        <v>42486</v>
      </c>
      <c r="O73" s="295">
        <v>80</v>
      </c>
      <c r="P73" s="253">
        <v>33882</v>
      </c>
      <c r="Q73" s="8">
        <f t="shared" si="28"/>
        <v>2710560</v>
      </c>
      <c r="R73" s="436" t="s">
        <v>666</v>
      </c>
      <c r="S73" s="741">
        <v>42488</v>
      </c>
      <c r="T73" s="289"/>
    </row>
    <row r="74" spans="1:20">
      <c r="A74" s="752">
        <f>IF(B74&lt;&gt;"",A72+1,"")</f>
        <v>4</v>
      </c>
      <c r="B74" s="292" t="s">
        <v>675</v>
      </c>
      <c r="C74" s="778">
        <f t="shared" si="21"/>
        <v>3459000</v>
      </c>
      <c r="D74" s="778"/>
      <c r="E74" s="254">
        <f t="shared" ref="E74:G85" si="29">IF($I$140&lt;&gt;0,E$140/$I$140*$I74,0)</f>
        <v>24118.762593338866</v>
      </c>
      <c r="F74" s="254">
        <f t="shared" si="29"/>
        <v>4554.5184307218206</v>
      </c>
      <c r="G74" s="254">
        <f t="shared" si="29"/>
        <v>0</v>
      </c>
      <c r="H74" s="778">
        <f t="shared" si="24"/>
        <v>3487674</v>
      </c>
      <c r="I74" s="254">
        <v>90</v>
      </c>
      <c r="J74" s="254">
        <f t="shared" ref="J74:J125" si="30">IF(I74&lt;&gt;"",H74/I74,"")</f>
        <v>38751.933333333334</v>
      </c>
      <c r="K74" s="641">
        <v>45939</v>
      </c>
      <c r="L74" s="641"/>
      <c r="M74" s="191" t="s">
        <v>926</v>
      </c>
      <c r="N74" s="740">
        <f t="shared" si="23"/>
        <v>42487</v>
      </c>
      <c r="O74" s="295">
        <v>100</v>
      </c>
      <c r="P74" s="255">
        <v>34590</v>
      </c>
      <c r="Q74" s="8">
        <f t="shared" ref="Q74:Q125" si="31">O74*P74</f>
        <v>3459000</v>
      </c>
      <c r="R74" s="436" t="s">
        <v>669</v>
      </c>
      <c r="S74" s="741">
        <v>42489</v>
      </c>
      <c r="T74" s="289">
        <f t="shared" si="27"/>
        <v>4134510</v>
      </c>
    </row>
    <row r="75" spans="1:20">
      <c r="A75" s="752">
        <f t="shared" ref="A75:A137" si="32">IF(B75&lt;&gt;"",A74+1,"")</f>
        <v>5</v>
      </c>
      <c r="B75" s="292" t="s">
        <v>568</v>
      </c>
      <c r="C75" s="778">
        <f t="shared" si="21"/>
        <v>437400</v>
      </c>
      <c r="D75" s="778"/>
      <c r="E75" s="254">
        <f t="shared" si="29"/>
        <v>9647.5050373355461</v>
      </c>
      <c r="F75" s="254">
        <f t="shared" si="29"/>
        <v>1821.8073722887282</v>
      </c>
      <c r="G75" s="254">
        <f t="shared" si="29"/>
        <v>0</v>
      </c>
      <c r="H75" s="778">
        <f t="shared" ref="H75:H137" si="33">ROUND(SUM(C75:G75),0)</f>
        <v>448869</v>
      </c>
      <c r="I75" s="254">
        <v>36</v>
      </c>
      <c r="J75" s="254">
        <f t="shared" si="30"/>
        <v>12468.583333333334</v>
      </c>
      <c r="K75" s="641">
        <v>15137</v>
      </c>
      <c r="L75" s="641"/>
      <c r="M75" s="188" t="s">
        <v>1180</v>
      </c>
      <c r="N75" s="740">
        <f t="shared" si="23"/>
        <v>42519</v>
      </c>
      <c r="O75" s="295">
        <v>36</v>
      </c>
      <c r="P75" s="255">
        <v>12150</v>
      </c>
      <c r="Q75" s="8">
        <f t="shared" si="31"/>
        <v>437400</v>
      </c>
      <c r="R75" s="436" t="s">
        <v>697</v>
      </c>
      <c r="S75" s="741">
        <v>42521</v>
      </c>
      <c r="T75" s="289">
        <f t="shared" si="27"/>
        <v>544932</v>
      </c>
    </row>
    <row r="76" spans="1:20">
      <c r="A76" s="752">
        <f t="shared" si="32"/>
        <v>6</v>
      </c>
      <c r="B76" s="292" t="s">
        <v>558</v>
      </c>
      <c r="C76" s="778">
        <f t="shared" si="21"/>
        <v>446220</v>
      </c>
      <c r="D76" s="778"/>
      <c r="E76" s="254">
        <f t="shared" si="29"/>
        <v>3215.8350124451817</v>
      </c>
      <c r="F76" s="254">
        <f t="shared" si="29"/>
        <v>607.26912409624265</v>
      </c>
      <c r="G76" s="254">
        <f t="shared" si="29"/>
        <v>0</v>
      </c>
      <c r="H76" s="778">
        <f t="shared" si="33"/>
        <v>450043</v>
      </c>
      <c r="I76" s="254">
        <v>12</v>
      </c>
      <c r="J76" s="254">
        <f t="shared" ref="J76:J88" si="34">IF(I76&lt;&gt;"",H76/I76,"")</f>
        <v>37503.583333333336</v>
      </c>
      <c r="K76" s="641">
        <v>34495</v>
      </c>
      <c r="L76" s="641"/>
      <c r="M76" s="191" t="s">
        <v>1254</v>
      </c>
      <c r="N76" s="740">
        <f t="shared" si="23"/>
        <v>42519</v>
      </c>
      <c r="O76" s="295">
        <v>15</v>
      </c>
      <c r="P76" s="255">
        <v>29748</v>
      </c>
      <c r="Q76" s="8">
        <f t="shared" ref="Q76:Q88" si="35">O76*P76</f>
        <v>446220</v>
      </c>
      <c r="R76" s="436" t="s">
        <v>697</v>
      </c>
      <c r="S76" s="741">
        <v>42521</v>
      </c>
      <c r="T76" s="289">
        <f t="shared" si="27"/>
        <v>413940</v>
      </c>
    </row>
    <row r="77" spans="1:20">
      <c r="A77" s="752">
        <f t="shared" si="32"/>
        <v>7</v>
      </c>
      <c r="B77" s="292" t="s">
        <v>730</v>
      </c>
      <c r="C77" s="778">
        <f t="shared" si="21"/>
        <v>3921035</v>
      </c>
      <c r="D77" s="778"/>
      <c r="E77" s="254">
        <f t="shared" si="29"/>
        <v>281385.5635889534</v>
      </c>
      <c r="F77" s="254">
        <f t="shared" si="29"/>
        <v>53136.048358421234</v>
      </c>
      <c r="G77" s="254">
        <f t="shared" si="29"/>
        <v>0</v>
      </c>
      <c r="H77" s="778">
        <f t="shared" si="33"/>
        <v>4255557</v>
      </c>
      <c r="I77" s="254">
        <v>1050</v>
      </c>
      <c r="J77" s="254">
        <f t="shared" si="34"/>
        <v>4052.9114285714286</v>
      </c>
      <c r="K77" s="641">
        <v>4464</v>
      </c>
      <c r="L77" s="641"/>
      <c r="M77" s="191" t="s">
        <v>1210</v>
      </c>
      <c r="N77" s="740">
        <f t="shared" si="23"/>
        <v>42525</v>
      </c>
      <c r="O77" s="295">
        <v>205</v>
      </c>
      <c r="P77" s="255">
        <v>19127</v>
      </c>
      <c r="Q77" s="8">
        <f t="shared" si="35"/>
        <v>3921035</v>
      </c>
      <c r="R77" s="436" t="s">
        <v>733</v>
      </c>
      <c r="S77" s="741">
        <v>42527</v>
      </c>
      <c r="T77" s="289">
        <f t="shared" si="27"/>
        <v>4687200</v>
      </c>
    </row>
    <row r="78" spans="1:20">
      <c r="A78" s="752">
        <f t="shared" si="32"/>
        <v>8</v>
      </c>
      <c r="B78" s="292" t="s">
        <v>1222</v>
      </c>
      <c r="C78" s="778">
        <f t="shared" si="21"/>
        <v>8639400</v>
      </c>
      <c r="D78" s="778"/>
      <c r="E78" s="254">
        <f t="shared" si="29"/>
        <v>367945.12267393625</v>
      </c>
      <c r="F78" s="254">
        <f t="shared" si="29"/>
        <v>69481.708948678439</v>
      </c>
      <c r="G78" s="254">
        <f t="shared" si="29"/>
        <v>0</v>
      </c>
      <c r="H78" s="778">
        <f t="shared" si="33"/>
        <v>9076827</v>
      </c>
      <c r="I78" s="254">
        <v>1373</v>
      </c>
      <c r="J78" s="254">
        <f t="shared" si="34"/>
        <v>6610.9446467589223</v>
      </c>
      <c r="K78" s="641">
        <v>6650</v>
      </c>
      <c r="L78" s="641"/>
      <c r="M78" s="40" t="s">
        <v>1214</v>
      </c>
      <c r="N78" s="740">
        <f t="shared" si="23"/>
        <v>42526</v>
      </c>
      <c r="O78" s="295">
        <v>770</v>
      </c>
      <c r="P78" s="255">
        <v>11220</v>
      </c>
      <c r="Q78" s="8">
        <f t="shared" si="35"/>
        <v>8639400</v>
      </c>
      <c r="R78" s="436" t="s">
        <v>737</v>
      </c>
      <c r="S78" s="741">
        <v>42528</v>
      </c>
      <c r="T78" s="289">
        <f t="shared" si="27"/>
        <v>9130450</v>
      </c>
    </row>
    <row r="79" spans="1:20">
      <c r="A79" s="752">
        <f t="shared" si="32"/>
        <v>9</v>
      </c>
      <c r="B79" s="292" t="s">
        <v>765</v>
      </c>
      <c r="C79" s="778">
        <f t="shared" si="21"/>
        <v>724057.5</v>
      </c>
      <c r="D79" s="778"/>
      <c r="E79" s="254">
        <f t="shared" si="29"/>
        <v>2679.8625103709851</v>
      </c>
      <c r="F79" s="254">
        <f t="shared" si="29"/>
        <v>506.05760341353562</v>
      </c>
      <c r="G79" s="254">
        <f t="shared" si="29"/>
        <v>0</v>
      </c>
      <c r="H79" s="778">
        <f t="shared" si="33"/>
        <v>727243</v>
      </c>
      <c r="I79" s="254">
        <v>10</v>
      </c>
      <c r="J79" s="254">
        <f t="shared" si="34"/>
        <v>72724.3</v>
      </c>
      <c r="K79" s="641">
        <v>75999</v>
      </c>
      <c r="L79" s="641"/>
      <c r="M79" s="786" t="s">
        <v>1300</v>
      </c>
      <c r="N79" s="740">
        <f t="shared" si="23"/>
        <v>42530</v>
      </c>
      <c r="O79" s="295">
        <v>15</v>
      </c>
      <c r="P79" s="255">
        <v>48270.5</v>
      </c>
      <c r="Q79" s="8">
        <f t="shared" si="35"/>
        <v>724057.5</v>
      </c>
      <c r="R79" s="436" t="s">
        <v>751</v>
      </c>
      <c r="S79" s="741">
        <v>42532</v>
      </c>
      <c r="T79" s="289">
        <f t="shared" si="27"/>
        <v>759990</v>
      </c>
    </row>
    <row r="80" spans="1:20">
      <c r="A80" s="752">
        <f t="shared" si="32"/>
        <v>10</v>
      </c>
      <c r="B80" s="292" t="s">
        <v>732</v>
      </c>
      <c r="C80" s="778">
        <f t="shared" si="21"/>
        <v>171432</v>
      </c>
      <c r="D80" s="778"/>
      <c r="E80" s="254">
        <f t="shared" si="29"/>
        <v>8039.5875311129548</v>
      </c>
      <c r="F80" s="254">
        <f t="shared" si="29"/>
        <v>1518.1728102406069</v>
      </c>
      <c r="G80" s="254">
        <f t="shared" si="29"/>
        <v>0</v>
      </c>
      <c r="H80" s="778">
        <f t="shared" si="33"/>
        <v>180990</v>
      </c>
      <c r="I80" s="254">
        <v>30</v>
      </c>
      <c r="J80" s="254">
        <f t="shared" si="34"/>
        <v>6033</v>
      </c>
      <c r="K80" s="641">
        <v>6839</v>
      </c>
      <c r="L80" s="641"/>
      <c r="M80" s="188" t="s">
        <v>1176</v>
      </c>
      <c r="N80" s="740">
        <f t="shared" si="23"/>
        <v>42530</v>
      </c>
      <c r="O80" s="295">
        <v>9</v>
      </c>
      <c r="P80" s="253">
        <v>19048</v>
      </c>
      <c r="Q80" s="8">
        <f t="shared" si="35"/>
        <v>171432</v>
      </c>
      <c r="R80" s="436" t="s">
        <v>751</v>
      </c>
      <c r="S80" s="741">
        <v>42532</v>
      </c>
      <c r="T80" s="289">
        <f t="shared" si="27"/>
        <v>205170</v>
      </c>
    </row>
    <row r="81" spans="1:20">
      <c r="A81" s="752">
        <f t="shared" si="32"/>
        <v>11</v>
      </c>
      <c r="B81" s="292" t="s">
        <v>780</v>
      </c>
      <c r="C81" s="778">
        <f t="shared" si="21"/>
        <v>1147500</v>
      </c>
      <c r="D81" s="778"/>
      <c r="E81" s="254">
        <f t="shared" si="29"/>
        <v>20098.968827782388</v>
      </c>
      <c r="F81" s="254">
        <f t="shared" si="29"/>
        <v>3795.4320256015171</v>
      </c>
      <c r="G81" s="254">
        <f t="shared" si="29"/>
        <v>0</v>
      </c>
      <c r="H81" s="778">
        <f t="shared" si="33"/>
        <v>1171394</v>
      </c>
      <c r="I81" s="254">
        <v>75</v>
      </c>
      <c r="J81" s="254">
        <f t="shared" si="34"/>
        <v>15618.586666666666</v>
      </c>
      <c r="K81" s="641">
        <v>21450</v>
      </c>
      <c r="L81" s="641"/>
      <c r="M81" s="191" t="s">
        <v>1199</v>
      </c>
      <c r="N81" s="740">
        <f t="shared" si="23"/>
        <v>42534</v>
      </c>
      <c r="O81" s="295">
        <v>75</v>
      </c>
      <c r="P81" s="255">
        <v>15300</v>
      </c>
      <c r="Q81" s="8">
        <f t="shared" si="35"/>
        <v>1147500</v>
      </c>
      <c r="R81" s="436" t="s">
        <v>779</v>
      </c>
      <c r="S81" s="741">
        <v>42536</v>
      </c>
      <c r="T81" s="289">
        <f t="shared" si="27"/>
        <v>1608750</v>
      </c>
    </row>
    <row r="82" spans="1:20">
      <c r="A82" s="752">
        <f t="shared" si="32"/>
        <v>12</v>
      </c>
      <c r="B82" s="292" t="s">
        <v>781</v>
      </c>
      <c r="C82" s="778">
        <f t="shared" si="21"/>
        <v>1383600</v>
      </c>
      <c r="D82" s="778"/>
      <c r="E82" s="254">
        <f t="shared" si="29"/>
        <v>80395.875311129552</v>
      </c>
      <c r="F82" s="254">
        <f t="shared" si="29"/>
        <v>15181.728102406069</v>
      </c>
      <c r="G82" s="254">
        <f t="shared" si="29"/>
        <v>0</v>
      </c>
      <c r="H82" s="778">
        <f t="shared" si="33"/>
        <v>1479178</v>
      </c>
      <c r="I82" s="254">
        <v>300</v>
      </c>
      <c r="J82" s="254">
        <f t="shared" si="34"/>
        <v>4930.5933333333332</v>
      </c>
      <c r="K82" s="641">
        <v>5430</v>
      </c>
      <c r="L82" s="641"/>
      <c r="M82" s="191" t="s">
        <v>926</v>
      </c>
      <c r="N82" s="740">
        <f t="shared" si="23"/>
        <v>42534</v>
      </c>
      <c r="O82" s="295">
        <v>40</v>
      </c>
      <c r="P82" s="253">
        <v>34590</v>
      </c>
      <c r="Q82" s="8">
        <f t="shared" si="35"/>
        <v>1383600</v>
      </c>
      <c r="R82" s="436" t="s">
        <v>779</v>
      </c>
      <c r="S82" s="741">
        <v>42536</v>
      </c>
      <c r="T82" s="289">
        <f t="shared" si="27"/>
        <v>1629000</v>
      </c>
    </row>
    <row r="83" spans="1:20">
      <c r="A83" s="752">
        <f t="shared" si="32"/>
        <v>13</v>
      </c>
      <c r="B83" s="292" t="s">
        <v>790</v>
      </c>
      <c r="C83" s="778">
        <f t="shared" si="21"/>
        <v>820598.5</v>
      </c>
      <c r="D83" s="778"/>
      <c r="E83" s="254">
        <f t="shared" si="29"/>
        <v>1875.9037572596894</v>
      </c>
      <c r="F83" s="254">
        <f t="shared" si="29"/>
        <v>354.2403223894749</v>
      </c>
      <c r="G83" s="254">
        <f t="shared" si="29"/>
        <v>0</v>
      </c>
      <c r="H83" s="778">
        <f t="shared" si="33"/>
        <v>822829</v>
      </c>
      <c r="I83" s="254">
        <v>7</v>
      </c>
      <c r="J83" s="254">
        <f t="shared" si="34"/>
        <v>117547</v>
      </c>
      <c r="K83" s="641">
        <v>127240</v>
      </c>
      <c r="L83" s="641"/>
      <c r="M83" s="292" t="s">
        <v>1300</v>
      </c>
      <c r="N83" s="740">
        <f t="shared" si="23"/>
        <v>42546</v>
      </c>
      <c r="O83" s="295">
        <v>17</v>
      </c>
      <c r="P83" s="255">
        <v>48270.5</v>
      </c>
      <c r="Q83" s="8">
        <f t="shared" si="35"/>
        <v>820598.5</v>
      </c>
      <c r="R83" s="436" t="s">
        <v>789</v>
      </c>
      <c r="S83" s="741">
        <v>42548</v>
      </c>
      <c r="T83" s="289">
        <f t="shared" si="27"/>
        <v>890680</v>
      </c>
    </row>
    <row r="84" spans="1:20">
      <c r="A84" s="752">
        <f t="shared" si="32"/>
        <v>14</v>
      </c>
      <c r="B84" s="292" t="s">
        <v>791</v>
      </c>
      <c r="C84" s="778">
        <f t="shared" si="21"/>
        <v>335340</v>
      </c>
      <c r="D84" s="778"/>
      <c r="E84" s="254">
        <f t="shared" si="29"/>
        <v>4019.7937655564774</v>
      </c>
      <c r="F84" s="254">
        <f t="shared" si="29"/>
        <v>759.08640512030343</v>
      </c>
      <c r="G84" s="254">
        <f t="shared" si="29"/>
        <v>0</v>
      </c>
      <c r="H84" s="778">
        <f t="shared" si="33"/>
        <v>340119</v>
      </c>
      <c r="I84" s="254">
        <v>15</v>
      </c>
      <c r="J84" s="254">
        <f t="shared" si="34"/>
        <v>22674.6</v>
      </c>
      <c r="K84" s="641">
        <v>27120</v>
      </c>
      <c r="L84" s="641"/>
      <c r="M84" s="188" t="s">
        <v>1202</v>
      </c>
      <c r="N84" s="740">
        <f t="shared" si="23"/>
        <v>42546</v>
      </c>
      <c r="O84" s="295">
        <v>15</v>
      </c>
      <c r="P84" s="253">
        <v>22356</v>
      </c>
      <c r="Q84" s="8">
        <f t="shared" si="35"/>
        <v>335340</v>
      </c>
      <c r="R84" s="436" t="s">
        <v>789</v>
      </c>
      <c r="S84" s="741">
        <v>42548</v>
      </c>
      <c r="T84" s="289">
        <f t="shared" si="27"/>
        <v>406800</v>
      </c>
    </row>
    <row r="85" spans="1:20">
      <c r="A85" s="752">
        <f t="shared" si="32"/>
        <v>15</v>
      </c>
      <c r="B85" s="292" t="s">
        <v>792</v>
      </c>
      <c r="C85" s="778">
        <f>Q85+Q86</f>
        <v>9313650</v>
      </c>
      <c r="D85" s="778"/>
      <c r="E85" s="254">
        <f t="shared" si="29"/>
        <v>81467.820315277946</v>
      </c>
      <c r="F85" s="254">
        <f t="shared" si="29"/>
        <v>15384.151143771482</v>
      </c>
      <c r="G85" s="254">
        <f t="shared" si="29"/>
        <v>0</v>
      </c>
      <c r="H85" s="778">
        <f t="shared" si="33"/>
        <v>9410502</v>
      </c>
      <c r="I85" s="254">
        <v>304</v>
      </c>
      <c r="J85" s="254">
        <f t="shared" si="34"/>
        <v>30955.598684210527</v>
      </c>
      <c r="K85" s="641">
        <v>30770</v>
      </c>
      <c r="L85" s="641"/>
      <c r="M85" s="191" t="s">
        <v>1203</v>
      </c>
      <c r="N85" s="740">
        <f t="shared" si="23"/>
        <v>42546</v>
      </c>
      <c r="O85" s="295">
        <v>450</v>
      </c>
      <c r="P85" s="758">
        <v>16065</v>
      </c>
      <c r="Q85" s="8">
        <f t="shared" si="35"/>
        <v>7229250</v>
      </c>
      <c r="R85" s="436" t="s">
        <v>789</v>
      </c>
      <c r="S85" s="741">
        <v>42548</v>
      </c>
      <c r="T85" s="289">
        <f t="shared" si="27"/>
        <v>9354080</v>
      </c>
    </row>
    <row r="86" spans="1:20">
      <c r="A86" s="752"/>
      <c r="B86" s="292"/>
      <c r="C86" s="778"/>
      <c r="D86" s="778"/>
      <c r="E86" s="254"/>
      <c r="F86" s="254"/>
      <c r="G86" s="254"/>
      <c r="H86" s="778"/>
      <c r="I86" s="254"/>
      <c r="J86" s="254"/>
      <c r="K86" s="641"/>
      <c r="L86" s="641"/>
      <c r="M86" s="188" t="s">
        <v>1281</v>
      </c>
      <c r="N86" s="740">
        <f t="shared" si="23"/>
        <v>42546</v>
      </c>
      <c r="O86" s="295">
        <v>100</v>
      </c>
      <c r="P86" s="758">
        <v>20844</v>
      </c>
      <c r="Q86" s="8">
        <f t="shared" ref="Q86" si="36">O86*P86</f>
        <v>2084400</v>
      </c>
      <c r="R86" s="436" t="s">
        <v>789</v>
      </c>
      <c r="S86" s="741">
        <v>42548</v>
      </c>
      <c r="T86" s="289"/>
    </row>
    <row r="87" spans="1:20">
      <c r="A87" s="752">
        <f>IF(B87&lt;&gt;"",A85+1,"")</f>
        <v>16</v>
      </c>
      <c r="B87" s="292" t="s">
        <v>793</v>
      </c>
      <c r="C87" s="778">
        <f t="shared" si="21"/>
        <v>2075400</v>
      </c>
      <c r="D87" s="778"/>
      <c r="E87" s="8">
        <f t="shared" ref="E87:G93" si="37">IF($I$140&lt;&gt;0,E$140/$I$140*$I87,0)</f>
        <v>13399.312551854924</v>
      </c>
      <c r="F87" s="8">
        <f t="shared" si="37"/>
        <v>2530.2880170676781</v>
      </c>
      <c r="G87" s="8">
        <f t="shared" si="37"/>
        <v>0</v>
      </c>
      <c r="H87" s="778">
        <f t="shared" si="33"/>
        <v>2091330</v>
      </c>
      <c r="I87" s="254">
        <v>50</v>
      </c>
      <c r="J87" s="254">
        <f t="shared" si="34"/>
        <v>41826.6</v>
      </c>
      <c r="K87" s="641">
        <v>44870</v>
      </c>
      <c r="L87" s="641"/>
      <c r="M87" s="191" t="s">
        <v>926</v>
      </c>
      <c r="N87" s="740">
        <f t="shared" si="23"/>
        <v>42546</v>
      </c>
      <c r="O87" s="295">
        <v>60</v>
      </c>
      <c r="P87" s="255">
        <v>34590</v>
      </c>
      <c r="Q87" s="8">
        <f t="shared" si="35"/>
        <v>2075400</v>
      </c>
      <c r="R87" s="436" t="s">
        <v>789</v>
      </c>
      <c r="S87" s="741">
        <v>42548</v>
      </c>
      <c r="T87" s="289">
        <f t="shared" si="27"/>
        <v>2243500</v>
      </c>
    </row>
    <row r="88" spans="1:20">
      <c r="A88" s="752">
        <f t="shared" si="32"/>
        <v>17</v>
      </c>
      <c r="B88" s="292" t="s">
        <v>451</v>
      </c>
      <c r="C88" s="778">
        <f t="shared" si="21"/>
        <v>32946</v>
      </c>
      <c r="D88" s="778"/>
      <c r="E88" s="254">
        <f t="shared" si="37"/>
        <v>1339.9312551854925</v>
      </c>
      <c r="F88" s="254">
        <f t="shared" si="37"/>
        <v>253.02880170676781</v>
      </c>
      <c r="G88" s="254">
        <f t="shared" si="37"/>
        <v>0</v>
      </c>
      <c r="H88" s="778">
        <f t="shared" si="33"/>
        <v>34539</v>
      </c>
      <c r="I88" s="254">
        <v>5</v>
      </c>
      <c r="J88" s="254">
        <f t="shared" si="34"/>
        <v>6907.8</v>
      </c>
      <c r="K88" s="641">
        <v>11000</v>
      </c>
      <c r="L88" s="641"/>
      <c r="M88" s="188" t="s">
        <v>1229</v>
      </c>
      <c r="N88" s="740">
        <f t="shared" si="23"/>
        <v>42548</v>
      </c>
      <c r="O88" s="295">
        <v>2</v>
      </c>
      <c r="P88" s="255">
        <v>16473</v>
      </c>
      <c r="Q88" s="8">
        <f t="shared" si="35"/>
        <v>32946</v>
      </c>
      <c r="R88" s="436" t="s">
        <v>795</v>
      </c>
      <c r="S88" s="741">
        <v>42550</v>
      </c>
      <c r="T88" s="289">
        <f t="shared" si="27"/>
        <v>55000</v>
      </c>
    </row>
    <row r="89" spans="1:20">
      <c r="A89" s="752">
        <f t="shared" si="32"/>
        <v>18</v>
      </c>
      <c r="B89" s="292" t="s">
        <v>1305</v>
      </c>
      <c r="C89" s="778">
        <f t="shared" ref="C89:C101" si="38">Q89</f>
        <v>19048</v>
      </c>
      <c r="D89" s="778"/>
      <c r="E89" s="254">
        <f t="shared" si="37"/>
        <v>803.95875311129544</v>
      </c>
      <c r="F89" s="254">
        <f t="shared" si="37"/>
        <v>151.81728102406066</v>
      </c>
      <c r="G89" s="254">
        <f t="shared" si="37"/>
        <v>0</v>
      </c>
      <c r="H89" s="778">
        <f t="shared" ref="H89:H101" si="39">ROUND(SUM(C89:G89),0)</f>
        <v>20004</v>
      </c>
      <c r="I89" s="254">
        <v>3</v>
      </c>
      <c r="J89" s="254">
        <f t="shared" si="30"/>
        <v>6668</v>
      </c>
      <c r="K89" s="641">
        <v>6000</v>
      </c>
      <c r="L89" s="641"/>
      <c r="M89" s="188" t="s">
        <v>1176</v>
      </c>
      <c r="N89" s="740">
        <f t="shared" si="23"/>
        <v>42549</v>
      </c>
      <c r="O89" s="295">
        <v>1</v>
      </c>
      <c r="P89" s="253">
        <v>19048</v>
      </c>
      <c r="Q89" s="8">
        <f t="shared" si="31"/>
        <v>19048</v>
      </c>
      <c r="R89" s="436" t="s">
        <v>798</v>
      </c>
      <c r="S89" s="741">
        <v>42551</v>
      </c>
      <c r="T89" s="289">
        <f t="shared" si="27"/>
        <v>18000</v>
      </c>
    </row>
    <row r="90" spans="1:20">
      <c r="A90" s="752">
        <f t="shared" si="32"/>
        <v>19</v>
      </c>
      <c r="B90" s="292" t="s">
        <v>1306</v>
      </c>
      <c r="C90" s="778">
        <f t="shared" si="38"/>
        <v>64260</v>
      </c>
      <c r="D90" s="778"/>
      <c r="E90" s="254">
        <f t="shared" si="37"/>
        <v>1071.945004148394</v>
      </c>
      <c r="F90" s="254">
        <f t="shared" si="37"/>
        <v>202.42304136541424</v>
      </c>
      <c r="G90" s="254">
        <f t="shared" si="37"/>
        <v>0</v>
      </c>
      <c r="H90" s="778">
        <f t="shared" si="39"/>
        <v>65534</v>
      </c>
      <c r="I90" s="254">
        <v>4</v>
      </c>
      <c r="J90" s="254">
        <f t="shared" si="30"/>
        <v>16383.5</v>
      </c>
      <c r="K90" s="641">
        <v>27800</v>
      </c>
      <c r="L90" s="641"/>
      <c r="M90" s="191" t="s">
        <v>1240</v>
      </c>
      <c r="N90" s="740">
        <f t="shared" si="23"/>
        <v>42549</v>
      </c>
      <c r="O90" s="295">
        <v>6</v>
      </c>
      <c r="P90" s="255">
        <v>10710</v>
      </c>
      <c r="Q90" s="8">
        <f t="shared" si="31"/>
        <v>64260</v>
      </c>
      <c r="R90" s="436" t="s">
        <v>798</v>
      </c>
      <c r="S90" s="741">
        <v>42551</v>
      </c>
      <c r="T90" s="289">
        <f t="shared" si="27"/>
        <v>111200</v>
      </c>
    </row>
    <row r="91" spans="1:20">
      <c r="A91" s="752">
        <f t="shared" si="32"/>
        <v>20</v>
      </c>
      <c r="B91" s="292" t="s">
        <v>1307</v>
      </c>
      <c r="C91" s="778">
        <f t="shared" si="38"/>
        <v>965410</v>
      </c>
      <c r="D91" s="778"/>
      <c r="E91" s="254">
        <f t="shared" si="37"/>
        <v>1339.9312551854925</v>
      </c>
      <c r="F91" s="254">
        <f t="shared" si="37"/>
        <v>253.02880170676781</v>
      </c>
      <c r="G91" s="254">
        <f t="shared" si="37"/>
        <v>0</v>
      </c>
      <c r="H91" s="778">
        <f t="shared" si="39"/>
        <v>967003</v>
      </c>
      <c r="I91" s="254">
        <v>5</v>
      </c>
      <c r="J91" s="254">
        <f t="shared" si="30"/>
        <v>193400.6</v>
      </c>
      <c r="K91" s="641">
        <v>210000</v>
      </c>
      <c r="L91" s="641"/>
      <c r="M91" s="292" t="s">
        <v>1300</v>
      </c>
      <c r="N91" s="740">
        <f t="shared" si="23"/>
        <v>42549</v>
      </c>
      <c r="O91" s="295">
        <v>20</v>
      </c>
      <c r="P91" s="255">
        <v>48270.5</v>
      </c>
      <c r="Q91" s="8">
        <f t="shared" si="31"/>
        <v>965410</v>
      </c>
      <c r="R91" s="436" t="s">
        <v>798</v>
      </c>
      <c r="S91" s="741">
        <v>42551</v>
      </c>
      <c r="T91" s="289">
        <f t="shared" si="27"/>
        <v>1050000</v>
      </c>
    </row>
    <row r="92" spans="1:20">
      <c r="A92" s="752">
        <f t="shared" si="32"/>
        <v>21</v>
      </c>
      <c r="B92" s="292" t="s">
        <v>1308</v>
      </c>
      <c r="C92" s="778">
        <f t="shared" si="38"/>
        <v>618700</v>
      </c>
      <c r="D92" s="778"/>
      <c r="E92" s="254">
        <f t="shared" si="37"/>
        <v>6699.656275927462</v>
      </c>
      <c r="F92" s="254">
        <f t="shared" si="37"/>
        <v>1265.144008533839</v>
      </c>
      <c r="G92" s="254">
        <f t="shared" si="37"/>
        <v>0</v>
      </c>
      <c r="H92" s="778">
        <f t="shared" si="39"/>
        <v>626665</v>
      </c>
      <c r="I92" s="254">
        <v>25</v>
      </c>
      <c r="J92" s="254">
        <f t="shared" si="30"/>
        <v>25066.6</v>
      </c>
      <c r="K92" s="641">
        <v>28900</v>
      </c>
      <c r="L92" s="641"/>
      <c r="M92" s="191" t="s">
        <v>1195</v>
      </c>
      <c r="N92" s="740">
        <f t="shared" si="23"/>
        <v>42549</v>
      </c>
      <c r="O92" s="295">
        <v>25</v>
      </c>
      <c r="P92" s="255">
        <v>24748</v>
      </c>
      <c r="Q92" s="8">
        <f t="shared" si="31"/>
        <v>618700</v>
      </c>
      <c r="R92" s="436" t="s">
        <v>798</v>
      </c>
      <c r="S92" s="741">
        <v>42551</v>
      </c>
      <c r="T92" s="289">
        <f t="shared" si="27"/>
        <v>722500</v>
      </c>
    </row>
    <row r="93" spans="1:20">
      <c r="A93" s="752">
        <f t="shared" si="32"/>
        <v>22</v>
      </c>
      <c r="B93" s="292" t="s">
        <v>1178</v>
      </c>
      <c r="C93" s="778">
        <f>Q93+Q94</f>
        <v>12306526</v>
      </c>
      <c r="D93" s="778"/>
      <c r="E93" s="254">
        <f t="shared" si="37"/>
        <v>100494.84413891194</v>
      </c>
      <c r="F93" s="254">
        <f t="shared" si="37"/>
        <v>18977.160128007585</v>
      </c>
      <c r="G93" s="254">
        <f t="shared" si="37"/>
        <v>0</v>
      </c>
      <c r="H93" s="778">
        <f t="shared" si="39"/>
        <v>12425998</v>
      </c>
      <c r="I93" s="254">
        <v>375</v>
      </c>
      <c r="J93" s="254">
        <f t="shared" si="30"/>
        <v>33135.994666666666</v>
      </c>
      <c r="K93" s="641">
        <v>30950</v>
      </c>
      <c r="L93" s="641"/>
      <c r="M93" s="188" t="s">
        <v>1173</v>
      </c>
      <c r="N93" s="740">
        <f t="shared" si="23"/>
        <v>42549</v>
      </c>
      <c r="O93" s="295">
        <v>400</v>
      </c>
      <c r="P93" s="253">
        <v>25000</v>
      </c>
      <c r="Q93" s="8">
        <f t="shared" si="31"/>
        <v>10000000</v>
      </c>
      <c r="R93" s="436" t="s">
        <v>798</v>
      </c>
      <c r="S93" s="741">
        <v>42551</v>
      </c>
      <c r="T93" s="289">
        <f t="shared" si="27"/>
        <v>11606250</v>
      </c>
    </row>
    <row r="94" spans="1:20">
      <c r="A94" s="752"/>
      <c r="B94" s="292"/>
      <c r="C94" s="778"/>
      <c r="D94" s="778"/>
      <c r="E94" s="254"/>
      <c r="F94" s="254"/>
      <c r="G94" s="254"/>
      <c r="H94" s="778"/>
      <c r="I94" s="254"/>
      <c r="J94" s="254"/>
      <c r="K94" s="641"/>
      <c r="L94" s="641"/>
      <c r="M94" s="191" t="s">
        <v>1277</v>
      </c>
      <c r="N94" s="740">
        <f t="shared" si="23"/>
        <v>42549</v>
      </c>
      <c r="O94" s="295">
        <v>102</v>
      </c>
      <c r="P94" s="253">
        <v>22613</v>
      </c>
      <c r="Q94" s="8">
        <f t="shared" ref="Q94" si="40">O94*P94</f>
        <v>2306526</v>
      </c>
      <c r="R94" s="436" t="s">
        <v>798</v>
      </c>
      <c r="S94" s="741">
        <v>42551</v>
      </c>
      <c r="T94" s="289"/>
    </row>
    <row r="95" spans="1:20">
      <c r="A95" s="752">
        <f>IF(B95&lt;&gt;"",A93+1,"")</f>
        <v>23</v>
      </c>
      <c r="B95" s="292" t="s">
        <v>802</v>
      </c>
      <c r="C95" s="778">
        <f t="shared" si="38"/>
        <v>1051000</v>
      </c>
      <c r="D95" s="778"/>
      <c r="E95" s="254">
        <f t="shared" ref="E95:G112" si="41">IF($I$140&lt;&gt;0,E$140/$I$140*$I95,0)</f>
        <v>267986.25103709853</v>
      </c>
      <c r="F95" s="254">
        <f t="shared" si="41"/>
        <v>50605.760341353562</v>
      </c>
      <c r="G95" s="254">
        <f t="shared" si="41"/>
        <v>0</v>
      </c>
      <c r="H95" s="778">
        <f t="shared" si="39"/>
        <v>1369592</v>
      </c>
      <c r="I95" s="254">
        <v>1000</v>
      </c>
      <c r="J95" s="254">
        <f t="shared" si="30"/>
        <v>1369.5920000000001</v>
      </c>
      <c r="K95" s="641">
        <v>1400</v>
      </c>
      <c r="L95" s="641"/>
      <c r="M95" s="40" t="s">
        <v>1294</v>
      </c>
      <c r="N95" s="740">
        <f t="shared" si="23"/>
        <v>42549</v>
      </c>
      <c r="O95" s="295">
        <v>50</v>
      </c>
      <c r="P95" s="255">
        <v>21020</v>
      </c>
      <c r="Q95" s="8">
        <f t="shared" si="31"/>
        <v>1051000</v>
      </c>
      <c r="R95" s="436" t="s">
        <v>799</v>
      </c>
      <c r="S95" s="741">
        <v>42551</v>
      </c>
      <c r="T95" s="289">
        <f t="shared" si="27"/>
        <v>1400000</v>
      </c>
    </row>
    <row r="96" spans="1:20">
      <c r="A96" s="752">
        <f t="shared" si="32"/>
        <v>24</v>
      </c>
      <c r="B96" s="292" t="s">
        <v>809</v>
      </c>
      <c r="C96" s="778">
        <f t="shared" si="38"/>
        <v>5406295</v>
      </c>
      <c r="D96" s="778"/>
      <c r="E96" s="254">
        <f t="shared" si="41"/>
        <v>30014.460116155031</v>
      </c>
      <c r="F96" s="254">
        <f t="shared" si="41"/>
        <v>5667.8451582315984</v>
      </c>
      <c r="G96" s="254">
        <f t="shared" si="41"/>
        <v>0</v>
      </c>
      <c r="H96" s="778">
        <f t="shared" si="39"/>
        <v>5441977</v>
      </c>
      <c r="I96" s="254">
        <v>112</v>
      </c>
      <c r="J96" s="254">
        <f t="shared" si="30"/>
        <v>48589.080357142855</v>
      </c>
      <c r="K96" s="641">
        <v>40546</v>
      </c>
      <c r="L96" s="641"/>
      <c r="M96" s="786" t="s">
        <v>1300</v>
      </c>
      <c r="N96" s="740">
        <f t="shared" si="23"/>
        <v>42549</v>
      </c>
      <c r="O96" s="295">
        <v>112</v>
      </c>
      <c r="P96" s="253">
        <v>48270.491071428572</v>
      </c>
      <c r="Q96" s="8">
        <f t="shared" si="31"/>
        <v>5406295</v>
      </c>
      <c r="R96" s="436" t="s">
        <v>804</v>
      </c>
      <c r="S96" s="741">
        <v>42551</v>
      </c>
      <c r="T96" s="289">
        <f t="shared" si="27"/>
        <v>4541152</v>
      </c>
    </row>
    <row r="97" spans="1:19" s="920" customFormat="1">
      <c r="A97" s="916">
        <f t="shared" si="32"/>
        <v>25</v>
      </c>
      <c r="B97" s="866" t="s">
        <v>627</v>
      </c>
      <c r="C97" s="917">
        <f t="shared" si="38"/>
        <v>261195</v>
      </c>
      <c r="D97" s="917">
        <v>6177955</v>
      </c>
      <c r="E97" s="862">
        <f t="shared" si="41"/>
        <v>266646.31978191301</v>
      </c>
      <c r="F97" s="862">
        <f t="shared" si="41"/>
        <v>50352.731539646789</v>
      </c>
      <c r="G97" s="862">
        <f t="shared" si="41"/>
        <v>0</v>
      </c>
      <c r="H97" s="917">
        <f t="shared" si="39"/>
        <v>6756149</v>
      </c>
      <c r="I97" s="862">
        <v>995</v>
      </c>
      <c r="J97" s="862">
        <f t="shared" si="30"/>
        <v>6790.0994974874375</v>
      </c>
      <c r="K97" s="918"/>
      <c r="L97" s="918"/>
      <c r="M97" s="866" t="s">
        <v>1288</v>
      </c>
      <c r="N97" s="905">
        <f t="shared" si="23"/>
        <v>42462</v>
      </c>
      <c r="O97" s="919">
        <v>11</v>
      </c>
      <c r="P97" s="251">
        <v>23745</v>
      </c>
      <c r="Q97" s="467">
        <f t="shared" si="31"/>
        <v>261195</v>
      </c>
      <c r="R97" s="908" t="s">
        <v>629</v>
      </c>
      <c r="S97" s="906">
        <v>42464</v>
      </c>
    </row>
    <row r="98" spans="1:19">
      <c r="A98" s="752">
        <f t="shared" si="32"/>
        <v>26</v>
      </c>
      <c r="B98" s="292" t="s">
        <v>637</v>
      </c>
      <c r="C98" s="778">
        <f t="shared" si="38"/>
        <v>130060</v>
      </c>
      <c r="D98" s="778">
        <v>1509268</v>
      </c>
      <c r="E98" s="254">
        <f t="shared" si="41"/>
        <v>68068.507763423026</v>
      </c>
      <c r="F98" s="254">
        <f t="shared" si="41"/>
        <v>12853.863126703804</v>
      </c>
      <c r="G98" s="254">
        <f t="shared" si="41"/>
        <v>0</v>
      </c>
      <c r="H98" s="778">
        <f t="shared" si="39"/>
        <v>1720250</v>
      </c>
      <c r="I98" s="254">
        <v>254</v>
      </c>
      <c r="J98" s="254">
        <f t="shared" si="30"/>
        <v>6772.6377952755902</v>
      </c>
      <c r="K98" s="641"/>
      <c r="L98" s="641"/>
      <c r="M98" s="188" t="s">
        <v>1242</v>
      </c>
      <c r="N98" s="740">
        <f t="shared" si="23"/>
        <v>42464</v>
      </c>
      <c r="O98" s="295">
        <v>20</v>
      </c>
      <c r="P98" s="253">
        <v>6503</v>
      </c>
      <c r="Q98" s="8">
        <f t="shared" si="31"/>
        <v>130060</v>
      </c>
      <c r="R98" s="436" t="s">
        <v>635</v>
      </c>
      <c r="S98" s="741">
        <v>42466</v>
      </c>
    </row>
    <row r="99" spans="1:19">
      <c r="A99" s="752">
        <f t="shared" si="32"/>
        <v>27</v>
      </c>
      <c r="B99" s="292" t="s">
        <v>479</v>
      </c>
      <c r="C99" s="778">
        <f t="shared" si="38"/>
        <v>79534</v>
      </c>
      <c r="D99" s="778">
        <v>2288400</v>
      </c>
      <c r="E99" s="254">
        <f t="shared" si="41"/>
        <v>80395.875311129552</v>
      </c>
      <c r="F99" s="254">
        <f t="shared" si="41"/>
        <v>15181.728102406069</v>
      </c>
      <c r="G99" s="254">
        <f t="shared" si="41"/>
        <v>0</v>
      </c>
      <c r="H99" s="778">
        <f t="shared" si="39"/>
        <v>2463512</v>
      </c>
      <c r="I99" s="254">
        <v>300</v>
      </c>
      <c r="J99" s="254">
        <f t="shared" si="30"/>
        <v>8211.7066666666669</v>
      </c>
      <c r="K99" s="641"/>
      <c r="L99" s="641"/>
      <c r="M99" s="292" t="s">
        <v>1237</v>
      </c>
      <c r="N99" s="740">
        <f t="shared" si="23"/>
        <v>42465</v>
      </c>
      <c r="O99" s="295">
        <v>7</v>
      </c>
      <c r="P99" s="758">
        <v>11362</v>
      </c>
      <c r="Q99" s="8">
        <f t="shared" si="31"/>
        <v>79534</v>
      </c>
      <c r="R99" s="436" t="s">
        <v>638</v>
      </c>
      <c r="S99" s="741">
        <v>42467</v>
      </c>
    </row>
    <row r="100" spans="1:19">
      <c r="A100" s="752">
        <f t="shared" si="32"/>
        <v>28</v>
      </c>
      <c r="B100" s="292" t="s">
        <v>572</v>
      </c>
      <c r="C100" s="778">
        <f t="shared" si="38"/>
        <v>249611</v>
      </c>
      <c r="D100" s="778">
        <v>5781000</v>
      </c>
      <c r="E100" s="8">
        <f t="shared" si="41"/>
        <v>133993.12551854926</v>
      </c>
      <c r="F100" s="8">
        <f t="shared" si="41"/>
        <v>25302.880170676781</v>
      </c>
      <c r="G100" s="8">
        <f t="shared" si="41"/>
        <v>0</v>
      </c>
      <c r="H100" s="778">
        <f t="shared" si="39"/>
        <v>6189907</v>
      </c>
      <c r="I100" s="254">
        <v>500</v>
      </c>
      <c r="J100" s="254">
        <f t="shared" si="30"/>
        <v>12379.814</v>
      </c>
      <c r="K100" s="641"/>
      <c r="L100" s="641"/>
      <c r="M100" s="188" t="s">
        <v>1235</v>
      </c>
      <c r="N100" s="740">
        <f t="shared" si="23"/>
        <v>42478</v>
      </c>
      <c r="O100" s="295">
        <v>17</v>
      </c>
      <c r="P100" s="255">
        <v>14683</v>
      </c>
      <c r="Q100" s="8">
        <f t="shared" si="31"/>
        <v>249611</v>
      </c>
      <c r="R100" s="436" t="s">
        <v>650</v>
      </c>
      <c r="S100" s="741">
        <v>42480</v>
      </c>
    </row>
    <row r="101" spans="1:19">
      <c r="A101" s="752">
        <f t="shared" si="32"/>
        <v>29</v>
      </c>
      <c r="B101" s="292" t="s">
        <v>659</v>
      </c>
      <c r="C101" s="778">
        <f t="shared" si="38"/>
        <v>635116</v>
      </c>
      <c r="D101" s="778">
        <v>8771000</v>
      </c>
      <c r="E101" s="254">
        <f t="shared" si="41"/>
        <v>267986.25103709853</v>
      </c>
      <c r="F101" s="254">
        <f t="shared" si="41"/>
        <v>50605.760341353562</v>
      </c>
      <c r="G101" s="254">
        <f t="shared" si="41"/>
        <v>0</v>
      </c>
      <c r="H101" s="778">
        <f t="shared" si="39"/>
        <v>9724708</v>
      </c>
      <c r="I101" s="254">
        <v>1000</v>
      </c>
      <c r="J101" s="254">
        <f t="shared" si="30"/>
        <v>9724.7080000000005</v>
      </c>
      <c r="K101" s="641"/>
      <c r="L101" s="641"/>
      <c r="M101" s="188" t="s">
        <v>1243</v>
      </c>
      <c r="N101" s="740">
        <f t="shared" si="23"/>
        <v>42479</v>
      </c>
      <c r="O101" s="295">
        <v>332</v>
      </c>
      <c r="P101" s="255">
        <v>1913</v>
      </c>
      <c r="Q101" s="8">
        <f t="shared" si="31"/>
        <v>635116</v>
      </c>
      <c r="R101" s="436" t="s">
        <v>657</v>
      </c>
      <c r="S101" s="741">
        <v>42481</v>
      </c>
    </row>
    <row r="102" spans="1:19">
      <c r="A102" s="752">
        <f t="shared" si="32"/>
        <v>30</v>
      </c>
      <c r="B102" s="292" t="s">
        <v>1178</v>
      </c>
      <c r="C102" s="778">
        <f t="shared" si="21"/>
        <v>1055604</v>
      </c>
      <c r="D102" s="778">
        <v>30875000</v>
      </c>
      <c r="E102" s="254">
        <f t="shared" si="41"/>
        <v>267986.25103709853</v>
      </c>
      <c r="F102" s="254">
        <f t="shared" si="41"/>
        <v>50605.760341353562</v>
      </c>
      <c r="G102" s="254">
        <f t="shared" si="41"/>
        <v>0</v>
      </c>
      <c r="H102" s="778">
        <f t="shared" si="33"/>
        <v>32249196</v>
      </c>
      <c r="I102" s="254">
        <v>1000</v>
      </c>
      <c r="J102" s="254">
        <f t="shared" ref="J102:J113" si="42">IF(I102&lt;&gt;"",H102/I102,"")</f>
        <v>32249.196</v>
      </c>
      <c r="K102" s="641"/>
      <c r="L102" s="641"/>
      <c r="M102" s="188" t="s">
        <v>1234</v>
      </c>
      <c r="N102" s="740">
        <f t="shared" si="23"/>
        <v>42483</v>
      </c>
      <c r="O102" s="775">
        <v>66</v>
      </c>
      <c r="P102" s="255">
        <v>15994</v>
      </c>
      <c r="Q102" s="8">
        <f t="shared" ref="Q102:Q113" si="43">O102*P102</f>
        <v>1055604</v>
      </c>
      <c r="R102" s="436" t="s">
        <v>661</v>
      </c>
      <c r="S102" s="741">
        <v>42485</v>
      </c>
    </row>
    <row r="103" spans="1:19">
      <c r="A103" s="752">
        <f t="shared" si="32"/>
        <v>31</v>
      </c>
      <c r="B103" s="292" t="s">
        <v>1179</v>
      </c>
      <c r="C103" s="778">
        <f t="shared" si="21"/>
        <v>409032</v>
      </c>
      <c r="D103" s="778">
        <v>34270500</v>
      </c>
      <c r="E103" s="254">
        <f t="shared" si="41"/>
        <v>294784.87614080834</v>
      </c>
      <c r="F103" s="254">
        <f t="shared" si="41"/>
        <v>55666.336375488914</v>
      </c>
      <c r="G103" s="254">
        <f t="shared" si="41"/>
        <v>0</v>
      </c>
      <c r="H103" s="778">
        <f t="shared" si="33"/>
        <v>35029983</v>
      </c>
      <c r="I103" s="254">
        <v>1100</v>
      </c>
      <c r="J103" s="254">
        <f t="shared" si="42"/>
        <v>31845.439090909091</v>
      </c>
      <c r="K103" s="641"/>
      <c r="L103" s="641"/>
      <c r="M103" s="188" t="s">
        <v>1231</v>
      </c>
      <c r="N103" s="740">
        <f t="shared" si="23"/>
        <v>42483</v>
      </c>
      <c r="O103" s="295">
        <v>24</v>
      </c>
      <c r="P103" s="255">
        <v>17043</v>
      </c>
      <c r="Q103" s="8">
        <f t="shared" si="43"/>
        <v>409032</v>
      </c>
      <c r="R103" s="436" t="s">
        <v>661</v>
      </c>
      <c r="S103" s="741">
        <v>42485</v>
      </c>
    </row>
    <row r="104" spans="1:19">
      <c r="A104" s="752">
        <f t="shared" si="32"/>
        <v>32</v>
      </c>
      <c r="B104" s="292" t="s">
        <v>536</v>
      </c>
      <c r="C104" s="778">
        <f t="shared" si="21"/>
        <v>119910</v>
      </c>
      <c r="D104" s="778">
        <v>2853700</v>
      </c>
      <c r="E104" s="254">
        <f t="shared" si="41"/>
        <v>13399.312551854924</v>
      </c>
      <c r="F104" s="254">
        <f t="shared" si="41"/>
        <v>2530.2880170676781</v>
      </c>
      <c r="G104" s="254">
        <f t="shared" si="41"/>
        <v>0</v>
      </c>
      <c r="H104" s="778">
        <f t="shared" si="33"/>
        <v>2989540</v>
      </c>
      <c r="I104" s="254">
        <v>50</v>
      </c>
      <c r="J104" s="254">
        <f t="shared" si="42"/>
        <v>59790.8</v>
      </c>
      <c r="K104" s="641"/>
      <c r="L104" s="641"/>
      <c r="M104" s="188" t="s">
        <v>1230</v>
      </c>
      <c r="N104" s="740">
        <f t="shared" si="23"/>
        <v>42487</v>
      </c>
      <c r="O104" s="775">
        <v>7</v>
      </c>
      <c r="P104" s="255">
        <v>17130</v>
      </c>
      <c r="Q104" s="8">
        <f t="shared" si="43"/>
        <v>119910</v>
      </c>
      <c r="R104" s="436" t="s">
        <v>669</v>
      </c>
      <c r="S104" s="741">
        <v>42489</v>
      </c>
    </row>
    <row r="105" spans="1:19">
      <c r="A105" s="752">
        <f t="shared" si="32"/>
        <v>33</v>
      </c>
      <c r="B105" s="292" t="s">
        <v>670</v>
      </c>
      <c r="C105" s="778">
        <f t="shared" si="21"/>
        <v>516962</v>
      </c>
      <c r="D105" s="778">
        <v>2430916</v>
      </c>
      <c r="E105" s="254">
        <f t="shared" si="41"/>
        <v>6163.6837738532658</v>
      </c>
      <c r="F105" s="254">
        <f t="shared" si="41"/>
        <v>1163.9324878511318</v>
      </c>
      <c r="G105" s="254">
        <f t="shared" si="41"/>
        <v>0</v>
      </c>
      <c r="H105" s="778">
        <f t="shared" si="33"/>
        <v>2955206</v>
      </c>
      <c r="I105" s="254">
        <v>23</v>
      </c>
      <c r="J105" s="254">
        <f t="shared" si="42"/>
        <v>128487.21739130435</v>
      </c>
      <c r="K105" s="641"/>
      <c r="L105" s="641"/>
      <c r="M105" s="188" t="s">
        <v>1232</v>
      </c>
      <c r="N105" s="740">
        <f t="shared" si="23"/>
        <v>42487</v>
      </c>
      <c r="O105" s="295">
        <v>33</v>
      </c>
      <c r="P105" s="255">
        <v>15665.515151515152</v>
      </c>
      <c r="Q105" s="8">
        <f t="shared" si="43"/>
        <v>516962</v>
      </c>
      <c r="R105" s="436" t="s">
        <v>669</v>
      </c>
      <c r="S105" s="741">
        <v>42489</v>
      </c>
    </row>
    <row r="106" spans="1:19">
      <c r="A106" s="752">
        <f t="shared" si="32"/>
        <v>34</v>
      </c>
      <c r="B106" s="292" t="s">
        <v>670</v>
      </c>
      <c r="C106" s="778">
        <f t="shared" si="21"/>
        <v>146832</v>
      </c>
      <c r="D106" s="778">
        <v>836768</v>
      </c>
      <c r="E106" s="254">
        <f t="shared" si="41"/>
        <v>2143.890008296788</v>
      </c>
      <c r="F106" s="254">
        <f t="shared" si="41"/>
        <v>404.84608273082847</v>
      </c>
      <c r="G106" s="254">
        <f t="shared" si="41"/>
        <v>0</v>
      </c>
      <c r="H106" s="778">
        <f t="shared" si="33"/>
        <v>986149</v>
      </c>
      <c r="I106" s="254">
        <v>8</v>
      </c>
      <c r="J106" s="254">
        <f t="shared" si="42"/>
        <v>123268.625</v>
      </c>
      <c r="K106" s="641"/>
      <c r="L106" s="641"/>
      <c r="M106" s="188" t="s">
        <v>1236</v>
      </c>
      <c r="N106" s="740">
        <f t="shared" si="23"/>
        <v>42487</v>
      </c>
      <c r="O106" s="295">
        <v>12</v>
      </c>
      <c r="P106" s="253">
        <v>12236</v>
      </c>
      <c r="Q106" s="8">
        <f t="shared" si="43"/>
        <v>146832</v>
      </c>
      <c r="R106" s="436" t="s">
        <v>669</v>
      </c>
      <c r="S106" s="741">
        <v>42489</v>
      </c>
    </row>
    <row r="107" spans="1:19">
      <c r="A107" s="752">
        <f t="shared" si="32"/>
        <v>35</v>
      </c>
      <c r="B107" s="292" t="s">
        <v>542</v>
      </c>
      <c r="C107" s="778">
        <f t="shared" si="21"/>
        <v>183600</v>
      </c>
      <c r="D107" s="778">
        <v>5374338</v>
      </c>
      <c r="E107" s="254">
        <f t="shared" si="41"/>
        <v>35910.157638971199</v>
      </c>
      <c r="F107" s="254">
        <f t="shared" si="41"/>
        <v>6781.1718857413771</v>
      </c>
      <c r="G107" s="254">
        <f t="shared" si="41"/>
        <v>0</v>
      </c>
      <c r="H107" s="778">
        <f t="shared" si="33"/>
        <v>5600629</v>
      </c>
      <c r="I107" s="254">
        <v>134</v>
      </c>
      <c r="J107" s="254">
        <f t="shared" si="42"/>
        <v>41795.738805970148</v>
      </c>
      <c r="K107" s="641"/>
      <c r="L107" s="641"/>
      <c r="M107" s="188" t="s">
        <v>1239</v>
      </c>
      <c r="N107" s="740">
        <f t="shared" si="23"/>
        <v>42487</v>
      </c>
      <c r="O107" s="295">
        <v>12</v>
      </c>
      <c r="P107" s="255">
        <v>15300</v>
      </c>
      <c r="Q107" s="8">
        <f t="shared" si="43"/>
        <v>183600</v>
      </c>
      <c r="R107" s="436" t="s">
        <v>669</v>
      </c>
      <c r="S107" s="741">
        <v>42489</v>
      </c>
    </row>
    <row r="108" spans="1:19">
      <c r="A108" s="752">
        <f t="shared" si="32"/>
        <v>36</v>
      </c>
      <c r="B108" s="292" t="s">
        <v>463</v>
      </c>
      <c r="C108" s="778">
        <f t="shared" si="21"/>
        <v>972580</v>
      </c>
      <c r="D108" s="778">
        <v>2825370</v>
      </c>
      <c r="E108" s="254">
        <f t="shared" si="41"/>
        <v>24118.762593338866</v>
      </c>
      <c r="F108" s="254">
        <f t="shared" si="41"/>
        <v>4554.5184307218206</v>
      </c>
      <c r="G108" s="254">
        <f t="shared" si="41"/>
        <v>0</v>
      </c>
      <c r="H108" s="778">
        <f t="shared" si="33"/>
        <v>3826623</v>
      </c>
      <c r="I108" s="254">
        <v>90</v>
      </c>
      <c r="J108" s="254">
        <f t="shared" si="42"/>
        <v>42518.033333333333</v>
      </c>
      <c r="K108" s="641"/>
      <c r="L108" s="641"/>
      <c r="M108" s="292" t="s">
        <v>1245</v>
      </c>
      <c r="N108" s="740">
        <f t="shared" si="23"/>
        <v>42487</v>
      </c>
      <c r="O108" s="775">
        <v>35</v>
      </c>
      <c r="P108" s="253">
        <v>27788</v>
      </c>
      <c r="Q108" s="8">
        <f t="shared" si="43"/>
        <v>972580</v>
      </c>
      <c r="R108" s="436" t="s">
        <v>669</v>
      </c>
      <c r="S108" s="741">
        <v>42489</v>
      </c>
    </row>
    <row r="109" spans="1:19">
      <c r="A109" s="752">
        <f t="shared" si="32"/>
        <v>37</v>
      </c>
      <c r="B109" s="292" t="s">
        <v>673</v>
      </c>
      <c r="C109" s="778">
        <f t="shared" si="21"/>
        <v>477200</v>
      </c>
      <c r="D109" s="778">
        <v>2305984</v>
      </c>
      <c r="E109" s="254">
        <f t="shared" si="41"/>
        <v>17151.120066374304</v>
      </c>
      <c r="F109" s="254">
        <f t="shared" si="41"/>
        <v>3238.7686618466278</v>
      </c>
      <c r="G109" s="254">
        <f t="shared" si="41"/>
        <v>0</v>
      </c>
      <c r="H109" s="778">
        <f t="shared" si="33"/>
        <v>2803574</v>
      </c>
      <c r="I109" s="254">
        <v>64</v>
      </c>
      <c r="J109" s="254">
        <f t="shared" si="42"/>
        <v>43805.84375</v>
      </c>
      <c r="K109" s="641"/>
      <c r="L109" s="641"/>
      <c r="M109" s="292" t="s">
        <v>1219</v>
      </c>
      <c r="N109" s="740">
        <f t="shared" si="23"/>
        <v>42487</v>
      </c>
      <c r="O109" s="775">
        <v>40</v>
      </c>
      <c r="P109" s="253">
        <v>11930</v>
      </c>
      <c r="Q109" s="8">
        <f t="shared" si="43"/>
        <v>477200</v>
      </c>
      <c r="R109" s="436" t="s">
        <v>669</v>
      </c>
      <c r="S109" s="741">
        <v>42489</v>
      </c>
    </row>
    <row r="110" spans="1:19">
      <c r="A110" s="752">
        <f t="shared" si="32"/>
        <v>38</v>
      </c>
      <c r="B110" s="292" t="s">
        <v>462</v>
      </c>
      <c r="C110" s="778">
        <f t="shared" si="21"/>
        <v>145800</v>
      </c>
      <c r="D110" s="778">
        <v>6605568</v>
      </c>
      <c r="E110" s="254">
        <f t="shared" si="41"/>
        <v>38590.020149342185</v>
      </c>
      <c r="F110" s="254">
        <f t="shared" si="41"/>
        <v>7287.2294891549127</v>
      </c>
      <c r="G110" s="254">
        <f t="shared" si="41"/>
        <v>0</v>
      </c>
      <c r="H110" s="778">
        <f t="shared" si="33"/>
        <v>6797245</v>
      </c>
      <c r="I110" s="254">
        <v>144</v>
      </c>
      <c r="J110" s="254">
        <f t="shared" si="42"/>
        <v>47203.090277777781</v>
      </c>
      <c r="K110" s="641"/>
      <c r="L110" s="641"/>
      <c r="M110" s="188" t="s">
        <v>1241</v>
      </c>
      <c r="N110" s="740">
        <f t="shared" si="23"/>
        <v>42487</v>
      </c>
      <c r="O110" s="295">
        <v>20</v>
      </c>
      <c r="P110" s="253">
        <v>7290</v>
      </c>
      <c r="Q110" s="8">
        <f t="shared" si="43"/>
        <v>145800</v>
      </c>
      <c r="R110" s="436" t="s">
        <v>669</v>
      </c>
      <c r="S110" s="741">
        <v>42489</v>
      </c>
    </row>
    <row r="111" spans="1:19">
      <c r="A111" s="752">
        <f t="shared" si="32"/>
        <v>39</v>
      </c>
      <c r="B111" s="292" t="s">
        <v>477</v>
      </c>
      <c r="C111" s="778">
        <f t="shared" si="21"/>
        <v>626008</v>
      </c>
      <c r="D111" s="778">
        <v>21608300</v>
      </c>
      <c r="E111" s="254">
        <f t="shared" si="41"/>
        <v>93795.187862984472</v>
      </c>
      <c r="F111" s="254">
        <f t="shared" si="41"/>
        <v>17712.016119473745</v>
      </c>
      <c r="G111" s="254">
        <f t="shared" si="41"/>
        <v>0</v>
      </c>
      <c r="H111" s="778">
        <f t="shared" si="33"/>
        <v>22345815</v>
      </c>
      <c r="I111" s="254">
        <v>350</v>
      </c>
      <c r="J111" s="254">
        <f t="shared" si="42"/>
        <v>63845.185714285712</v>
      </c>
      <c r="K111" s="641"/>
      <c r="L111" s="641"/>
      <c r="M111" s="292" t="s">
        <v>1185</v>
      </c>
      <c r="N111" s="740">
        <f t="shared" si="23"/>
        <v>42487</v>
      </c>
      <c r="O111" s="295">
        <v>68</v>
      </c>
      <c r="P111" s="758">
        <v>9206</v>
      </c>
      <c r="Q111" s="8">
        <f t="shared" si="43"/>
        <v>626008</v>
      </c>
      <c r="R111" s="436" t="s">
        <v>669</v>
      </c>
      <c r="S111" s="741">
        <v>42489</v>
      </c>
    </row>
    <row r="112" spans="1:19">
      <c r="A112" s="752">
        <f t="shared" si="32"/>
        <v>40</v>
      </c>
      <c r="B112" s="292" t="s">
        <v>538</v>
      </c>
      <c r="C112" s="778">
        <f t="shared" si="21"/>
        <v>105570</v>
      </c>
      <c r="D112" s="778">
        <v>5147556</v>
      </c>
      <c r="E112" s="8">
        <f t="shared" si="41"/>
        <v>20366.955078819487</v>
      </c>
      <c r="F112" s="8">
        <f t="shared" si="41"/>
        <v>3846.0377859428704</v>
      </c>
      <c r="G112" s="8">
        <f t="shared" si="41"/>
        <v>0</v>
      </c>
      <c r="H112" s="778">
        <f t="shared" si="33"/>
        <v>5277339</v>
      </c>
      <c r="I112" s="254">
        <v>76</v>
      </c>
      <c r="J112" s="254">
        <f t="shared" si="42"/>
        <v>69438.671052631573</v>
      </c>
      <c r="K112" s="641"/>
      <c r="L112" s="641"/>
      <c r="M112" s="188" t="s">
        <v>1189</v>
      </c>
      <c r="N112" s="740">
        <f t="shared" si="23"/>
        <v>42487</v>
      </c>
      <c r="O112" s="295">
        <v>10</v>
      </c>
      <c r="P112" s="255">
        <v>10557</v>
      </c>
      <c r="Q112" s="8">
        <f t="shared" si="43"/>
        <v>105570</v>
      </c>
      <c r="R112" s="436" t="s">
        <v>669</v>
      </c>
      <c r="S112" s="741">
        <v>42489</v>
      </c>
    </row>
    <row r="113" spans="1:19">
      <c r="A113" s="752">
        <f t="shared" si="32"/>
        <v>41</v>
      </c>
      <c r="B113" s="292" t="s">
        <v>671</v>
      </c>
      <c r="C113" s="778">
        <f t="shared" si="21"/>
        <v>191160</v>
      </c>
      <c r="D113" s="778">
        <v>2212780</v>
      </c>
      <c r="E113" s="254">
        <f t="shared" ref="E113:G137" si="44">IF($I$140&lt;&gt;0,E$140/$I$140*$I113,0)</f>
        <v>5359.7250207419702</v>
      </c>
      <c r="F113" s="254">
        <f t="shared" si="44"/>
        <v>1012.1152068270712</v>
      </c>
      <c r="G113" s="254">
        <f t="shared" si="44"/>
        <v>0</v>
      </c>
      <c r="H113" s="778">
        <f t="shared" si="33"/>
        <v>2410312</v>
      </c>
      <c r="I113" s="254">
        <v>20</v>
      </c>
      <c r="J113" s="254">
        <f t="shared" si="42"/>
        <v>120515.6</v>
      </c>
      <c r="K113" s="641"/>
      <c r="L113" s="641"/>
      <c r="M113" s="188" t="s">
        <v>1289</v>
      </c>
      <c r="N113" s="740">
        <f t="shared" si="23"/>
        <v>42487</v>
      </c>
      <c r="O113" s="295">
        <v>10</v>
      </c>
      <c r="P113" s="255">
        <v>19116</v>
      </c>
      <c r="Q113" s="8">
        <f t="shared" si="43"/>
        <v>191160</v>
      </c>
      <c r="R113" s="436" t="s">
        <v>669</v>
      </c>
      <c r="S113" s="741">
        <v>42489</v>
      </c>
    </row>
    <row r="114" spans="1:19">
      <c r="A114" s="752">
        <f t="shared" si="32"/>
        <v>42</v>
      </c>
      <c r="B114" s="292" t="s">
        <v>627</v>
      </c>
      <c r="C114" s="778">
        <f t="shared" ref="C114:C125" si="45">Q114</f>
        <v>257400</v>
      </c>
      <c r="D114" s="778">
        <v>6811273</v>
      </c>
      <c r="E114" s="254">
        <f t="shared" si="44"/>
        <v>293980.91738769703</v>
      </c>
      <c r="F114" s="254">
        <f t="shared" si="44"/>
        <v>55514.519094464857</v>
      </c>
      <c r="G114" s="254">
        <f t="shared" si="44"/>
        <v>0</v>
      </c>
      <c r="H114" s="778">
        <f t="shared" ref="H114:H125" si="46">ROUND(SUM(C114:G114),0)</f>
        <v>7418168</v>
      </c>
      <c r="I114" s="254">
        <v>1097</v>
      </c>
      <c r="J114" s="254">
        <f t="shared" si="30"/>
        <v>6762.231540565178</v>
      </c>
      <c r="K114" s="641"/>
      <c r="L114" s="641"/>
      <c r="M114" s="188" t="s">
        <v>1258</v>
      </c>
      <c r="N114" s="740">
        <f t="shared" si="23"/>
        <v>42500</v>
      </c>
      <c r="O114" s="775">
        <v>10</v>
      </c>
      <c r="P114" s="255">
        <v>25740</v>
      </c>
      <c r="Q114" s="8">
        <f t="shared" si="31"/>
        <v>257400</v>
      </c>
      <c r="R114" s="436" t="s">
        <v>686</v>
      </c>
      <c r="S114" s="741">
        <v>42502</v>
      </c>
    </row>
    <row r="115" spans="1:19">
      <c r="A115" s="752">
        <f t="shared" si="32"/>
        <v>43</v>
      </c>
      <c r="B115" s="292" t="s">
        <v>627</v>
      </c>
      <c r="C115" s="778">
        <f t="shared" si="45"/>
        <v>320625</v>
      </c>
      <c r="D115" s="778">
        <v>8642928</v>
      </c>
      <c r="E115" s="254">
        <f t="shared" si="44"/>
        <v>373036.86144364113</v>
      </c>
      <c r="F115" s="254">
        <f t="shared" si="44"/>
        <v>70443.218395164149</v>
      </c>
      <c r="G115" s="254">
        <f t="shared" si="44"/>
        <v>0</v>
      </c>
      <c r="H115" s="778">
        <f t="shared" si="46"/>
        <v>9407033</v>
      </c>
      <c r="I115" s="254">
        <v>1392</v>
      </c>
      <c r="J115" s="254">
        <f t="shared" si="30"/>
        <v>6757.9260057471265</v>
      </c>
      <c r="K115" s="641"/>
      <c r="L115" s="641"/>
      <c r="M115" s="188" t="s">
        <v>1285</v>
      </c>
      <c r="N115" s="740">
        <f t="shared" si="23"/>
        <v>42514</v>
      </c>
      <c r="O115" s="295">
        <v>15</v>
      </c>
      <c r="P115" s="255">
        <v>21375</v>
      </c>
      <c r="Q115" s="8">
        <f t="shared" si="31"/>
        <v>320625</v>
      </c>
      <c r="R115" s="436" t="s">
        <v>691</v>
      </c>
      <c r="S115" s="741">
        <v>42516</v>
      </c>
    </row>
    <row r="116" spans="1:19">
      <c r="A116" s="752">
        <f t="shared" si="32"/>
        <v>44</v>
      </c>
      <c r="B116" s="292" t="s">
        <v>696</v>
      </c>
      <c r="C116" s="778">
        <f t="shared" si="45"/>
        <v>373600</v>
      </c>
      <c r="D116" s="778">
        <v>11115000</v>
      </c>
      <c r="E116" s="254">
        <f t="shared" si="44"/>
        <v>267986.25103709853</v>
      </c>
      <c r="F116" s="254">
        <f t="shared" si="44"/>
        <v>50605.760341353562</v>
      </c>
      <c r="G116" s="254">
        <f t="shared" si="44"/>
        <v>0</v>
      </c>
      <c r="H116" s="778">
        <f t="shared" si="46"/>
        <v>11807192</v>
      </c>
      <c r="I116" s="254">
        <v>1000</v>
      </c>
      <c r="J116" s="254">
        <f t="shared" si="30"/>
        <v>11807.191999999999</v>
      </c>
      <c r="K116" s="641"/>
      <c r="L116" s="641"/>
      <c r="M116" s="188" t="s">
        <v>1225</v>
      </c>
      <c r="N116" s="740">
        <f t="shared" si="23"/>
        <v>42514</v>
      </c>
      <c r="O116" s="775">
        <v>40</v>
      </c>
      <c r="P116" s="255">
        <v>9340</v>
      </c>
      <c r="Q116" s="8">
        <f t="shared" si="31"/>
        <v>373600</v>
      </c>
      <c r="R116" s="436" t="s">
        <v>692</v>
      </c>
      <c r="S116" s="741">
        <v>42516</v>
      </c>
    </row>
    <row r="117" spans="1:19">
      <c r="A117" s="752">
        <f t="shared" si="32"/>
        <v>45</v>
      </c>
      <c r="B117" s="292" t="s">
        <v>1178</v>
      </c>
      <c r="C117" s="778">
        <f t="shared" si="45"/>
        <v>1146600</v>
      </c>
      <c r="D117" s="778">
        <v>38593750</v>
      </c>
      <c r="E117" s="254">
        <f t="shared" si="44"/>
        <v>334982.81379637314</v>
      </c>
      <c r="F117" s="254">
        <f t="shared" si="44"/>
        <v>63257.200426691947</v>
      </c>
      <c r="G117" s="254">
        <f t="shared" si="44"/>
        <v>0</v>
      </c>
      <c r="H117" s="778">
        <f t="shared" si="46"/>
        <v>40138590</v>
      </c>
      <c r="I117" s="254">
        <v>1250</v>
      </c>
      <c r="J117" s="254">
        <f t="shared" si="30"/>
        <v>32110.871999999999</v>
      </c>
      <c r="K117" s="641"/>
      <c r="L117" s="641"/>
      <c r="M117" s="188" t="s">
        <v>1146</v>
      </c>
      <c r="N117" s="740">
        <f t="shared" si="23"/>
        <v>42514</v>
      </c>
      <c r="O117" s="295">
        <v>70</v>
      </c>
      <c r="P117" s="255">
        <v>16380</v>
      </c>
      <c r="Q117" s="8">
        <f t="shared" si="31"/>
        <v>1146600</v>
      </c>
      <c r="R117" s="436" t="s">
        <v>693</v>
      </c>
      <c r="S117" s="741">
        <v>42516</v>
      </c>
    </row>
    <row r="118" spans="1:19">
      <c r="A118" s="752">
        <f t="shared" si="32"/>
        <v>46</v>
      </c>
      <c r="B118" s="292" t="s">
        <v>1179</v>
      </c>
      <c r="C118" s="778">
        <f t="shared" si="45"/>
        <v>1445664</v>
      </c>
      <c r="D118" s="778">
        <v>39149500</v>
      </c>
      <c r="E118" s="254">
        <f t="shared" si="44"/>
        <v>348382.12634822802</v>
      </c>
      <c r="F118" s="254">
        <f t="shared" si="44"/>
        <v>65787.488443759619</v>
      </c>
      <c r="G118" s="254">
        <f t="shared" si="44"/>
        <v>0</v>
      </c>
      <c r="H118" s="778">
        <f t="shared" si="46"/>
        <v>41009334</v>
      </c>
      <c r="I118" s="254">
        <v>1300</v>
      </c>
      <c r="J118" s="254">
        <f t="shared" si="30"/>
        <v>31545.641538461539</v>
      </c>
      <c r="K118" s="641"/>
      <c r="L118" s="641"/>
      <c r="M118" s="188" t="s">
        <v>1144</v>
      </c>
      <c r="N118" s="740">
        <f t="shared" si="23"/>
        <v>42514</v>
      </c>
      <c r="O118" s="295">
        <v>96</v>
      </c>
      <c r="P118" s="253">
        <v>15059</v>
      </c>
      <c r="Q118" s="8">
        <f t="shared" si="31"/>
        <v>1445664</v>
      </c>
      <c r="R118" s="436" t="s">
        <v>693</v>
      </c>
      <c r="S118" s="741">
        <v>42516</v>
      </c>
    </row>
    <row r="119" spans="1:19">
      <c r="A119" s="752">
        <f t="shared" si="32"/>
        <v>47</v>
      </c>
      <c r="B119" s="292" t="s">
        <v>627</v>
      </c>
      <c r="C119" s="778">
        <f t="shared" si="45"/>
        <v>377720</v>
      </c>
      <c r="D119" s="778">
        <v>9412844</v>
      </c>
      <c r="E119" s="254">
        <f t="shared" si="44"/>
        <v>406267.15657224134</v>
      </c>
      <c r="F119" s="254">
        <f t="shared" si="44"/>
        <v>76718.332677491999</v>
      </c>
      <c r="G119" s="254">
        <f t="shared" si="44"/>
        <v>0</v>
      </c>
      <c r="H119" s="778">
        <f t="shared" si="46"/>
        <v>10273549</v>
      </c>
      <c r="I119" s="254">
        <v>1516</v>
      </c>
      <c r="J119" s="254">
        <f t="shared" si="30"/>
        <v>6776.7473614775727</v>
      </c>
      <c r="K119" s="641"/>
      <c r="L119" s="641"/>
      <c r="M119" s="188" t="s">
        <v>1224</v>
      </c>
      <c r="N119" s="740">
        <f t="shared" si="23"/>
        <v>42515</v>
      </c>
      <c r="O119" s="295">
        <v>40</v>
      </c>
      <c r="P119" s="255">
        <v>9443</v>
      </c>
      <c r="Q119" s="8">
        <f t="shared" si="31"/>
        <v>377720</v>
      </c>
      <c r="R119" s="436" t="s">
        <v>694</v>
      </c>
      <c r="S119" s="741">
        <v>42517</v>
      </c>
    </row>
    <row r="120" spans="1:19">
      <c r="A120" s="752">
        <f t="shared" si="32"/>
        <v>48</v>
      </c>
      <c r="B120" s="292" t="s">
        <v>525</v>
      </c>
      <c r="C120" s="778">
        <f t="shared" si="45"/>
        <v>241224</v>
      </c>
      <c r="D120" s="778">
        <v>8957850</v>
      </c>
      <c r="E120" s="254">
        <f t="shared" si="44"/>
        <v>143104.65805381059</v>
      </c>
      <c r="F120" s="254">
        <f t="shared" si="44"/>
        <v>27023.476022282801</v>
      </c>
      <c r="G120" s="254">
        <f t="shared" si="44"/>
        <v>0</v>
      </c>
      <c r="H120" s="778">
        <f t="shared" si="46"/>
        <v>9369202</v>
      </c>
      <c r="I120" s="254">
        <v>534</v>
      </c>
      <c r="J120" s="254">
        <f t="shared" si="30"/>
        <v>17545.322097378277</v>
      </c>
      <c r="K120" s="641"/>
      <c r="L120" s="641"/>
      <c r="M120" s="292" t="s">
        <v>1226</v>
      </c>
      <c r="N120" s="740">
        <f t="shared" si="23"/>
        <v>42519</v>
      </c>
      <c r="O120" s="775">
        <v>12</v>
      </c>
      <c r="P120" s="253">
        <v>20102</v>
      </c>
      <c r="Q120" s="8">
        <f t="shared" si="31"/>
        <v>241224</v>
      </c>
      <c r="R120" s="436" t="s">
        <v>697</v>
      </c>
      <c r="S120" s="741">
        <v>42521</v>
      </c>
    </row>
    <row r="121" spans="1:19">
      <c r="A121" s="752">
        <f t="shared" si="32"/>
        <v>49</v>
      </c>
      <c r="B121" s="292" t="s">
        <v>477</v>
      </c>
      <c r="C121" s="778">
        <f t="shared" si="45"/>
        <v>438167</v>
      </c>
      <c r="D121" s="778">
        <v>10676442</v>
      </c>
      <c r="E121" s="254">
        <f t="shared" si="44"/>
        <v>45557.662676306747</v>
      </c>
      <c r="F121" s="254">
        <f t="shared" si="44"/>
        <v>8602.9792580301055</v>
      </c>
      <c r="G121" s="254">
        <f t="shared" si="44"/>
        <v>0</v>
      </c>
      <c r="H121" s="778">
        <f t="shared" si="46"/>
        <v>11168770</v>
      </c>
      <c r="I121" s="254">
        <v>170</v>
      </c>
      <c r="J121" s="254">
        <f t="shared" si="30"/>
        <v>65698.647058823524</v>
      </c>
      <c r="K121" s="641"/>
      <c r="L121" s="641"/>
      <c r="M121" s="292" t="s">
        <v>1223</v>
      </c>
      <c r="N121" s="740">
        <f t="shared" si="23"/>
        <v>42519</v>
      </c>
      <c r="O121" s="775">
        <v>41</v>
      </c>
      <c r="P121" s="253">
        <v>10687</v>
      </c>
      <c r="Q121" s="8">
        <f t="shared" si="31"/>
        <v>438167</v>
      </c>
      <c r="R121" s="436" t="s">
        <v>697</v>
      </c>
      <c r="S121" s="741">
        <v>42521</v>
      </c>
    </row>
    <row r="122" spans="1:19">
      <c r="A122" s="752">
        <f t="shared" si="32"/>
        <v>50</v>
      </c>
      <c r="B122" s="292" t="s">
        <v>696</v>
      </c>
      <c r="C122" s="778">
        <f t="shared" si="45"/>
        <v>348726</v>
      </c>
      <c r="D122" s="778">
        <v>13029000</v>
      </c>
      <c r="E122" s="254">
        <f t="shared" si="44"/>
        <v>267986.25103709853</v>
      </c>
      <c r="F122" s="254">
        <f t="shared" si="44"/>
        <v>50605.760341353562</v>
      </c>
      <c r="G122" s="254">
        <f t="shared" si="44"/>
        <v>0</v>
      </c>
      <c r="H122" s="778">
        <f t="shared" si="46"/>
        <v>13696318</v>
      </c>
      <c r="I122" s="254">
        <v>1000</v>
      </c>
      <c r="J122" s="254">
        <f t="shared" si="30"/>
        <v>13696.317999999999</v>
      </c>
      <c r="K122" s="641"/>
      <c r="L122" s="641"/>
      <c r="M122" s="188" t="s">
        <v>1227</v>
      </c>
      <c r="N122" s="740">
        <f t="shared" si="23"/>
        <v>42521</v>
      </c>
      <c r="O122" s="295">
        <v>19</v>
      </c>
      <c r="P122" s="253">
        <v>18354</v>
      </c>
      <c r="Q122" s="8">
        <f t="shared" si="31"/>
        <v>348726</v>
      </c>
      <c r="R122" s="436" t="s">
        <v>726</v>
      </c>
      <c r="S122" s="741">
        <v>42523</v>
      </c>
    </row>
    <row r="123" spans="1:19">
      <c r="A123" s="752">
        <f t="shared" si="32"/>
        <v>51</v>
      </c>
      <c r="B123" s="292" t="s">
        <v>921</v>
      </c>
      <c r="C123" s="778">
        <f t="shared" si="45"/>
        <v>310539</v>
      </c>
      <c r="D123" s="778">
        <v>12856000</v>
      </c>
      <c r="E123" s="254">
        <f t="shared" si="44"/>
        <v>535972.50207419705</v>
      </c>
      <c r="F123" s="254">
        <f t="shared" si="44"/>
        <v>101211.52068270712</v>
      </c>
      <c r="G123" s="254">
        <f t="shared" si="44"/>
        <v>0</v>
      </c>
      <c r="H123" s="778">
        <f t="shared" si="46"/>
        <v>13803723</v>
      </c>
      <c r="I123" s="254">
        <v>2000</v>
      </c>
      <c r="J123" s="254">
        <f t="shared" si="30"/>
        <v>6901.8615</v>
      </c>
      <c r="K123" s="641"/>
      <c r="L123" s="641"/>
      <c r="M123" s="292" t="s">
        <v>1228</v>
      </c>
      <c r="N123" s="740">
        <f t="shared" si="23"/>
        <v>42525</v>
      </c>
      <c r="O123" s="295">
        <v>17</v>
      </c>
      <c r="P123" s="758">
        <v>18267</v>
      </c>
      <c r="Q123" s="8">
        <f t="shared" si="31"/>
        <v>310539</v>
      </c>
      <c r="R123" s="436" t="s">
        <v>733</v>
      </c>
      <c r="S123" s="741">
        <v>42527</v>
      </c>
    </row>
    <row r="124" spans="1:19">
      <c r="A124" s="752">
        <f t="shared" si="32"/>
        <v>52</v>
      </c>
      <c r="B124" s="292" t="s">
        <v>637</v>
      </c>
      <c r="C124" s="778">
        <f t="shared" si="45"/>
        <v>351879</v>
      </c>
      <c r="D124" s="778">
        <v>11559950</v>
      </c>
      <c r="E124" s="8">
        <f t="shared" si="44"/>
        <v>549371.81462605193</v>
      </c>
      <c r="F124" s="8">
        <f t="shared" si="44"/>
        <v>103741.80869977479</v>
      </c>
      <c r="G124" s="8">
        <f t="shared" si="44"/>
        <v>0</v>
      </c>
      <c r="H124" s="778">
        <f t="shared" si="46"/>
        <v>12564943</v>
      </c>
      <c r="I124" s="254">
        <v>2050</v>
      </c>
      <c r="J124" s="254">
        <f t="shared" si="30"/>
        <v>6129.2404878048783</v>
      </c>
      <c r="K124" s="641"/>
      <c r="L124" s="641"/>
      <c r="M124" s="188" t="s">
        <v>1238</v>
      </c>
      <c r="N124" s="740">
        <f t="shared" si="23"/>
        <v>42525</v>
      </c>
      <c r="O124" s="295">
        <v>33</v>
      </c>
      <c r="P124" s="255">
        <v>10663</v>
      </c>
      <c r="Q124" s="8">
        <f t="shared" si="31"/>
        <v>351879</v>
      </c>
      <c r="R124" s="436" t="s">
        <v>733</v>
      </c>
      <c r="S124" s="741">
        <v>42527</v>
      </c>
    </row>
    <row r="125" spans="1:19">
      <c r="A125" s="752">
        <f t="shared" si="32"/>
        <v>53</v>
      </c>
      <c r="B125" s="292" t="s">
        <v>656</v>
      </c>
      <c r="C125" s="778">
        <f t="shared" si="45"/>
        <v>604700</v>
      </c>
      <c r="D125" s="778">
        <v>21085000</v>
      </c>
      <c r="E125" s="254">
        <f t="shared" si="44"/>
        <v>1339931.2551854926</v>
      </c>
      <c r="F125" s="254">
        <f t="shared" si="44"/>
        <v>253028.80170676779</v>
      </c>
      <c r="G125" s="254">
        <f t="shared" si="44"/>
        <v>0</v>
      </c>
      <c r="H125" s="778">
        <f t="shared" si="46"/>
        <v>23282660</v>
      </c>
      <c r="I125" s="254">
        <v>5000</v>
      </c>
      <c r="J125" s="254">
        <f t="shared" si="30"/>
        <v>4656.5320000000002</v>
      </c>
      <c r="K125" s="641"/>
      <c r="L125" s="641"/>
      <c r="M125" s="188" t="s">
        <v>1262</v>
      </c>
      <c r="N125" s="740">
        <f t="shared" si="23"/>
        <v>42530</v>
      </c>
      <c r="O125" s="295">
        <v>25</v>
      </c>
      <c r="P125" s="255">
        <v>24188</v>
      </c>
      <c r="Q125" s="8">
        <f t="shared" si="31"/>
        <v>604700</v>
      </c>
      <c r="R125" s="436" t="s">
        <v>751</v>
      </c>
      <c r="S125" s="741">
        <v>42532</v>
      </c>
    </row>
    <row r="126" spans="1:19">
      <c r="A126" s="752">
        <f t="shared" si="32"/>
        <v>54</v>
      </c>
      <c r="B126" s="292" t="s">
        <v>664</v>
      </c>
      <c r="C126" s="778">
        <f t="shared" si="21"/>
        <v>579670</v>
      </c>
      <c r="D126" s="778">
        <v>17457930</v>
      </c>
      <c r="E126" s="254">
        <f t="shared" si="44"/>
        <v>56277.112717790682</v>
      </c>
      <c r="F126" s="254">
        <f t="shared" si="44"/>
        <v>10627.209671684248</v>
      </c>
      <c r="G126" s="254">
        <f t="shared" si="44"/>
        <v>0</v>
      </c>
      <c r="H126" s="778">
        <f t="shared" si="33"/>
        <v>18104504</v>
      </c>
      <c r="I126" s="254">
        <v>210</v>
      </c>
      <c r="J126" s="254">
        <f t="shared" ref="J126:J137" si="47">IF(I126&lt;&gt;"",H126/I126,"")</f>
        <v>86211.923809523811</v>
      </c>
      <c r="K126" s="641"/>
      <c r="L126" s="641"/>
      <c r="M126" s="188" t="s">
        <v>1218</v>
      </c>
      <c r="N126" s="740">
        <f t="shared" si="23"/>
        <v>42530</v>
      </c>
      <c r="O126" s="775">
        <v>65</v>
      </c>
      <c r="P126" s="255">
        <v>8918</v>
      </c>
      <c r="Q126" s="8">
        <f t="shared" ref="Q126:Q137" si="48">O126*P126</f>
        <v>579670</v>
      </c>
      <c r="R126" s="436" t="s">
        <v>751</v>
      </c>
      <c r="S126" s="741">
        <v>42532</v>
      </c>
    </row>
    <row r="127" spans="1:19">
      <c r="A127" s="752">
        <f t="shared" si="32"/>
        <v>55</v>
      </c>
      <c r="B127" s="292" t="s">
        <v>766</v>
      </c>
      <c r="C127" s="778">
        <f t="shared" si="21"/>
        <v>232484</v>
      </c>
      <c r="D127" s="778">
        <v>7751400</v>
      </c>
      <c r="E127" s="254">
        <f t="shared" si="44"/>
        <v>160791.7506222591</v>
      </c>
      <c r="F127" s="254">
        <f t="shared" si="44"/>
        <v>30363.456204812137</v>
      </c>
      <c r="G127" s="254">
        <f t="shared" si="44"/>
        <v>0</v>
      </c>
      <c r="H127" s="778">
        <f t="shared" si="33"/>
        <v>8175039</v>
      </c>
      <c r="I127" s="254">
        <v>600</v>
      </c>
      <c r="J127" s="254">
        <f t="shared" si="47"/>
        <v>13625.065000000001</v>
      </c>
      <c r="K127" s="641"/>
      <c r="L127" s="641"/>
      <c r="M127" s="188" t="s">
        <v>1233</v>
      </c>
      <c r="N127" s="740">
        <f t="shared" si="23"/>
        <v>42530</v>
      </c>
      <c r="O127" s="295">
        <v>14</v>
      </c>
      <c r="P127" s="255">
        <v>16606</v>
      </c>
      <c r="Q127" s="8">
        <f t="shared" si="48"/>
        <v>232484</v>
      </c>
      <c r="R127" s="436" t="s">
        <v>751</v>
      </c>
      <c r="S127" s="741">
        <v>42532</v>
      </c>
    </row>
    <row r="128" spans="1:19">
      <c r="A128" s="752">
        <f t="shared" si="32"/>
        <v>56</v>
      </c>
      <c r="B128" s="292" t="s">
        <v>772</v>
      </c>
      <c r="C128" s="778">
        <f t="shared" si="21"/>
        <v>689160</v>
      </c>
      <c r="D128" s="778">
        <v>976950</v>
      </c>
      <c r="E128" s="254">
        <f t="shared" si="44"/>
        <v>40197.937655564776</v>
      </c>
      <c r="F128" s="254">
        <f t="shared" si="44"/>
        <v>7590.8640512030343</v>
      </c>
      <c r="G128" s="254">
        <f t="shared" si="44"/>
        <v>0</v>
      </c>
      <c r="H128" s="778">
        <f t="shared" si="33"/>
        <v>1713899</v>
      </c>
      <c r="I128" s="254">
        <v>150</v>
      </c>
      <c r="J128" s="254">
        <f t="shared" si="47"/>
        <v>11425.993333333334</v>
      </c>
      <c r="K128" s="641"/>
      <c r="L128" s="641"/>
      <c r="M128" s="188" t="s">
        <v>1252</v>
      </c>
      <c r="N128" s="740">
        <f t="shared" si="23"/>
        <v>42530</v>
      </c>
      <c r="O128" s="775">
        <v>30</v>
      </c>
      <c r="P128" s="255">
        <v>22972</v>
      </c>
      <c r="Q128" s="8">
        <f t="shared" si="48"/>
        <v>689160</v>
      </c>
      <c r="R128" s="436" t="s">
        <v>751</v>
      </c>
      <c r="S128" s="741">
        <v>42532</v>
      </c>
    </row>
    <row r="129" spans="1:19">
      <c r="A129" s="752">
        <f t="shared" si="32"/>
        <v>57</v>
      </c>
      <c r="B129" s="292" t="s">
        <v>1178</v>
      </c>
      <c r="C129" s="778">
        <f t="shared" si="21"/>
        <v>1100280</v>
      </c>
      <c r="D129" s="778">
        <v>42000000</v>
      </c>
      <c r="E129" s="254">
        <f t="shared" si="44"/>
        <v>334982.81379637314</v>
      </c>
      <c r="F129" s="254">
        <f t="shared" si="44"/>
        <v>63257.200426691947</v>
      </c>
      <c r="G129" s="254">
        <f t="shared" si="44"/>
        <v>0</v>
      </c>
      <c r="H129" s="778">
        <f t="shared" si="33"/>
        <v>43498520</v>
      </c>
      <c r="I129" s="254">
        <v>1250</v>
      </c>
      <c r="J129" s="254">
        <f t="shared" si="47"/>
        <v>34798.815999999999</v>
      </c>
      <c r="K129" s="641"/>
      <c r="L129" s="641"/>
      <c r="M129" s="188" t="s">
        <v>1170</v>
      </c>
      <c r="N129" s="740">
        <f t="shared" si="23"/>
        <v>42533</v>
      </c>
      <c r="O129" s="295">
        <v>60</v>
      </c>
      <c r="P129" s="255">
        <v>18338</v>
      </c>
      <c r="Q129" s="8">
        <f t="shared" si="48"/>
        <v>1100280</v>
      </c>
      <c r="R129" s="436" t="s">
        <v>775</v>
      </c>
      <c r="S129" s="741">
        <v>42535</v>
      </c>
    </row>
    <row r="130" spans="1:19">
      <c r="A130" s="752">
        <f t="shared" si="32"/>
        <v>58</v>
      </c>
      <c r="B130" s="292" t="s">
        <v>1179</v>
      </c>
      <c r="C130" s="778">
        <f t="shared" si="21"/>
        <v>1132956</v>
      </c>
      <c r="D130" s="778">
        <v>40560000</v>
      </c>
      <c r="E130" s="254">
        <f t="shared" si="44"/>
        <v>348382.12634822802</v>
      </c>
      <c r="F130" s="254">
        <f t="shared" si="44"/>
        <v>65787.488443759619</v>
      </c>
      <c r="G130" s="254">
        <f t="shared" si="44"/>
        <v>0</v>
      </c>
      <c r="H130" s="778">
        <f t="shared" si="33"/>
        <v>42107126</v>
      </c>
      <c r="I130" s="254">
        <v>1300</v>
      </c>
      <c r="J130" s="254">
        <f t="shared" si="47"/>
        <v>32390.096923076922</v>
      </c>
      <c r="K130" s="641"/>
      <c r="L130" s="641"/>
      <c r="M130" s="188" t="s">
        <v>1287</v>
      </c>
      <c r="N130" s="740">
        <f t="shared" si="23"/>
        <v>42533</v>
      </c>
      <c r="O130" s="295">
        <v>72</v>
      </c>
      <c r="P130" s="253">
        <v>15735.5</v>
      </c>
      <c r="Q130" s="8">
        <f t="shared" si="48"/>
        <v>1132956</v>
      </c>
      <c r="R130" s="436" t="s">
        <v>775</v>
      </c>
      <c r="S130" s="741">
        <v>42535</v>
      </c>
    </row>
    <row r="131" spans="1:19">
      <c r="A131" s="752">
        <f t="shared" si="32"/>
        <v>59</v>
      </c>
      <c r="B131" s="292" t="s">
        <v>659</v>
      </c>
      <c r="C131" s="778">
        <f t="shared" si="21"/>
        <v>610740</v>
      </c>
      <c r="D131" s="778">
        <v>8771000</v>
      </c>
      <c r="E131" s="254">
        <f t="shared" si="44"/>
        <v>267986.25103709853</v>
      </c>
      <c r="F131" s="254">
        <f t="shared" si="44"/>
        <v>50605.760341353562</v>
      </c>
      <c r="G131" s="254">
        <f t="shared" si="44"/>
        <v>0</v>
      </c>
      <c r="H131" s="778">
        <f t="shared" si="33"/>
        <v>9700332</v>
      </c>
      <c r="I131" s="254">
        <v>1000</v>
      </c>
      <c r="J131" s="254">
        <f t="shared" si="47"/>
        <v>9700.3320000000003</v>
      </c>
      <c r="K131" s="641"/>
      <c r="L131" s="641"/>
      <c r="M131" s="188" t="s">
        <v>1292</v>
      </c>
      <c r="N131" s="740">
        <f t="shared" si="23"/>
        <v>42534</v>
      </c>
      <c r="O131" s="295">
        <v>30</v>
      </c>
      <c r="P131" s="255">
        <v>20358</v>
      </c>
      <c r="Q131" s="8">
        <f t="shared" si="48"/>
        <v>610740</v>
      </c>
      <c r="R131" s="436" t="s">
        <v>778</v>
      </c>
      <c r="S131" s="741">
        <v>42536</v>
      </c>
    </row>
    <row r="132" spans="1:19">
      <c r="A132" s="752">
        <f t="shared" si="32"/>
        <v>60</v>
      </c>
      <c r="B132" s="292" t="s">
        <v>921</v>
      </c>
      <c r="C132" s="778">
        <f t="shared" si="21"/>
        <v>307580</v>
      </c>
      <c r="D132" s="778">
        <v>12958000</v>
      </c>
      <c r="E132" s="254">
        <f t="shared" si="44"/>
        <v>535972.50207419705</v>
      </c>
      <c r="F132" s="254">
        <f t="shared" si="44"/>
        <v>101211.52068270712</v>
      </c>
      <c r="G132" s="254">
        <f t="shared" si="44"/>
        <v>0</v>
      </c>
      <c r="H132" s="778">
        <f t="shared" si="33"/>
        <v>13902764</v>
      </c>
      <c r="I132" s="254">
        <v>2000</v>
      </c>
      <c r="J132" s="254">
        <f t="shared" si="47"/>
        <v>6951.3819999999996</v>
      </c>
      <c r="K132" s="641"/>
      <c r="L132" s="641"/>
      <c r="M132" s="292" t="s">
        <v>1221</v>
      </c>
      <c r="N132" s="740">
        <f t="shared" si="23"/>
        <v>42542</v>
      </c>
      <c r="O132" s="775">
        <v>20</v>
      </c>
      <c r="P132" s="253">
        <v>15379</v>
      </c>
      <c r="Q132" s="8">
        <f t="shared" si="48"/>
        <v>307580</v>
      </c>
      <c r="R132" s="436" t="s">
        <v>784</v>
      </c>
      <c r="S132" s="741">
        <v>42544</v>
      </c>
    </row>
    <row r="133" spans="1:19">
      <c r="A133" s="752">
        <f t="shared" si="32"/>
        <v>61</v>
      </c>
      <c r="B133" s="292" t="s">
        <v>637</v>
      </c>
      <c r="C133" s="778">
        <f t="shared" si="21"/>
        <v>285530</v>
      </c>
      <c r="D133" s="778">
        <v>11352000</v>
      </c>
      <c r="E133" s="254">
        <f t="shared" si="44"/>
        <v>535972.50207419705</v>
      </c>
      <c r="F133" s="254">
        <f t="shared" si="44"/>
        <v>101211.52068270712</v>
      </c>
      <c r="G133" s="254">
        <f t="shared" si="44"/>
        <v>0</v>
      </c>
      <c r="H133" s="778">
        <f t="shared" si="33"/>
        <v>12274714</v>
      </c>
      <c r="I133" s="254">
        <v>2000</v>
      </c>
      <c r="J133" s="254">
        <f t="shared" si="47"/>
        <v>6137.357</v>
      </c>
      <c r="K133" s="641"/>
      <c r="L133" s="641"/>
      <c r="M133" s="292" t="s">
        <v>1248</v>
      </c>
      <c r="N133" s="740">
        <f t="shared" si="23"/>
        <v>42542</v>
      </c>
      <c r="O133" s="775">
        <v>10</v>
      </c>
      <c r="P133" s="253">
        <v>28553</v>
      </c>
      <c r="Q133" s="8">
        <f t="shared" si="48"/>
        <v>285530</v>
      </c>
      <c r="R133" s="436" t="s">
        <v>784</v>
      </c>
      <c r="S133" s="741">
        <v>42544</v>
      </c>
    </row>
    <row r="134" spans="1:19">
      <c r="A134" s="752">
        <f t="shared" si="32"/>
        <v>62</v>
      </c>
      <c r="B134" s="292" t="s">
        <v>1302</v>
      </c>
      <c r="C134" s="778">
        <f t="shared" si="21"/>
        <v>315942</v>
      </c>
      <c r="D134" s="778">
        <v>1173744</v>
      </c>
      <c r="E134" s="254">
        <f t="shared" si="44"/>
        <v>15275.216309114614</v>
      </c>
      <c r="F134" s="254">
        <f t="shared" si="44"/>
        <v>2884.5283394571529</v>
      </c>
      <c r="G134" s="254">
        <f t="shared" si="44"/>
        <v>0</v>
      </c>
      <c r="H134" s="778">
        <f t="shared" si="33"/>
        <v>1507846</v>
      </c>
      <c r="I134" s="254">
        <v>57</v>
      </c>
      <c r="J134" s="254">
        <f t="shared" si="47"/>
        <v>26453.438596491229</v>
      </c>
      <c r="K134" s="641"/>
      <c r="L134" s="641"/>
      <c r="M134" s="188" t="s">
        <v>1255</v>
      </c>
      <c r="N134" s="740">
        <f t="shared" si="23"/>
        <v>42546</v>
      </c>
      <c r="O134" s="295">
        <v>11</v>
      </c>
      <c r="P134" s="253">
        <v>28722</v>
      </c>
      <c r="Q134" s="8">
        <f t="shared" si="48"/>
        <v>315942</v>
      </c>
      <c r="R134" s="436" t="s">
        <v>786</v>
      </c>
      <c r="S134" s="741">
        <v>42548</v>
      </c>
    </row>
    <row r="135" spans="1:19">
      <c r="A135" s="752">
        <f t="shared" si="32"/>
        <v>63</v>
      </c>
      <c r="B135" s="292" t="s">
        <v>659</v>
      </c>
      <c r="C135" s="778">
        <f t="shared" si="21"/>
        <v>483780</v>
      </c>
      <c r="D135" s="778">
        <v>8630664</v>
      </c>
      <c r="E135" s="254">
        <f t="shared" si="44"/>
        <v>263698.47102050495</v>
      </c>
      <c r="F135" s="254">
        <f t="shared" si="44"/>
        <v>49796.068175891902</v>
      </c>
      <c r="G135" s="254">
        <f t="shared" si="44"/>
        <v>0</v>
      </c>
      <c r="H135" s="778">
        <f t="shared" si="33"/>
        <v>9427939</v>
      </c>
      <c r="I135" s="254">
        <v>984</v>
      </c>
      <c r="J135" s="254">
        <f t="shared" si="47"/>
        <v>9581.2388211382113</v>
      </c>
      <c r="K135" s="641"/>
      <c r="L135" s="641"/>
      <c r="M135" s="292" t="s">
        <v>1190</v>
      </c>
      <c r="N135" s="740">
        <f t="shared" si="23"/>
        <v>42546</v>
      </c>
      <c r="O135" s="295">
        <v>30</v>
      </c>
      <c r="P135" s="758">
        <v>16126</v>
      </c>
      <c r="Q135" s="8">
        <f t="shared" si="48"/>
        <v>483780</v>
      </c>
      <c r="R135" s="436" t="s">
        <v>788</v>
      </c>
      <c r="S135" s="741">
        <v>42548</v>
      </c>
    </row>
    <row r="136" spans="1:19">
      <c r="A136" s="752">
        <f t="shared" si="32"/>
        <v>64</v>
      </c>
      <c r="B136" s="292" t="s">
        <v>1178</v>
      </c>
      <c r="C136" s="778">
        <f t="shared" si="21"/>
        <v>1059840</v>
      </c>
      <c r="D136" s="778">
        <v>37944000</v>
      </c>
      <c r="E136" s="8">
        <f t="shared" si="44"/>
        <v>341682.47007230058</v>
      </c>
      <c r="F136" s="8">
        <f t="shared" si="44"/>
        <v>64522.344435225787</v>
      </c>
      <c r="G136" s="8">
        <f t="shared" si="44"/>
        <v>0</v>
      </c>
      <c r="H136" s="778">
        <f t="shared" si="33"/>
        <v>39410045</v>
      </c>
      <c r="I136" s="254">
        <v>1275</v>
      </c>
      <c r="J136" s="254">
        <f t="shared" si="47"/>
        <v>30909.839215686276</v>
      </c>
      <c r="K136" s="641"/>
      <c r="L136" s="641"/>
      <c r="M136" s="188" t="s">
        <v>1204</v>
      </c>
      <c r="N136" s="740">
        <f t="shared" si="23"/>
        <v>42549</v>
      </c>
      <c r="O136" s="295">
        <v>60</v>
      </c>
      <c r="P136" s="255">
        <v>17664</v>
      </c>
      <c r="Q136" s="8">
        <f t="shared" si="48"/>
        <v>1059840</v>
      </c>
      <c r="R136" s="436" t="s">
        <v>803</v>
      </c>
      <c r="S136" s="741">
        <v>42551</v>
      </c>
    </row>
    <row r="137" spans="1:19">
      <c r="A137" s="752">
        <f t="shared" si="32"/>
        <v>65</v>
      </c>
      <c r="B137" s="292" t="s">
        <v>1302</v>
      </c>
      <c r="C137" s="778">
        <f t="shared" si="21"/>
        <v>687735</v>
      </c>
      <c r="D137" s="778">
        <v>31393536</v>
      </c>
      <c r="E137" s="254">
        <f t="shared" si="44"/>
        <v>267182.29228398722</v>
      </c>
      <c r="F137" s="254">
        <f t="shared" si="44"/>
        <v>50453.943060329497</v>
      </c>
      <c r="G137" s="254">
        <f t="shared" si="44"/>
        <v>0</v>
      </c>
      <c r="H137" s="778">
        <f t="shared" si="33"/>
        <v>32398907</v>
      </c>
      <c r="I137" s="254">
        <v>997</v>
      </c>
      <c r="J137" s="254">
        <f t="shared" si="47"/>
        <v>32496.396188565697</v>
      </c>
      <c r="K137" s="641"/>
      <c r="L137" s="641"/>
      <c r="M137" s="188" t="s">
        <v>1166</v>
      </c>
      <c r="N137" s="740">
        <f t="shared" ref="N137:N138" si="49">S137-2</f>
        <v>42549</v>
      </c>
      <c r="O137" s="295">
        <v>30</v>
      </c>
      <c r="P137" s="255">
        <v>22924.5</v>
      </c>
      <c r="Q137" s="8">
        <f t="shared" si="48"/>
        <v>687735</v>
      </c>
      <c r="R137" s="436" t="s">
        <v>803</v>
      </c>
      <c r="S137" s="741">
        <v>42551</v>
      </c>
    </row>
    <row r="138" spans="1:19">
      <c r="A138" s="752">
        <f t="shared" ref="A138" si="50">IF(B138&lt;&gt;"",A137+1,"")</f>
        <v>66</v>
      </c>
      <c r="B138" s="292" t="s">
        <v>477</v>
      </c>
      <c r="C138" s="778">
        <f t="shared" ref="C138" si="51">Q138</f>
        <v>285125</v>
      </c>
      <c r="D138" s="778">
        <v>11545200</v>
      </c>
      <c r="E138" s="254">
        <f t="shared" ref="E138:G138" si="52">IF($I$140&lt;&gt;0,E$140/$I$140*$I138,0)</f>
        <v>48237.525186677733</v>
      </c>
      <c r="F138" s="254">
        <f t="shared" si="52"/>
        <v>9109.0368614436411</v>
      </c>
      <c r="G138" s="254">
        <f t="shared" si="52"/>
        <v>0</v>
      </c>
      <c r="H138" s="778">
        <f t="shared" ref="H138" si="53">ROUND(SUM(C138:G138),0)</f>
        <v>11887672</v>
      </c>
      <c r="I138" s="254">
        <v>180</v>
      </c>
      <c r="J138" s="254">
        <f t="shared" ref="J138" si="54">IF(I138&lt;&gt;"",H138/I138,"")</f>
        <v>66042.622222222228</v>
      </c>
      <c r="K138" s="641"/>
      <c r="L138" s="641"/>
      <c r="M138" s="188" t="s">
        <v>1215</v>
      </c>
      <c r="N138" s="740">
        <f t="shared" si="49"/>
        <v>42549</v>
      </c>
      <c r="O138" s="295">
        <v>25</v>
      </c>
      <c r="P138" s="255">
        <v>11405</v>
      </c>
      <c r="Q138" s="8">
        <f t="shared" ref="Q138" si="55">O138*P138</f>
        <v>285125</v>
      </c>
      <c r="R138" s="436" t="s">
        <v>804</v>
      </c>
      <c r="S138" s="741">
        <v>42551</v>
      </c>
    </row>
    <row r="139" spans="1:19" s="743" customFormat="1">
      <c r="A139" s="752"/>
      <c r="B139" s="292"/>
      <c r="C139" s="778"/>
      <c r="D139" s="778"/>
      <c r="E139" s="254"/>
      <c r="F139" s="254"/>
      <c r="G139" s="254"/>
      <c r="H139" s="778"/>
      <c r="I139" s="254"/>
      <c r="J139" s="254"/>
      <c r="K139" s="641"/>
      <c r="L139" s="641"/>
      <c r="M139" s="188"/>
      <c r="N139" s="741"/>
      <c r="O139" s="295"/>
      <c r="P139" s="255"/>
      <c r="Q139" s="8"/>
      <c r="R139" s="436"/>
      <c r="S139" s="741"/>
    </row>
    <row r="140" spans="1:19" s="722" customFormat="1">
      <c r="A140" s="727"/>
      <c r="B140" s="728" t="s">
        <v>235</v>
      </c>
      <c r="C140" s="516">
        <f>SUM(C69:C139)</f>
        <v>108890262</v>
      </c>
      <c r="D140" s="516">
        <f>SUM(D69:D139)</f>
        <v>566278364</v>
      </c>
      <c r="E140" s="516">
        <v>11305000</v>
      </c>
      <c r="F140" s="516">
        <v>2134804</v>
      </c>
      <c r="G140" s="516"/>
      <c r="H140" s="516">
        <f>ROUND(SUM(H69:H139),0)</f>
        <v>688608435</v>
      </c>
      <c r="I140" s="516">
        <f>ROUND(SUM(I69:I139),0)</f>
        <v>42185</v>
      </c>
      <c r="J140" s="516"/>
      <c r="K140" s="735"/>
      <c r="L140" s="735"/>
      <c r="M140" s="744"/>
      <c r="N140" s="745"/>
      <c r="O140" s="776"/>
      <c r="P140" s="27"/>
      <c r="Q140" s="47">
        <f>SUM(Q69:Q139)</f>
        <v>108890262</v>
      </c>
      <c r="R140" s="744"/>
      <c r="S140" s="745"/>
    </row>
    <row r="141" spans="1:19" s="722" customFormat="1">
      <c r="A141" s="729"/>
      <c r="B141" s="730"/>
      <c r="C141" s="723"/>
      <c r="D141" s="723"/>
      <c r="E141" s="723"/>
      <c r="F141" s="723"/>
      <c r="G141" s="723"/>
      <c r="H141" s="723"/>
      <c r="I141" s="723"/>
      <c r="J141" s="723"/>
      <c r="K141" s="735"/>
      <c r="L141" s="735"/>
      <c r="M141" s="437"/>
      <c r="N141" s="746"/>
      <c r="O141" s="774"/>
      <c r="P141" s="738"/>
      <c r="Q141" s="747"/>
      <c r="R141" s="437"/>
      <c r="S141" s="746"/>
    </row>
    <row r="142" spans="1:19" s="722" customFormat="1">
      <c r="A142" s="729"/>
      <c r="B142" s="730"/>
      <c r="C142" s="723"/>
      <c r="D142" s="723"/>
      <c r="E142" s="723"/>
      <c r="F142" s="723"/>
      <c r="G142" s="723"/>
      <c r="H142" s="723"/>
      <c r="I142" s="723"/>
      <c r="J142" s="723"/>
      <c r="K142" s="735"/>
      <c r="L142" s="735"/>
      <c r="M142" s="437"/>
      <c r="N142" s="746"/>
      <c r="O142" s="774"/>
      <c r="P142" s="738"/>
      <c r="Q142" s="747"/>
      <c r="R142" s="437"/>
      <c r="S142" s="746"/>
    </row>
    <row r="143" spans="1:19">
      <c r="M143" s="437"/>
      <c r="N143" s="746"/>
      <c r="O143" s="774"/>
      <c r="P143" s="738"/>
      <c r="Q143" s="747"/>
      <c r="R143" s="437"/>
      <c r="S143" s="746"/>
    </row>
    <row r="144" spans="1:19" ht="18" hidden="1" customHeight="1">
      <c r="A144" s="554" t="str">
        <f>TH!$A$1</f>
        <v>Đơn vị: CÔNG TY TNHH MỘT THÀNH VIÊN KHỞI NGUYÊN AN</v>
      </c>
      <c r="B144" s="722"/>
      <c r="C144" s="289"/>
      <c r="D144" s="289"/>
      <c r="E144" s="289"/>
      <c r="F144" s="289"/>
      <c r="G144" s="289"/>
      <c r="H144" s="289"/>
      <c r="I144" s="582"/>
      <c r="J144" s="289"/>
      <c r="K144" s="735"/>
      <c r="L144" s="735"/>
      <c r="M144" s="437"/>
      <c r="N144" s="746"/>
      <c r="O144" s="774"/>
      <c r="P144" s="738"/>
      <c r="Q144" s="747"/>
      <c r="R144" s="437"/>
      <c r="S144" s="746"/>
    </row>
    <row r="145" spans="1:19" ht="18.75" customHeight="1">
      <c r="A145" s="723" t="s">
        <v>1017</v>
      </c>
      <c r="B145" s="723"/>
      <c r="C145" s="723"/>
      <c r="D145" s="723"/>
      <c r="E145" s="723"/>
      <c r="F145" s="723"/>
      <c r="G145" s="723"/>
      <c r="H145" s="723"/>
      <c r="I145" s="723"/>
      <c r="J145" s="723"/>
      <c r="K145" s="735"/>
      <c r="L145" s="735"/>
      <c r="M145" s="437"/>
      <c r="N145" s="746"/>
      <c r="O145" s="774"/>
      <c r="P145" s="738"/>
      <c r="Q145" s="747"/>
      <c r="R145" s="437"/>
      <c r="S145" s="746"/>
    </row>
    <row r="146" spans="1:19" ht="12.75" hidden="1" customHeight="1">
      <c r="A146" s="762"/>
      <c r="B146" s="754"/>
      <c r="C146" s="754"/>
      <c r="D146" s="754"/>
      <c r="E146" s="754"/>
      <c r="F146" s="754"/>
      <c r="G146" s="754"/>
      <c r="H146" s="754"/>
      <c r="I146" s="737"/>
      <c r="J146" s="754"/>
      <c r="K146" s="735"/>
      <c r="L146" s="735"/>
      <c r="M146" s="437"/>
      <c r="N146" s="746"/>
      <c r="O146" s="774"/>
      <c r="P146" s="738"/>
      <c r="Q146" s="747"/>
      <c r="R146" s="437"/>
      <c r="S146" s="746"/>
    </row>
    <row r="147" spans="1:19" s="434" customFormat="1" ht="30.75" customHeight="1">
      <c r="A147" s="779" t="s">
        <v>35</v>
      </c>
      <c r="B147" s="430" t="s">
        <v>227</v>
      </c>
      <c r="C147" s="431" t="s">
        <v>230</v>
      </c>
      <c r="D147" s="431"/>
      <c r="E147" s="431" t="s">
        <v>364</v>
      </c>
      <c r="F147" s="431" t="s">
        <v>231</v>
      </c>
      <c r="G147" s="431" t="s">
        <v>356</v>
      </c>
      <c r="H147" s="431" t="s">
        <v>232</v>
      </c>
      <c r="I147" s="432" t="s">
        <v>228</v>
      </c>
      <c r="J147" s="431" t="s">
        <v>233</v>
      </c>
      <c r="K147" s="433"/>
      <c r="L147" s="433"/>
      <c r="M147" s="430" t="s">
        <v>227</v>
      </c>
      <c r="N147" s="431" t="s">
        <v>221</v>
      </c>
      <c r="O147" s="770" t="s">
        <v>187</v>
      </c>
      <c r="P147" s="431" t="s">
        <v>229</v>
      </c>
      <c r="Q147" s="431" t="s">
        <v>234</v>
      </c>
      <c r="R147" s="430" t="s">
        <v>227</v>
      </c>
      <c r="S147" s="431" t="s">
        <v>221</v>
      </c>
    </row>
    <row r="148" spans="1:19" ht="13.5" customHeight="1">
      <c r="A148" s="725">
        <f>IF(B148&lt;&gt;"",ROW()-(ROW()-1),"")</f>
        <v>1</v>
      </c>
      <c r="B148" s="292" t="s">
        <v>1440</v>
      </c>
      <c r="C148" s="25">
        <f>Q148</f>
        <v>352755</v>
      </c>
      <c r="D148" s="25">
        <v>8915265</v>
      </c>
      <c r="E148" s="726">
        <f t="shared" ref="E148:G167" si="56">IF($I$193&lt;&gt;0,E$193/$I$193*$I148,0)</f>
        <v>22701.98937087044</v>
      </c>
      <c r="F148" s="726">
        <f t="shared" si="56"/>
        <v>0</v>
      </c>
      <c r="G148" s="726">
        <f t="shared" si="56"/>
        <v>0</v>
      </c>
      <c r="H148" s="25">
        <f>SUM(C148:G148)</f>
        <v>9290721.9893708713</v>
      </c>
      <c r="I148" s="726">
        <v>81</v>
      </c>
      <c r="J148" s="726">
        <f>IF(I148&lt;&gt;"",H148/I148,"")</f>
        <v>114700.27147371446</v>
      </c>
      <c r="K148" s="641">
        <v>115858</v>
      </c>
      <c r="L148" s="641"/>
      <c r="M148" s="188" t="s">
        <v>1276</v>
      </c>
      <c r="N148" s="740">
        <f>S148-2</f>
        <v>42564</v>
      </c>
      <c r="O148" s="295">
        <v>15</v>
      </c>
      <c r="P148" s="758">
        <v>23517</v>
      </c>
      <c r="Q148" s="25">
        <f t="shared" ref="Q148:Q149" si="57">ROUND(O148*P148,0)</f>
        <v>352755</v>
      </c>
      <c r="R148" s="833" t="s">
        <v>1436</v>
      </c>
      <c r="S148" s="190">
        <v>42566</v>
      </c>
    </row>
    <row r="149" spans="1:19" ht="13.5" customHeight="1">
      <c r="A149" s="725">
        <f>IF(B149&lt;&gt;"",A148+1,"")</f>
        <v>2</v>
      </c>
      <c r="B149" s="292" t="s">
        <v>921</v>
      </c>
      <c r="C149" s="25">
        <f t="shared" ref="C149:C171" si="58">Q149</f>
        <v>1907460</v>
      </c>
      <c r="D149" s="25">
        <v>42750000</v>
      </c>
      <c r="E149" s="726">
        <f t="shared" si="56"/>
        <v>1401357.3685722493</v>
      </c>
      <c r="F149" s="726">
        <f t="shared" si="56"/>
        <v>0</v>
      </c>
      <c r="G149" s="726">
        <f t="shared" si="56"/>
        <v>0</v>
      </c>
      <c r="H149" s="25">
        <f t="shared" ref="H149:H162" si="59">SUM(C149:G149)</f>
        <v>46058817.36857225</v>
      </c>
      <c r="I149" s="726">
        <v>5000</v>
      </c>
      <c r="J149" s="726">
        <f t="shared" ref="J149:J152" si="60">IF(I149&lt;&gt;"",H149/I149,"")</f>
        <v>9211.7634737144508</v>
      </c>
      <c r="K149" s="641">
        <v>9000</v>
      </c>
      <c r="L149" s="641"/>
      <c r="M149" s="292" t="s">
        <v>1115</v>
      </c>
      <c r="N149" s="740">
        <f t="shared" ref="N149:N171" si="61">S149-2</f>
        <v>42574</v>
      </c>
      <c r="O149" s="295">
        <v>180</v>
      </c>
      <c r="P149" s="758">
        <v>10597</v>
      </c>
      <c r="Q149" s="25">
        <f t="shared" si="57"/>
        <v>1907460</v>
      </c>
      <c r="R149" s="833" t="s">
        <v>1445</v>
      </c>
      <c r="S149" s="190">
        <v>42576</v>
      </c>
    </row>
    <row r="150" spans="1:19" ht="13.5" customHeight="1">
      <c r="A150" s="725">
        <f t="shared" ref="A150:A162" si="62">IF(B150&lt;&gt;"",A149+1,"")</f>
        <v>3</v>
      </c>
      <c r="B150" s="292" t="s">
        <v>1447</v>
      </c>
      <c r="C150" s="25">
        <f t="shared" si="58"/>
        <v>304920</v>
      </c>
      <c r="D150" s="25">
        <v>9747000</v>
      </c>
      <c r="E150" s="726">
        <f t="shared" si="56"/>
        <v>140135.73685722495</v>
      </c>
      <c r="F150" s="726">
        <f t="shared" si="56"/>
        <v>0</v>
      </c>
      <c r="G150" s="726">
        <f t="shared" si="56"/>
        <v>0</v>
      </c>
      <c r="H150" s="25">
        <f t="shared" si="59"/>
        <v>10192055.736857224</v>
      </c>
      <c r="I150" s="726">
        <v>500</v>
      </c>
      <c r="J150" s="726">
        <f t="shared" si="60"/>
        <v>20384.111473714449</v>
      </c>
      <c r="K150" s="641">
        <v>20520</v>
      </c>
      <c r="L150" s="641"/>
      <c r="M150" s="191" t="s">
        <v>1220</v>
      </c>
      <c r="N150" s="740">
        <f t="shared" si="61"/>
        <v>42574</v>
      </c>
      <c r="O150" s="295">
        <v>40</v>
      </c>
      <c r="P150" s="758">
        <v>7623</v>
      </c>
      <c r="Q150" s="25">
        <f t="shared" ref="Q150:Q192" si="63">ROUND(O150*P150,0)</f>
        <v>304920</v>
      </c>
      <c r="R150" s="833" t="s">
        <v>1446</v>
      </c>
      <c r="S150" s="190">
        <v>42576</v>
      </c>
    </row>
    <row r="151" spans="1:19" ht="13.5" customHeight="1">
      <c r="A151" s="725">
        <f t="shared" si="62"/>
        <v>4</v>
      </c>
      <c r="B151" s="292" t="s">
        <v>1178</v>
      </c>
      <c r="C151" s="25">
        <f t="shared" si="58"/>
        <v>1983200</v>
      </c>
      <c r="D151" s="25">
        <v>48562500</v>
      </c>
      <c r="E151" s="726">
        <f t="shared" si="56"/>
        <v>406393.63688595232</v>
      </c>
      <c r="F151" s="726">
        <f t="shared" si="56"/>
        <v>0</v>
      </c>
      <c r="G151" s="726">
        <f t="shared" si="56"/>
        <v>0</v>
      </c>
      <c r="H151" s="25">
        <f t="shared" si="59"/>
        <v>50952093.636885956</v>
      </c>
      <c r="I151" s="726">
        <v>1450</v>
      </c>
      <c r="J151" s="726">
        <f t="shared" si="60"/>
        <v>35139.374921990311</v>
      </c>
      <c r="K151" s="641">
        <v>35000</v>
      </c>
      <c r="L151" s="641"/>
      <c r="M151" s="292" t="s">
        <v>1114</v>
      </c>
      <c r="N151" s="740">
        <f t="shared" si="61"/>
        <v>42578</v>
      </c>
      <c r="O151" s="295">
        <v>200</v>
      </c>
      <c r="P151" s="758">
        <v>9916</v>
      </c>
      <c r="Q151" s="25">
        <f t="shared" si="63"/>
        <v>1983200</v>
      </c>
      <c r="R151" s="833" t="s">
        <v>1452</v>
      </c>
      <c r="S151" s="190">
        <v>42580</v>
      </c>
    </row>
    <row r="152" spans="1:19" ht="13.5" customHeight="1">
      <c r="A152" s="725">
        <f>IF(B152&lt;&gt;"",A151+1,"")</f>
        <v>5</v>
      </c>
      <c r="B152" s="292" t="s">
        <v>1179</v>
      </c>
      <c r="C152" s="25">
        <f t="shared" si="58"/>
        <v>1973560</v>
      </c>
      <c r="D152" s="25">
        <v>46605000</v>
      </c>
      <c r="E152" s="726">
        <f t="shared" si="56"/>
        <v>420407.2105716748</v>
      </c>
      <c r="F152" s="726">
        <f t="shared" si="56"/>
        <v>0</v>
      </c>
      <c r="G152" s="726">
        <f t="shared" si="56"/>
        <v>0</v>
      </c>
      <c r="H152" s="25">
        <f t="shared" si="59"/>
        <v>48998967.210571676</v>
      </c>
      <c r="I152" s="726">
        <v>1500</v>
      </c>
      <c r="J152" s="726">
        <f t="shared" si="60"/>
        <v>32665.978140381118</v>
      </c>
      <c r="K152" s="641">
        <v>32500</v>
      </c>
      <c r="L152" s="641"/>
      <c r="M152" s="188" t="s">
        <v>1272</v>
      </c>
      <c r="N152" s="740">
        <f t="shared" si="61"/>
        <v>42578</v>
      </c>
      <c r="O152" s="295">
        <v>100</v>
      </c>
      <c r="P152" s="758">
        <v>19735.599999999999</v>
      </c>
      <c r="Q152" s="25">
        <f t="shared" si="63"/>
        <v>1973560</v>
      </c>
      <c r="R152" s="833" t="s">
        <v>1452</v>
      </c>
      <c r="S152" s="190">
        <v>42580</v>
      </c>
    </row>
    <row r="153" spans="1:19" ht="13.5" customHeight="1">
      <c r="A153" s="725">
        <f t="shared" si="62"/>
        <v>6</v>
      </c>
      <c r="B153" s="292" t="s">
        <v>820</v>
      </c>
      <c r="C153" s="25">
        <f t="shared" si="58"/>
        <v>789360</v>
      </c>
      <c r="D153" s="25">
        <v>60408</v>
      </c>
      <c r="E153" s="726">
        <f t="shared" si="56"/>
        <v>1681.6288422866992</v>
      </c>
      <c r="F153" s="726">
        <f t="shared" si="56"/>
        <v>0</v>
      </c>
      <c r="G153" s="726">
        <f t="shared" si="56"/>
        <v>0</v>
      </c>
      <c r="H153" s="25">
        <f t="shared" si="59"/>
        <v>851449.62884228665</v>
      </c>
      <c r="I153" s="726">
        <v>6</v>
      </c>
      <c r="J153" s="726">
        <f t="shared" ref="J153:J162" si="64">IF(I153&lt;&gt;"",H153/I153,"")</f>
        <v>141908.27147371444</v>
      </c>
      <c r="K153" s="641">
        <v>103488</v>
      </c>
      <c r="L153" s="641"/>
      <c r="M153" s="191" t="s">
        <v>1244</v>
      </c>
      <c r="N153" s="740">
        <f t="shared" si="61"/>
        <v>42579</v>
      </c>
      <c r="O153" s="295">
        <v>30</v>
      </c>
      <c r="P153" s="758">
        <v>26312</v>
      </c>
      <c r="Q153" s="25">
        <f t="shared" si="63"/>
        <v>789360</v>
      </c>
      <c r="R153" s="833" t="s">
        <v>1470</v>
      </c>
      <c r="S153" s="190">
        <v>42581</v>
      </c>
    </row>
    <row r="154" spans="1:19" ht="13.5" customHeight="1">
      <c r="A154" s="725">
        <f t="shared" si="62"/>
        <v>7</v>
      </c>
      <c r="B154" s="292" t="s">
        <v>1479</v>
      </c>
      <c r="C154" s="25">
        <f t="shared" si="58"/>
        <v>267030</v>
      </c>
      <c r="D154" s="25">
        <v>2195200</v>
      </c>
      <c r="E154" s="726">
        <f t="shared" si="56"/>
        <v>56054.294742889979</v>
      </c>
      <c r="F154" s="726">
        <f t="shared" si="56"/>
        <v>0</v>
      </c>
      <c r="G154" s="726">
        <f t="shared" si="56"/>
        <v>0</v>
      </c>
      <c r="H154" s="25">
        <f t="shared" si="59"/>
        <v>2518284.2947428902</v>
      </c>
      <c r="I154" s="726">
        <v>200</v>
      </c>
      <c r="J154" s="726">
        <f t="shared" si="64"/>
        <v>12591.42147371445</v>
      </c>
      <c r="K154" s="641">
        <v>12825</v>
      </c>
      <c r="L154" s="641"/>
      <c r="M154" s="191" t="s">
        <v>1201</v>
      </c>
      <c r="N154" s="740">
        <f t="shared" si="61"/>
        <v>42585</v>
      </c>
      <c r="O154" s="295">
        <v>10</v>
      </c>
      <c r="P154" s="758">
        <v>26703</v>
      </c>
      <c r="Q154" s="25">
        <f t="shared" si="63"/>
        <v>267030</v>
      </c>
      <c r="R154" s="833" t="s">
        <v>1488</v>
      </c>
      <c r="S154" s="190">
        <v>42587</v>
      </c>
    </row>
    <row r="155" spans="1:19" ht="13.5" customHeight="1">
      <c r="A155" s="725">
        <f t="shared" si="62"/>
        <v>8</v>
      </c>
      <c r="B155" s="292" t="s">
        <v>1484</v>
      </c>
      <c r="C155" s="25">
        <f t="shared" si="58"/>
        <v>294350</v>
      </c>
      <c r="D155" s="25">
        <v>7125000</v>
      </c>
      <c r="E155" s="726">
        <f t="shared" si="56"/>
        <v>42040.72105716748</v>
      </c>
      <c r="F155" s="726">
        <f t="shared" si="56"/>
        <v>0</v>
      </c>
      <c r="G155" s="726">
        <f t="shared" si="56"/>
        <v>0</v>
      </c>
      <c r="H155" s="25">
        <f t="shared" si="59"/>
        <v>7461390.7210571673</v>
      </c>
      <c r="I155" s="726">
        <v>150</v>
      </c>
      <c r="J155" s="726">
        <f t="shared" si="64"/>
        <v>49742.604807047785</v>
      </c>
      <c r="K155" s="641">
        <v>50000</v>
      </c>
      <c r="L155" s="641"/>
      <c r="M155" s="191" t="s">
        <v>1246</v>
      </c>
      <c r="N155" s="740">
        <f t="shared" si="61"/>
        <v>42596</v>
      </c>
      <c r="O155" s="295">
        <v>10</v>
      </c>
      <c r="P155" s="758">
        <v>29435</v>
      </c>
      <c r="Q155" s="25">
        <f t="shared" si="63"/>
        <v>294350</v>
      </c>
      <c r="R155" s="833" t="s">
        <v>1514</v>
      </c>
      <c r="S155" s="190">
        <v>42598</v>
      </c>
    </row>
    <row r="156" spans="1:19" ht="13.5" customHeight="1">
      <c r="A156" s="725">
        <f t="shared" si="62"/>
        <v>9</v>
      </c>
      <c r="B156" s="292" t="s">
        <v>1485</v>
      </c>
      <c r="C156" s="25">
        <f t="shared" si="58"/>
        <v>259990</v>
      </c>
      <c r="D156" s="25">
        <v>7980000</v>
      </c>
      <c r="E156" s="726">
        <f t="shared" si="56"/>
        <v>58857.009480034474</v>
      </c>
      <c r="F156" s="726">
        <f t="shared" si="56"/>
        <v>0</v>
      </c>
      <c r="G156" s="726">
        <f t="shared" si="56"/>
        <v>0</v>
      </c>
      <c r="H156" s="25">
        <f t="shared" si="59"/>
        <v>8298847.0094800349</v>
      </c>
      <c r="I156" s="726">
        <v>210</v>
      </c>
      <c r="J156" s="726">
        <f t="shared" si="64"/>
        <v>39518.319092762074</v>
      </c>
      <c r="K156" s="641">
        <v>40000</v>
      </c>
      <c r="L156" s="641"/>
      <c r="M156" s="191" t="s">
        <v>1168</v>
      </c>
      <c r="N156" s="740">
        <f t="shared" si="61"/>
        <v>42596</v>
      </c>
      <c r="O156" s="295">
        <v>10</v>
      </c>
      <c r="P156" s="758">
        <v>25999</v>
      </c>
      <c r="Q156" s="25">
        <f t="shared" si="63"/>
        <v>259990</v>
      </c>
      <c r="R156" s="833" t="s">
        <v>1514</v>
      </c>
      <c r="S156" s="190">
        <v>42598</v>
      </c>
    </row>
    <row r="157" spans="1:19" ht="13.5" customHeight="1">
      <c r="A157" s="725">
        <f t="shared" si="62"/>
        <v>10</v>
      </c>
      <c r="B157" s="292" t="s">
        <v>1517</v>
      </c>
      <c r="C157" s="25">
        <f t="shared" si="58"/>
        <v>259990</v>
      </c>
      <c r="D157" s="25">
        <v>2870000</v>
      </c>
      <c r="E157" s="726">
        <f t="shared" si="56"/>
        <v>196190.03160011492</v>
      </c>
      <c r="F157" s="726">
        <f t="shared" si="56"/>
        <v>0</v>
      </c>
      <c r="G157" s="726">
        <f t="shared" si="56"/>
        <v>0</v>
      </c>
      <c r="H157" s="25">
        <f t="shared" si="59"/>
        <v>3326180.0316001149</v>
      </c>
      <c r="I157" s="726">
        <v>700</v>
      </c>
      <c r="J157" s="726">
        <f t="shared" si="64"/>
        <v>4751.6857594287358</v>
      </c>
      <c r="K157" s="641">
        <v>4655</v>
      </c>
      <c r="L157" s="641"/>
      <c r="M157" s="191" t="s">
        <v>1168</v>
      </c>
      <c r="N157" s="740">
        <f t="shared" si="61"/>
        <v>42596</v>
      </c>
      <c r="O157" s="295">
        <v>10</v>
      </c>
      <c r="P157" s="758">
        <v>25999</v>
      </c>
      <c r="Q157" s="25">
        <f t="shared" si="63"/>
        <v>259990</v>
      </c>
      <c r="R157" s="833" t="s">
        <v>1516</v>
      </c>
      <c r="S157" s="190">
        <v>42598</v>
      </c>
    </row>
    <row r="158" spans="1:19" ht="13.5" customHeight="1">
      <c r="A158" s="725">
        <f t="shared" si="62"/>
        <v>11</v>
      </c>
      <c r="B158" s="292" t="s">
        <v>812</v>
      </c>
      <c r="C158" s="25">
        <f t="shared" si="58"/>
        <v>259990</v>
      </c>
      <c r="D158" s="25">
        <v>49502320</v>
      </c>
      <c r="E158" s="726">
        <f t="shared" si="56"/>
        <v>557740.23269175529</v>
      </c>
      <c r="F158" s="726">
        <f t="shared" si="56"/>
        <v>0</v>
      </c>
      <c r="G158" s="726">
        <f t="shared" si="56"/>
        <v>0</v>
      </c>
      <c r="H158" s="25">
        <f t="shared" si="59"/>
        <v>50320050.232691757</v>
      </c>
      <c r="I158" s="726">
        <v>1990</v>
      </c>
      <c r="J158" s="726">
        <f t="shared" si="64"/>
        <v>25286.457403362692</v>
      </c>
      <c r="K158" s="641">
        <v>25000</v>
      </c>
      <c r="L158" s="641"/>
      <c r="M158" s="191" t="s">
        <v>1168</v>
      </c>
      <c r="N158" s="740">
        <f t="shared" si="61"/>
        <v>42599</v>
      </c>
      <c r="O158" s="295">
        <v>10</v>
      </c>
      <c r="P158" s="758">
        <v>25999</v>
      </c>
      <c r="Q158" s="25">
        <f t="shared" si="63"/>
        <v>259990</v>
      </c>
      <c r="R158" s="833" t="s">
        <v>1522</v>
      </c>
      <c r="S158" s="190">
        <v>42601</v>
      </c>
    </row>
    <row r="159" spans="1:19" ht="13.5" customHeight="1">
      <c r="A159" s="725">
        <f t="shared" si="62"/>
        <v>12</v>
      </c>
      <c r="B159" s="292" t="s">
        <v>1481</v>
      </c>
      <c r="C159" s="25">
        <f t="shared" si="58"/>
        <v>1121450</v>
      </c>
      <c r="D159" s="25">
        <v>42750000</v>
      </c>
      <c r="E159" s="726">
        <f t="shared" si="56"/>
        <v>1401357.3685722493</v>
      </c>
      <c r="F159" s="726">
        <f t="shared" si="56"/>
        <v>0</v>
      </c>
      <c r="G159" s="726">
        <f t="shared" si="56"/>
        <v>0</v>
      </c>
      <c r="H159" s="25">
        <f t="shared" si="59"/>
        <v>45272807.36857225</v>
      </c>
      <c r="I159" s="726">
        <v>5000</v>
      </c>
      <c r="J159" s="726">
        <f t="shared" si="64"/>
        <v>9054.5614737144497</v>
      </c>
      <c r="K159" s="641">
        <v>9000</v>
      </c>
      <c r="L159" s="641"/>
      <c r="M159" s="191" t="s">
        <v>1213</v>
      </c>
      <c r="N159" s="740">
        <f t="shared" si="61"/>
        <v>42600</v>
      </c>
      <c r="O159" s="295">
        <v>50</v>
      </c>
      <c r="P159" s="758">
        <v>22429</v>
      </c>
      <c r="Q159" s="25">
        <f t="shared" si="63"/>
        <v>1121450</v>
      </c>
      <c r="R159" s="833" t="s">
        <v>1525</v>
      </c>
      <c r="S159" s="190">
        <v>42602</v>
      </c>
    </row>
    <row r="160" spans="1:19" ht="13.5" customHeight="1">
      <c r="A160" s="725">
        <f t="shared" si="62"/>
        <v>13</v>
      </c>
      <c r="B160" s="292" t="s">
        <v>1178</v>
      </c>
      <c r="C160" s="25">
        <f t="shared" si="58"/>
        <v>1655601</v>
      </c>
      <c r="D160" s="25">
        <v>49875000</v>
      </c>
      <c r="E160" s="726">
        <f t="shared" si="56"/>
        <v>420407.2105716748</v>
      </c>
      <c r="F160" s="726">
        <f t="shared" si="56"/>
        <v>0</v>
      </c>
      <c r="G160" s="726">
        <f t="shared" si="56"/>
        <v>0</v>
      </c>
      <c r="H160" s="25">
        <f t="shared" si="59"/>
        <v>51951008.210571676</v>
      </c>
      <c r="I160" s="726">
        <v>1500</v>
      </c>
      <c r="J160" s="726">
        <f t="shared" si="64"/>
        <v>34634.005473714453</v>
      </c>
      <c r="K160" s="641">
        <v>35000</v>
      </c>
      <c r="L160" s="641"/>
      <c r="M160" s="191" t="s">
        <v>1191</v>
      </c>
      <c r="N160" s="740">
        <f t="shared" si="61"/>
        <v>42602</v>
      </c>
      <c r="O160" s="295">
        <v>61</v>
      </c>
      <c r="P160" s="758">
        <v>27141</v>
      </c>
      <c r="Q160" s="25">
        <f t="shared" si="63"/>
        <v>1655601</v>
      </c>
      <c r="R160" s="833" t="s">
        <v>1526</v>
      </c>
      <c r="S160" s="190">
        <v>42604</v>
      </c>
    </row>
    <row r="161" spans="1:19" ht="13.5" customHeight="1">
      <c r="A161" s="725">
        <f t="shared" si="62"/>
        <v>14</v>
      </c>
      <c r="B161" s="292" t="s">
        <v>1179</v>
      </c>
      <c r="C161" s="25">
        <f t="shared" si="58"/>
        <v>1283160</v>
      </c>
      <c r="D161" s="25">
        <v>46312500</v>
      </c>
      <c r="E161" s="726">
        <f t="shared" si="56"/>
        <v>420407.2105716748</v>
      </c>
      <c r="F161" s="726">
        <f t="shared" si="56"/>
        <v>0</v>
      </c>
      <c r="G161" s="726">
        <f t="shared" si="56"/>
        <v>0</v>
      </c>
      <c r="H161" s="25">
        <f t="shared" si="59"/>
        <v>48016067.210571676</v>
      </c>
      <c r="I161" s="726">
        <v>1500</v>
      </c>
      <c r="J161" s="726">
        <f t="shared" si="64"/>
        <v>32010.711473714451</v>
      </c>
      <c r="K161" s="641">
        <v>32500</v>
      </c>
      <c r="L161" s="641"/>
      <c r="M161" s="188" t="s">
        <v>1198</v>
      </c>
      <c r="N161" s="740">
        <f t="shared" si="61"/>
        <v>42602</v>
      </c>
      <c r="O161" s="295">
        <v>68</v>
      </c>
      <c r="P161" s="758">
        <v>18870</v>
      </c>
      <c r="Q161" s="25">
        <f t="shared" si="63"/>
        <v>1283160</v>
      </c>
      <c r="R161" s="833" t="s">
        <v>1526</v>
      </c>
      <c r="S161" s="190">
        <v>42604</v>
      </c>
    </row>
    <row r="162" spans="1:19" ht="13.5" customHeight="1">
      <c r="A162" s="725">
        <f t="shared" si="62"/>
        <v>15</v>
      </c>
      <c r="B162" s="292" t="s">
        <v>552</v>
      </c>
      <c r="C162" s="25">
        <f t="shared" si="58"/>
        <v>242200</v>
      </c>
      <c r="D162" s="25">
        <v>624000</v>
      </c>
      <c r="E162" s="726">
        <f t="shared" si="56"/>
        <v>6726.5153691467967</v>
      </c>
      <c r="F162" s="726">
        <f t="shared" si="56"/>
        <v>0</v>
      </c>
      <c r="G162" s="726">
        <f t="shared" si="56"/>
        <v>0</v>
      </c>
      <c r="H162" s="25">
        <f t="shared" si="59"/>
        <v>872926.51536914683</v>
      </c>
      <c r="I162" s="726">
        <v>24</v>
      </c>
      <c r="J162" s="726">
        <f t="shared" si="64"/>
        <v>36371.93814038112</v>
      </c>
      <c r="K162" s="641">
        <v>36391</v>
      </c>
      <c r="L162" s="641"/>
      <c r="M162" s="188" t="s">
        <v>1193</v>
      </c>
      <c r="N162" s="740">
        <f t="shared" si="61"/>
        <v>42610</v>
      </c>
      <c r="O162" s="295">
        <v>20</v>
      </c>
      <c r="P162" s="758">
        <v>12110</v>
      </c>
      <c r="Q162" s="25">
        <f t="shared" si="63"/>
        <v>242200</v>
      </c>
      <c r="R162" s="833" t="s">
        <v>1537</v>
      </c>
      <c r="S162" s="190">
        <v>42612</v>
      </c>
    </row>
    <row r="163" spans="1:19" ht="13.5" customHeight="1">
      <c r="A163" s="725">
        <f t="shared" ref="A163:A171" si="65">IF(B163&lt;&gt;"",A162+1,"")</f>
        <v>16</v>
      </c>
      <c r="B163" s="292" t="s">
        <v>1675</v>
      </c>
      <c r="C163" s="25">
        <f t="shared" si="58"/>
        <v>525575</v>
      </c>
      <c r="D163" s="25">
        <v>11590460</v>
      </c>
      <c r="E163" s="726">
        <f t="shared" si="56"/>
        <v>274666.0442401609</v>
      </c>
      <c r="F163" s="726">
        <f t="shared" si="56"/>
        <v>0</v>
      </c>
      <c r="G163" s="726">
        <f t="shared" si="56"/>
        <v>0</v>
      </c>
      <c r="H163" s="25">
        <f t="shared" ref="H163:H172" si="66">SUM(C163:G163)</f>
        <v>12390701.044240162</v>
      </c>
      <c r="I163" s="726">
        <v>980</v>
      </c>
      <c r="J163" s="726">
        <f t="shared" ref="J163:J171" si="67">IF(I163&lt;&gt;"",H163/I163,"")</f>
        <v>12643.572494122614</v>
      </c>
      <c r="K163" s="641">
        <v>12450</v>
      </c>
      <c r="L163" s="641"/>
      <c r="M163" s="188" t="s">
        <v>1200</v>
      </c>
      <c r="N163" s="740">
        <f t="shared" si="61"/>
        <v>42621</v>
      </c>
      <c r="O163" s="295">
        <v>25</v>
      </c>
      <c r="P163" s="758">
        <v>21023</v>
      </c>
      <c r="Q163" s="25">
        <f t="shared" si="63"/>
        <v>525575</v>
      </c>
      <c r="R163" s="190" t="s">
        <v>1674</v>
      </c>
      <c r="S163" s="190">
        <v>42623</v>
      </c>
    </row>
    <row r="164" spans="1:19" ht="13.5" customHeight="1">
      <c r="A164" s="725">
        <f t="shared" si="65"/>
        <v>17</v>
      </c>
      <c r="B164" s="292" t="s">
        <v>1681</v>
      </c>
      <c r="C164" s="25">
        <f t="shared" si="58"/>
        <v>5236692</v>
      </c>
      <c r="D164" s="25">
        <v>5985000</v>
      </c>
      <c r="E164" s="726">
        <f t="shared" si="56"/>
        <v>159754.74001723644</v>
      </c>
      <c r="F164" s="726">
        <f t="shared" si="56"/>
        <v>0</v>
      </c>
      <c r="G164" s="726">
        <f t="shared" si="56"/>
        <v>0</v>
      </c>
      <c r="H164" s="25">
        <f t="shared" si="66"/>
        <v>11381446.740017237</v>
      </c>
      <c r="I164" s="726">
        <v>570</v>
      </c>
      <c r="J164" s="726">
        <f t="shared" si="67"/>
        <v>19967.450421082871</v>
      </c>
      <c r="K164" s="641">
        <v>20500</v>
      </c>
      <c r="L164" s="641"/>
      <c r="M164" s="188" t="s">
        <v>1273</v>
      </c>
      <c r="N164" s="740">
        <f t="shared" si="61"/>
        <v>42628</v>
      </c>
      <c r="O164" s="295">
        <v>181</v>
      </c>
      <c r="P164" s="758">
        <v>28932</v>
      </c>
      <c r="Q164" s="25">
        <f t="shared" si="63"/>
        <v>5236692</v>
      </c>
      <c r="R164" s="190" t="s">
        <v>1680</v>
      </c>
      <c r="S164" s="190">
        <v>42630</v>
      </c>
    </row>
    <row r="165" spans="1:19" ht="13.5" customHeight="1">
      <c r="A165" s="725">
        <f t="shared" si="65"/>
        <v>18</v>
      </c>
      <c r="B165" s="292" t="s">
        <v>1687</v>
      </c>
      <c r="C165" s="25">
        <f t="shared" si="58"/>
        <v>1444555</v>
      </c>
      <c r="D165" s="25">
        <v>42322500</v>
      </c>
      <c r="E165" s="726">
        <f t="shared" si="56"/>
        <v>1387343.7948865269</v>
      </c>
      <c r="F165" s="726">
        <f t="shared" si="56"/>
        <v>0</v>
      </c>
      <c r="G165" s="726">
        <f t="shared" si="56"/>
        <v>0</v>
      </c>
      <c r="H165" s="25">
        <f t="shared" si="66"/>
        <v>45154398.794886529</v>
      </c>
      <c r="I165" s="726">
        <v>4950</v>
      </c>
      <c r="J165" s="726">
        <f t="shared" si="67"/>
        <v>9122.1007666437436</v>
      </c>
      <c r="K165" s="641">
        <v>9000</v>
      </c>
      <c r="L165" s="641"/>
      <c r="M165" s="40" t="s">
        <v>1256</v>
      </c>
      <c r="N165" s="740">
        <f t="shared" si="61"/>
        <v>42631</v>
      </c>
      <c r="O165" s="295">
        <v>70</v>
      </c>
      <c r="P165" s="758">
        <v>20636.5</v>
      </c>
      <c r="Q165" s="25">
        <f t="shared" si="63"/>
        <v>1444555</v>
      </c>
      <c r="R165" s="190" t="s">
        <v>1686</v>
      </c>
      <c r="S165" s="190">
        <v>42633</v>
      </c>
    </row>
    <row r="166" spans="1:19" ht="13.5" customHeight="1">
      <c r="A166" s="725">
        <f t="shared" si="65"/>
        <v>19</v>
      </c>
      <c r="B166" s="292" t="s">
        <v>1178</v>
      </c>
      <c r="C166" s="25">
        <f t="shared" si="58"/>
        <v>1317840</v>
      </c>
      <c r="D166" s="25">
        <v>52322335</v>
      </c>
      <c r="E166" s="726">
        <f t="shared" si="56"/>
        <v>434420.78425739735</v>
      </c>
      <c r="F166" s="726">
        <f t="shared" si="56"/>
        <v>0</v>
      </c>
      <c r="G166" s="726">
        <f t="shared" si="56"/>
        <v>0</v>
      </c>
      <c r="H166" s="25">
        <f t="shared" si="66"/>
        <v>54074595.784257397</v>
      </c>
      <c r="I166" s="726">
        <v>1550</v>
      </c>
      <c r="J166" s="726">
        <f t="shared" si="67"/>
        <v>34886.835989843479</v>
      </c>
      <c r="K166" s="641">
        <v>35000</v>
      </c>
      <c r="L166" s="641"/>
      <c r="M166" s="188" t="s">
        <v>1197</v>
      </c>
      <c r="N166" s="740">
        <f t="shared" si="61"/>
        <v>42632</v>
      </c>
      <c r="O166" s="295">
        <v>68</v>
      </c>
      <c r="P166" s="758">
        <v>19380</v>
      </c>
      <c r="Q166" s="25">
        <f t="shared" si="63"/>
        <v>1317840</v>
      </c>
      <c r="R166" s="190" t="s">
        <v>1688</v>
      </c>
      <c r="S166" s="190">
        <v>42634</v>
      </c>
    </row>
    <row r="167" spans="1:19" ht="13.5" customHeight="1">
      <c r="A167" s="725">
        <f t="shared" si="65"/>
        <v>20</v>
      </c>
      <c r="B167" s="292" t="s">
        <v>1179</v>
      </c>
      <c r="C167" s="25">
        <f t="shared" si="58"/>
        <v>2203564</v>
      </c>
      <c r="D167" s="25">
        <v>46312500</v>
      </c>
      <c r="E167" s="726">
        <f t="shared" si="56"/>
        <v>420407.2105716748</v>
      </c>
      <c r="F167" s="726">
        <f t="shared" si="56"/>
        <v>0</v>
      </c>
      <c r="G167" s="726">
        <f t="shared" si="56"/>
        <v>0</v>
      </c>
      <c r="H167" s="25">
        <f t="shared" si="66"/>
        <v>48936471.210571676</v>
      </c>
      <c r="I167" s="726">
        <v>1500</v>
      </c>
      <c r="J167" s="726">
        <f t="shared" si="67"/>
        <v>32624.314140381117</v>
      </c>
      <c r="K167" s="641">
        <v>32500</v>
      </c>
      <c r="L167" s="641"/>
      <c r="M167" s="191" t="s">
        <v>1205</v>
      </c>
      <c r="N167" s="740">
        <f t="shared" si="61"/>
        <v>42632</v>
      </c>
      <c r="O167" s="295">
        <v>244</v>
      </c>
      <c r="P167" s="758">
        <v>9031</v>
      </c>
      <c r="Q167" s="25">
        <f t="shared" si="63"/>
        <v>2203564</v>
      </c>
      <c r="R167" s="190" t="s">
        <v>1688</v>
      </c>
      <c r="S167" s="190">
        <v>42634</v>
      </c>
    </row>
    <row r="168" spans="1:19" ht="13.5" customHeight="1">
      <c r="A168" s="725">
        <f t="shared" si="65"/>
        <v>21</v>
      </c>
      <c r="B168" s="292" t="s">
        <v>1178</v>
      </c>
      <c r="C168" s="25">
        <f t="shared" si="58"/>
        <v>1300050</v>
      </c>
      <c r="D168" s="25">
        <v>14177665</v>
      </c>
      <c r="E168" s="726">
        <f t="shared" ref="E168:G191" si="68">IF($I$193&lt;&gt;0,E$193/$I$193*$I168,0)</f>
        <v>117714.01896006895</v>
      </c>
      <c r="F168" s="726">
        <f t="shared" si="68"/>
        <v>0</v>
      </c>
      <c r="G168" s="726">
        <f t="shared" si="68"/>
        <v>0</v>
      </c>
      <c r="H168" s="25">
        <f t="shared" si="66"/>
        <v>15595429.01896007</v>
      </c>
      <c r="I168" s="726">
        <v>420</v>
      </c>
      <c r="J168" s="726">
        <f t="shared" si="67"/>
        <v>37131.97385466683</v>
      </c>
      <c r="K168" s="641">
        <v>37500</v>
      </c>
      <c r="L168" s="641"/>
      <c r="M168" s="191" t="s">
        <v>1263</v>
      </c>
      <c r="N168" s="740">
        <f t="shared" si="61"/>
        <v>42640</v>
      </c>
      <c r="O168" s="295">
        <v>54</v>
      </c>
      <c r="P168" s="758">
        <v>24075</v>
      </c>
      <c r="Q168" s="25">
        <f t="shared" si="63"/>
        <v>1300050</v>
      </c>
      <c r="R168" s="190" t="s">
        <v>1692</v>
      </c>
      <c r="S168" s="190">
        <v>42642</v>
      </c>
    </row>
    <row r="169" spans="1:19" ht="13.5" customHeight="1">
      <c r="A169" s="725">
        <f t="shared" si="65"/>
        <v>22</v>
      </c>
      <c r="B169" s="292" t="s">
        <v>1696</v>
      </c>
      <c r="C169" s="25">
        <f t="shared" si="58"/>
        <v>1687680</v>
      </c>
      <c r="D169" s="25">
        <v>36100000</v>
      </c>
      <c r="E169" s="726">
        <f t="shared" si="68"/>
        <v>1401357.3685722493</v>
      </c>
      <c r="F169" s="726">
        <f t="shared" si="68"/>
        <v>0</v>
      </c>
      <c r="G169" s="726">
        <f t="shared" si="68"/>
        <v>0</v>
      </c>
      <c r="H169" s="25">
        <f t="shared" si="66"/>
        <v>39189037.36857225</v>
      </c>
      <c r="I169" s="726">
        <v>5000</v>
      </c>
      <c r="J169" s="726">
        <f t="shared" si="67"/>
        <v>7837.8074737144498</v>
      </c>
      <c r="K169" s="641">
        <v>7600</v>
      </c>
      <c r="L169" s="641"/>
      <c r="M169" s="188" t="s">
        <v>1291</v>
      </c>
      <c r="N169" s="740">
        <f t="shared" si="61"/>
        <v>42640</v>
      </c>
      <c r="O169" s="295">
        <v>128</v>
      </c>
      <c r="P169" s="758">
        <v>13185</v>
      </c>
      <c r="Q169" s="25">
        <f t="shared" si="63"/>
        <v>1687680</v>
      </c>
      <c r="R169" s="190" t="s">
        <v>1695</v>
      </c>
      <c r="S169" s="190">
        <v>42642</v>
      </c>
    </row>
    <row r="170" spans="1:19" ht="13.5" customHeight="1">
      <c r="A170" s="725">
        <f t="shared" si="65"/>
        <v>23</v>
      </c>
      <c r="B170" s="292" t="s">
        <v>1698</v>
      </c>
      <c r="C170" s="25">
        <f t="shared" si="58"/>
        <v>216320</v>
      </c>
      <c r="D170" s="25">
        <v>37200000</v>
      </c>
      <c r="E170" s="726">
        <f t="shared" si="68"/>
        <v>840814.42114334961</v>
      </c>
      <c r="F170" s="726">
        <f t="shared" si="68"/>
        <v>0</v>
      </c>
      <c r="G170" s="726">
        <f t="shared" si="68"/>
        <v>0</v>
      </c>
      <c r="H170" s="25">
        <f t="shared" si="66"/>
        <v>38257134.421143353</v>
      </c>
      <c r="I170" s="726">
        <v>3000</v>
      </c>
      <c r="J170" s="726">
        <f t="shared" si="67"/>
        <v>12752.378140381117</v>
      </c>
      <c r="K170" s="641">
        <v>12500</v>
      </c>
      <c r="L170" s="641"/>
      <c r="M170" s="191" t="s">
        <v>1271</v>
      </c>
      <c r="N170" s="740">
        <f t="shared" si="61"/>
        <v>42640</v>
      </c>
      <c r="O170" s="295">
        <v>10</v>
      </c>
      <c r="P170" s="758">
        <v>21632</v>
      </c>
      <c r="Q170" s="25">
        <f t="shared" si="63"/>
        <v>216320</v>
      </c>
      <c r="R170" s="190" t="s">
        <v>1695</v>
      </c>
      <c r="S170" s="190">
        <v>42642</v>
      </c>
    </row>
    <row r="171" spans="1:19" ht="13.5" customHeight="1">
      <c r="A171" s="725">
        <f t="shared" si="65"/>
        <v>24</v>
      </c>
      <c r="B171" s="292" t="s">
        <v>1698</v>
      </c>
      <c r="C171" s="25">
        <f t="shared" si="58"/>
        <v>216320</v>
      </c>
      <c r="D171" s="25">
        <v>39680000</v>
      </c>
      <c r="E171" s="726">
        <f t="shared" si="68"/>
        <v>896868.71588623966</v>
      </c>
      <c r="F171" s="726">
        <f t="shared" si="68"/>
        <v>0</v>
      </c>
      <c r="G171" s="726">
        <f t="shared" si="68"/>
        <v>0</v>
      </c>
      <c r="H171" s="25">
        <f t="shared" si="66"/>
        <v>40793188.715886243</v>
      </c>
      <c r="I171" s="726">
        <v>3200</v>
      </c>
      <c r="J171" s="726">
        <f t="shared" si="67"/>
        <v>12747.871473714451</v>
      </c>
      <c r="K171" s="641">
        <v>12500</v>
      </c>
      <c r="L171" s="641"/>
      <c r="M171" s="191" t="s">
        <v>1271</v>
      </c>
      <c r="N171" s="740">
        <f t="shared" si="61"/>
        <v>42641</v>
      </c>
      <c r="O171" s="295">
        <v>10</v>
      </c>
      <c r="P171" s="758">
        <v>21632</v>
      </c>
      <c r="Q171" s="25">
        <f t="shared" si="63"/>
        <v>216320</v>
      </c>
      <c r="R171" s="190" t="s">
        <v>1704</v>
      </c>
      <c r="S171" s="190">
        <v>42643</v>
      </c>
    </row>
    <row r="172" spans="1:19" s="903" customFormat="1" ht="13.5" customHeight="1">
      <c r="A172" s="892">
        <f t="shared" ref="A172" si="69">IF(B172&lt;&gt;"",A171+1,"")</f>
        <v>25</v>
      </c>
      <c r="B172" s="855" t="s">
        <v>1779</v>
      </c>
      <c r="C172" s="893">
        <f t="shared" ref="C172" si="70">Q172</f>
        <v>49080</v>
      </c>
      <c r="D172" s="893"/>
      <c r="E172" s="894">
        <f t="shared" si="68"/>
        <v>1121.0858948577995</v>
      </c>
      <c r="F172" s="894">
        <f t="shared" si="68"/>
        <v>0</v>
      </c>
      <c r="G172" s="894">
        <f t="shared" si="68"/>
        <v>0</v>
      </c>
      <c r="H172" s="893">
        <f t="shared" si="66"/>
        <v>50201.085894857802</v>
      </c>
      <c r="I172" s="894">
        <v>4</v>
      </c>
      <c r="J172" s="894">
        <f t="shared" ref="J172" si="71">IF(I172&lt;&gt;"",H172/I172,"")</f>
        <v>12550.271473714451</v>
      </c>
      <c r="K172" s="896">
        <v>9581</v>
      </c>
      <c r="L172" s="896"/>
      <c r="M172" s="938" t="s">
        <v>1143</v>
      </c>
      <c r="N172" s="899">
        <v>42638</v>
      </c>
      <c r="O172" s="939">
        <v>5</v>
      </c>
      <c r="P172" s="940">
        <v>9816</v>
      </c>
      <c r="Q172" s="893">
        <f t="shared" si="63"/>
        <v>49080</v>
      </c>
      <c r="R172" s="840" t="s">
        <v>1775</v>
      </c>
      <c r="S172" s="839">
        <v>42643</v>
      </c>
    </row>
    <row r="173" spans="1:19" ht="13.5" customHeight="1">
      <c r="A173" s="725">
        <f t="shared" ref="A173:A191" si="72">IF(B173&lt;&gt;"",A172+1,"")</f>
        <v>26</v>
      </c>
      <c r="B173" s="292" t="s">
        <v>1781</v>
      </c>
      <c r="C173" s="25">
        <f t="shared" ref="C173:C191" si="73">Q173</f>
        <v>225768</v>
      </c>
      <c r="D173" s="25"/>
      <c r="E173" s="726">
        <f t="shared" si="68"/>
        <v>6165.9724217178973</v>
      </c>
      <c r="F173" s="726">
        <f t="shared" si="68"/>
        <v>0</v>
      </c>
      <c r="G173" s="726">
        <f t="shared" si="68"/>
        <v>0</v>
      </c>
      <c r="H173" s="25">
        <f t="shared" ref="H173:H190" si="74">SUM(C173:G173)</f>
        <v>231933.97242171789</v>
      </c>
      <c r="I173" s="726">
        <v>22</v>
      </c>
      <c r="J173" s="726">
        <f t="shared" ref="J173:J191" si="75">IF(I173&lt;&gt;"",H173/I173,"")</f>
        <v>10542.453291896267</v>
      </c>
      <c r="K173" s="641">
        <v>10241</v>
      </c>
      <c r="L173" s="641"/>
      <c r="M173" s="191" t="s">
        <v>1143</v>
      </c>
      <c r="N173" s="740">
        <v>42638</v>
      </c>
      <c r="O173" s="295">
        <v>23</v>
      </c>
      <c r="P173" s="758">
        <v>9816</v>
      </c>
      <c r="Q173" s="25">
        <f t="shared" si="63"/>
        <v>225768</v>
      </c>
      <c r="R173" s="833" t="s">
        <v>1775</v>
      </c>
      <c r="S173" s="190">
        <v>42643</v>
      </c>
    </row>
    <row r="174" spans="1:19" ht="13.5" customHeight="1">
      <c r="A174" s="725">
        <f t="shared" si="72"/>
        <v>27</v>
      </c>
      <c r="B174" s="292" t="s">
        <v>1782</v>
      </c>
      <c r="C174" s="25">
        <f t="shared" si="73"/>
        <v>500616</v>
      </c>
      <c r="D174" s="25"/>
      <c r="E174" s="726">
        <f t="shared" si="68"/>
        <v>11771.401896006895</v>
      </c>
      <c r="F174" s="726">
        <f t="shared" si="68"/>
        <v>0</v>
      </c>
      <c r="G174" s="726">
        <f t="shared" si="68"/>
        <v>0</v>
      </c>
      <c r="H174" s="25">
        <f t="shared" si="74"/>
        <v>512387.40189600689</v>
      </c>
      <c r="I174" s="726">
        <v>42</v>
      </c>
      <c r="J174" s="726">
        <f t="shared" si="75"/>
        <v>12199.700045143021</v>
      </c>
      <c r="K174" s="641">
        <v>10434</v>
      </c>
      <c r="L174" s="641"/>
      <c r="M174" s="191" t="s">
        <v>1143</v>
      </c>
      <c r="N174" s="740">
        <v>42638</v>
      </c>
      <c r="O174" s="295">
        <v>51</v>
      </c>
      <c r="P174" s="758">
        <v>9816</v>
      </c>
      <c r="Q174" s="25">
        <f t="shared" si="63"/>
        <v>500616</v>
      </c>
      <c r="R174" s="833" t="s">
        <v>1775</v>
      </c>
      <c r="S174" s="190">
        <v>42643</v>
      </c>
    </row>
    <row r="175" spans="1:19" ht="13.5" customHeight="1">
      <c r="A175" s="725">
        <f t="shared" si="72"/>
        <v>28</v>
      </c>
      <c r="B175" s="292" t="s">
        <v>1783</v>
      </c>
      <c r="C175" s="25">
        <f t="shared" si="73"/>
        <v>107976</v>
      </c>
      <c r="D175" s="25"/>
      <c r="E175" s="726">
        <f t="shared" si="68"/>
        <v>2522.4432634300488</v>
      </c>
      <c r="F175" s="726">
        <f t="shared" si="68"/>
        <v>0</v>
      </c>
      <c r="G175" s="726">
        <f t="shared" si="68"/>
        <v>0</v>
      </c>
      <c r="H175" s="25">
        <f t="shared" si="74"/>
        <v>110498.44326343005</v>
      </c>
      <c r="I175" s="726">
        <v>9</v>
      </c>
      <c r="J175" s="726">
        <f t="shared" si="75"/>
        <v>12277.604807047783</v>
      </c>
      <c r="K175" s="641">
        <v>10569</v>
      </c>
      <c r="L175" s="641"/>
      <c r="M175" s="191" t="s">
        <v>1143</v>
      </c>
      <c r="N175" s="740">
        <v>42638</v>
      </c>
      <c r="O175" s="295">
        <v>11</v>
      </c>
      <c r="P175" s="758">
        <v>9816</v>
      </c>
      <c r="Q175" s="25">
        <f t="shared" si="63"/>
        <v>107976</v>
      </c>
      <c r="R175" s="833" t="s">
        <v>1775</v>
      </c>
      <c r="S175" s="190">
        <v>42643</v>
      </c>
    </row>
    <row r="176" spans="1:19" ht="13.5" customHeight="1">
      <c r="A176" s="725">
        <f t="shared" si="72"/>
        <v>29</v>
      </c>
      <c r="B176" s="292" t="s">
        <v>808</v>
      </c>
      <c r="C176" s="25">
        <f t="shared" si="73"/>
        <v>215952</v>
      </c>
      <c r="D176" s="25"/>
      <c r="E176" s="726">
        <f t="shared" si="68"/>
        <v>4484.3435794311981</v>
      </c>
      <c r="F176" s="726">
        <f t="shared" si="68"/>
        <v>0</v>
      </c>
      <c r="G176" s="726">
        <f t="shared" si="68"/>
        <v>0</v>
      </c>
      <c r="H176" s="25">
        <f t="shared" si="74"/>
        <v>220436.34357943121</v>
      </c>
      <c r="I176" s="726">
        <v>16</v>
      </c>
      <c r="J176" s="726">
        <f t="shared" si="75"/>
        <v>13777.271473714451</v>
      </c>
      <c r="K176" s="641">
        <v>11572</v>
      </c>
      <c r="L176" s="641"/>
      <c r="M176" s="191" t="s">
        <v>1143</v>
      </c>
      <c r="N176" s="740">
        <v>42638</v>
      </c>
      <c r="O176" s="295">
        <v>22</v>
      </c>
      <c r="P176" s="758">
        <v>9816</v>
      </c>
      <c r="Q176" s="25">
        <f t="shared" si="63"/>
        <v>215952</v>
      </c>
      <c r="R176" s="833" t="s">
        <v>1775</v>
      </c>
      <c r="S176" s="190">
        <v>42643</v>
      </c>
    </row>
    <row r="177" spans="1:20" ht="13.5" customHeight="1">
      <c r="A177" s="725">
        <f t="shared" si="72"/>
        <v>30</v>
      </c>
      <c r="B177" s="292" t="s">
        <v>486</v>
      </c>
      <c r="C177" s="25">
        <f t="shared" si="73"/>
        <v>596160</v>
      </c>
      <c r="D177" s="25"/>
      <c r="E177" s="726">
        <f t="shared" si="68"/>
        <v>12612.216317150245</v>
      </c>
      <c r="F177" s="726">
        <f t="shared" si="68"/>
        <v>0</v>
      </c>
      <c r="G177" s="726">
        <f t="shared" si="68"/>
        <v>0</v>
      </c>
      <c r="H177" s="25">
        <f t="shared" si="74"/>
        <v>608772.21631715028</v>
      </c>
      <c r="I177" s="726">
        <v>45</v>
      </c>
      <c r="J177" s="726">
        <f t="shared" si="75"/>
        <v>13528.271473714451</v>
      </c>
      <c r="K177" s="641">
        <v>12002</v>
      </c>
      <c r="L177" s="641"/>
      <c r="M177" s="191" t="s">
        <v>1196</v>
      </c>
      <c r="N177" s="740">
        <v>42638</v>
      </c>
      <c r="O177" s="295">
        <v>24</v>
      </c>
      <c r="P177" s="758">
        <v>24840</v>
      </c>
      <c r="Q177" s="25">
        <f t="shared" si="63"/>
        <v>596160</v>
      </c>
      <c r="R177" s="833" t="s">
        <v>1775</v>
      </c>
      <c r="S177" s="190">
        <v>42643</v>
      </c>
      <c r="T177" s="289"/>
    </row>
    <row r="178" spans="1:20" ht="13.5" customHeight="1">
      <c r="A178" s="725">
        <f t="shared" si="72"/>
        <v>31</v>
      </c>
      <c r="B178" s="292" t="s">
        <v>1784</v>
      </c>
      <c r="C178" s="25">
        <f t="shared" si="73"/>
        <v>79868</v>
      </c>
      <c r="D178" s="25"/>
      <c r="E178" s="726">
        <f t="shared" si="68"/>
        <v>1121.0858948577995</v>
      </c>
      <c r="F178" s="726">
        <f t="shared" si="68"/>
        <v>0</v>
      </c>
      <c r="G178" s="726">
        <f t="shared" si="68"/>
        <v>0</v>
      </c>
      <c r="H178" s="25">
        <f t="shared" si="74"/>
        <v>80989.085894857795</v>
      </c>
      <c r="I178" s="726">
        <v>4</v>
      </c>
      <c r="J178" s="726">
        <f t="shared" si="75"/>
        <v>20247.271473714449</v>
      </c>
      <c r="K178" s="641">
        <v>12934</v>
      </c>
      <c r="L178" s="641"/>
      <c r="M178" s="188" t="s">
        <v>1415</v>
      </c>
      <c r="N178" s="740">
        <v>42638</v>
      </c>
      <c r="O178" s="295">
        <f t="shared" ref="O178:O179" si="76">I178</f>
        <v>4</v>
      </c>
      <c r="P178" s="758">
        <v>19967</v>
      </c>
      <c r="Q178" s="25">
        <f t="shared" si="63"/>
        <v>79868</v>
      </c>
      <c r="R178" s="833" t="s">
        <v>1775</v>
      </c>
      <c r="S178" s="190">
        <v>42643</v>
      </c>
      <c r="T178" s="289"/>
    </row>
    <row r="179" spans="1:20" ht="13.5" customHeight="1">
      <c r="A179" s="725">
        <f t="shared" si="72"/>
        <v>32</v>
      </c>
      <c r="B179" s="292" t="s">
        <v>1785</v>
      </c>
      <c r="C179" s="25">
        <f t="shared" si="73"/>
        <v>119802</v>
      </c>
      <c r="D179" s="25"/>
      <c r="E179" s="726">
        <f t="shared" si="68"/>
        <v>1681.6288422866992</v>
      </c>
      <c r="F179" s="726">
        <f t="shared" si="68"/>
        <v>0</v>
      </c>
      <c r="G179" s="726">
        <f t="shared" si="68"/>
        <v>0</v>
      </c>
      <c r="H179" s="25">
        <f t="shared" si="74"/>
        <v>121483.62884228669</v>
      </c>
      <c r="I179" s="726">
        <v>6</v>
      </c>
      <c r="J179" s="726">
        <f t="shared" si="75"/>
        <v>20247.271473714449</v>
      </c>
      <c r="K179" s="641">
        <v>13259</v>
      </c>
      <c r="L179" s="641"/>
      <c r="M179" s="188" t="s">
        <v>1415</v>
      </c>
      <c r="N179" s="740">
        <v>42638</v>
      </c>
      <c r="O179" s="295">
        <f t="shared" si="76"/>
        <v>6</v>
      </c>
      <c r="P179" s="758">
        <v>19967</v>
      </c>
      <c r="Q179" s="25">
        <f t="shared" si="63"/>
        <v>119802</v>
      </c>
      <c r="R179" s="833" t="s">
        <v>1775</v>
      </c>
      <c r="S179" s="190">
        <v>42643</v>
      </c>
      <c r="T179" s="289"/>
    </row>
    <row r="180" spans="1:20" ht="13.5" customHeight="1">
      <c r="A180" s="725">
        <f t="shared" si="72"/>
        <v>33</v>
      </c>
      <c r="B180" s="292" t="s">
        <v>1786</v>
      </c>
      <c r="C180" s="25">
        <f t="shared" si="73"/>
        <v>299505</v>
      </c>
      <c r="D180" s="25"/>
      <c r="E180" s="726">
        <f t="shared" si="68"/>
        <v>3923.8006320022982</v>
      </c>
      <c r="F180" s="726">
        <f t="shared" si="68"/>
        <v>0</v>
      </c>
      <c r="G180" s="726">
        <f t="shared" si="68"/>
        <v>0</v>
      </c>
      <c r="H180" s="25">
        <f t="shared" si="74"/>
        <v>303428.8006320023</v>
      </c>
      <c r="I180" s="726">
        <v>14</v>
      </c>
      <c r="J180" s="726">
        <f t="shared" si="75"/>
        <v>21673.485759428735</v>
      </c>
      <c r="K180" s="641">
        <v>13922</v>
      </c>
      <c r="L180" s="641"/>
      <c r="M180" s="188" t="s">
        <v>1415</v>
      </c>
      <c r="N180" s="740">
        <v>42638</v>
      </c>
      <c r="O180" s="295">
        <v>15</v>
      </c>
      <c r="P180" s="758">
        <v>19967</v>
      </c>
      <c r="Q180" s="25">
        <f t="shared" si="63"/>
        <v>299505</v>
      </c>
      <c r="R180" s="833" t="s">
        <v>1775</v>
      </c>
      <c r="S180" s="190">
        <v>42643</v>
      </c>
      <c r="T180" s="289"/>
    </row>
    <row r="181" spans="1:20" ht="13.5" customHeight="1">
      <c r="A181" s="725">
        <f t="shared" si="72"/>
        <v>34</v>
      </c>
      <c r="B181" s="292" t="s">
        <v>1787</v>
      </c>
      <c r="C181" s="25">
        <f t="shared" si="73"/>
        <v>99835</v>
      </c>
      <c r="D181" s="25"/>
      <c r="E181" s="726">
        <f t="shared" si="68"/>
        <v>1121.0858948577995</v>
      </c>
      <c r="F181" s="726">
        <f t="shared" si="68"/>
        <v>0</v>
      </c>
      <c r="G181" s="726">
        <f t="shared" si="68"/>
        <v>0</v>
      </c>
      <c r="H181" s="25">
        <f t="shared" si="74"/>
        <v>100956.0858948578</v>
      </c>
      <c r="I181" s="726">
        <v>4</v>
      </c>
      <c r="J181" s="726">
        <f t="shared" si="75"/>
        <v>25239.021473714449</v>
      </c>
      <c r="K181" s="641">
        <v>14224</v>
      </c>
      <c r="L181" s="641"/>
      <c r="M181" s="188" t="s">
        <v>1415</v>
      </c>
      <c r="N181" s="740">
        <v>42638</v>
      </c>
      <c r="O181" s="295">
        <v>5</v>
      </c>
      <c r="P181" s="758">
        <v>19967</v>
      </c>
      <c r="Q181" s="25">
        <f t="shared" si="63"/>
        <v>99835</v>
      </c>
      <c r="R181" s="833" t="s">
        <v>1775</v>
      </c>
      <c r="S181" s="190">
        <v>42643</v>
      </c>
      <c r="T181" s="289"/>
    </row>
    <row r="182" spans="1:20" ht="13.5" customHeight="1">
      <c r="A182" s="725">
        <f t="shared" si="72"/>
        <v>35</v>
      </c>
      <c r="B182" s="292" t="s">
        <v>699</v>
      </c>
      <c r="C182" s="25">
        <f t="shared" si="73"/>
        <v>1182430</v>
      </c>
      <c r="D182" s="25"/>
      <c r="E182" s="726">
        <f t="shared" si="68"/>
        <v>24103.346739442692</v>
      </c>
      <c r="F182" s="726">
        <f t="shared" si="68"/>
        <v>0</v>
      </c>
      <c r="G182" s="726">
        <f t="shared" si="68"/>
        <v>0</v>
      </c>
      <c r="H182" s="25">
        <f t="shared" si="74"/>
        <v>1206533.3467394428</v>
      </c>
      <c r="I182" s="726">
        <v>86</v>
      </c>
      <c r="J182" s="726">
        <f t="shared" si="75"/>
        <v>14029.457520226078</v>
      </c>
      <c r="K182" s="641">
        <v>14722</v>
      </c>
      <c r="L182" s="641"/>
      <c r="M182" s="188" t="s">
        <v>1125</v>
      </c>
      <c r="N182" s="740">
        <v>42638</v>
      </c>
      <c r="O182" s="295">
        <v>106</v>
      </c>
      <c r="P182" s="758">
        <v>11155</v>
      </c>
      <c r="Q182" s="25">
        <f t="shared" si="63"/>
        <v>1182430</v>
      </c>
      <c r="R182" s="833" t="s">
        <v>1775</v>
      </c>
      <c r="S182" s="190">
        <v>42643</v>
      </c>
      <c r="T182" s="289"/>
    </row>
    <row r="183" spans="1:20" ht="13.5" customHeight="1">
      <c r="A183" s="725">
        <f t="shared" si="72"/>
        <v>36</v>
      </c>
      <c r="B183" s="292" t="s">
        <v>1788</v>
      </c>
      <c r="C183" s="25">
        <f t="shared" si="73"/>
        <v>167325</v>
      </c>
      <c r="D183" s="25"/>
      <c r="E183" s="726">
        <f t="shared" si="68"/>
        <v>3363.2576845733984</v>
      </c>
      <c r="F183" s="726">
        <f t="shared" si="68"/>
        <v>0</v>
      </c>
      <c r="G183" s="726">
        <f t="shared" si="68"/>
        <v>0</v>
      </c>
      <c r="H183" s="25">
        <f t="shared" si="74"/>
        <v>170688.25768457339</v>
      </c>
      <c r="I183" s="726">
        <v>12</v>
      </c>
      <c r="J183" s="726">
        <f t="shared" si="75"/>
        <v>14224.021473714449</v>
      </c>
      <c r="K183" s="641">
        <v>15504</v>
      </c>
      <c r="L183" s="641"/>
      <c r="M183" s="188" t="s">
        <v>1125</v>
      </c>
      <c r="N183" s="740">
        <v>42638</v>
      </c>
      <c r="O183" s="295">
        <v>15</v>
      </c>
      <c r="P183" s="758">
        <v>11155</v>
      </c>
      <c r="Q183" s="25">
        <f t="shared" si="63"/>
        <v>167325</v>
      </c>
      <c r="R183" s="833" t="s">
        <v>1775</v>
      </c>
      <c r="S183" s="190">
        <v>42643</v>
      </c>
      <c r="T183" s="289"/>
    </row>
    <row r="184" spans="1:20" ht="13.5" customHeight="1">
      <c r="A184" s="725">
        <f t="shared" si="72"/>
        <v>37</v>
      </c>
      <c r="B184" s="292" t="s">
        <v>524</v>
      </c>
      <c r="C184" s="25">
        <f t="shared" si="73"/>
        <v>66930</v>
      </c>
      <c r="D184" s="25"/>
      <c r="E184" s="726">
        <f t="shared" si="68"/>
        <v>1121.0858948577995</v>
      </c>
      <c r="F184" s="726">
        <f t="shared" si="68"/>
        <v>0</v>
      </c>
      <c r="G184" s="726">
        <f t="shared" si="68"/>
        <v>0</v>
      </c>
      <c r="H184" s="25">
        <f t="shared" si="74"/>
        <v>68051.085894857795</v>
      </c>
      <c r="I184" s="726">
        <v>4</v>
      </c>
      <c r="J184" s="726">
        <f t="shared" si="75"/>
        <v>17012.771473714449</v>
      </c>
      <c r="K184" s="641">
        <v>15504</v>
      </c>
      <c r="L184" s="641"/>
      <c r="M184" s="188" t="s">
        <v>1125</v>
      </c>
      <c r="N184" s="740">
        <v>42638</v>
      </c>
      <c r="O184" s="295">
        <v>6</v>
      </c>
      <c r="P184" s="758">
        <v>11155</v>
      </c>
      <c r="Q184" s="25">
        <f t="shared" si="63"/>
        <v>66930</v>
      </c>
      <c r="R184" s="833" t="s">
        <v>1775</v>
      </c>
      <c r="S184" s="190">
        <v>42643</v>
      </c>
      <c r="T184" s="289"/>
    </row>
    <row r="185" spans="1:20" ht="13.5" customHeight="1">
      <c r="A185" s="725">
        <f t="shared" si="72"/>
        <v>38</v>
      </c>
      <c r="B185" s="292" t="s">
        <v>1789</v>
      </c>
      <c r="C185" s="25">
        <f t="shared" si="73"/>
        <v>55775</v>
      </c>
      <c r="D185" s="25"/>
      <c r="E185" s="726">
        <f t="shared" si="68"/>
        <v>840.81442114334959</v>
      </c>
      <c r="F185" s="726">
        <f t="shared" si="68"/>
        <v>0</v>
      </c>
      <c r="G185" s="726">
        <f t="shared" si="68"/>
        <v>0</v>
      </c>
      <c r="H185" s="25">
        <f t="shared" si="74"/>
        <v>56615.814421143346</v>
      </c>
      <c r="I185" s="726">
        <v>3</v>
      </c>
      <c r="J185" s="726">
        <f t="shared" si="75"/>
        <v>18871.938140381117</v>
      </c>
      <c r="K185" s="641">
        <v>15598</v>
      </c>
      <c r="L185" s="641"/>
      <c r="M185" s="188" t="s">
        <v>1125</v>
      </c>
      <c r="N185" s="740">
        <v>42638</v>
      </c>
      <c r="O185" s="295">
        <v>5</v>
      </c>
      <c r="P185" s="758">
        <v>11155</v>
      </c>
      <c r="Q185" s="25">
        <f t="shared" si="63"/>
        <v>55775</v>
      </c>
      <c r="R185" s="833" t="s">
        <v>1775</v>
      </c>
      <c r="S185" s="190">
        <v>42643</v>
      </c>
      <c r="T185" s="289"/>
    </row>
    <row r="186" spans="1:20" ht="13.5" customHeight="1">
      <c r="A186" s="725">
        <f t="shared" si="72"/>
        <v>39</v>
      </c>
      <c r="B186" s="292" t="s">
        <v>1790</v>
      </c>
      <c r="C186" s="25">
        <f t="shared" si="73"/>
        <v>176715</v>
      </c>
      <c r="D186" s="25"/>
      <c r="E186" s="726">
        <f t="shared" si="68"/>
        <v>2522.4432634300488</v>
      </c>
      <c r="F186" s="726">
        <f t="shared" si="68"/>
        <v>0</v>
      </c>
      <c r="G186" s="726">
        <f t="shared" si="68"/>
        <v>0</v>
      </c>
      <c r="H186" s="25">
        <f t="shared" si="74"/>
        <v>179237.44326343006</v>
      </c>
      <c r="I186" s="726">
        <v>9</v>
      </c>
      <c r="J186" s="726">
        <f t="shared" si="75"/>
        <v>19915.271473714452</v>
      </c>
      <c r="K186" s="641">
        <v>17217</v>
      </c>
      <c r="L186" s="641"/>
      <c r="M186" s="191" t="s">
        <v>1212</v>
      </c>
      <c r="N186" s="740">
        <v>42638</v>
      </c>
      <c r="O186" s="295">
        <v>15</v>
      </c>
      <c r="P186" s="758">
        <v>11781</v>
      </c>
      <c r="Q186" s="25">
        <f t="shared" si="63"/>
        <v>176715</v>
      </c>
      <c r="R186" s="833" t="s">
        <v>1775</v>
      </c>
      <c r="S186" s="190">
        <v>42643</v>
      </c>
      <c r="T186" s="289"/>
    </row>
    <row r="187" spans="1:20" ht="13.5" customHeight="1">
      <c r="A187" s="725">
        <f t="shared" si="72"/>
        <v>40</v>
      </c>
      <c r="B187" s="292" t="s">
        <v>1791</v>
      </c>
      <c r="C187" s="25">
        <f t="shared" si="73"/>
        <v>117810</v>
      </c>
      <c r="D187" s="25"/>
      <c r="E187" s="726">
        <f t="shared" si="68"/>
        <v>1681.6288422866992</v>
      </c>
      <c r="F187" s="726">
        <f t="shared" si="68"/>
        <v>0</v>
      </c>
      <c r="G187" s="726">
        <f t="shared" si="68"/>
        <v>0</v>
      </c>
      <c r="H187" s="25">
        <f t="shared" si="74"/>
        <v>119491.62884228669</v>
      </c>
      <c r="I187" s="726">
        <v>6</v>
      </c>
      <c r="J187" s="726">
        <f t="shared" si="75"/>
        <v>19915.271473714449</v>
      </c>
      <c r="K187" s="641">
        <v>17526</v>
      </c>
      <c r="L187" s="641"/>
      <c r="M187" s="191" t="s">
        <v>1212</v>
      </c>
      <c r="N187" s="740">
        <v>42638</v>
      </c>
      <c r="O187" s="295">
        <v>10</v>
      </c>
      <c r="P187" s="758">
        <v>11781</v>
      </c>
      <c r="Q187" s="25">
        <f t="shared" si="63"/>
        <v>117810</v>
      </c>
      <c r="R187" s="833" t="s">
        <v>1775</v>
      </c>
      <c r="S187" s="190">
        <v>42643</v>
      </c>
      <c r="T187" s="289"/>
    </row>
    <row r="188" spans="1:20" ht="13.5" customHeight="1">
      <c r="A188" s="725">
        <f t="shared" si="72"/>
        <v>41</v>
      </c>
      <c r="B188" s="292" t="s">
        <v>525</v>
      </c>
      <c r="C188" s="25">
        <f t="shared" si="73"/>
        <v>4064445</v>
      </c>
      <c r="D188" s="25"/>
      <c r="E188" s="726">
        <f t="shared" si="68"/>
        <v>66984.882217753518</v>
      </c>
      <c r="F188" s="726">
        <f t="shared" si="68"/>
        <v>0</v>
      </c>
      <c r="G188" s="726">
        <f t="shared" si="68"/>
        <v>0</v>
      </c>
      <c r="H188" s="25">
        <f t="shared" si="74"/>
        <v>4131429.8822177537</v>
      </c>
      <c r="I188" s="726">
        <v>239</v>
      </c>
      <c r="J188" s="726">
        <f t="shared" si="75"/>
        <v>17286.317498819051</v>
      </c>
      <c r="K188" s="641">
        <v>17602</v>
      </c>
      <c r="L188" s="641"/>
      <c r="M188" s="191" t="s">
        <v>1212</v>
      </c>
      <c r="N188" s="740">
        <v>42638</v>
      </c>
      <c r="O188" s="295">
        <f>I188+106</f>
        <v>345</v>
      </c>
      <c r="P188" s="758">
        <v>11781</v>
      </c>
      <c r="Q188" s="25">
        <f t="shared" si="63"/>
        <v>4064445</v>
      </c>
      <c r="R188" s="833" t="s">
        <v>1775</v>
      </c>
      <c r="S188" s="190">
        <v>42643</v>
      </c>
      <c r="T188" s="289"/>
    </row>
    <row r="189" spans="1:20" ht="13.5" customHeight="1">
      <c r="A189" s="725">
        <f t="shared" si="72"/>
        <v>42</v>
      </c>
      <c r="B189" s="292" t="s">
        <v>496</v>
      </c>
      <c r="C189" s="25">
        <f t="shared" si="73"/>
        <v>2356200</v>
      </c>
      <c r="D189" s="25"/>
      <c r="E189" s="726">
        <f t="shared" si="68"/>
        <v>39238.006320022985</v>
      </c>
      <c r="F189" s="726">
        <f t="shared" si="68"/>
        <v>0</v>
      </c>
      <c r="G189" s="726">
        <f t="shared" si="68"/>
        <v>0</v>
      </c>
      <c r="H189" s="25">
        <f t="shared" si="74"/>
        <v>2395438.006320023</v>
      </c>
      <c r="I189" s="726">
        <v>140</v>
      </c>
      <c r="J189" s="726">
        <f t="shared" si="75"/>
        <v>17110.271473714449</v>
      </c>
      <c r="K189" s="641">
        <v>17678</v>
      </c>
      <c r="L189" s="641"/>
      <c r="M189" s="191" t="s">
        <v>1212</v>
      </c>
      <c r="N189" s="740">
        <v>42638</v>
      </c>
      <c r="O189" s="295">
        <v>200</v>
      </c>
      <c r="P189" s="758">
        <v>11781</v>
      </c>
      <c r="Q189" s="25">
        <f t="shared" si="63"/>
        <v>2356200</v>
      </c>
      <c r="R189" s="833" t="s">
        <v>1775</v>
      </c>
      <c r="S189" s="190">
        <v>42643</v>
      </c>
      <c r="T189" s="289"/>
    </row>
    <row r="190" spans="1:20" ht="13.5" customHeight="1">
      <c r="A190" s="725">
        <f t="shared" si="72"/>
        <v>43</v>
      </c>
      <c r="B190" s="292" t="s">
        <v>1729</v>
      </c>
      <c r="C190" s="25">
        <f t="shared" si="73"/>
        <v>1204740</v>
      </c>
      <c r="D190" s="25"/>
      <c r="E190" s="726">
        <f t="shared" si="68"/>
        <v>15134.659580580294</v>
      </c>
      <c r="F190" s="726">
        <f t="shared" si="68"/>
        <v>0</v>
      </c>
      <c r="G190" s="726">
        <f t="shared" si="68"/>
        <v>0</v>
      </c>
      <c r="H190" s="25">
        <f t="shared" si="74"/>
        <v>1219874.6595805802</v>
      </c>
      <c r="I190" s="726">
        <v>54</v>
      </c>
      <c r="J190" s="726">
        <f t="shared" si="75"/>
        <v>22590.271473714449</v>
      </c>
      <c r="K190" s="641">
        <v>19284</v>
      </c>
      <c r="L190" s="641"/>
      <c r="M190" s="188" t="s">
        <v>1280</v>
      </c>
      <c r="N190" s="740">
        <v>42638</v>
      </c>
      <c r="O190" s="295">
        <v>60</v>
      </c>
      <c r="P190" s="758">
        <v>20079</v>
      </c>
      <c r="Q190" s="25">
        <f t="shared" si="63"/>
        <v>1204740</v>
      </c>
      <c r="R190" s="833" t="s">
        <v>1775</v>
      </c>
      <c r="S190" s="190">
        <v>42643</v>
      </c>
      <c r="T190" s="289"/>
    </row>
    <row r="191" spans="1:20" ht="13.5" customHeight="1">
      <c r="A191" s="725">
        <f t="shared" si="72"/>
        <v>44</v>
      </c>
      <c r="B191" s="292" t="s">
        <v>863</v>
      </c>
      <c r="C191" s="25">
        <f t="shared" si="73"/>
        <v>1331800</v>
      </c>
      <c r="D191" s="25"/>
      <c r="E191" s="726">
        <f t="shared" si="68"/>
        <v>20179.54610744039</v>
      </c>
      <c r="F191" s="726">
        <f t="shared" si="68"/>
        <v>0</v>
      </c>
      <c r="G191" s="726">
        <f t="shared" si="68"/>
        <v>0</v>
      </c>
      <c r="H191" s="25">
        <f>SUM(C191:G191)+1</f>
        <v>1351980.5461074405</v>
      </c>
      <c r="I191" s="726">
        <v>72</v>
      </c>
      <c r="J191" s="726">
        <f t="shared" si="75"/>
        <v>18777.507584825562</v>
      </c>
      <c r="K191" s="641">
        <v>20295</v>
      </c>
      <c r="L191" s="641"/>
      <c r="M191" s="188" t="s">
        <v>1157</v>
      </c>
      <c r="N191" s="740">
        <v>42638</v>
      </c>
      <c r="O191" s="295">
        <v>100</v>
      </c>
      <c r="P191" s="758">
        <v>13318</v>
      </c>
      <c r="Q191" s="25">
        <f t="shared" si="63"/>
        <v>1331800</v>
      </c>
      <c r="R191" s="833" t="s">
        <v>1775</v>
      </c>
      <c r="S191" s="190">
        <v>42643</v>
      </c>
      <c r="T191" s="289"/>
    </row>
    <row r="192" spans="1:20" s="743" customFormat="1" ht="13.5" customHeight="1">
      <c r="A192" s="725" t="str">
        <f>IF(B192&lt;&gt;"",#REF!+1,"")</f>
        <v/>
      </c>
      <c r="B192" s="749"/>
      <c r="C192" s="25"/>
      <c r="D192" s="25"/>
      <c r="E192" s="726"/>
      <c r="F192" s="726"/>
      <c r="G192" s="726"/>
      <c r="H192" s="25"/>
      <c r="I192" s="254"/>
      <c r="J192" s="726"/>
      <c r="K192" s="641"/>
      <c r="L192" s="641"/>
      <c r="M192" s="436"/>
      <c r="N192" s="741"/>
      <c r="O192" s="295"/>
      <c r="P192" s="758"/>
      <c r="Q192" s="25">
        <f t="shared" si="63"/>
        <v>0</v>
      </c>
      <c r="R192" s="436"/>
      <c r="S192" s="741"/>
    </row>
    <row r="193" spans="1:19" s="722" customFormat="1" ht="13.5" customHeight="1">
      <c r="A193" s="727"/>
      <c r="B193" s="728" t="s">
        <v>235</v>
      </c>
      <c r="C193" s="516">
        <f>SUM(C148:C192)</f>
        <v>40122344</v>
      </c>
      <c r="D193" s="516">
        <f>SUM(D148:D192)</f>
        <v>651564653</v>
      </c>
      <c r="E193" s="516">
        <v>11707500</v>
      </c>
      <c r="F193" s="516"/>
      <c r="G193" s="516"/>
      <c r="H193" s="516">
        <f>ROUND(SUM(H148:H192),0)</f>
        <v>703394498</v>
      </c>
      <c r="I193" s="516">
        <f>ROUND(SUM(I148:I192),0)</f>
        <v>41772</v>
      </c>
      <c r="J193" s="516"/>
      <c r="K193" s="735"/>
      <c r="L193" s="735"/>
      <c r="M193" s="744"/>
      <c r="N193" s="745"/>
      <c r="O193" s="776"/>
      <c r="P193" s="27"/>
      <c r="Q193" s="47">
        <f>SUM(Q148:Q192)</f>
        <v>40122344</v>
      </c>
      <c r="R193" s="744"/>
      <c r="S193" s="745"/>
    </row>
    <row r="194" spans="1:19" s="722" customFormat="1">
      <c r="A194" s="729"/>
      <c r="B194" s="730"/>
      <c r="C194" s="723"/>
      <c r="D194" s="723"/>
      <c r="E194" s="723"/>
      <c r="F194" s="723"/>
      <c r="G194" s="723"/>
      <c r="H194" s="723"/>
      <c r="I194" s="723"/>
      <c r="J194" s="723"/>
      <c r="K194" s="735"/>
      <c r="L194" s="735"/>
      <c r="M194" s="289"/>
      <c r="N194" s="718"/>
      <c r="O194" s="768"/>
      <c r="P194" s="289"/>
      <c r="Q194" s="721"/>
      <c r="R194" s="289"/>
      <c r="S194" s="718"/>
    </row>
    <row r="195" spans="1:19" ht="18" hidden="1" customHeight="1">
      <c r="A195" s="554" t="str">
        <f>TH!$A$1</f>
        <v>Đơn vị: CÔNG TY TNHH MỘT THÀNH VIÊN KHỞI NGUYÊN AN</v>
      </c>
      <c r="B195" s="722"/>
      <c r="C195" s="289"/>
      <c r="D195" s="289"/>
      <c r="E195" s="289"/>
      <c r="F195" s="289"/>
      <c r="G195" s="289"/>
      <c r="H195" s="289"/>
      <c r="I195" s="582"/>
      <c r="J195" s="289"/>
      <c r="K195" s="735"/>
      <c r="L195" s="735"/>
      <c r="M195" s="289"/>
      <c r="N195" s="718"/>
      <c r="R195" s="289"/>
      <c r="S195" s="718"/>
    </row>
    <row r="196" spans="1:19" ht="18.75" customHeight="1">
      <c r="A196" s="723" t="s">
        <v>1018</v>
      </c>
      <c r="B196" s="723"/>
      <c r="C196" s="723"/>
      <c r="D196" s="723"/>
      <c r="E196" s="723"/>
      <c r="F196" s="723"/>
      <c r="G196" s="723"/>
      <c r="H196" s="723"/>
      <c r="I196" s="723"/>
      <c r="J196" s="723"/>
      <c r="K196" s="735"/>
      <c r="L196" s="735"/>
      <c r="M196" s="289"/>
      <c r="N196" s="718"/>
      <c r="R196" s="289"/>
      <c r="S196" s="718"/>
    </row>
    <row r="197" spans="1:19" ht="18.75" hidden="1" customHeight="1">
      <c r="A197" s="723"/>
      <c r="B197" s="724"/>
      <c r="C197" s="724"/>
      <c r="D197" s="724"/>
      <c r="E197" s="724"/>
      <c r="F197" s="724"/>
      <c r="G197" s="724"/>
      <c r="H197" s="724"/>
      <c r="I197" s="736"/>
      <c r="J197" s="724"/>
      <c r="K197" s="735"/>
      <c r="L197" s="735"/>
      <c r="M197" s="289"/>
      <c r="N197" s="718"/>
      <c r="R197" s="289"/>
      <c r="S197" s="718"/>
    </row>
    <row r="198" spans="1:19" ht="12.75" customHeight="1">
      <c r="A198" s="762"/>
      <c r="B198" s="754"/>
      <c r="C198" s="754"/>
      <c r="D198" s="754"/>
      <c r="E198" s="754"/>
      <c r="F198" s="754"/>
      <c r="G198" s="754"/>
      <c r="H198" s="754"/>
      <c r="I198" s="737"/>
      <c r="J198" s="754"/>
      <c r="K198" s="735"/>
      <c r="L198" s="735"/>
      <c r="M198" s="289"/>
      <c r="N198" s="718"/>
      <c r="R198" s="289"/>
      <c r="S198" s="718"/>
    </row>
    <row r="199" spans="1:19" s="434" customFormat="1" ht="30.75" customHeight="1">
      <c r="A199" s="779" t="s">
        <v>35</v>
      </c>
      <c r="B199" s="430" t="s">
        <v>227</v>
      </c>
      <c r="C199" s="431" t="s">
        <v>230</v>
      </c>
      <c r="D199" s="431"/>
      <c r="E199" s="431" t="s">
        <v>364</v>
      </c>
      <c r="F199" s="431" t="s">
        <v>231</v>
      </c>
      <c r="G199" s="431" t="s">
        <v>356</v>
      </c>
      <c r="H199" s="431" t="s">
        <v>232</v>
      </c>
      <c r="I199" s="432" t="s">
        <v>228</v>
      </c>
      <c r="J199" s="431" t="s">
        <v>233</v>
      </c>
      <c r="K199" s="433"/>
      <c r="L199" s="433"/>
      <c r="M199" s="430" t="s">
        <v>227</v>
      </c>
      <c r="N199" s="431" t="s">
        <v>221</v>
      </c>
      <c r="O199" s="770" t="s">
        <v>187</v>
      </c>
      <c r="P199" s="431" t="s">
        <v>229</v>
      </c>
      <c r="Q199" s="431" t="s">
        <v>234</v>
      </c>
      <c r="R199" s="430" t="s">
        <v>227</v>
      </c>
      <c r="S199" s="431" t="s">
        <v>221</v>
      </c>
    </row>
    <row r="200" spans="1:19" ht="16.5" customHeight="1">
      <c r="A200" s="725">
        <v>1</v>
      </c>
      <c r="B200" s="292"/>
      <c r="C200" s="25">
        <f>Q200</f>
        <v>0</v>
      </c>
      <c r="D200" s="25"/>
      <c r="E200" s="726">
        <f t="shared" ref="E200:G224" si="77">IF($I$226&lt;&gt;0,E$226/$I$226*$I200,0)</f>
        <v>0</v>
      </c>
      <c r="F200" s="726">
        <f t="shared" si="77"/>
        <v>0</v>
      </c>
      <c r="G200" s="726">
        <f t="shared" si="77"/>
        <v>0</v>
      </c>
      <c r="H200" s="25">
        <f>SUM(C200:G200)</f>
        <v>0</v>
      </c>
      <c r="I200" s="726"/>
      <c r="J200" s="726" t="str">
        <f>IF(I200&lt;&gt;"",H200/I200,"")</f>
        <v/>
      </c>
      <c r="K200" s="641"/>
      <c r="L200" s="641"/>
      <c r="M200" s="40"/>
      <c r="N200" s="740"/>
      <c r="O200" s="295"/>
      <c r="P200" s="750"/>
      <c r="Q200" s="25">
        <f t="shared" ref="Q200:Q225" si="78">ROUND(O200*P200,0)</f>
        <v>0</v>
      </c>
      <c r="R200" s="435"/>
      <c r="S200" s="740"/>
    </row>
    <row r="201" spans="1:19" ht="16.5" customHeight="1">
      <c r="A201" s="725" t="str">
        <f t="shared" ref="A201:A224" si="79">IF(B201&lt;&gt;"",A200+1,"")</f>
        <v/>
      </c>
      <c r="B201" s="292"/>
      <c r="C201" s="25">
        <f t="shared" ref="C201:C224" si="80">Q201</f>
        <v>0</v>
      </c>
      <c r="D201" s="25"/>
      <c r="E201" s="726">
        <f t="shared" si="77"/>
        <v>0</v>
      </c>
      <c r="F201" s="726">
        <f t="shared" si="77"/>
        <v>0</v>
      </c>
      <c r="G201" s="726">
        <f t="shared" si="77"/>
        <v>0</v>
      </c>
      <c r="H201" s="25">
        <f t="shared" ref="H201:H224" si="81">SUM(C201:G201)</f>
        <v>0</v>
      </c>
      <c r="I201" s="726"/>
      <c r="J201" s="726" t="str">
        <f t="shared" ref="J201" si="82">IF(I201&lt;&gt;"",H201/I201,"")</f>
        <v/>
      </c>
      <c r="K201" s="641"/>
      <c r="L201" s="641"/>
      <c r="M201" s="40"/>
      <c r="N201" s="740"/>
      <c r="O201" s="295"/>
      <c r="P201" s="756"/>
      <c r="Q201" s="25">
        <f t="shared" si="78"/>
        <v>0</v>
      </c>
      <c r="R201" s="435"/>
      <c r="S201" s="740"/>
    </row>
    <row r="202" spans="1:19" ht="16.5" customHeight="1">
      <c r="A202" s="725" t="str">
        <f t="shared" si="79"/>
        <v/>
      </c>
      <c r="B202" s="292"/>
      <c r="C202" s="25">
        <f t="shared" si="80"/>
        <v>0</v>
      </c>
      <c r="D202" s="25"/>
      <c r="E202" s="726">
        <f t="shared" si="77"/>
        <v>0</v>
      </c>
      <c r="F202" s="726">
        <f t="shared" si="77"/>
        <v>0</v>
      </c>
      <c r="G202" s="726">
        <f t="shared" si="77"/>
        <v>0</v>
      </c>
      <c r="H202" s="25">
        <f t="shared" si="81"/>
        <v>0</v>
      </c>
      <c r="I202" s="726"/>
      <c r="J202" s="726" t="str">
        <f t="shared" ref="J202:J224" si="83">IF(I202&lt;&gt;"",H202/I202,"")</f>
        <v/>
      </c>
      <c r="K202" s="641"/>
      <c r="L202" s="641"/>
      <c r="M202" s="188"/>
      <c r="N202" s="740"/>
      <c r="O202" s="295"/>
      <c r="P202" s="756"/>
      <c r="Q202" s="25">
        <f t="shared" ref="Q202:Q224" si="84">ROUND(O202*P202,0)</f>
        <v>0</v>
      </c>
      <c r="R202" s="436"/>
      <c r="S202" s="740"/>
    </row>
    <row r="203" spans="1:19" ht="16.5" customHeight="1">
      <c r="A203" s="725" t="str">
        <f t="shared" si="79"/>
        <v/>
      </c>
      <c r="B203" s="292"/>
      <c r="C203" s="25">
        <f t="shared" si="80"/>
        <v>0</v>
      </c>
      <c r="D203" s="25"/>
      <c r="E203" s="726">
        <f t="shared" si="77"/>
        <v>0</v>
      </c>
      <c r="F203" s="726">
        <f t="shared" si="77"/>
        <v>0</v>
      </c>
      <c r="G203" s="726">
        <f t="shared" si="77"/>
        <v>0</v>
      </c>
      <c r="H203" s="25">
        <f t="shared" si="81"/>
        <v>0</v>
      </c>
      <c r="I203" s="726"/>
      <c r="J203" s="726" t="str">
        <f t="shared" si="83"/>
        <v/>
      </c>
      <c r="K203" s="641"/>
      <c r="L203" s="641"/>
      <c r="M203" s="188"/>
      <c r="N203" s="740"/>
      <c r="O203" s="295"/>
      <c r="P203" s="756"/>
      <c r="Q203" s="25">
        <f t="shared" si="84"/>
        <v>0</v>
      </c>
      <c r="R203" s="436"/>
      <c r="S203" s="740"/>
    </row>
    <row r="204" spans="1:19" ht="16.5" customHeight="1">
      <c r="A204" s="725" t="str">
        <f t="shared" si="79"/>
        <v/>
      </c>
      <c r="B204" s="292"/>
      <c r="C204" s="25">
        <f t="shared" si="80"/>
        <v>0</v>
      </c>
      <c r="D204" s="25"/>
      <c r="E204" s="726">
        <f t="shared" si="77"/>
        <v>0</v>
      </c>
      <c r="F204" s="726">
        <f t="shared" si="77"/>
        <v>0</v>
      </c>
      <c r="G204" s="726">
        <f t="shared" si="77"/>
        <v>0</v>
      </c>
      <c r="H204" s="25">
        <f t="shared" si="81"/>
        <v>0</v>
      </c>
      <c r="I204" s="726"/>
      <c r="J204" s="726" t="str">
        <f t="shared" si="83"/>
        <v/>
      </c>
      <c r="K204" s="641"/>
      <c r="L204" s="641"/>
      <c r="M204" s="290"/>
      <c r="N204" s="740"/>
      <c r="O204" s="295"/>
      <c r="P204" s="756"/>
      <c r="Q204" s="25">
        <f t="shared" si="84"/>
        <v>0</v>
      </c>
      <c r="R204" s="436"/>
      <c r="S204" s="740"/>
    </row>
    <row r="205" spans="1:19" ht="16.5" customHeight="1">
      <c r="A205" s="725" t="str">
        <f t="shared" si="79"/>
        <v/>
      </c>
      <c r="B205" s="292"/>
      <c r="C205" s="25">
        <f t="shared" si="80"/>
        <v>0</v>
      </c>
      <c r="D205" s="25"/>
      <c r="E205" s="726">
        <f t="shared" si="77"/>
        <v>0</v>
      </c>
      <c r="F205" s="726">
        <f t="shared" si="77"/>
        <v>0</v>
      </c>
      <c r="G205" s="726">
        <f t="shared" si="77"/>
        <v>0</v>
      </c>
      <c r="H205" s="25">
        <f t="shared" si="81"/>
        <v>0</v>
      </c>
      <c r="I205" s="726"/>
      <c r="J205" s="726" t="str">
        <f t="shared" si="83"/>
        <v/>
      </c>
      <c r="K205" s="641"/>
      <c r="L205" s="641"/>
      <c r="M205" s="188"/>
      <c r="N205" s="740"/>
      <c r="O205" s="295"/>
      <c r="P205" s="756"/>
      <c r="Q205" s="25">
        <f t="shared" si="84"/>
        <v>0</v>
      </c>
      <c r="R205" s="436"/>
      <c r="S205" s="740"/>
    </row>
    <row r="206" spans="1:19" ht="16.5" customHeight="1">
      <c r="A206" s="725" t="str">
        <f t="shared" si="79"/>
        <v/>
      </c>
      <c r="B206" s="292"/>
      <c r="C206" s="25">
        <f t="shared" si="80"/>
        <v>0</v>
      </c>
      <c r="D206" s="25"/>
      <c r="E206" s="726">
        <f t="shared" si="77"/>
        <v>0</v>
      </c>
      <c r="F206" s="726">
        <f t="shared" si="77"/>
        <v>0</v>
      </c>
      <c r="G206" s="726">
        <f t="shared" si="77"/>
        <v>0</v>
      </c>
      <c r="H206" s="25">
        <f t="shared" si="81"/>
        <v>0</v>
      </c>
      <c r="I206" s="726"/>
      <c r="J206" s="726" t="str">
        <f t="shared" si="83"/>
        <v/>
      </c>
      <c r="K206" s="641"/>
      <c r="L206" s="641"/>
      <c r="M206" s="40"/>
      <c r="N206" s="740"/>
      <c r="O206" s="295"/>
      <c r="P206" s="756"/>
      <c r="Q206" s="25">
        <f t="shared" si="84"/>
        <v>0</v>
      </c>
      <c r="R206" s="436"/>
      <c r="S206" s="740"/>
    </row>
    <row r="207" spans="1:19" ht="16.5" customHeight="1">
      <c r="A207" s="725" t="str">
        <f t="shared" si="79"/>
        <v/>
      </c>
      <c r="B207" s="292"/>
      <c r="C207" s="25">
        <f t="shared" si="80"/>
        <v>0</v>
      </c>
      <c r="D207" s="25"/>
      <c r="E207" s="726">
        <f t="shared" si="77"/>
        <v>0</v>
      </c>
      <c r="F207" s="726">
        <f t="shared" si="77"/>
        <v>0</v>
      </c>
      <c r="G207" s="726">
        <f t="shared" si="77"/>
        <v>0</v>
      </c>
      <c r="H207" s="25">
        <f t="shared" si="81"/>
        <v>0</v>
      </c>
      <c r="I207" s="726"/>
      <c r="J207" s="726" t="str">
        <f t="shared" si="83"/>
        <v/>
      </c>
      <c r="K207" s="641"/>
      <c r="L207" s="641"/>
      <c r="M207" s="40"/>
      <c r="N207" s="740"/>
      <c r="O207" s="295"/>
      <c r="P207" s="756"/>
      <c r="Q207" s="25">
        <f t="shared" si="84"/>
        <v>0</v>
      </c>
      <c r="R207" s="436"/>
      <c r="S207" s="740"/>
    </row>
    <row r="208" spans="1:19" ht="16.5" customHeight="1">
      <c r="A208" s="725" t="str">
        <f t="shared" si="79"/>
        <v/>
      </c>
      <c r="B208" s="292"/>
      <c r="C208" s="25">
        <f t="shared" si="80"/>
        <v>0</v>
      </c>
      <c r="D208" s="25"/>
      <c r="E208" s="726">
        <f t="shared" si="77"/>
        <v>0</v>
      </c>
      <c r="F208" s="726">
        <f t="shared" si="77"/>
        <v>0</v>
      </c>
      <c r="G208" s="726">
        <f t="shared" si="77"/>
        <v>0</v>
      </c>
      <c r="H208" s="25">
        <f t="shared" si="81"/>
        <v>0</v>
      </c>
      <c r="I208" s="726"/>
      <c r="J208" s="726" t="str">
        <f t="shared" si="83"/>
        <v/>
      </c>
      <c r="K208" s="641"/>
      <c r="L208" s="641"/>
      <c r="M208" s="40"/>
      <c r="N208" s="740"/>
      <c r="O208" s="295"/>
      <c r="P208" s="756"/>
      <c r="Q208" s="25">
        <f t="shared" si="84"/>
        <v>0</v>
      </c>
      <c r="R208" s="436"/>
      <c r="S208" s="740"/>
    </row>
    <row r="209" spans="1:19" ht="16.5" customHeight="1">
      <c r="A209" s="725" t="str">
        <f t="shared" si="79"/>
        <v/>
      </c>
      <c r="B209" s="292"/>
      <c r="C209" s="25">
        <f t="shared" si="80"/>
        <v>0</v>
      </c>
      <c r="D209" s="25"/>
      <c r="E209" s="726">
        <f t="shared" si="77"/>
        <v>0</v>
      </c>
      <c r="F209" s="726">
        <f t="shared" si="77"/>
        <v>0</v>
      </c>
      <c r="G209" s="726">
        <f t="shared" si="77"/>
        <v>0</v>
      </c>
      <c r="H209" s="25">
        <f t="shared" si="81"/>
        <v>0</v>
      </c>
      <c r="I209" s="726"/>
      <c r="J209" s="726" t="str">
        <f t="shared" si="83"/>
        <v/>
      </c>
      <c r="K209" s="641"/>
      <c r="L209" s="641"/>
      <c r="M209" s="40"/>
      <c r="N209" s="740"/>
      <c r="O209" s="295"/>
      <c r="P209" s="756"/>
      <c r="Q209" s="25">
        <f t="shared" si="84"/>
        <v>0</v>
      </c>
      <c r="R209" s="436"/>
      <c r="S209" s="740"/>
    </row>
    <row r="210" spans="1:19" ht="16.5" customHeight="1">
      <c r="A210" s="725" t="str">
        <f t="shared" si="79"/>
        <v/>
      </c>
      <c r="B210" s="292"/>
      <c r="C210" s="25">
        <f t="shared" si="80"/>
        <v>0</v>
      </c>
      <c r="D210" s="25"/>
      <c r="E210" s="726">
        <f t="shared" si="77"/>
        <v>0</v>
      </c>
      <c r="F210" s="726">
        <f t="shared" si="77"/>
        <v>0</v>
      </c>
      <c r="G210" s="726">
        <f t="shared" si="77"/>
        <v>0</v>
      </c>
      <c r="H210" s="25">
        <f t="shared" si="81"/>
        <v>0</v>
      </c>
      <c r="I210" s="726"/>
      <c r="J210" s="726" t="str">
        <f t="shared" si="83"/>
        <v/>
      </c>
      <c r="K210" s="641"/>
      <c r="L210" s="641"/>
      <c r="M210" s="40"/>
      <c r="N210" s="740"/>
      <c r="O210" s="295"/>
      <c r="P210" s="756"/>
      <c r="Q210" s="25">
        <f t="shared" si="84"/>
        <v>0</v>
      </c>
      <c r="R210" s="436"/>
      <c r="S210" s="740"/>
    </row>
    <row r="211" spans="1:19" ht="16.5" customHeight="1">
      <c r="A211" s="725" t="str">
        <f t="shared" si="79"/>
        <v/>
      </c>
      <c r="B211" s="292"/>
      <c r="C211" s="25">
        <f t="shared" si="80"/>
        <v>0</v>
      </c>
      <c r="D211" s="25"/>
      <c r="E211" s="726">
        <f t="shared" si="77"/>
        <v>0</v>
      </c>
      <c r="F211" s="726">
        <f t="shared" si="77"/>
        <v>0</v>
      </c>
      <c r="G211" s="726">
        <f t="shared" si="77"/>
        <v>0</v>
      </c>
      <c r="H211" s="25">
        <f t="shared" si="81"/>
        <v>0</v>
      </c>
      <c r="I211" s="726"/>
      <c r="J211" s="726" t="str">
        <f t="shared" si="83"/>
        <v/>
      </c>
      <c r="K211" s="641"/>
      <c r="L211" s="641"/>
      <c r="M211" s="40"/>
      <c r="N211" s="740"/>
      <c r="O211" s="295"/>
      <c r="P211" s="756"/>
      <c r="Q211" s="25">
        <f t="shared" si="84"/>
        <v>0</v>
      </c>
      <c r="R211" s="436"/>
      <c r="S211" s="740"/>
    </row>
    <row r="212" spans="1:19" ht="16.5" customHeight="1">
      <c r="A212" s="725" t="str">
        <f t="shared" si="79"/>
        <v/>
      </c>
      <c r="B212" s="292"/>
      <c r="C212" s="25">
        <f t="shared" si="80"/>
        <v>0</v>
      </c>
      <c r="D212" s="25"/>
      <c r="E212" s="726">
        <f t="shared" si="77"/>
        <v>0</v>
      </c>
      <c r="F212" s="726">
        <f t="shared" si="77"/>
        <v>0</v>
      </c>
      <c r="G212" s="726">
        <f t="shared" si="77"/>
        <v>0</v>
      </c>
      <c r="H212" s="25">
        <f t="shared" si="81"/>
        <v>0</v>
      </c>
      <c r="I212" s="726"/>
      <c r="J212" s="726" t="str">
        <f t="shared" si="83"/>
        <v/>
      </c>
      <c r="K212" s="641"/>
      <c r="L212" s="641"/>
      <c r="M212" s="40"/>
      <c r="N212" s="740"/>
      <c r="O212" s="295"/>
      <c r="P212" s="756"/>
      <c r="Q212" s="25">
        <f t="shared" si="84"/>
        <v>0</v>
      </c>
      <c r="R212" s="436"/>
      <c r="S212" s="740"/>
    </row>
    <row r="213" spans="1:19" ht="16.5" customHeight="1">
      <c r="A213" s="725" t="str">
        <f t="shared" si="79"/>
        <v/>
      </c>
      <c r="B213" s="292"/>
      <c r="C213" s="25">
        <f t="shared" si="80"/>
        <v>0</v>
      </c>
      <c r="D213" s="25"/>
      <c r="E213" s="726">
        <f t="shared" si="77"/>
        <v>0</v>
      </c>
      <c r="F213" s="726">
        <f t="shared" si="77"/>
        <v>0</v>
      </c>
      <c r="G213" s="726">
        <f t="shared" si="77"/>
        <v>0</v>
      </c>
      <c r="H213" s="25">
        <f t="shared" si="81"/>
        <v>0</v>
      </c>
      <c r="I213" s="726"/>
      <c r="J213" s="726" t="str">
        <f t="shared" si="83"/>
        <v/>
      </c>
      <c r="K213" s="641"/>
      <c r="L213" s="641"/>
      <c r="M213" s="188"/>
      <c r="N213" s="740"/>
      <c r="O213" s="295"/>
      <c r="P213" s="756"/>
      <c r="Q213" s="25">
        <f t="shared" si="84"/>
        <v>0</v>
      </c>
      <c r="R213" s="436"/>
      <c r="S213" s="740"/>
    </row>
    <row r="214" spans="1:19" ht="16.5" customHeight="1">
      <c r="A214" s="725" t="str">
        <f t="shared" si="79"/>
        <v/>
      </c>
      <c r="B214" s="292"/>
      <c r="C214" s="25">
        <f t="shared" si="80"/>
        <v>0</v>
      </c>
      <c r="D214" s="25"/>
      <c r="E214" s="726">
        <f t="shared" si="77"/>
        <v>0</v>
      </c>
      <c r="F214" s="726">
        <f t="shared" si="77"/>
        <v>0</v>
      </c>
      <c r="G214" s="726">
        <f t="shared" si="77"/>
        <v>0</v>
      </c>
      <c r="H214" s="25">
        <f t="shared" si="81"/>
        <v>0</v>
      </c>
      <c r="I214" s="726"/>
      <c r="J214" s="726" t="str">
        <f t="shared" si="83"/>
        <v/>
      </c>
      <c r="K214" s="641"/>
      <c r="L214" s="641"/>
      <c r="M214" s="188"/>
      <c r="N214" s="740"/>
      <c r="O214" s="295"/>
      <c r="P214" s="756"/>
      <c r="Q214" s="25">
        <f t="shared" si="84"/>
        <v>0</v>
      </c>
      <c r="R214" s="436"/>
      <c r="S214" s="740"/>
    </row>
    <row r="215" spans="1:19" ht="16.5" customHeight="1">
      <c r="A215" s="725" t="str">
        <f t="shared" si="79"/>
        <v/>
      </c>
      <c r="B215" s="292"/>
      <c r="C215" s="25">
        <f t="shared" si="80"/>
        <v>0</v>
      </c>
      <c r="D215" s="25"/>
      <c r="E215" s="726">
        <f t="shared" si="77"/>
        <v>0</v>
      </c>
      <c r="F215" s="726">
        <f t="shared" si="77"/>
        <v>0</v>
      </c>
      <c r="G215" s="726">
        <f t="shared" si="77"/>
        <v>0</v>
      </c>
      <c r="H215" s="25">
        <f t="shared" si="81"/>
        <v>0</v>
      </c>
      <c r="I215" s="726"/>
      <c r="J215" s="726" t="str">
        <f t="shared" si="83"/>
        <v/>
      </c>
      <c r="K215" s="641"/>
      <c r="L215" s="641"/>
      <c r="M215" s="188"/>
      <c r="N215" s="740"/>
      <c r="O215" s="8"/>
      <c r="Q215" s="25">
        <f t="shared" si="84"/>
        <v>0</v>
      </c>
      <c r="R215" s="436"/>
      <c r="S215" s="740"/>
    </row>
    <row r="216" spans="1:19" ht="16.5" customHeight="1">
      <c r="A216" s="725" t="str">
        <f t="shared" si="79"/>
        <v/>
      </c>
      <c r="B216" s="292"/>
      <c r="C216" s="25">
        <f t="shared" si="80"/>
        <v>0</v>
      </c>
      <c r="D216" s="25"/>
      <c r="E216" s="726">
        <f t="shared" si="77"/>
        <v>0</v>
      </c>
      <c r="F216" s="726">
        <f t="shared" si="77"/>
        <v>0</v>
      </c>
      <c r="G216" s="726">
        <f t="shared" si="77"/>
        <v>0</v>
      </c>
      <c r="H216" s="25">
        <f t="shared" si="81"/>
        <v>0</v>
      </c>
      <c r="I216" s="726"/>
      <c r="J216" s="726" t="str">
        <f t="shared" si="83"/>
        <v/>
      </c>
      <c r="K216" s="641"/>
      <c r="L216" s="641"/>
      <c r="M216" s="188"/>
      <c r="N216" s="740"/>
      <c r="O216" s="295"/>
      <c r="P216" s="756"/>
      <c r="Q216" s="25">
        <f t="shared" si="84"/>
        <v>0</v>
      </c>
      <c r="R216" s="436"/>
      <c r="S216" s="740"/>
    </row>
    <row r="217" spans="1:19" ht="16.5" customHeight="1">
      <c r="A217" s="725" t="str">
        <f t="shared" si="79"/>
        <v/>
      </c>
      <c r="B217" s="292"/>
      <c r="C217" s="25">
        <f t="shared" si="80"/>
        <v>0</v>
      </c>
      <c r="D217" s="25"/>
      <c r="E217" s="726">
        <f t="shared" si="77"/>
        <v>0</v>
      </c>
      <c r="F217" s="726">
        <f t="shared" si="77"/>
        <v>0</v>
      </c>
      <c r="G217" s="726">
        <f t="shared" si="77"/>
        <v>0</v>
      </c>
      <c r="H217" s="25">
        <f t="shared" si="81"/>
        <v>0</v>
      </c>
      <c r="I217" s="726"/>
      <c r="J217" s="726" t="str">
        <f t="shared" si="83"/>
        <v/>
      </c>
      <c r="K217" s="641"/>
      <c r="L217" s="641"/>
      <c r="M217" s="40"/>
      <c r="N217" s="740"/>
      <c r="O217" s="295"/>
      <c r="P217" s="756"/>
      <c r="Q217" s="25">
        <f t="shared" si="84"/>
        <v>0</v>
      </c>
      <c r="R217" s="436"/>
      <c r="S217" s="740"/>
    </row>
    <row r="218" spans="1:19" ht="16.5" customHeight="1">
      <c r="A218" s="725" t="str">
        <f t="shared" si="79"/>
        <v/>
      </c>
      <c r="B218" s="292"/>
      <c r="C218" s="25">
        <f t="shared" si="80"/>
        <v>0</v>
      </c>
      <c r="D218" s="25"/>
      <c r="E218" s="726">
        <f t="shared" si="77"/>
        <v>0</v>
      </c>
      <c r="F218" s="726">
        <f t="shared" si="77"/>
        <v>0</v>
      </c>
      <c r="G218" s="726">
        <f t="shared" si="77"/>
        <v>0</v>
      </c>
      <c r="H218" s="25">
        <f t="shared" si="81"/>
        <v>0</v>
      </c>
      <c r="I218" s="726"/>
      <c r="J218" s="726" t="str">
        <f t="shared" si="83"/>
        <v/>
      </c>
      <c r="K218" s="641"/>
      <c r="L218" s="641"/>
      <c r="M218" s="188"/>
      <c r="N218" s="740"/>
      <c r="O218" s="8"/>
      <c r="Q218" s="25">
        <f t="shared" si="84"/>
        <v>0</v>
      </c>
      <c r="R218" s="436"/>
      <c r="S218" s="740"/>
    </row>
    <row r="219" spans="1:19" ht="16.5" customHeight="1">
      <c r="A219" s="725" t="str">
        <f t="shared" si="79"/>
        <v/>
      </c>
      <c r="B219" s="292"/>
      <c r="C219" s="25">
        <f t="shared" si="80"/>
        <v>0</v>
      </c>
      <c r="D219" s="25"/>
      <c r="E219" s="726">
        <f t="shared" si="77"/>
        <v>0</v>
      </c>
      <c r="F219" s="726">
        <f t="shared" si="77"/>
        <v>0</v>
      </c>
      <c r="G219" s="726">
        <f t="shared" si="77"/>
        <v>0</v>
      </c>
      <c r="H219" s="25">
        <f t="shared" si="81"/>
        <v>0</v>
      </c>
      <c r="I219" s="726"/>
      <c r="J219" s="726" t="str">
        <f t="shared" si="83"/>
        <v/>
      </c>
      <c r="K219" s="641"/>
      <c r="L219" s="641"/>
      <c r="M219" s="188"/>
      <c r="N219" s="740"/>
      <c r="O219" s="295"/>
      <c r="P219" s="756"/>
      <c r="Q219" s="25">
        <f t="shared" si="84"/>
        <v>0</v>
      </c>
      <c r="R219" s="436"/>
      <c r="S219" s="740"/>
    </row>
    <row r="220" spans="1:19" ht="16.5" customHeight="1">
      <c r="A220" s="725" t="str">
        <f t="shared" si="79"/>
        <v/>
      </c>
      <c r="B220" s="292"/>
      <c r="C220" s="25">
        <f t="shared" si="80"/>
        <v>0</v>
      </c>
      <c r="D220" s="25"/>
      <c r="E220" s="726">
        <f t="shared" si="77"/>
        <v>0</v>
      </c>
      <c r="F220" s="726">
        <f t="shared" si="77"/>
        <v>0</v>
      </c>
      <c r="G220" s="726">
        <f t="shared" si="77"/>
        <v>0</v>
      </c>
      <c r="H220" s="25">
        <f t="shared" si="81"/>
        <v>0</v>
      </c>
      <c r="I220" s="726"/>
      <c r="J220" s="726" t="str">
        <f t="shared" si="83"/>
        <v/>
      </c>
      <c r="K220" s="641"/>
      <c r="L220" s="641"/>
      <c r="M220" s="40"/>
      <c r="N220" s="740"/>
      <c r="O220" s="295"/>
      <c r="P220" s="756"/>
      <c r="Q220" s="25">
        <f t="shared" si="84"/>
        <v>0</v>
      </c>
      <c r="R220" s="436"/>
      <c r="S220" s="740"/>
    </row>
    <row r="221" spans="1:19" ht="16.5" customHeight="1">
      <c r="A221" s="725" t="str">
        <f t="shared" si="79"/>
        <v/>
      </c>
      <c r="B221" s="292"/>
      <c r="C221" s="25">
        <f t="shared" si="80"/>
        <v>0</v>
      </c>
      <c r="D221" s="25"/>
      <c r="E221" s="726">
        <f t="shared" si="77"/>
        <v>0</v>
      </c>
      <c r="F221" s="726">
        <f t="shared" si="77"/>
        <v>0</v>
      </c>
      <c r="G221" s="726">
        <f t="shared" si="77"/>
        <v>0</v>
      </c>
      <c r="H221" s="25">
        <f t="shared" si="81"/>
        <v>0</v>
      </c>
      <c r="I221" s="726"/>
      <c r="J221" s="726" t="str">
        <f t="shared" si="83"/>
        <v/>
      </c>
      <c r="K221" s="641"/>
      <c r="L221" s="641"/>
      <c r="M221" s="188"/>
      <c r="N221" s="740"/>
      <c r="O221" s="295"/>
      <c r="P221" s="756"/>
      <c r="Q221" s="25">
        <f t="shared" si="84"/>
        <v>0</v>
      </c>
      <c r="R221" s="436"/>
      <c r="S221" s="740"/>
    </row>
    <row r="222" spans="1:19" ht="16.5" customHeight="1">
      <c r="A222" s="725" t="str">
        <f t="shared" si="79"/>
        <v/>
      </c>
      <c r="B222" s="292"/>
      <c r="C222" s="25">
        <f t="shared" si="80"/>
        <v>0</v>
      </c>
      <c r="D222" s="25"/>
      <c r="E222" s="726">
        <f t="shared" si="77"/>
        <v>0</v>
      </c>
      <c r="F222" s="726">
        <f t="shared" si="77"/>
        <v>0</v>
      </c>
      <c r="G222" s="726">
        <f t="shared" si="77"/>
        <v>0</v>
      </c>
      <c r="H222" s="25">
        <f t="shared" si="81"/>
        <v>0</v>
      </c>
      <c r="I222" s="726"/>
      <c r="J222" s="726" t="str">
        <f t="shared" si="83"/>
        <v/>
      </c>
      <c r="K222" s="641"/>
      <c r="L222" s="641"/>
      <c r="M222" s="188"/>
      <c r="N222" s="740"/>
      <c r="O222" s="295"/>
      <c r="P222" s="756"/>
      <c r="Q222" s="25">
        <f t="shared" si="84"/>
        <v>0</v>
      </c>
      <c r="R222" s="436"/>
      <c r="S222" s="740"/>
    </row>
    <row r="223" spans="1:19" ht="16.5" customHeight="1">
      <c r="A223" s="725" t="str">
        <f t="shared" si="79"/>
        <v/>
      </c>
      <c r="B223" s="292"/>
      <c r="C223" s="25">
        <f t="shared" si="80"/>
        <v>0</v>
      </c>
      <c r="D223" s="25"/>
      <c r="E223" s="726">
        <f t="shared" si="77"/>
        <v>0</v>
      </c>
      <c r="F223" s="726">
        <f t="shared" si="77"/>
        <v>0</v>
      </c>
      <c r="G223" s="726">
        <f t="shared" si="77"/>
        <v>0</v>
      </c>
      <c r="H223" s="25">
        <f t="shared" si="81"/>
        <v>0</v>
      </c>
      <c r="I223" s="726"/>
      <c r="J223" s="726" t="str">
        <f t="shared" si="83"/>
        <v/>
      </c>
      <c r="K223" s="641"/>
      <c r="L223" s="641"/>
      <c r="M223" s="188"/>
      <c r="N223" s="740"/>
      <c r="O223" s="295"/>
      <c r="P223" s="756"/>
      <c r="Q223" s="25">
        <f t="shared" si="84"/>
        <v>0</v>
      </c>
      <c r="R223" s="436"/>
      <c r="S223" s="740"/>
    </row>
    <row r="224" spans="1:19" ht="16.5" customHeight="1">
      <c r="A224" s="725" t="str">
        <f t="shared" si="79"/>
        <v/>
      </c>
      <c r="B224" s="292"/>
      <c r="C224" s="25">
        <f t="shared" si="80"/>
        <v>0</v>
      </c>
      <c r="D224" s="25"/>
      <c r="E224" s="726">
        <f t="shared" si="77"/>
        <v>0</v>
      </c>
      <c r="F224" s="726">
        <f t="shared" si="77"/>
        <v>0</v>
      </c>
      <c r="G224" s="726">
        <f t="shared" si="77"/>
        <v>0</v>
      </c>
      <c r="H224" s="25">
        <f t="shared" si="81"/>
        <v>0</v>
      </c>
      <c r="I224" s="726"/>
      <c r="J224" s="726" t="str">
        <f t="shared" si="83"/>
        <v/>
      </c>
      <c r="K224" s="641"/>
      <c r="L224" s="641"/>
      <c r="M224" s="188"/>
      <c r="N224" s="740"/>
      <c r="O224" s="295"/>
      <c r="P224" s="756"/>
      <c r="Q224" s="25">
        <f t="shared" si="84"/>
        <v>0</v>
      </c>
      <c r="R224" s="436"/>
      <c r="S224" s="740"/>
    </row>
    <row r="225" spans="1:19" ht="16.5" customHeight="1">
      <c r="A225" s="725"/>
      <c r="B225" s="292"/>
      <c r="C225" s="25"/>
      <c r="D225" s="25"/>
      <c r="E225" s="726"/>
      <c r="F225" s="726"/>
      <c r="G225" s="726"/>
      <c r="H225" s="25"/>
      <c r="I225" s="726"/>
      <c r="J225" s="726"/>
      <c r="K225" s="641"/>
      <c r="L225" s="641"/>
      <c r="M225" s="436"/>
      <c r="N225" s="740"/>
      <c r="O225" s="295"/>
      <c r="P225" s="756"/>
      <c r="Q225" s="25">
        <f t="shared" si="78"/>
        <v>0</v>
      </c>
      <c r="R225" s="436"/>
      <c r="S225" s="740"/>
    </row>
    <row r="226" spans="1:19" s="743" customFormat="1" ht="16.5" customHeight="1">
      <c r="A226" s="727"/>
      <c r="B226" s="728" t="s">
        <v>235</v>
      </c>
      <c r="C226" s="516">
        <f>SUM(C200:C225)</f>
        <v>0</v>
      </c>
      <c r="D226" s="516"/>
      <c r="E226" s="516"/>
      <c r="F226" s="516">
        <f>Q226</f>
        <v>0</v>
      </c>
      <c r="G226" s="516"/>
      <c r="H226" s="516">
        <f>SUM(H200:H225)</f>
        <v>0</v>
      </c>
      <c r="I226" s="516">
        <f>ROUND(SUM(I200:I225),0)</f>
        <v>0</v>
      </c>
      <c r="J226" s="516"/>
      <c r="K226" s="641"/>
      <c r="L226" s="641"/>
      <c r="M226" s="744"/>
      <c r="N226" s="745"/>
      <c r="O226" s="776"/>
      <c r="P226" s="755"/>
      <c r="Q226" s="47">
        <f>SUM(Q200:Q225)</f>
        <v>0</v>
      </c>
      <c r="R226" s="744"/>
      <c r="S226" s="745"/>
    </row>
    <row r="227" spans="1:19" s="722" customFormat="1">
      <c r="A227" s="721"/>
      <c r="B227" s="721"/>
      <c r="C227" s="721"/>
      <c r="D227" s="721"/>
      <c r="E227" s="721"/>
      <c r="F227" s="721"/>
      <c r="G227" s="721"/>
      <c r="H227" s="289"/>
      <c r="I227" s="721"/>
      <c r="J227" s="721"/>
      <c r="K227" s="641"/>
      <c r="L227" s="641"/>
      <c r="M227" s="721"/>
      <c r="N227" s="734"/>
      <c r="O227" s="768"/>
      <c r="P227" s="289"/>
      <c r="Q227" s="721"/>
      <c r="R227" s="721"/>
      <c r="S227" s="734"/>
    </row>
    <row r="228" spans="1:19">
      <c r="K228" s="641"/>
      <c r="L228" s="641"/>
    </row>
    <row r="229" spans="1:19">
      <c r="H229" s="748"/>
      <c r="K229" s="641"/>
      <c r="L229" s="641"/>
    </row>
    <row r="230" spans="1:19">
      <c r="K230" s="641"/>
      <c r="L230" s="641"/>
    </row>
  </sheetData>
  <autoFilter ref="A68:T137"/>
  <sortState ref="A359:AC597">
    <sortCondition ref="S359:S597"/>
  </sortState>
  <dataValidations count="1">
    <dataValidation type="list" allowBlank="1" showInputMessage="1" showErrorMessage="1" sqref="M199 M147 M6 M68 R199 R147 R6 R6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67" customWidth="1"/>
    <col min="2" max="2" width="15.7109375" style="567" customWidth="1"/>
    <col min="3" max="3" width="16.85546875" style="567" customWidth="1"/>
    <col min="4" max="9" width="15.28515625" style="567" customWidth="1"/>
    <col min="10" max="10" width="10.140625" style="567" customWidth="1"/>
    <col min="11" max="11" width="5.85546875" style="567" customWidth="1"/>
    <col min="12" max="16384" width="10.28515625" style="567"/>
  </cols>
  <sheetData>
    <row r="1" spans="1:11" s="438" customFormat="1" ht="19.5" customHeight="1">
      <c r="A1" s="554" t="str">
        <f>TH!A1</f>
        <v>Đơn vị: CÔNG TY TNHH MỘT THÀNH VIÊN KHỞI NGUYÊN AN</v>
      </c>
      <c r="B1" s="554"/>
      <c r="D1" s="439"/>
      <c r="E1" s="439"/>
      <c r="F1" s="439"/>
      <c r="G1" s="1095" t="s">
        <v>236</v>
      </c>
      <c r="H1" s="1095"/>
      <c r="I1" s="1095"/>
      <c r="J1" s="440"/>
      <c r="K1" s="441"/>
    </row>
    <row r="2" spans="1:11" s="438" customFormat="1" ht="19.5" customHeight="1">
      <c r="A2" s="602" t="str">
        <f>TH!A2</f>
        <v>Địa chỉ: Thửa đất số 144, tờ bản đồ số 12TĐH.1, tổ 1, khu phố Đông Tác, Phường Tân Đông Hiệp, Thị Xã Dĩ An, Tỉnh Bình Dương, Việt Nam</v>
      </c>
      <c r="B2" s="554"/>
      <c r="D2" s="442"/>
      <c r="E2" s="442"/>
      <c r="F2" s="442"/>
      <c r="G2" s="1096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96"/>
      <c r="I2" s="1096"/>
      <c r="J2" s="440"/>
      <c r="K2" s="427">
        <v>1</v>
      </c>
    </row>
    <row r="3" spans="1:11" s="438" customFormat="1" ht="15">
      <c r="A3" s="555"/>
      <c r="B3" s="556"/>
      <c r="C3" s="442"/>
      <c r="D3" s="442"/>
      <c r="E3" s="442"/>
      <c r="F3" s="442"/>
      <c r="G3" s="1096"/>
      <c r="H3" s="1096"/>
      <c r="I3" s="1096"/>
      <c r="J3" s="440"/>
    </row>
    <row r="4" spans="1:11" s="558" customFormat="1" ht="17.25" customHeight="1">
      <c r="A4" s="1097" t="s">
        <v>237</v>
      </c>
      <c r="B4" s="1097"/>
      <c r="C4" s="1097"/>
      <c r="D4" s="1097"/>
      <c r="E4" s="1097"/>
      <c r="F4" s="1097"/>
      <c r="G4" s="1097"/>
      <c r="H4" s="1097"/>
      <c r="I4" s="1097"/>
      <c r="J4" s="557"/>
    </row>
    <row r="5" spans="1:11" s="559" customFormat="1" ht="17.25" customHeight="1">
      <c r="B5" s="560"/>
      <c r="C5" s="561" t="s">
        <v>322</v>
      </c>
      <c r="D5" s="560" t="str">
        <f>IF($K$2&lt;10,"0"&amp;$K$2&amp;"  năm 2011",$K$2&amp;"  năm 2011")</f>
        <v>01  năm 2011</v>
      </c>
      <c r="E5" s="560"/>
      <c r="F5" s="560"/>
      <c r="G5" s="560"/>
      <c r="H5" s="560"/>
      <c r="I5" s="560"/>
      <c r="J5" s="560"/>
    </row>
    <row r="6" spans="1:11" s="559" customFormat="1" ht="17.25" customHeight="1">
      <c r="B6" s="562"/>
      <c r="C6" s="1098" t="s">
        <v>238</v>
      </c>
      <c r="D6" s="1098"/>
      <c r="E6" s="1099"/>
      <c r="F6" s="1099"/>
      <c r="G6" s="1099"/>
      <c r="H6" s="676"/>
      <c r="I6" s="562"/>
      <c r="J6" s="560"/>
    </row>
    <row r="7" spans="1:11" s="564" customFormat="1" ht="9.75" customHeight="1">
      <c r="A7" s="563"/>
      <c r="B7" s="563"/>
      <c r="C7" s="563"/>
      <c r="D7" s="563"/>
      <c r="E7" s="563"/>
      <c r="F7" s="563"/>
      <c r="G7" s="563"/>
      <c r="H7" s="563"/>
      <c r="I7" s="563"/>
      <c r="J7" s="562"/>
    </row>
    <row r="8" spans="1:11" s="444" customFormat="1" ht="17.25" customHeight="1">
      <c r="A8" s="1100" t="s">
        <v>239</v>
      </c>
      <c r="B8" s="1101" t="s">
        <v>240</v>
      </c>
      <c r="C8" s="1101" t="s">
        <v>241</v>
      </c>
      <c r="D8" s="1101"/>
      <c r="E8" s="1101"/>
      <c r="F8" s="1101"/>
      <c r="G8" s="1101"/>
      <c r="H8" s="1101"/>
      <c r="I8" s="1101"/>
      <c r="J8" s="443"/>
    </row>
    <row r="9" spans="1:11" s="447" customFormat="1" ht="35.25" customHeight="1">
      <c r="A9" s="1100"/>
      <c r="B9" s="1101"/>
      <c r="C9" s="445" t="s">
        <v>357</v>
      </c>
      <c r="D9" s="445" t="s">
        <v>242</v>
      </c>
      <c r="E9" s="445" t="s">
        <v>358</v>
      </c>
      <c r="F9" s="445" t="s">
        <v>359</v>
      </c>
      <c r="G9" s="445" t="s">
        <v>243</v>
      </c>
      <c r="H9" s="445" t="s">
        <v>244</v>
      </c>
      <c r="I9" s="445" t="s">
        <v>360</v>
      </c>
      <c r="J9" s="446"/>
    </row>
    <row r="10" spans="1:11" s="450" customFormat="1" ht="15">
      <c r="A10" s="448" t="s">
        <v>2</v>
      </c>
      <c r="B10" s="449">
        <v>1</v>
      </c>
      <c r="C10" s="449">
        <v>2</v>
      </c>
      <c r="D10" s="449">
        <v>3</v>
      </c>
      <c r="E10" s="449">
        <v>4</v>
      </c>
      <c r="F10" s="449">
        <v>5</v>
      </c>
      <c r="G10" s="449">
        <v>6</v>
      </c>
      <c r="H10" s="449">
        <v>7</v>
      </c>
      <c r="I10" s="449">
        <v>8</v>
      </c>
      <c r="J10" s="440"/>
    </row>
    <row r="11" spans="1:11" s="559" customFormat="1" ht="24.75" customHeight="1">
      <c r="A11" s="565" t="s">
        <v>245</v>
      </c>
      <c r="B11" s="566">
        <f>ROUND(SUM(C11:I11),0)</f>
        <v>0</v>
      </c>
      <c r="C11" s="566">
        <v>0</v>
      </c>
      <c r="D11" s="566">
        <v>0</v>
      </c>
      <c r="E11" s="566">
        <v>0</v>
      </c>
      <c r="F11" s="566">
        <v>0</v>
      </c>
      <c r="G11" s="566">
        <v>0</v>
      </c>
      <c r="H11" s="566">
        <v>0</v>
      </c>
      <c r="I11" s="566">
        <v>0</v>
      </c>
      <c r="J11" s="560"/>
    </row>
    <row r="12" spans="1:11" s="559" customFormat="1" ht="24.75" customHeight="1">
      <c r="A12" s="565" t="s">
        <v>246</v>
      </c>
      <c r="B12" s="566">
        <f ca="1">ROUND(SUM(C12:I12),0)</f>
        <v>0</v>
      </c>
      <c r="C12" s="566">
        <f ca="1">IF(ISNA(VLOOKUP($E6,INDIRECT("DSSP"&amp;$K$2),5,0)),0,VLOOKUP($E6,INDIRECT("DSSP"&amp;$K$2),5,0))</f>
        <v>0</v>
      </c>
      <c r="D12" s="566">
        <f ca="1">IF(ISNA(VLOOKUP($E6,INDIRECT("DSSP"&amp;$K$2),6,0)),0,VLOOKUP($E6,INDIRECT("DSSP"&amp;$K$2),6,0))</f>
        <v>0</v>
      </c>
      <c r="E12" s="566">
        <f ca="1">IF(ISNA(VLOOKUP($E6,INDIRECT("DSSP"&amp;$K$2),7,0)),0,VLOOKUP($E6,INDIRECT("DSSP"&amp;$K$2),7,0))</f>
        <v>0</v>
      </c>
      <c r="F12" s="566">
        <f ca="1">IF(ISNA(VLOOKUP($E6,INDIRECT("DSSP"&amp;$K$2),8,0)),0,VLOOKUP($E6,INDIRECT("DSSP"&amp;$K$2),8,0))</f>
        <v>0</v>
      </c>
      <c r="G12" s="566">
        <f ca="1">IF(ISNA(VLOOKUP($E6,INDIRECT("DSSP"&amp;$K$2),9,0)),0,VLOOKUP($E6,INDIRECT("DSSP"&amp;$K$2),9,0))</f>
        <v>0</v>
      </c>
      <c r="H12" s="566">
        <f ca="1">IF(ISNA(VLOOKUP($E6,INDIRECT("DSSP"&amp;$K$2),10,0)),0,VLOOKUP($E6,INDIRECT("DSSP"&amp;$K$2),10,0))</f>
        <v>0</v>
      </c>
      <c r="I12" s="566">
        <f ca="1">IF(ISNA(VLOOKUP($E6,INDIRECT("DSSP"&amp;$K$2),11,0)),0,VLOOKUP($E6,INDIRECT("DSSP"&amp;$K$2),11,0))</f>
        <v>0</v>
      </c>
      <c r="J12" s="560"/>
    </row>
    <row r="13" spans="1:11" s="559" customFormat="1" ht="24.75" customHeight="1">
      <c r="A13" s="565" t="s">
        <v>247</v>
      </c>
      <c r="B13" s="566">
        <f ca="1">ROUND(IF(ISNA(VLOOKUP($E6,INDIRECT("DSSP"&amp;$K$2),13,0)),0,VLOOKUP($E6,INDIRECT("DSSP"&amp;$K$2),13,0)),0)</f>
        <v>0</v>
      </c>
      <c r="C13" s="566">
        <f t="shared" ref="C13:I13" ca="1" si="0">C12</f>
        <v>0</v>
      </c>
      <c r="D13" s="566">
        <f t="shared" ca="1" si="0"/>
        <v>0</v>
      </c>
      <c r="E13" s="566">
        <f t="shared" ca="1" si="0"/>
        <v>0</v>
      </c>
      <c r="F13" s="566"/>
      <c r="G13" s="566">
        <f t="shared" ca="1" si="0"/>
        <v>0</v>
      </c>
      <c r="H13" s="566"/>
      <c r="I13" s="566">
        <f t="shared" ca="1" si="0"/>
        <v>0</v>
      </c>
      <c r="J13" s="560"/>
    </row>
    <row r="14" spans="1:11" s="559" customFormat="1" ht="24.75" customHeight="1">
      <c r="A14" s="565" t="s">
        <v>248</v>
      </c>
      <c r="B14" s="566">
        <f ca="1">B12-B13</f>
        <v>0</v>
      </c>
      <c r="C14" s="566">
        <f t="shared" ref="C14:I14" ca="1" si="1">C12-C13</f>
        <v>0</v>
      </c>
      <c r="D14" s="566">
        <f t="shared" ca="1" si="1"/>
        <v>0</v>
      </c>
      <c r="E14" s="566">
        <f t="shared" ca="1" si="1"/>
        <v>0</v>
      </c>
      <c r="F14" s="566"/>
      <c r="G14" s="566">
        <f t="shared" ca="1" si="1"/>
        <v>0</v>
      </c>
      <c r="H14" s="566"/>
      <c r="I14" s="566">
        <f t="shared" ca="1" si="1"/>
        <v>0</v>
      </c>
      <c r="J14" s="560"/>
    </row>
    <row r="15" spans="1:11" s="559" customFormat="1" ht="15">
      <c r="B15" s="560"/>
      <c r="C15" s="560"/>
      <c r="D15" s="560"/>
      <c r="E15" s="560"/>
      <c r="F15" s="560"/>
      <c r="G15" s="560"/>
      <c r="H15" s="560"/>
      <c r="I15" s="560"/>
      <c r="J15" s="560"/>
    </row>
    <row r="16" spans="1:11" s="559" customFormat="1" ht="15">
      <c r="B16" s="560"/>
      <c r="C16" s="560"/>
      <c r="D16" s="560"/>
      <c r="E16" s="1094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94"/>
      <c r="G16" s="1094"/>
      <c r="H16" s="1094"/>
      <c r="I16" s="1094"/>
      <c r="J16" s="560"/>
    </row>
    <row r="17" spans="2:10" s="559" customFormat="1" ht="15">
      <c r="B17" s="450" t="s">
        <v>249</v>
      </c>
      <c r="C17" s="560"/>
      <c r="D17" s="560"/>
      <c r="E17" s="1094" t="s">
        <v>12</v>
      </c>
      <c r="F17" s="1094"/>
      <c r="G17" s="1094"/>
      <c r="H17" s="1094"/>
      <c r="I17" s="1094"/>
      <c r="J17" s="560"/>
    </row>
    <row r="19" spans="2:10" ht="15">
      <c r="E19" s="568"/>
      <c r="F19" s="568"/>
    </row>
    <row r="26" spans="2:10">
      <c r="B26" s="542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77" customWidth="1"/>
    <col min="2" max="2" width="9.140625" style="477" customWidth="1"/>
    <col min="3" max="3" width="9" style="478" customWidth="1"/>
    <col min="4" max="4" width="28.140625" style="477" customWidth="1"/>
    <col min="5" max="5" width="9.140625" style="477" customWidth="1"/>
    <col min="6" max="6" width="9.28515625" style="478" customWidth="1"/>
    <col min="7" max="7" width="9" style="477" customWidth="1"/>
    <col min="8" max="8" width="14.5703125" style="477" customWidth="1"/>
    <col min="9" max="9" width="6" style="477" customWidth="1"/>
    <col min="10" max="10" width="14.140625" style="477" customWidth="1"/>
    <col min="11" max="11" width="14.85546875" style="479" customWidth="1"/>
    <col min="12" max="12" width="14.42578125" style="477" customWidth="1"/>
    <col min="13" max="13" width="5.85546875" style="477" customWidth="1"/>
    <col min="14" max="14" width="7.42578125" style="477" customWidth="1"/>
    <col min="15" max="15" width="11.7109375" style="477" customWidth="1"/>
    <col min="16" max="16" width="4.5703125" style="543" customWidth="1"/>
    <col min="17" max="17" width="11.140625" style="477" bestFit="1" customWidth="1"/>
    <col min="18" max="18" width="12" style="477" bestFit="1" customWidth="1"/>
    <col min="19" max="16384" width="9.140625" style="477"/>
  </cols>
  <sheetData>
    <row r="1" spans="1:18" ht="15" customHeight="1">
      <c r="A1" s="603" t="str">
        <f>TH!A1</f>
        <v>Đơn vị: CÔNG TY TNHH MỘT THÀNH VIÊN KHỞI NGUYÊN AN</v>
      </c>
      <c r="L1" s="1103" t="s">
        <v>266</v>
      </c>
      <c r="M1" s="1103"/>
      <c r="N1" s="1103"/>
      <c r="O1" s="1103"/>
    </row>
    <row r="2" spans="1:18" ht="15" customHeight="1">
      <c r="A2" s="476" t="str">
        <f>TH!A2</f>
        <v>Địa chỉ: Thửa đất số 144, tờ bản đồ số 12TĐH.1, tổ 1, khu phố Đông Tác, Phường Tân Đông Hiệp, Thị Xã Dĩ An, Tỉnh Bình Dương, Việt Nam</v>
      </c>
      <c r="L2" s="1102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102"/>
      <c r="N2" s="1102"/>
      <c r="O2" s="1102"/>
    </row>
    <row r="3" spans="1:18" ht="15" customHeight="1">
      <c r="L3" s="1102"/>
      <c r="M3" s="1102"/>
      <c r="N3" s="1102"/>
      <c r="O3" s="1102"/>
    </row>
    <row r="5" spans="1:18" s="482" customFormat="1" ht="24" customHeight="1">
      <c r="A5" s="1104" t="s">
        <v>267</v>
      </c>
      <c r="B5" s="1104"/>
      <c r="C5" s="1104"/>
      <c r="D5" s="1104"/>
      <c r="E5" s="1104"/>
      <c r="F5" s="1104"/>
      <c r="G5" s="1104"/>
      <c r="H5" s="1104"/>
      <c r="I5" s="1104"/>
      <c r="J5" s="1104"/>
      <c r="K5" s="1104"/>
      <c r="L5" s="1104"/>
      <c r="M5" s="1104"/>
      <c r="N5" s="1104"/>
      <c r="O5" s="1104"/>
      <c r="P5" s="544"/>
    </row>
    <row r="6" spans="1:18" s="482" customFormat="1" ht="21" customHeight="1">
      <c r="A6" s="1105" t="s">
        <v>361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544"/>
    </row>
    <row r="7" spans="1:18" s="482" customFormat="1" ht="21" customHeight="1">
      <c r="A7" s="1106" t="s">
        <v>309</v>
      </c>
      <c r="B7" s="1106"/>
      <c r="C7" s="1106"/>
      <c r="D7" s="1106"/>
      <c r="E7" s="1106"/>
      <c r="F7" s="1106"/>
      <c r="G7" s="1106"/>
      <c r="H7" s="1106"/>
      <c r="I7" s="1106"/>
      <c r="J7" s="1106"/>
      <c r="K7" s="1106"/>
      <c r="L7" s="1106"/>
      <c r="M7" s="1106"/>
      <c r="N7" s="1106"/>
      <c r="O7" s="1106"/>
      <c r="P7" s="544"/>
    </row>
    <row r="8" spans="1:18">
      <c r="D8" s="478"/>
    </row>
    <row r="9" spans="1:18" s="483" customFormat="1" ht="24" customHeight="1">
      <c r="A9" s="1107" t="s">
        <v>220</v>
      </c>
      <c r="B9" s="1110" t="s">
        <v>268</v>
      </c>
      <c r="C9" s="1111"/>
      <c r="D9" s="1111"/>
      <c r="E9" s="1111"/>
      <c r="F9" s="1111"/>
      <c r="G9" s="1111"/>
      <c r="H9" s="1112"/>
      <c r="I9" s="1110" t="s">
        <v>269</v>
      </c>
      <c r="J9" s="1111"/>
      <c r="K9" s="1111"/>
      <c r="L9" s="1112"/>
      <c r="M9" s="1113" t="s">
        <v>270</v>
      </c>
      <c r="N9" s="1113"/>
      <c r="O9" s="1113"/>
      <c r="P9" s="545"/>
    </row>
    <row r="10" spans="1:18" s="483" customFormat="1" ht="24" customHeight="1">
      <c r="A10" s="1108"/>
      <c r="B10" s="1110" t="s">
        <v>271</v>
      </c>
      <c r="C10" s="1112"/>
      <c r="D10" s="1107" t="s">
        <v>272</v>
      </c>
      <c r="E10" s="1107" t="s">
        <v>273</v>
      </c>
      <c r="F10" s="1107" t="s">
        <v>274</v>
      </c>
      <c r="G10" s="1107" t="s">
        <v>275</v>
      </c>
      <c r="H10" s="1107" t="s">
        <v>276</v>
      </c>
      <c r="I10" s="1110" t="s">
        <v>277</v>
      </c>
      <c r="J10" s="1112"/>
      <c r="K10" s="1114" t="s">
        <v>278</v>
      </c>
      <c r="L10" s="1107" t="s">
        <v>279</v>
      </c>
      <c r="M10" s="1113" t="s">
        <v>271</v>
      </c>
      <c r="N10" s="1113"/>
      <c r="O10" s="1113" t="s">
        <v>280</v>
      </c>
      <c r="P10" s="545"/>
    </row>
    <row r="11" spans="1:18" s="483" customFormat="1" ht="55.5" customHeight="1">
      <c r="A11" s="1109"/>
      <c r="B11" s="484" t="s">
        <v>281</v>
      </c>
      <c r="C11" s="484" t="s">
        <v>221</v>
      </c>
      <c r="D11" s="1109"/>
      <c r="E11" s="1109"/>
      <c r="F11" s="1109"/>
      <c r="G11" s="1109"/>
      <c r="H11" s="1109"/>
      <c r="I11" s="484" t="s">
        <v>282</v>
      </c>
      <c r="J11" s="484" t="s">
        <v>283</v>
      </c>
      <c r="K11" s="1115"/>
      <c r="L11" s="1109"/>
      <c r="M11" s="484" t="s">
        <v>15</v>
      </c>
      <c r="N11" s="484" t="s">
        <v>221</v>
      </c>
      <c r="O11" s="1113"/>
      <c r="P11" s="545"/>
    </row>
    <row r="12" spans="1:18" s="487" customFormat="1" ht="13.5">
      <c r="A12" s="485" t="s">
        <v>2</v>
      </c>
      <c r="B12" s="485" t="s">
        <v>3</v>
      </c>
      <c r="C12" s="485" t="s">
        <v>4</v>
      </c>
      <c r="D12" s="485" t="s">
        <v>5</v>
      </c>
      <c r="E12" s="485" t="s">
        <v>6</v>
      </c>
      <c r="F12" s="485" t="s">
        <v>131</v>
      </c>
      <c r="G12" s="485" t="s">
        <v>284</v>
      </c>
      <c r="H12" s="485">
        <v>1</v>
      </c>
      <c r="I12" s="485">
        <v>2</v>
      </c>
      <c r="J12" s="485">
        <v>3</v>
      </c>
      <c r="K12" s="486"/>
      <c r="L12" s="485">
        <v>4</v>
      </c>
      <c r="M12" s="485" t="s">
        <v>285</v>
      </c>
      <c r="N12" s="485" t="s">
        <v>286</v>
      </c>
      <c r="O12" s="485" t="s">
        <v>287</v>
      </c>
      <c r="P12" s="546"/>
    </row>
    <row r="13" spans="1:18" s="487" customFormat="1" ht="21.75" customHeight="1">
      <c r="A13" s="507" t="s">
        <v>285</v>
      </c>
      <c r="B13" s="509" t="s">
        <v>308</v>
      </c>
      <c r="C13" s="507"/>
      <c r="D13" s="507"/>
      <c r="E13" s="507"/>
      <c r="F13" s="507"/>
      <c r="G13" s="547"/>
      <c r="H13" s="514"/>
      <c r="I13" s="514"/>
      <c r="J13" s="514"/>
      <c r="K13" s="514"/>
      <c r="L13" s="8"/>
      <c r="M13" s="507"/>
      <c r="N13" s="507"/>
      <c r="O13" s="181"/>
      <c r="P13" s="546" t="str">
        <f>IF(D13='THE-TS'!$D$11,"x","")</f>
        <v/>
      </c>
    </row>
    <row r="14" spans="1:18" ht="21.75" customHeight="1">
      <c r="A14" s="508">
        <v>1</v>
      </c>
      <c r="B14" s="518" t="s">
        <v>347</v>
      </c>
      <c r="C14" s="488">
        <v>40682</v>
      </c>
      <c r="D14" s="204" t="s">
        <v>343</v>
      </c>
      <c r="E14" s="436" t="s">
        <v>288</v>
      </c>
      <c r="F14" s="517" t="s">
        <v>365</v>
      </c>
      <c r="G14" s="547" t="s">
        <v>349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04"/>
      <c r="N14" s="436"/>
      <c r="O14" s="181"/>
      <c r="P14" s="546" t="str">
        <f>IF(D14='THE-TS'!$D$11,"x","")</f>
        <v>x</v>
      </c>
      <c r="Q14" s="289"/>
      <c r="R14" s="289"/>
    </row>
    <row r="15" spans="1:18" ht="21.75" customHeight="1">
      <c r="A15" s="508">
        <v>2</v>
      </c>
      <c r="B15" s="517" t="s">
        <v>348</v>
      </c>
      <c r="C15" s="488">
        <v>40686</v>
      </c>
      <c r="D15" s="204" t="s">
        <v>344</v>
      </c>
      <c r="E15" s="436" t="s">
        <v>288</v>
      </c>
      <c r="F15" s="517" t="s">
        <v>365</v>
      </c>
      <c r="G15" s="547" t="s">
        <v>350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04"/>
      <c r="N15" s="436"/>
      <c r="O15" s="181"/>
      <c r="P15" s="546" t="str">
        <f>IF(D15='THE-TS'!$D$11,"x","")</f>
        <v/>
      </c>
      <c r="Q15" s="289"/>
      <c r="R15" s="289"/>
    </row>
    <row r="16" spans="1:18" ht="21.75" customHeight="1">
      <c r="A16" s="508">
        <v>3</v>
      </c>
      <c r="B16" s="517" t="s">
        <v>320</v>
      </c>
      <c r="C16" s="488">
        <v>40710</v>
      </c>
      <c r="D16" s="204" t="s">
        <v>345</v>
      </c>
      <c r="E16" s="436" t="s">
        <v>288</v>
      </c>
      <c r="F16" s="517" t="s">
        <v>366</v>
      </c>
      <c r="G16" s="547" t="s">
        <v>351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04"/>
      <c r="N16" s="181"/>
      <c r="O16" s="181"/>
      <c r="P16" s="546" t="str">
        <f>IF(D16='THE-TS'!$D$11,"x","")</f>
        <v/>
      </c>
      <c r="Q16" s="289"/>
      <c r="R16" s="289"/>
    </row>
    <row r="17" spans="1:18" ht="21.75" customHeight="1">
      <c r="A17" s="489"/>
      <c r="B17" s="510"/>
      <c r="C17" s="511"/>
      <c r="D17" s="512"/>
      <c r="E17" s="490"/>
      <c r="F17" s="511"/>
      <c r="G17" s="510"/>
      <c r="H17" s="515"/>
      <c r="I17" s="515"/>
      <c r="J17" s="293"/>
      <c r="K17" s="293"/>
      <c r="L17" s="293"/>
      <c r="M17" s="490"/>
      <c r="N17" s="490"/>
      <c r="O17" s="490"/>
      <c r="P17" s="546" t="str">
        <f>IF(D17='THE-TS'!$D$11,"x","")</f>
        <v/>
      </c>
      <c r="R17" s="505"/>
    </row>
    <row r="18" spans="1:18" s="493" customFormat="1" ht="21.75" customHeight="1">
      <c r="A18" s="491"/>
      <c r="B18" s="492"/>
      <c r="C18" s="491"/>
      <c r="D18" s="491" t="s">
        <v>289</v>
      </c>
      <c r="E18" s="491" t="s">
        <v>19</v>
      </c>
      <c r="F18" s="491" t="s">
        <v>19</v>
      </c>
      <c r="G18" s="491" t="s">
        <v>19</v>
      </c>
      <c r="H18" s="516">
        <f>SUM(H13:H17)</f>
        <v>365000000</v>
      </c>
      <c r="I18" s="516"/>
      <c r="J18" s="516">
        <f>SUM(J13:J17)</f>
        <v>37250000</v>
      </c>
      <c r="K18" s="516">
        <f>SUM(K13:K17)</f>
        <v>0</v>
      </c>
      <c r="L18" s="516">
        <f>SUM(L13:L17)</f>
        <v>37250000</v>
      </c>
      <c r="M18" s="552" t="s">
        <v>19</v>
      </c>
      <c r="N18" s="552" t="s">
        <v>19</v>
      </c>
      <c r="O18" s="552" t="s">
        <v>19</v>
      </c>
      <c r="P18" s="546" t="str">
        <f>IF(D18='THE-TS'!$D$11,"x","")</f>
        <v/>
      </c>
    </row>
    <row r="19" spans="1:18" ht="6.75" customHeight="1">
      <c r="A19" s="437"/>
      <c r="B19" s="437"/>
      <c r="C19" s="494"/>
      <c r="D19" s="437"/>
      <c r="E19" s="494"/>
      <c r="F19" s="494"/>
      <c r="G19" s="494"/>
      <c r="H19" s="437"/>
      <c r="I19" s="437"/>
      <c r="J19" s="437"/>
      <c r="K19" s="495"/>
      <c r="L19" s="437"/>
      <c r="M19" s="437"/>
      <c r="N19" s="437"/>
      <c r="O19" s="437"/>
      <c r="P19" s="546" t="str">
        <f>IF(D19='THE-TS'!$D$11,"x","")</f>
        <v/>
      </c>
    </row>
    <row r="20" spans="1:18" ht="13.5" customHeight="1">
      <c r="A20" s="437"/>
      <c r="B20" s="437"/>
      <c r="C20" s="494"/>
      <c r="D20" s="437" t="s">
        <v>290</v>
      </c>
      <c r="E20" s="437"/>
      <c r="F20" s="494"/>
      <c r="G20" s="437"/>
      <c r="H20" s="479"/>
      <c r="I20" s="479"/>
      <c r="J20" s="553"/>
      <c r="L20" s="479"/>
      <c r="M20" s="437"/>
      <c r="N20" s="437"/>
      <c r="O20" s="437"/>
      <c r="P20" s="546" t="str">
        <f>IF(D20='THE-TS'!$D$11,"x","")</f>
        <v/>
      </c>
    </row>
    <row r="21" spans="1:18" ht="13.5" customHeight="1">
      <c r="A21" s="437"/>
      <c r="B21" s="437"/>
      <c r="C21" s="494"/>
      <c r="D21" s="437" t="s">
        <v>363</v>
      </c>
      <c r="E21" s="437"/>
      <c r="F21" s="494"/>
      <c r="G21" s="437"/>
      <c r="H21" s="505"/>
      <c r="I21" s="437"/>
      <c r="J21" s="513"/>
      <c r="K21" s="495"/>
      <c r="L21" s="437"/>
      <c r="M21" s="437"/>
      <c r="N21" s="437"/>
      <c r="O21" s="437"/>
      <c r="P21" s="546" t="str">
        <f>IF(D21='THE-TS'!$D$11,"x","")</f>
        <v/>
      </c>
    </row>
    <row r="22" spans="1:18" ht="13.5" customHeight="1">
      <c r="K22" s="496"/>
      <c r="L22" s="481" t="s">
        <v>362</v>
      </c>
      <c r="P22" s="546" t="str">
        <f>IF(D22='THE-TS'!$D$11,"x","")</f>
        <v/>
      </c>
    </row>
    <row r="23" spans="1:18" ht="13.5" customHeight="1">
      <c r="B23" s="478"/>
      <c r="D23" s="478" t="s">
        <v>11</v>
      </c>
      <c r="F23" s="478" t="s">
        <v>291</v>
      </c>
      <c r="I23" s="497"/>
      <c r="K23" s="494"/>
      <c r="L23" s="494" t="s">
        <v>109</v>
      </c>
      <c r="P23" s="546" t="str">
        <f>IF(D23='THE-TS'!$D$11,"x","")</f>
        <v/>
      </c>
    </row>
    <row r="24" spans="1:18" ht="13.5" customHeight="1">
      <c r="B24" s="478"/>
      <c r="D24" s="478"/>
      <c r="P24" s="546" t="str">
        <f>IF(D24='THE-TS'!$D$11,"x","")</f>
        <v/>
      </c>
    </row>
    <row r="25" spans="1:18" ht="13.5" customHeight="1">
      <c r="H25" s="498"/>
      <c r="J25" s="498"/>
      <c r="L25" s="498"/>
      <c r="P25" s="546" t="str">
        <f>IF(D25='THE-TS'!$D$11,"x","")</f>
        <v/>
      </c>
    </row>
    <row r="26" spans="1:18" ht="13.5" customHeight="1">
      <c r="H26" s="499"/>
      <c r="P26" s="546" t="str">
        <f>IF(D26='THE-TS'!$D$11,"x","")</f>
        <v/>
      </c>
    </row>
    <row r="27" spans="1:18" ht="13.5" customHeight="1">
      <c r="H27" s="499"/>
      <c r="J27" s="498"/>
      <c r="P27" s="546" t="str">
        <f>IF(D27='THE-TS'!$D$11,"x","")</f>
        <v/>
      </c>
    </row>
    <row r="28" spans="1:18" ht="13.5" customHeight="1">
      <c r="H28" s="499"/>
      <c r="P28" s="546" t="str">
        <f>IF(D28='THE-TS'!$D$11,"x","")</f>
        <v/>
      </c>
    </row>
    <row r="29" spans="1:18" ht="13.5" customHeight="1">
      <c r="H29" s="499"/>
      <c r="P29" s="546" t="str">
        <f>IF(D29='THE-TS'!$D$11,"x","")</f>
        <v/>
      </c>
    </row>
    <row r="30" spans="1:18" s="500" customFormat="1" ht="13.5" customHeight="1">
      <c r="C30" s="501"/>
      <c r="D30" s="501"/>
      <c r="F30" s="501"/>
      <c r="H30" s="502"/>
      <c r="K30" s="503"/>
      <c r="P30" s="546"/>
    </row>
    <row r="31" spans="1:18" ht="13.5">
      <c r="P31" s="546" t="str">
        <f>IF(D31='THE-TS'!$D$11,"x","")</f>
        <v/>
      </c>
    </row>
    <row r="32" spans="1:18" ht="13.5" customHeight="1">
      <c r="H32" s="499"/>
      <c r="P32" s="546" t="str">
        <f>IF(D32='THE-TS'!$D$11,"x","")</f>
        <v/>
      </c>
    </row>
    <row r="33" spans="16:16" ht="13.5">
      <c r="P33" s="546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20" customWidth="1"/>
    <col min="2" max="2" width="10.140625" style="520" customWidth="1"/>
    <col min="3" max="3" width="11.5703125" style="520" customWidth="1"/>
    <col min="4" max="4" width="28.7109375" style="520" customWidth="1"/>
    <col min="5" max="5" width="13.28515625" style="520" customWidth="1"/>
    <col min="6" max="6" width="9.140625" style="520"/>
    <col min="7" max="7" width="14" style="520" customWidth="1"/>
    <col min="8" max="8" width="14.7109375" style="520" customWidth="1"/>
    <col min="9" max="10" width="9.140625" style="520"/>
    <col min="11" max="11" width="13.85546875" style="520" customWidth="1"/>
    <col min="12" max="16384" width="9.140625" style="520"/>
  </cols>
  <sheetData>
    <row r="1" spans="1:11" hidden="1"/>
    <row r="2" spans="1:11">
      <c r="A2" s="604" t="str">
        <f>TH!A1</f>
        <v>Đơn vị: CÔNG TY TNHH MỘT THÀNH VIÊN KHỞI NGUYÊN AN</v>
      </c>
      <c r="B2" s="519"/>
      <c r="C2" s="519"/>
      <c r="D2" s="519"/>
      <c r="E2" s="480"/>
      <c r="F2" s="1103" t="s">
        <v>292</v>
      </c>
      <c r="G2" s="1103"/>
      <c r="H2" s="1103"/>
    </row>
    <row r="3" spans="1:11">
      <c r="A3" s="536" t="str">
        <f>TH!A2</f>
        <v>Địa chỉ: Thửa đất số 144, tờ bản đồ số 12TĐH.1, tổ 1, khu phố Đông Tác, Phường Tân Đông Hiệp, Thị Xã Dĩ An, Tỉnh Bình Dương, Việt Nam</v>
      </c>
      <c r="B3" s="519"/>
      <c r="C3" s="519"/>
      <c r="D3" s="519"/>
      <c r="E3" s="481"/>
      <c r="F3" s="1102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102"/>
      <c r="H3" s="1102"/>
    </row>
    <row r="4" spans="1:11">
      <c r="A4" s="478"/>
      <c r="B4" s="478"/>
      <c r="C4" s="481"/>
      <c r="D4" s="481"/>
      <c r="E4" s="481"/>
      <c r="F4" s="1102"/>
      <c r="G4" s="1102"/>
      <c r="H4" s="1102"/>
    </row>
    <row r="5" spans="1:11">
      <c r="A5" s="478"/>
      <c r="B5" s="478"/>
      <c r="C5" s="481"/>
      <c r="D5" s="481"/>
      <c r="E5" s="481"/>
      <c r="F5" s="481"/>
      <c r="G5" s="481"/>
      <c r="H5" s="481"/>
    </row>
    <row r="6" spans="1:11" ht="23.25" customHeight="1" thickBot="1">
      <c r="A6" s="1133" t="s">
        <v>293</v>
      </c>
      <c r="B6" s="1133"/>
      <c r="C6" s="1133"/>
      <c r="D6" s="1133"/>
      <c r="E6" s="1133"/>
      <c r="F6" s="1133"/>
      <c r="G6" s="1133"/>
      <c r="H6" s="1133"/>
    </row>
    <row r="7" spans="1:11" ht="17.25" customHeight="1" thickBot="1">
      <c r="A7" s="1132" t="str">
        <f ca="1" xml:space="preserve"> IF(ROWS($1:1)&gt;COUNT(Dong3),"","Số: "&amp;OFFSET('SO-TS'!$G$1,SMALL(Dong3,ROWS($1:1)),))</f>
        <v>Số: SX01/11</v>
      </c>
      <c r="B7" s="1132"/>
      <c r="C7" s="1132"/>
      <c r="D7" s="1132"/>
      <c r="E7" s="1132"/>
      <c r="F7" s="1132"/>
      <c r="G7" s="1132"/>
      <c r="H7" s="1132"/>
      <c r="J7" s="537" t="s">
        <v>310</v>
      </c>
      <c r="K7" s="538" t="s">
        <v>316</v>
      </c>
    </row>
    <row r="8" spans="1:11" ht="17.25" customHeight="1">
      <c r="A8" s="113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34"/>
      <c r="C8" s="1134"/>
      <c r="D8" s="1134"/>
      <c r="E8" s="1134"/>
      <c r="F8" s="1134"/>
      <c r="G8" s="1134"/>
      <c r="H8" s="1134"/>
    </row>
    <row r="9" spans="1:11" ht="12" customHeight="1">
      <c r="A9" s="478"/>
      <c r="B9" s="478"/>
      <c r="C9" s="478"/>
      <c r="D9" s="478"/>
      <c r="E9" s="478"/>
      <c r="F9" s="478"/>
      <c r="G9" s="481"/>
      <c r="H9" s="481"/>
    </row>
    <row r="10" spans="1:11" ht="15" customHeight="1">
      <c r="A10" s="477" t="str">
        <f ca="1">"Căn cứ vào biên bản giao nhận TSCĐ "&amp;"  "&amp;A7&amp;"  "&amp;A8</f>
        <v>Căn cứ vào biên bản giao nhận TSCĐ   Số: SX01/11  Ngày   19   tháng   5  năm   2011</v>
      </c>
      <c r="B10" s="477"/>
      <c r="C10" s="477"/>
      <c r="D10" s="477"/>
      <c r="E10" s="477"/>
      <c r="F10" s="477"/>
      <c r="G10" s="477"/>
      <c r="H10" s="477"/>
    </row>
    <row r="11" spans="1:11" ht="15" customHeight="1">
      <c r="A11" s="477" t="s">
        <v>311</v>
      </c>
      <c r="B11" s="477"/>
      <c r="C11" s="477"/>
      <c r="D11" s="477" t="s">
        <v>343</v>
      </c>
      <c r="E11" s="477" t="str">
        <f ca="1" xml:space="preserve"> IF(ROWS($1:1)&gt;COUNT(Dong3),"","Số hiệu TSCĐ:   "&amp;OFFSET('SO-TS'!$G$1,SMALL(Dong3,ROWS($1:1)),))</f>
        <v>Số hiệu TSCĐ:   SX01/11</v>
      </c>
      <c r="F11" s="477"/>
      <c r="H11" s="477"/>
    </row>
    <row r="12" spans="1:11" ht="15" customHeight="1">
      <c r="A12" s="477" t="str">
        <f ca="1" xml:space="preserve"> IF(ROWS($1:1)&gt;COUNT(Dong3),"","Nước sản xuất:   "&amp;OFFSET('SO-TS'!$E$1,SMALL(Dong3,ROWS($1:1)),))</f>
        <v>Nước sản xuất:   Việt Nam</v>
      </c>
      <c r="B12" s="477"/>
      <c r="C12" s="477"/>
      <c r="D12" s="477"/>
      <c r="E12" s="477" t="s">
        <v>312</v>
      </c>
      <c r="F12" s="477"/>
      <c r="G12" s="477"/>
      <c r="H12" s="477"/>
    </row>
    <row r="13" spans="1:11" ht="15" customHeight="1">
      <c r="A13" s="47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7"/>
      <c r="C13" s="477"/>
      <c r="D13" s="477"/>
      <c r="E13" s="477" t="str">
        <f ca="1" xml:space="preserve"> IF(ROWS($1:1)&gt;COUNT(Dong3),"","Tháng, năm đưa vào sử dụng:    "&amp;OFFSET('SO-TS'!$F$1,SMALL(Dong3,ROWS($1:1)),))</f>
        <v>Tháng, năm đưa vào sử dụng:    06/2011</v>
      </c>
      <c r="F13" s="477"/>
      <c r="G13" s="477"/>
      <c r="H13" s="477"/>
    </row>
    <row r="14" spans="1:11" ht="15" customHeight="1">
      <c r="A14" s="477" t="s">
        <v>294</v>
      </c>
      <c r="B14" s="477"/>
      <c r="C14" s="477"/>
      <c r="D14" s="477"/>
      <c r="E14" s="477"/>
      <c r="F14" s="477"/>
      <c r="G14" s="477"/>
      <c r="H14" s="477"/>
    </row>
    <row r="15" spans="1:11" ht="15" customHeight="1">
      <c r="A15" s="477" t="s">
        <v>314</v>
      </c>
      <c r="B15" s="477"/>
      <c r="C15" s="477"/>
      <c r="D15" s="477"/>
      <c r="E15" s="477"/>
      <c r="F15" s="477"/>
      <c r="G15" s="477"/>
      <c r="H15" s="477"/>
    </row>
    <row r="16" spans="1:11" ht="15" customHeight="1">
      <c r="A16" s="539" t="s">
        <v>313</v>
      </c>
      <c r="B16" s="539"/>
      <c r="C16" s="539"/>
      <c r="D16" s="539"/>
      <c r="E16" s="539"/>
      <c r="F16" s="539"/>
      <c r="G16" s="539"/>
      <c r="H16" s="539"/>
    </row>
    <row r="17" spans="1:8" s="533" customFormat="1" ht="18" customHeight="1">
      <c r="A17" s="1118" t="s">
        <v>125</v>
      </c>
      <c r="B17" s="1119"/>
      <c r="C17" s="1122" t="s">
        <v>295</v>
      </c>
      <c r="D17" s="1123"/>
      <c r="E17" s="1124"/>
      <c r="F17" s="1125" t="s">
        <v>296</v>
      </c>
      <c r="G17" s="1126"/>
      <c r="H17" s="1127"/>
    </row>
    <row r="18" spans="1:8" s="533" customFormat="1" ht="28.5" customHeight="1">
      <c r="A18" s="1120"/>
      <c r="B18" s="1121"/>
      <c r="C18" s="506" t="s">
        <v>297</v>
      </c>
      <c r="D18" s="506" t="s">
        <v>0</v>
      </c>
      <c r="E18" s="506" t="s">
        <v>298</v>
      </c>
      <c r="F18" s="506" t="s">
        <v>299</v>
      </c>
      <c r="G18" s="506" t="s">
        <v>300</v>
      </c>
      <c r="H18" s="506" t="s">
        <v>301</v>
      </c>
    </row>
    <row r="19" spans="1:8" s="535" customFormat="1">
      <c r="A19" s="1128" t="s">
        <v>2</v>
      </c>
      <c r="B19" s="1129"/>
      <c r="C19" s="534" t="s">
        <v>3</v>
      </c>
      <c r="D19" s="534" t="s">
        <v>4</v>
      </c>
      <c r="E19" s="534">
        <v>1</v>
      </c>
      <c r="F19" s="534">
        <v>2</v>
      </c>
      <c r="G19" s="534">
        <v>3</v>
      </c>
      <c r="H19" s="534">
        <v>4</v>
      </c>
    </row>
    <row r="20" spans="1:8" ht="17.25" customHeight="1">
      <c r="A20" s="453">
        <f ca="1">IF(B20&lt;&gt;"",ROW()-19,"")</f>
        <v>1</v>
      </c>
      <c r="B20" s="521" t="str">
        <f ca="1" xml:space="preserve"> IF(ROWS($1:1)&gt;COUNT(Dong3),"",OFFSET('SO-TS'!G$1,SMALL(Dong3,ROWS($1:1)),))</f>
        <v>SX01/11</v>
      </c>
      <c r="C20" s="521" t="str">
        <f ca="1" xml:space="preserve"> IF(ROWS($1:1)&gt;COUNT(Dong3),"",OFFSET('SO-TS'!F$1,SMALL(Dong3,ROWS($1:1)),))</f>
        <v>06/2011</v>
      </c>
      <c r="D20" s="548" t="str">
        <f ca="1" xml:space="preserve"> IF(ROWS($1:1)&gt;COUNT(Dong3),"",OFFSET('SO-TS'!D$1,SMALL(Dong3,ROWS($1:1)),))</f>
        <v>Máy chap khe khổ 2m</v>
      </c>
      <c r="E20" s="549">
        <f ca="1" xml:space="preserve"> IF(ROWS($1:1)&gt;COUNT(Dong3),"",OFFSET('SO-TS'!H$1,SMALL(Dong3,ROWS($1:1)),))</f>
        <v>18000000</v>
      </c>
      <c r="F20" s="550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53" t="str">
        <f t="shared" ref="A21" si="0">IF(B21&lt;&gt;"",ROW()-19,"")</f>
        <v/>
      </c>
      <c r="B21" s="489"/>
      <c r="C21" s="522"/>
      <c r="D21" s="522"/>
      <c r="E21" s="551"/>
      <c r="F21" s="550"/>
      <c r="G21" s="551"/>
      <c r="H21" s="551"/>
    </row>
    <row r="22" spans="1:8" ht="17.25" customHeight="1">
      <c r="A22" s="491"/>
      <c r="B22" s="491" t="s">
        <v>302</v>
      </c>
      <c r="C22" s="523"/>
      <c r="D22" s="523"/>
      <c r="E22" s="552">
        <f ca="1">SUM(E20:E21)</f>
        <v>18000000</v>
      </c>
      <c r="F22" s="523"/>
      <c r="G22" s="552">
        <f ca="1">SUM(G20:G21)</f>
        <v>2100000</v>
      </c>
      <c r="H22" s="552"/>
    </row>
    <row r="23" spans="1:8" ht="17.25" customHeight="1">
      <c r="A23" s="524"/>
      <c r="B23" s="524"/>
      <c r="C23" s="525"/>
      <c r="D23" s="525"/>
      <c r="E23" s="525"/>
      <c r="F23" s="525"/>
      <c r="G23" s="526"/>
      <c r="H23" s="526"/>
    </row>
    <row r="24" spans="1:8" ht="17.25" customHeight="1">
      <c r="A24" s="524"/>
      <c r="B24" s="524"/>
      <c r="C24" s="525"/>
      <c r="D24" s="525"/>
      <c r="E24" s="525"/>
      <c r="F24" s="525"/>
      <c r="G24" s="526"/>
      <c r="H24" s="526"/>
    </row>
    <row r="25" spans="1:8" ht="17.25" customHeight="1">
      <c r="A25" s="1130" t="s">
        <v>303</v>
      </c>
      <c r="B25" s="1130"/>
      <c r="C25" s="1130"/>
      <c r="D25" s="1130"/>
      <c r="E25" s="1130"/>
      <c r="F25" s="1130"/>
      <c r="G25" s="1130"/>
      <c r="H25" s="1130"/>
    </row>
    <row r="26" spans="1:8" ht="27" customHeight="1">
      <c r="A26" s="491" t="s">
        <v>35</v>
      </c>
      <c r="B26" s="1110" t="s">
        <v>304</v>
      </c>
      <c r="C26" s="1112"/>
      <c r="D26" s="523" t="s">
        <v>182</v>
      </c>
      <c r="E26" s="523" t="s">
        <v>305</v>
      </c>
      <c r="F26" s="523" t="s">
        <v>306</v>
      </c>
      <c r="G26" s="526"/>
      <c r="H26" s="526"/>
    </row>
    <row r="27" spans="1:8" ht="17.25" customHeight="1">
      <c r="A27" s="491" t="s">
        <v>2</v>
      </c>
      <c r="B27" s="491" t="s">
        <v>3</v>
      </c>
      <c r="C27" s="523"/>
      <c r="D27" s="523" t="s">
        <v>4</v>
      </c>
      <c r="E27" s="523">
        <v>1</v>
      </c>
      <c r="F27" s="523">
        <v>2</v>
      </c>
      <c r="G27" s="526"/>
      <c r="H27" s="526"/>
    </row>
    <row r="28" spans="1:8" ht="17.25" customHeight="1">
      <c r="A28" s="527"/>
      <c r="B28" s="527"/>
      <c r="C28" s="528"/>
      <c r="D28" s="528"/>
      <c r="E28" s="528"/>
      <c r="F28" s="528"/>
      <c r="G28" s="526"/>
      <c r="H28" s="526"/>
    </row>
    <row r="29" spans="1:8" ht="17.25" customHeight="1">
      <c r="A29" s="529"/>
      <c r="B29" s="529"/>
      <c r="C29" s="530"/>
      <c r="D29" s="530"/>
      <c r="E29" s="530"/>
      <c r="F29" s="530"/>
      <c r="G29" s="526"/>
      <c r="H29" s="526"/>
    </row>
    <row r="30" spans="1:8" ht="17.25" customHeight="1">
      <c r="A30" s="529"/>
      <c r="B30" s="529"/>
      <c r="C30" s="530"/>
      <c r="D30" s="530"/>
      <c r="E30" s="530"/>
      <c r="F30" s="530"/>
      <c r="G30" s="526"/>
      <c r="H30" s="526"/>
    </row>
    <row r="31" spans="1:8" ht="17.25" customHeight="1">
      <c r="A31" s="529"/>
      <c r="B31" s="529"/>
      <c r="C31" s="530"/>
      <c r="D31" s="530"/>
      <c r="E31" s="530"/>
      <c r="F31" s="530"/>
      <c r="G31" s="526"/>
      <c r="H31" s="526"/>
    </row>
    <row r="32" spans="1:8" ht="17.25" customHeight="1">
      <c r="A32" s="531"/>
      <c r="B32" s="531"/>
      <c r="C32" s="532"/>
      <c r="D32" s="532"/>
      <c r="E32" s="532"/>
      <c r="F32" s="532"/>
      <c r="G32" s="526"/>
      <c r="H32" s="526"/>
    </row>
    <row r="33" spans="1:8">
      <c r="A33" s="524"/>
      <c r="B33" s="524"/>
      <c r="C33" s="525"/>
      <c r="D33" s="525"/>
      <c r="E33" s="525"/>
      <c r="F33" s="525"/>
      <c r="G33" s="526"/>
      <c r="H33" s="526"/>
    </row>
    <row r="34" spans="1:8">
      <c r="A34" s="1131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31"/>
      <c r="C34" s="1131"/>
      <c r="D34" s="1131"/>
      <c r="E34" s="1131"/>
      <c r="F34" s="1131"/>
      <c r="G34" s="1131"/>
      <c r="H34" s="1131"/>
    </row>
    <row r="35" spans="1:8">
      <c r="A35" s="1131" t="str">
        <f ca="1" xml:space="preserve"> IF(ROWS($1:1)&gt;COUNT(Dong3),"","Lý do giảm:   "&amp;OFFSET('SO-TS'!$O$1,SMALL(Dong3,ROWS($1:1)),))</f>
        <v xml:space="preserve">Lý do giảm:   </v>
      </c>
      <c r="B35" s="1131"/>
      <c r="C35" s="1131"/>
      <c r="D35" s="1131"/>
      <c r="E35" s="1131"/>
      <c r="F35" s="1131"/>
      <c r="G35" s="1131"/>
      <c r="H35" s="1131"/>
    </row>
    <row r="36" spans="1:8">
      <c r="A36" s="501"/>
      <c r="B36" s="501"/>
      <c r="C36" s="496"/>
      <c r="D36" s="496"/>
      <c r="E36" s="1117" t="s">
        <v>352</v>
      </c>
      <c r="F36" s="1117"/>
      <c r="G36" s="1117"/>
      <c r="H36" s="1117"/>
    </row>
    <row r="37" spans="1:8">
      <c r="A37" s="1132" t="s">
        <v>307</v>
      </c>
      <c r="B37" s="1132"/>
      <c r="C37" s="1132" t="s">
        <v>12</v>
      </c>
      <c r="D37" s="1132"/>
      <c r="E37" s="1103" t="s">
        <v>109</v>
      </c>
      <c r="F37" s="1103"/>
      <c r="G37" s="1103"/>
      <c r="H37" s="1103"/>
    </row>
    <row r="38" spans="1:8">
      <c r="A38" s="478"/>
      <c r="B38" s="478"/>
      <c r="C38" s="481"/>
      <c r="D38" s="481"/>
      <c r="E38" s="481"/>
      <c r="F38" s="481"/>
      <c r="G38" s="481"/>
      <c r="H38" s="481"/>
    </row>
    <row r="39" spans="1:8">
      <c r="A39" s="478"/>
      <c r="B39" s="478"/>
      <c r="C39" s="481"/>
      <c r="D39" s="481"/>
      <c r="E39" s="481"/>
      <c r="F39" s="481"/>
      <c r="G39" s="481"/>
      <c r="H39" s="481"/>
    </row>
    <row r="40" spans="1:8">
      <c r="A40" s="478"/>
      <c r="B40" s="478"/>
      <c r="C40" s="481"/>
      <c r="D40" s="481"/>
      <c r="E40" s="481"/>
      <c r="F40" s="481"/>
      <c r="G40" s="481"/>
      <c r="H40" s="481"/>
    </row>
    <row r="41" spans="1:8">
      <c r="A41" s="478"/>
      <c r="B41" s="478"/>
      <c r="C41" s="481"/>
      <c r="D41" s="481"/>
      <c r="E41" s="481"/>
      <c r="F41" s="481"/>
      <c r="G41" s="481"/>
      <c r="H41" s="481"/>
    </row>
    <row r="42" spans="1:8">
      <c r="A42" s="478"/>
      <c r="B42" s="478"/>
      <c r="C42" s="481"/>
      <c r="D42" s="481"/>
      <c r="E42" s="481"/>
      <c r="F42" s="481"/>
      <c r="G42" s="481"/>
      <c r="H42" s="481"/>
    </row>
    <row r="43" spans="1:8">
      <c r="A43" s="478"/>
      <c r="B43" s="478"/>
      <c r="C43" s="481"/>
      <c r="D43" s="481"/>
      <c r="E43" s="481"/>
      <c r="F43" s="481"/>
      <c r="G43" s="481"/>
      <c r="H43" s="481"/>
    </row>
    <row r="44" spans="1:8">
      <c r="A44" s="478"/>
      <c r="B44" s="478"/>
      <c r="C44" s="481"/>
      <c r="D44" s="481"/>
      <c r="E44" s="481"/>
      <c r="F44" s="481"/>
      <c r="G44" s="481"/>
      <c r="H44" s="481"/>
    </row>
    <row r="45" spans="1:8">
      <c r="A45" s="1116" t="s">
        <v>151</v>
      </c>
      <c r="B45" s="1116"/>
      <c r="C45" s="496"/>
      <c r="D45" s="496"/>
      <c r="E45" s="1117" t="s">
        <v>103</v>
      </c>
      <c r="F45" s="1117"/>
      <c r="G45" s="1117"/>
      <c r="H45" s="1117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78" customWidth="1"/>
    <col min="2" max="2" width="8.85546875" style="678" customWidth="1"/>
    <col min="3" max="3" width="10.5703125" style="678" customWidth="1"/>
    <col min="4" max="4" width="43.42578125" style="678" customWidth="1"/>
    <col min="5" max="5" width="7.140625" style="678" customWidth="1"/>
    <col min="6" max="6" width="14.140625" style="678" customWidth="1"/>
    <col min="7" max="7" width="14.85546875" style="678" customWidth="1"/>
    <col min="8" max="9" width="12" style="678" customWidth="1"/>
    <col min="10" max="10" width="12.85546875" style="678" customWidth="1"/>
    <col min="11" max="12" width="13.5703125" style="678" customWidth="1"/>
    <col min="13" max="13" width="12.7109375" style="678" customWidth="1"/>
    <col min="14" max="14" width="6.28515625" style="678" customWidth="1"/>
    <col min="15" max="15" width="8.42578125" style="678" customWidth="1"/>
    <col min="16" max="16384" width="9.140625" style="678"/>
  </cols>
  <sheetData>
    <row r="2" spans="1:16">
      <c r="A2" s="677" t="str">
        <f>'IN-NX'!A2</f>
        <v>Đơn vị: CÔNG TY TNHH MỘT THÀNH VIÊN KHỞI NGUYÊN AN</v>
      </c>
      <c r="F2" s="679"/>
      <c r="G2" s="679"/>
      <c r="H2" s="679"/>
      <c r="I2" s="679"/>
      <c r="J2" s="1136" t="s">
        <v>367</v>
      </c>
      <c r="K2" s="1136"/>
      <c r="L2" s="1136"/>
      <c r="M2" s="1136"/>
    </row>
    <row r="3" spans="1:16" ht="15" customHeight="1">
      <c r="A3" s="707" t="str">
        <f>'IN-NX'!A3</f>
        <v>Địa chỉ: Thửa đất số 144, tờ bản đồ số 12TĐH.1, tổ 1, khu phố Đông Tác, Phường Tân Đông Hiệp, Thị Xã Dĩ An, Tỉnh Bình Dương, Việt Nam</v>
      </c>
      <c r="J3" s="1139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39"/>
      <c r="L3" s="1139"/>
      <c r="M3" s="1139"/>
    </row>
    <row r="4" spans="1:16">
      <c r="J4" s="1139"/>
      <c r="K4" s="1139"/>
      <c r="L4" s="1139"/>
      <c r="M4" s="1139"/>
    </row>
    <row r="5" spans="1:16" ht="19.5" customHeight="1">
      <c r="A5" s="1137" t="s">
        <v>368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680" t="s">
        <v>160</v>
      </c>
      <c r="O5" s="613">
        <f>IF(O13="Quý I",1,IF(O13="Quý II",4,IF(O13="Quý III",7,IF(O13="Quý IV",10,""))))</f>
        <v>4</v>
      </c>
      <c r="P5" s="613">
        <f>IF(O13="Quý I",3,IF(O13="Quý II",6,IF(O13="Quý III",9,IF(O13="Quý IV",12,""))))</f>
        <v>6</v>
      </c>
    </row>
    <row r="6" spans="1:16">
      <c r="A6" s="1138" t="s">
        <v>369</v>
      </c>
      <c r="B6" s="1138"/>
      <c r="C6" s="1138"/>
      <c r="D6" s="1138"/>
      <c r="E6" s="1138"/>
      <c r="F6" s="1138"/>
      <c r="G6" s="1138"/>
      <c r="H6" s="1138"/>
      <c r="I6" s="1138"/>
      <c r="J6" s="1138"/>
      <c r="K6" s="1138"/>
      <c r="L6" s="1138"/>
      <c r="M6" s="1138"/>
      <c r="N6" s="705"/>
    </row>
    <row r="7" spans="1:16">
      <c r="B7" s="681"/>
      <c r="C7" s="681"/>
      <c r="D7" s="681"/>
      <c r="E7" s="682" t="s">
        <v>370</v>
      </c>
      <c r="G7" s="681"/>
      <c r="H7" s="681"/>
      <c r="I7" s="681"/>
      <c r="J7" s="681"/>
      <c r="K7" s="681"/>
      <c r="L7" s="681"/>
      <c r="M7" s="681"/>
    </row>
    <row r="8" spans="1:16">
      <c r="B8" s="681"/>
      <c r="C8" s="681"/>
      <c r="D8" s="681"/>
      <c r="E8" s="682" t="s">
        <v>371</v>
      </c>
      <c r="G8" s="681"/>
      <c r="H8" s="681"/>
      <c r="I8" s="681"/>
      <c r="J8" s="681"/>
      <c r="K8" s="681"/>
      <c r="L8" s="681"/>
      <c r="M8" s="681"/>
    </row>
    <row r="9" spans="1:16">
      <c r="B9" s="683"/>
      <c r="C9" s="683"/>
      <c r="D9" s="683"/>
      <c r="E9" s="682" t="s">
        <v>372</v>
      </c>
      <c r="G9" s="683"/>
      <c r="H9" s="683"/>
      <c r="I9" s="683"/>
      <c r="J9" s="683"/>
      <c r="K9" s="683"/>
      <c r="L9" s="683"/>
      <c r="M9" s="683"/>
    </row>
    <row r="10" spans="1:16">
      <c r="C10" s="1135"/>
      <c r="D10" s="1135"/>
      <c r="E10" s="1135"/>
      <c r="F10" s="1135"/>
      <c r="G10" s="1135"/>
      <c r="H10" s="1135"/>
      <c r="I10" s="1135"/>
      <c r="J10" s="1135"/>
      <c r="K10" s="1135"/>
      <c r="L10" s="1135"/>
      <c r="M10" s="1135"/>
    </row>
    <row r="11" spans="1:16" ht="15.75" customHeight="1">
      <c r="A11" s="1140" t="s">
        <v>20</v>
      </c>
      <c r="B11" s="1141" t="s">
        <v>1</v>
      </c>
      <c r="C11" s="1141"/>
      <c r="D11" s="1140" t="s">
        <v>0</v>
      </c>
      <c r="E11" s="1140" t="s">
        <v>204</v>
      </c>
      <c r="F11" s="1141" t="s">
        <v>373</v>
      </c>
      <c r="G11" s="1141"/>
      <c r="H11" s="1141"/>
      <c r="I11" s="1141"/>
      <c r="J11" s="1141"/>
      <c r="K11" s="1141"/>
      <c r="L11" s="1141"/>
      <c r="M11" s="1141"/>
    </row>
    <row r="12" spans="1:16" ht="15.75" customHeight="1" thickBot="1">
      <c r="A12" s="1140"/>
      <c r="B12" s="1142" t="s">
        <v>15</v>
      </c>
      <c r="C12" s="1142" t="s">
        <v>32</v>
      </c>
      <c r="D12" s="1140"/>
      <c r="E12" s="1140"/>
      <c r="F12" s="1142" t="s">
        <v>374</v>
      </c>
      <c r="G12" s="1142" t="s">
        <v>375</v>
      </c>
      <c r="H12" s="1142"/>
      <c r="I12" s="1142"/>
      <c r="J12" s="1142"/>
      <c r="K12" s="1142"/>
      <c r="L12" s="1142"/>
      <c r="M12" s="1142"/>
    </row>
    <row r="13" spans="1:16" ht="31.5" customHeight="1" thickBot="1">
      <c r="A13" s="1140"/>
      <c r="B13" s="1142"/>
      <c r="C13" s="1142"/>
      <c r="D13" s="1140"/>
      <c r="E13" s="1140"/>
      <c r="F13" s="1142"/>
      <c r="G13" s="684" t="s">
        <v>357</v>
      </c>
      <c r="H13" s="684" t="s">
        <v>358</v>
      </c>
      <c r="I13" s="684" t="s">
        <v>359</v>
      </c>
      <c r="J13" s="684" t="s">
        <v>376</v>
      </c>
      <c r="K13" s="684" t="s">
        <v>377</v>
      </c>
      <c r="L13" s="684" t="s">
        <v>355</v>
      </c>
      <c r="M13" s="684" t="s">
        <v>378</v>
      </c>
      <c r="O13" s="706" t="s">
        <v>338</v>
      </c>
    </row>
    <row r="14" spans="1:16">
      <c r="A14" s="685" t="s">
        <v>2</v>
      </c>
      <c r="B14" s="685" t="s">
        <v>3</v>
      </c>
      <c r="C14" s="685" t="s">
        <v>4</v>
      </c>
      <c r="D14" s="685" t="s">
        <v>5</v>
      </c>
      <c r="E14" s="685" t="s">
        <v>6</v>
      </c>
      <c r="F14" s="685">
        <v>1</v>
      </c>
      <c r="G14" s="685">
        <v>2</v>
      </c>
      <c r="H14" s="685">
        <v>3</v>
      </c>
      <c r="I14" s="685"/>
      <c r="J14" s="685">
        <v>4</v>
      </c>
      <c r="K14" s="685">
        <v>5</v>
      </c>
      <c r="L14" s="685"/>
      <c r="M14" s="685">
        <v>6</v>
      </c>
    </row>
    <row r="15" spans="1:16" ht="22.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  <c r="K15" s="688"/>
      <c r="L15" s="688"/>
      <c r="M15" s="688"/>
    </row>
    <row r="16" spans="1:16" ht="22.5" customHeight="1">
      <c r="A16" s="689">
        <f ca="1">IF(ROWS($1:1)&gt;COUNT(Dong9),"",OFFSET(TH!C$1,SMALL(Dong9,ROWS($1:1)),))</f>
        <v>42490</v>
      </c>
      <c r="B16" s="689" t="str">
        <f ca="1">IF(ROWS($1:1)&gt;COUNT(Dong9),"",OFFSET(TH!D$1,SMALL(Dong9,ROWS($1:1)),))</f>
        <v>CTGS</v>
      </c>
      <c r="C16" s="689">
        <f ca="1">IF(ROWS($1:1)&gt;COUNT(Dong9),"",OFFSET(TH!E$1,SMALL(Dong9,ROWS($1:1)),))</f>
        <v>42490</v>
      </c>
      <c r="D16" s="690" t="str">
        <f ca="1">IF(ROWS($1:1)&gt;COUNT(Dong9),"",OFFSET(TH!F$1,SMALL(Dong9,ROWS($1:1)),))</f>
        <v>Lương bộ phận sản xuất</v>
      </c>
      <c r="E16" s="689" t="str">
        <f ca="1">IF(ROWS($1:1)&gt;COUNT(Dong9),"",OFFSET(TH!M$1,SMALL(Dong9,ROWS($1:1)),))</f>
        <v>3341</v>
      </c>
      <c r="F16" s="691">
        <f ca="1">IF(ROWS($1:1)&gt;COUNT(Dong9),"",OFFSET(TH!K$1,SMALL(Dong9,ROWS($1:1)),))</f>
        <v>3500000</v>
      </c>
      <c r="G16" s="691">
        <f ca="1">IF($E16="1521",$F16,0)</f>
        <v>0</v>
      </c>
      <c r="H16" s="691">
        <f ca="1">IF($E16="1522",$F16,0)</f>
        <v>0</v>
      </c>
      <c r="I16" s="691">
        <f ca="1">IF(LEFT(D16,6)="Mực in",F16,0)</f>
        <v>0</v>
      </c>
      <c r="J16" s="691">
        <f ca="1">IF(OR(LEFT($E16,3)="334",LEFT($E16,3)="338"),$F16,0)</f>
        <v>3500000</v>
      </c>
      <c r="K16" s="691">
        <f ca="1">IF(OR(LEFT($E16,3)="331",AND(LEFT($E16,3)="111",$D16="Tiền điện")),$F16,0)</f>
        <v>0</v>
      </c>
      <c r="L16" s="691">
        <f ca="1">IF($E16="142",$F16,0)</f>
        <v>0</v>
      </c>
      <c r="M16" s="691">
        <f ca="1">IF(OR(LEFT($E16,3)="214",LEFT($E16,3)="242",AND(LEFT($E16,3)="111",$D16&lt;&gt;"Tiền điện",LEFT($D16,6)&lt;&gt;"Mực in")),$F16,0)</f>
        <v>0</v>
      </c>
    </row>
    <row r="17" spans="1:13" ht="22.5" customHeight="1">
      <c r="A17" s="689">
        <f ca="1">IF(ROWS($1:2)&gt;COUNT(Dong9),"",OFFSET(TH!C$1,SMALL(Dong9,ROWS($1:2)),))</f>
        <v>42521</v>
      </c>
      <c r="B17" s="689" t="str">
        <f ca="1">IF(ROWS($1:2)&gt;COUNT(Dong9),"",OFFSET(TH!D$1,SMALL(Dong9,ROWS($1:2)),))</f>
        <v>CTGS</v>
      </c>
      <c r="C17" s="689">
        <f ca="1">IF(ROWS($1:2)&gt;COUNT(Dong9),"",OFFSET(TH!E$1,SMALL(Dong9,ROWS($1:2)),))</f>
        <v>42521</v>
      </c>
      <c r="D17" s="690" t="str">
        <f ca="1">IF(ROWS($1:2)&gt;COUNT(Dong9),"",OFFSET(TH!F$1,SMALL(Dong9,ROWS($1:2)),))</f>
        <v>Lương bộ phận sản xuất</v>
      </c>
      <c r="E17" s="689" t="str">
        <f ca="1">IF(ROWS($1:2)&gt;COUNT(Dong9),"",OFFSET(TH!M$1,SMALL(Dong9,ROWS($1:2)),))</f>
        <v>3341</v>
      </c>
      <c r="F17" s="691">
        <f ca="1">IF(ROWS($1:2)&gt;COUNT(Dong9),"",OFFSET(TH!K$1,SMALL(Dong9,ROWS($1:2)),))</f>
        <v>3132500</v>
      </c>
      <c r="G17" s="691">
        <f t="shared" ref="G17:G33" ca="1" si="0">IF($E17="1521",$F17,0)</f>
        <v>0</v>
      </c>
      <c r="H17" s="691">
        <f t="shared" ref="H17:H33" ca="1" si="1">IF($E17="1522",$F17,0)</f>
        <v>0</v>
      </c>
      <c r="I17" s="691">
        <f t="shared" ref="I17:I33" ca="1" si="2">IF(LEFT(D17,6)="Mực in",F17,0)</f>
        <v>0</v>
      </c>
      <c r="J17" s="691">
        <f t="shared" ref="J17:J33" ca="1" si="3">IF(OR(LEFT($E17,3)="334",LEFT($E17,3)="338"),$F17,0)</f>
        <v>3132500</v>
      </c>
      <c r="K17" s="691">
        <f t="shared" ref="K17:K33" ca="1" si="4">IF(OR(LEFT($E17,3)="331",AND(LEFT($E17,3)="111",$D17="Tiền điện")),$F17,0)</f>
        <v>0</v>
      </c>
      <c r="L17" s="691">
        <f t="shared" ref="L17:L33" ca="1" si="5">IF($E17="142",$F17,0)</f>
        <v>0</v>
      </c>
      <c r="M17" s="69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89">
        <f ca="1">IF(ROWS($1:3)&gt;COUNT(Dong9),"",OFFSET(TH!C$1,SMALL(Dong9,ROWS($1:3)),))</f>
        <v>42521</v>
      </c>
      <c r="B18" s="689" t="str">
        <f ca="1">IF(ROWS($1:3)&gt;COUNT(Dong9),"",OFFSET(TH!D$1,SMALL(Dong9,ROWS($1:3)),))</f>
        <v>CTGS</v>
      </c>
      <c r="C18" s="689">
        <f ca="1">IF(ROWS($1:3)&gt;COUNT(Dong9),"",OFFSET(TH!E$1,SMALL(Dong9,ROWS($1:3)),))</f>
        <v>42521</v>
      </c>
      <c r="D18" s="690" t="str">
        <f ca="1">IF(ROWS($1:3)&gt;COUNT(Dong9),"",OFFSET(TH!F$1,SMALL(Dong9,ROWS($1:3)),))</f>
        <v>BHXH phải trả cho CN</v>
      </c>
      <c r="E18" s="689" t="str">
        <f ca="1">IF(ROWS($1:3)&gt;COUNT(Dong9),"",OFFSET(TH!M$1,SMALL(Dong9,ROWS($1:3)),))</f>
        <v>3383</v>
      </c>
      <c r="F18" s="691">
        <f ca="1">IF(ROWS($1:3)&gt;COUNT(Dong9),"",OFFSET(TH!K$1,SMALL(Dong9,ROWS($1:3)),))</f>
        <v>630000</v>
      </c>
      <c r="G18" s="691">
        <f t="shared" ca="1" si="0"/>
        <v>0</v>
      </c>
      <c r="H18" s="691">
        <f t="shared" ca="1" si="1"/>
        <v>0</v>
      </c>
      <c r="I18" s="691">
        <f t="shared" ca="1" si="2"/>
        <v>0</v>
      </c>
      <c r="J18" s="691">
        <f t="shared" ca="1" si="3"/>
        <v>630000</v>
      </c>
      <c r="K18" s="691">
        <f t="shared" ca="1" si="4"/>
        <v>0</v>
      </c>
      <c r="L18" s="691">
        <f t="shared" ca="1" si="5"/>
        <v>0</v>
      </c>
      <c r="M18" s="691">
        <f t="shared" ca="1" si="6"/>
        <v>0</v>
      </c>
    </row>
    <row r="19" spans="1:13" ht="22.5" customHeight="1">
      <c r="A19" s="689">
        <f ca="1">IF(ROWS($1:4)&gt;COUNT(Dong9),"",OFFSET(TH!C$1,SMALL(Dong9,ROWS($1:4)),))</f>
        <v>42521</v>
      </c>
      <c r="B19" s="689" t="str">
        <f ca="1">IF(ROWS($1:4)&gt;COUNT(Dong9),"",OFFSET(TH!D$1,SMALL(Dong9,ROWS($1:4)),))</f>
        <v>CTGS</v>
      </c>
      <c r="C19" s="689">
        <f ca="1">IF(ROWS($1:4)&gt;COUNT(Dong9),"",OFFSET(TH!E$1,SMALL(Dong9,ROWS($1:4)),))</f>
        <v>42521</v>
      </c>
      <c r="D19" s="690" t="str">
        <f ca="1">IF(ROWS($1:4)&gt;COUNT(Dong9),"",OFFSET(TH!F$1,SMALL(Dong9,ROWS($1:4)),))</f>
        <v>BHYT phải trả cho CN</v>
      </c>
      <c r="E19" s="689" t="str">
        <f ca="1">IF(ROWS($1:4)&gt;COUNT(Dong9),"",OFFSET(TH!M$1,SMALL(Dong9,ROWS($1:4)),))</f>
        <v>3384</v>
      </c>
      <c r="F19" s="691">
        <f ca="1">IF(ROWS($1:4)&gt;COUNT(Dong9),"",OFFSET(TH!K$1,SMALL(Dong9,ROWS($1:4)),))</f>
        <v>105000</v>
      </c>
      <c r="G19" s="691">
        <f t="shared" ca="1" si="0"/>
        <v>0</v>
      </c>
      <c r="H19" s="691">
        <f t="shared" ca="1" si="1"/>
        <v>0</v>
      </c>
      <c r="I19" s="691">
        <f t="shared" ca="1" si="2"/>
        <v>0</v>
      </c>
      <c r="J19" s="691">
        <f t="shared" ca="1" si="3"/>
        <v>105000</v>
      </c>
      <c r="K19" s="691">
        <f t="shared" ca="1" si="4"/>
        <v>0</v>
      </c>
      <c r="L19" s="691">
        <f t="shared" ca="1" si="5"/>
        <v>0</v>
      </c>
      <c r="M19" s="691">
        <f t="shared" ca="1" si="6"/>
        <v>0</v>
      </c>
    </row>
    <row r="20" spans="1:13" ht="22.5" customHeight="1">
      <c r="A20" s="689">
        <f ca="1">IF(ROWS($1:5)&gt;COUNT(Dong9),"",OFFSET(TH!C$1,SMALL(Dong9,ROWS($1:5)),))</f>
        <v>42521</v>
      </c>
      <c r="B20" s="689" t="str">
        <f ca="1">IF(ROWS($1:5)&gt;COUNT(Dong9),"",OFFSET(TH!D$1,SMALL(Dong9,ROWS($1:5)),))</f>
        <v>CTGS</v>
      </c>
      <c r="C20" s="689">
        <f ca="1">IF(ROWS($1:5)&gt;COUNT(Dong9),"",OFFSET(TH!E$1,SMALL(Dong9,ROWS($1:5)),))</f>
        <v>42521</v>
      </c>
      <c r="D20" s="690" t="str">
        <f ca="1">IF(ROWS($1:5)&gt;COUNT(Dong9),"",OFFSET(TH!F$1,SMALL(Dong9,ROWS($1:5)),))</f>
        <v>BHTN phải trả cho CN</v>
      </c>
      <c r="E20" s="689" t="str">
        <f ca="1">IF(ROWS($1:5)&gt;COUNT(Dong9),"",OFFSET(TH!M$1,SMALL(Dong9,ROWS($1:5)),))</f>
        <v>3386</v>
      </c>
      <c r="F20" s="691">
        <f ca="1">IF(ROWS($1:5)&gt;COUNT(Dong9),"",OFFSET(TH!K$1,SMALL(Dong9,ROWS($1:5)),))</f>
        <v>35000</v>
      </c>
      <c r="G20" s="691">
        <f t="shared" ca="1" si="0"/>
        <v>0</v>
      </c>
      <c r="H20" s="691">
        <f t="shared" ca="1" si="1"/>
        <v>0</v>
      </c>
      <c r="I20" s="691">
        <f t="shared" ca="1" si="2"/>
        <v>0</v>
      </c>
      <c r="J20" s="691">
        <f t="shared" ca="1" si="3"/>
        <v>35000</v>
      </c>
      <c r="K20" s="691">
        <f t="shared" ca="1" si="4"/>
        <v>0</v>
      </c>
      <c r="L20" s="691">
        <f t="shared" ca="1" si="5"/>
        <v>0</v>
      </c>
      <c r="M20" s="691">
        <f t="shared" ca="1" si="6"/>
        <v>0</v>
      </c>
    </row>
    <row r="21" spans="1:13" ht="22.5" customHeight="1">
      <c r="A21" s="689">
        <f ca="1">IF(ROWS($1:6)&gt;COUNT(Dong9),"",OFFSET(TH!C$1,SMALL(Dong9,ROWS($1:6)),))</f>
        <v>42551</v>
      </c>
      <c r="B21" s="689" t="str">
        <f ca="1">IF(ROWS($1:6)&gt;COUNT(Dong9),"",OFFSET(TH!D$1,SMALL(Dong9,ROWS($1:6)),))</f>
        <v>CTGS</v>
      </c>
      <c r="C21" s="689">
        <f ca="1">IF(ROWS($1:6)&gt;COUNT(Dong9),"",OFFSET(TH!E$1,SMALL(Dong9,ROWS($1:6)),))</f>
        <v>42551</v>
      </c>
      <c r="D21" s="690" t="str">
        <f ca="1">IF(ROWS($1:6)&gt;COUNT(Dong9),"",OFFSET(TH!F$1,SMALL(Dong9,ROWS($1:6)),))</f>
        <v>Lương bộ phận sản xuất</v>
      </c>
      <c r="E21" s="689" t="str">
        <f ca="1">IF(ROWS($1:6)&gt;COUNT(Dong9),"",OFFSET(TH!M$1,SMALL(Dong9,ROWS($1:6)),))</f>
        <v>3341</v>
      </c>
      <c r="F21" s="691">
        <f ca="1">IF(ROWS($1:6)&gt;COUNT(Dong9),"",OFFSET(TH!K$1,SMALL(Dong9,ROWS($1:6)),))</f>
        <v>3132500</v>
      </c>
      <c r="G21" s="691">
        <f t="shared" ca="1" si="0"/>
        <v>0</v>
      </c>
      <c r="H21" s="691">
        <f t="shared" ca="1" si="1"/>
        <v>0</v>
      </c>
      <c r="I21" s="691">
        <f t="shared" ca="1" si="2"/>
        <v>0</v>
      </c>
      <c r="J21" s="691">
        <f t="shared" ca="1" si="3"/>
        <v>3132500</v>
      </c>
      <c r="K21" s="691">
        <f t="shared" ca="1" si="4"/>
        <v>0</v>
      </c>
      <c r="L21" s="691">
        <f t="shared" ca="1" si="5"/>
        <v>0</v>
      </c>
      <c r="M21" s="691">
        <f t="shared" ca="1" si="6"/>
        <v>0</v>
      </c>
    </row>
    <row r="22" spans="1:13" ht="22.5" customHeight="1">
      <c r="A22" s="689">
        <f ca="1">IF(ROWS($1:7)&gt;COUNT(Dong9),"",OFFSET(TH!C$1,SMALL(Dong9,ROWS($1:7)),))</f>
        <v>42551</v>
      </c>
      <c r="B22" s="689" t="str">
        <f ca="1">IF(ROWS($1:7)&gt;COUNT(Dong9),"",OFFSET(TH!D$1,SMALL(Dong9,ROWS($1:7)),))</f>
        <v>CTGS</v>
      </c>
      <c r="C22" s="689">
        <f ca="1">IF(ROWS($1:7)&gt;COUNT(Dong9),"",OFFSET(TH!E$1,SMALL(Dong9,ROWS($1:7)),))</f>
        <v>42551</v>
      </c>
      <c r="D22" s="690" t="str">
        <f ca="1">IF(ROWS($1:7)&gt;COUNT(Dong9),"",OFFSET(TH!F$1,SMALL(Dong9,ROWS($1:7)),))</f>
        <v>BHXH phải trả cho CN</v>
      </c>
      <c r="E22" s="689" t="str">
        <f ca="1">IF(ROWS($1:7)&gt;COUNT(Dong9),"",OFFSET(TH!M$1,SMALL(Dong9,ROWS($1:7)),))</f>
        <v>3383</v>
      </c>
      <c r="F22" s="691">
        <f ca="1">IF(ROWS($1:7)&gt;COUNT(Dong9),"",OFFSET(TH!K$1,SMALL(Dong9,ROWS($1:7)),))</f>
        <v>630000</v>
      </c>
      <c r="G22" s="691">
        <f t="shared" ca="1" si="0"/>
        <v>0</v>
      </c>
      <c r="H22" s="691">
        <f t="shared" ca="1" si="1"/>
        <v>0</v>
      </c>
      <c r="I22" s="691">
        <f t="shared" ca="1" si="2"/>
        <v>0</v>
      </c>
      <c r="J22" s="691">
        <f t="shared" ca="1" si="3"/>
        <v>630000</v>
      </c>
      <c r="K22" s="691">
        <f t="shared" ca="1" si="4"/>
        <v>0</v>
      </c>
      <c r="L22" s="691">
        <f t="shared" ca="1" si="5"/>
        <v>0</v>
      </c>
      <c r="M22" s="691">
        <f t="shared" ca="1" si="6"/>
        <v>0</v>
      </c>
    </row>
    <row r="23" spans="1:13" ht="22.5" customHeight="1">
      <c r="A23" s="689">
        <f ca="1">IF(ROWS($1:8)&gt;COUNT(Dong9),"",OFFSET(TH!C$1,SMALL(Dong9,ROWS($1:8)),))</f>
        <v>42551</v>
      </c>
      <c r="B23" s="689" t="str">
        <f ca="1">IF(ROWS($1:8)&gt;COUNT(Dong9),"",OFFSET(TH!D$1,SMALL(Dong9,ROWS($1:8)),))</f>
        <v>CTGS</v>
      </c>
      <c r="C23" s="689">
        <f ca="1">IF(ROWS($1:8)&gt;COUNT(Dong9),"",OFFSET(TH!E$1,SMALL(Dong9,ROWS($1:8)),))</f>
        <v>42551</v>
      </c>
      <c r="D23" s="690" t="str">
        <f ca="1">IF(ROWS($1:8)&gt;COUNT(Dong9),"",OFFSET(TH!F$1,SMALL(Dong9,ROWS($1:8)),))</f>
        <v>BHYT phải trả cho CN</v>
      </c>
      <c r="E23" s="689" t="str">
        <f ca="1">IF(ROWS($1:8)&gt;COUNT(Dong9),"",OFFSET(TH!M$1,SMALL(Dong9,ROWS($1:8)),))</f>
        <v>3384</v>
      </c>
      <c r="F23" s="691">
        <f ca="1">IF(ROWS($1:8)&gt;COUNT(Dong9),"",OFFSET(TH!K$1,SMALL(Dong9,ROWS($1:8)),))</f>
        <v>105000</v>
      </c>
      <c r="G23" s="691">
        <f t="shared" ca="1" si="0"/>
        <v>0</v>
      </c>
      <c r="H23" s="691">
        <f t="shared" ca="1" si="1"/>
        <v>0</v>
      </c>
      <c r="I23" s="691">
        <f t="shared" ca="1" si="2"/>
        <v>0</v>
      </c>
      <c r="J23" s="691">
        <f t="shared" ca="1" si="3"/>
        <v>105000</v>
      </c>
      <c r="K23" s="691">
        <f t="shared" ca="1" si="4"/>
        <v>0</v>
      </c>
      <c r="L23" s="691">
        <f t="shared" ca="1" si="5"/>
        <v>0</v>
      </c>
      <c r="M23" s="691">
        <f t="shared" ca="1" si="6"/>
        <v>0</v>
      </c>
    </row>
    <row r="24" spans="1:13" ht="22.5" customHeight="1">
      <c r="A24" s="689">
        <f ca="1">IF(ROWS($1:9)&gt;COUNT(Dong9),"",OFFSET(TH!C$1,SMALL(Dong9,ROWS($1:9)),))</f>
        <v>42551</v>
      </c>
      <c r="B24" s="689" t="str">
        <f ca="1">IF(ROWS($1:9)&gt;COUNT(Dong9),"",OFFSET(TH!D$1,SMALL(Dong9,ROWS($1:9)),))</f>
        <v>CTGS</v>
      </c>
      <c r="C24" s="689">
        <f ca="1">IF(ROWS($1:9)&gt;COUNT(Dong9),"",OFFSET(TH!E$1,SMALL(Dong9,ROWS($1:9)),))</f>
        <v>42551</v>
      </c>
      <c r="D24" s="690" t="str">
        <f ca="1">IF(ROWS($1:9)&gt;COUNT(Dong9),"",OFFSET(TH!F$1,SMALL(Dong9,ROWS($1:9)),))</f>
        <v>BHTN phải trả cho CN</v>
      </c>
      <c r="E24" s="689" t="str">
        <f ca="1">IF(ROWS($1:9)&gt;COUNT(Dong9),"",OFFSET(TH!M$1,SMALL(Dong9,ROWS($1:9)),))</f>
        <v>3386</v>
      </c>
      <c r="F24" s="691">
        <f ca="1">IF(ROWS($1:9)&gt;COUNT(Dong9),"",OFFSET(TH!K$1,SMALL(Dong9,ROWS($1:9)),))</f>
        <v>35000</v>
      </c>
      <c r="G24" s="691">
        <f t="shared" ca="1" si="0"/>
        <v>0</v>
      </c>
      <c r="H24" s="691">
        <f t="shared" ca="1" si="1"/>
        <v>0</v>
      </c>
      <c r="I24" s="691">
        <f t="shared" ca="1" si="2"/>
        <v>0</v>
      </c>
      <c r="J24" s="691">
        <f t="shared" ca="1" si="3"/>
        <v>35000</v>
      </c>
      <c r="K24" s="691">
        <f t="shared" ca="1" si="4"/>
        <v>0</v>
      </c>
      <c r="L24" s="691">
        <f t="shared" ca="1" si="5"/>
        <v>0</v>
      </c>
      <c r="M24" s="691">
        <f t="shared" ca="1" si="6"/>
        <v>0</v>
      </c>
    </row>
    <row r="25" spans="1:13" ht="22.5" customHeight="1">
      <c r="A25" s="689">
        <f ca="1">IF(ROWS($1:10)&gt;COUNT(Dong9),"",OFFSET(TH!C$1,SMALL(Dong9,ROWS($1:10)),))</f>
        <v>42536</v>
      </c>
      <c r="B25" s="689">
        <f ca="1">IF(ROWS($1:10)&gt;COUNT(Dong9),"",OFFSET(TH!D$1,SMALL(Dong9,ROWS($1:10)),))</f>
        <v>0</v>
      </c>
      <c r="C25" s="689">
        <f ca="1">IF(ROWS($1:10)&gt;COUNT(Dong9),"",OFFSET(TH!E$1,SMALL(Dong9,ROWS($1:10)),))</f>
        <v>42536</v>
      </c>
      <c r="D25" s="690" t="str">
        <f ca="1">IF(ROWS($1:10)&gt;COUNT(Dong9),"",OFFSET(TH!F$1,SMALL(Dong9,ROWS($1:10)),))</f>
        <v>Giấy can H4</v>
      </c>
      <c r="E25" s="689" t="str">
        <f ca="1">IF(ROWS($1:10)&gt;COUNT(Dong9),"",OFFSET(TH!M$1,SMALL(Dong9,ROWS($1:10)),))</f>
        <v>1111</v>
      </c>
      <c r="F25" s="691">
        <f ca="1">IF(ROWS($1:10)&gt;COUNT(Dong9),"",OFFSET(TH!K$1,SMALL(Dong9,ROWS($1:10)),))</f>
        <v>250000</v>
      </c>
      <c r="G25" s="691">
        <f t="shared" ca="1" si="0"/>
        <v>0</v>
      </c>
      <c r="H25" s="691">
        <f t="shared" ca="1" si="1"/>
        <v>0</v>
      </c>
      <c r="I25" s="691">
        <f t="shared" ca="1" si="2"/>
        <v>0</v>
      </c>
      <c r="J25" s="691">
        <f t="shared" ca="1" si="3"/>
        <v>0</v>
      </c>
      <c r="K25" s="691">
        <f t="shared" ca="1" si="4"/>
        <v>0</v>
      </c>
      <c r="L25" s="691">
        <f t="shared" ca="1" si="5"/>
        <v>0</v>
      </c>
      <c r="M25" s="691">
        <f t="shared" ca="1" si="6"/>
        <v>250000</v>
      </c>
    </row>
    <row r="26" spans="1:13" ht="22.5" customHeight="1">
      <c r="A26" s="689">
        <f ca="1">IF(ROWS($1:11)&gt;COUNT(Dong9),"",OFFSET(TH!C$1,SMALL(Dong9,ROWS($1:11)),))</f>
        <v>42550</v>
      </c>
      <c r="B26" s="689">
        <f ca="1">IF(ROWS($1:11)&gt;COUNT(Dong9),"",OFFSET(TH!D$1,SMALL(Dong9,ROWS($1:11)),))</f>
        <v>0</v>
      </c>
      <c r="C26" s="689">
        <f ca="1">IF(ROWS($1:11)&gt;COUNT(Dong9),"",OFFSET(TH!E$1,SMALL(Dong9,ROWS($1:11)),))</f>
        <v>42550</v>
      </c>
      <c r="D26" s="690" t="str">
        <f ca="1">IF(ROWS($1:11)&gt;COUNT(Dong9),"",OFFSET(TH!F$1,SMALL(Dong9,ROWS($1:11)),))</f>
        <v>Can A4 Đức</v>
      </c>
      <c r="E26" s="689" t="str">
        <f ca="1">IF(ROWS($1:11)&gt;COUNT(Dong9),"",OFFSET(TH!M$1,SMALL(Dong9,ROWS($1:11)),))</f>
        <v>1111</v>
      </c>
      <c r="F26" s="691">
        <f ca="1">IF(ROWS($1:11)&gt;COUNT(Dong9),"",OFFSET(TH!K$1,SMALL(Dong9,ROWS($1:11)),))</f>
        <v>750000</v>
      </c>
      <c r="G26" s="691">
        <f t="shared" ca="1" si="0"/>
        <v>0</v>
      </c>
      <c r="H26" s="691">
        <f t="shared" ca="1" si="1"/>
        <v>0</v>
      </c>
      <c r="I26" s="691">
        <f t="shared" ca="1" si="2"/>
        <v>0</v>
      </c>
      <c r="J26" s="691">
        <f t="shared" ca="1" si="3"/>
        <v>0</v>
      </c>
      <c r="K26" s="691">
        <f t="shared" ca="1" si="4"/>
        <v>0</v>
      </c>
      <c r="L26" s="691">
        <f t="shared" ca="1" si="5"/>
        <v>0</v>
      </c>
      <c r="M26" s="691">
        <f t="shared" ca="1" si="6"/>
        <v>750000</v>
      </c>
    </row>
    <row r="27" spans="1:13" ht="22.5" customHeight="1">
      <c r="A27" s="689">
        <f ca="1">IF(ROWS($1:12)&gt;COUNT(Dong9),"",OFFSET(TH!C$1,SMALL(Dong9,ROWS($1:12)),))</f>
        <v>42479</v>
      </c>
      <c r="B27" s="689">
        <f ca="1">IF(ROWS($1:12)&gt;COUNT(Dong9),"",OFFSET(TH!D$1,SMALL(Dong9,ROWS($1:12)),))</f>
        <v>0</v>
      </c>
      <c r="C27" s="689">
        <f ca="1">IF(ROWS($1:12)&gt;COUNT(Dong9),"",OFFSET(TH!E$1,SMALL(Dong9,ROWS($1:12)),))</f>
        <v>42479</v>
      </c>
      <c r="D27" s="690" t="str">
        <f ca="1">IF(ROWS($1:12)&gt;COUNT(Dong9),"",OFFSET(TH!F$1,SMALL(Dong9,ROWS($1:12)),))</f>
        <v>Giấy Scan trong</v>
      </c>
      <c r="E27" s="689" t="str">
        <f ca="1">IF(ROWS($1:12)&gt;COUNT(Dong9),"",OFFSET(TH!M$1,SMALL(Dong9,ROWS($1:12)),))</f>
        <v>1111</v>
      </c>
      <c r="F27" s="691">
        <f ca="1">IF(ROWS($1:12)&gt;COUNT(Dong9),"",OFFSET(TH!K$1,SMALL(Dong9,ROWS($1:12)),))</f>
        <v>344545</v>
      </c>
      <c r="G27" s="691">
        <f t="shared" ca="1" si="0"/>
        <v>0</v>
      </c>
      <c r="H27" s="691">
        <f t="shared" ca="1" si="1"/>
        <v>0</v>
      </c>
      <c r="I27" s="691">
        <f t="shared" ca="1" si="2"/>
        <v>0</v>
      </c>
      <c r="J27" s="691">
        <f t="shared" ca="1" si="3"/>
        <v>0</v>
      </c>
      <c r="K27" s="691">
        <f t="shared" ca="1" si="4"/>
        <v>0</v>
      </c>
      <c r="L27" s="691">
        <f t="shared" ca="1" si="5"/>
        <v>0</v>
      </c>
      <c r="M27" s="691">
        <f t="shared" ca="1" si="6"/>
        <v>344545</v>
      </c>
    </row>
    <row r="28" spans="1:13" ht="22.5" customHeight="1">
      <c r="A28" s="689">
        <f ca="1">IF(ROWS($1:13)&gt;COUNT(Dong9),"",OFFSET(TH!C$1,SMALL(Dong9,ROWS($1:13)),))</f>
        <v>42500</v>
      </c>
      <c r="B28" s="689">
        <f ca="1">IF(ROWS($1:13)&gt;COUNT(Dong9),"",OFFSET(TH!D$1,SMALL(Dong9,ROWS($1:13)),))</f>
        <v>0</v>
      </c>
      <c r="C28" s="689">
        <f ca="1">IF(ROWS($1:13)&gt;COUNT(Dong9),"",OFFSET(TH!E$1,SMALL(Dong9,ROWS($1:13)),))</f>
        <v>42500</v>
      </c>
      <c r="D28" s="690" t="str">
        <f ca="1">IF(ROWS($1:13)&gt;COUNT(Dong9),"",OFFSET(TH!F$1,SMALL(Dong9,ROWS($1:13)),))</f>
        <v>Giấy Scan 95</v>
      </c>
      <c r="E28" s="689" t="str">
        <f ca="1">IF(ROWS($1:13)&gt;COUNT(Dong9),"",OFFSET(TH!M$1,SMALL(Dong9,ROWS($1:13)),))</f>
        <v>1111</v>
      </c>
      <c r="F28" s="691">
        <f ca="1">IF(ROWS($1:13)&gt;COUNT(Dong9),"",OFFSET(TH!K$1,SMALL(Dong9,ROWS($1:13)),))</f>
        <v>344545</v>
      </c>
      <c r="G28" s="691">
        <f t="shared" ca="1" si="0"/>
        <v>0</v>
      </c>
      <c r="H28" s="691">
        <f t="shared" ca="1" si="1"/>
        <v>0</v>
      </c>
      <c r="I28" s="691">
        <f t="shared" ca="1" si="2"/>
        <v>0</v>
      </c>
      <c r="J28" s="691">
        <f t="shared" ca="1" si="3"/>
        <v>0</v>
      </c>
      <c r="K28" s="691">
        <f t="shared" ca="1" si="4"/>
        <v>0</v>
      </c>
      <c r="L28" s="691">
        <f t="shared" ca="1" si="5"/>
        <v>0</v>
      </c>
      <c r="M28" s="691">
        <f t="shared" ca="1" si="6"/>
        <v>344545</v>
      </c>
    </row>
    <row r="29" spans="1:13" ht="22.5" customHeight="1">
      <c r="A29" s="689">
        <f ca="1">IF(ROWS($1:14)&gt;COUNT(Dong9),"",OFFSET(TH!C$1,SMALL(Dong9,ROWS($1:14)),))</f>
        <v>42518</v>
      </c>
      <c r="B29" s="689">
        <f ca="1">IF(ROWS($1:14)&gt;COUNT(Dong9),"",OFFSET(TH!D$1,SMALL(Dong9,ROWS($1:14)),))</f>
        <v>0</v>
      </c>
      <c r="C29" s="689">
        <f ca="1">IF(ROWS($1:14)&gt;COUNT(Dong9),"",OFFSET(TH!E$1,SMALL(Dong9,ROWS($1:14)),))</f>
        <v>42518</v>
      </c>
      <c r="D29" s="690" t="str">
        <f ca="1">IF(ROWS($1:14)&gt;COUNT(Dong9),"",OFFSET(TH!F$1,SMALL(Dong9,ROWS($1:14)),))</f>
        <v>Hộp XH tàu biển</v>
      </c>
      <c r="E29" s="689" t="str">
        <f ca="1">IF(ROWS($1:14)&gt;COUNT(Dong9),"",OFFSET(TH!M$1,SMALL(Dong9,ROWS($1:14)),))</f>
        <v>1111</v>
      </c>
      <c r="F29" s="691">
        <f ca="1">IF(ROWS($1:14)&gt;COUNT(Dong9),"",OFFSET(TH!K$1,SMALL(Dong9,ROWS($1:14)),))</f>
        <v>445714</v>
      </c>
      <c r="G29" s="691">
        <f t="shared" ca="1" si="0"/>
        <v>0</v>
      </c>
      <c r="H29" s="691">
        <f t="shared" ca="1" si="1"/>
        <v>0</v>
      </c>
      <c r="I29" s="691">
        <f t="shared" ca="1" si="2"/>
        <v>0</v>
      </c>
      <c r="J29" s="691">
        <f t="shared" ca="1" si="3"/>
        <v>0</v>
      </c>
      <c r="K29" s="691">
        <f t="shared" ca="1" si="4"/>
        <v>0</v>
      </c>
      <c r="L29" s="691">
        <f t="shared" ca="1" si="5"/>
        <v>0</v>
      </c>
      <c r="M29" s="691">
        <f t="shared" ca="1" si="6"/>
        <v>445714</v>
      </c>
    </row>
    <row r="30" spans="1:13" ht="22.5" customHeight="1">
      <c r="A30" s="689">
        <f ca="1">IF(ROWS($1:15)&gt;COUNT(Dong9),"",OFFSET(TH!C$1,SMALL(Dong9,ROWS($1:15)),))</f>
        <v>42462</v>
      </c>
      <c r="B30" s="689" t="str">
        <f ca="1">IF(ROWS($1:15)&gt;COUNT(Dong9),"",OFFSET(TH!D$1,SMALL(Dong9,ROWS($1:15)),))</f>
        <v>XSX</v>
      </c>
      <c r="C30" s="689">
        <f ca="1">IF(ROWS($1:15)&gt;COUNT(Dong9),"",OFFSET(TH!E$1,SMALL(Dong9,ROWS($1:15)),))</f>
        <v>42462</v>
      </c>
      <c r="D30" s="690" t="str">
        <f ca="1">IF(ROWS($1:15)&gt;COUNT(Dong9),"",OFFSET(TH!F$1,SMALL(Dong9,ROWS($1:15)),))</f>
        <v>Thùng carton 390x275x235</v>
      </c>
      <c r="E30" s="689" t="str">
        <f ca="1">IF(ROWS($1:15)&gt;COUNT(Dong9),"",OFFSET(TH!M$1,SMALL(Dong9,ROWS($1:15)),))</f>
        <v>156</v>
      </c>
      <c r="F30" s="691">
        <f ca="1">IF(ROWS($1:15)&gt;COUNT(Dong9),"",OFFSET(TH!K$1,SMALL(Dong9,ROWS($1:15)),))</f>
        <v>6177955</v>
      </c>
      <c r="G30" s="691">
        <f t="shared" ca="1" si="0"/>
        <v>0</v>
      </c>
      <c r="H30" s="691">
        <f t="shared" ca="1" si="1"/>
        <v>0</v>
      </c>
      <c r="I30" s="691">
        <f t="shared" ca="1" si="2"/>
        <v>0</v>
      </c>
      <c r="J30" s="691">
        <f t="shared" ca="1" si="3"/>
        <v>0</v>
      </c>
      <c r="K30" s="691">
        <f t="shared" ca="1" si="4"/>
        <v>0</v>
      </c>
      <c r="L30" s="691">
        <f t="shared" ca="1" si="5"/>
        <v>0</v>
      </c>
      <c r="M30" s="691">
        <f t="shared" ca="1" si="6"/>
        <v>0</v>
      </c>
    </row>
    <row r="31" spans="1:13" ht="22.5" customHeight="1">
      <c r="A31" s="689">
        <f ca="1">IF(ROWS($1:16)&gt;COUNT(Dong9),"",OFFSET(TH!C$1,SMALL(Dong9,ROWS($1:16)),))</f>
        <v>42464</v>
      </c>
      <c r="B31" s="689" t="str">
        <f ca="1">IF(ROWS($1:16)&gt;COUNT(Dong9),"",OFFSET(TH!D$1,SMALL(Dong9,ROWS($1:16)),))</f>
        <v>XSX</v>
      </c>
      <c r="C31" s="689">
        <f ca="1">IF(ROWS($1:16)&gt;COUNT(Dong9),"",OFFSET(TH!E$1,SMALL(Dong9,ROWS($1:16)),))</f>
        <v>42464</v>
      </c>
      <c r="D31" s="690" t="str">
        <f ca="1">IF(ROWS($1:16)&gt;COUNT(Dong9),"",OFFSET(TH!F$1,SMALL(Dong9,ROWS($1:16)),))</f>
        <v>Thùng carton 410x270x175</v>
      </c>
      <c r="E31" s="689" t="str">
        <f ca="1">IF(ROWS($1:16)&gt;COUNT(Dong9),"",OFFSET(TH!M$1,SMALL(Dong9,ROWS($1:16)),))</f>
        <v>156</v>
      </c>
      <c r="F31" s="691">
        <f ca="1">IF(ROWS($1:16)&gt;COUNT(Dong9),"",OFFSET(TH!K$1,SMALL(Dong9,ROWS($1:16)),))</f>
        <v>1509268</v>
      </c>
      <c r="G31" s="691">
        <f t="shared" ca="1" si="0"/>
        <v>0</v>
      </c>
      <c r="H31" s="691">
        <f t="shared" ca="1" si="1"/>
        <v>0</v>
      </c>
      <c r="I31" s="691">
        <f t="shared" ca="1" si="2"/>
        <v>0</v>
      </c>
      <c r="J31" s="691">
        <f t="shared" ca="1" si="3"/>
        <v>0</v>
      </c>
      <c r="K31" s="691">
        <f t="shared" ca="1" si="4"/>
        <v>0</v>
      </c>
      <c r="L31" s="691">
        <f t="shared" ca="1" si="5"/>
        <v>0</v>
      </c>
      <c r="M31" s="691">
        <f t="shared" ca="1" si="6"/>
        <v>0</v>
      </c>
    </row>
    <row r="32" spans="1:13" ht="22.5" customHeight="1">
      <c r="A32" s="689">
        <f ca="1">IF(ROWS($1:17)&gt;COUNT(Dong9),"",OFFSET(TH!C$1,SMALL(Dong9,ROWS($1:17)),))</f>
        <v>42465</v>
      </c>
      <c r="B32" s="689" t="str">
        <f ca="1">IF(ROWS($1:17)&gt;COUNT(Dong9),"",OFFSET(TH!D$1,SMALL(Dong9,ROWS($1:17)),))</f>
        <v>XSX</v>
      </c>
      <c r="C32" s="689">
        <f ca="1">IF(ROWS($1:17)&gt;COUNT(Dong9),"",OFFSET(TH!E$1,SMALL(Dong9,ROWS($1:17)),))</f>
        <v>42465</v>
      </c>
      <c r="D32" s="690" t="str">
        <f ca="1">IF(ROWS($1:17)&gt;COUNT(Dong9),"",OFFSET(TH!F$1,SMALL(Dong9,ROWS($1:17)),))</f>
        <v>Thùng carton 41.5x27.5x23</v>
      </c>
      <c r="E32" s="689" t="str">
        <f ca="1">IF(ROWS($1:17)&gt;COUNT(Dong9),"",OFFSET(TH!M$1,SMALL(Dong9,ROWS($1:17)),))</f>
        <v>156</v>
      </c>
      <c r="F32" s="691">
        <f ca="1">IF(ROWS($1:17)&gt;COUNT(Dong9),"",OFFSET(TH!K$1,SMALL(Dong9,ROWS($1:17)),))</f>
        <v>2288400</v>
      </c>
      <c r="G32" s="691">
        <f t="shared" ca="1" si="0"/>
        <v>0</v>
      </c>
      <c r="H32" s="691">
        <f t="shared" ca="1" si="1"/>
        <v>0</v>
      </c>
      <c r="I32" s="691">
        <f t="shared" ca="1" si="2"/>
        <v>0</v>
      </c>
      <c r="J32" s="691">
        <f t="shared" ca="1" si="3"/>
        <v>0</v>
      </c>
      <c r="K32" s="691">
        <f t="shared" ca="1" si="4"/>
        <v>0</v>
      </c>
      <c r="L32" s="691">
        <f t="shared" ca="1" si="5"/>
        <v>0</v>
      </c>
      <c r="M32" s="691">
        <f t="shared" ca="1" si="6"/>
        <v>0</v>
      </c>
    </row>
    <row r="33" spans="1:13" ht="22.5" customHeight="1">
      <c r="A33" s="689">
        <f ca="1">IF(ROWS($1:18)&gt;COUNT(Dong9),"",OFFSET(TH!C$1,SMALL(Dong9,ROWS($1:18)),))</f>
        <v>42478</v>
      </c>
      <c r="B33" s="689" t="str">
        <f ca="1">IF(ROWS($1:18)&gt;COUNT(Dong9),"",OFFSET(TH!D$1,SMALL(Dong9,ROWS($1:18)),))</f>
        <v>XSX</v>
      </c>
      <c r="C33" s="689">
        <f ca="1">IF(ROWS($1:18)&gt;COUNT(Dong9),"",OFFSET(TH!E$1,SMALL(Dong9,ROWS($1:18)),))</f>
        <v>42478</v>
      </c>
      <c r="D33" s="690" t="str">
        <f ca="1">IF(ROWS($1:18)&gt;COUNT(Dong9),"",OFFSET(TH!F$1,SMALL(Dong9,ROWS($1:18)),))</f>
        <v>Thùng carton 36x32x40</v>
      </c>
      <c r="E33" s="689" t="str">
        <f ca="1">IF(ROWS($1:18)&gt;COUNT(Dong9),"",OFFSET(TH!M$1,SMALL(Dong9,ROWS($1:18)),))</f>
        <v>156</v>
      </c>
      <c r="F33" s="691">
        <f ca="1">IF(ROWS($1:18)&gt;COUNT(Dong9),"",OFFSET(TH!K$1,SMALL(Dong9,ROWS($1:18)),))</f>
        <v>5781000</v>
      </c>
      <c r="G33" s="691">
        <f t="shared" ca="1" si="0"/>
        <v>0</v>
      </c>
      <c r="H33" s="691">
        <f t="shared" ca="1" si="1"/>
        <v>0</v>
      </c>
      <c r="I33" s="691">
        <f t="shared" ca="1" si="2"/>
        <v>0</v>
      </c>
      <c r="J33" s="691">
        <f t="shared" ca="1" si="3"/>
        <v>0</v>
      </c>
      <c r="K33" s="691">
        <f t="shared" ca="1" si="4"/>
        <v>0</v>
      </c>
      <c r="L33" s="691">
        <f t="shared" ca="1" si="5"/>
        <v>0</v>
      </c>
      <c r="M33" s="691">
        <f t="shared" ca="1" si="6"/>
        <v>0</v>
      </c>
    </row>
    <row r="34" spans="1:13" ht="22.5" customHeight="1">
      <c r="A34" s="689"/>
      <c r="B34" s="692"/>
      <c r="C34" s="689"/>
      <c r="D34" s="693"/>
      <c r="E34" s="694"/>
      <c r="F34" s="695"/>
      <c r="G34" s="695"/>
      <c r="H34" s="695"/>
      <c r="I34" s="695"/>
      <c r="J34" s="695"/>
      <c r="K34" s="695"/>
      <c r="L34" s="695"/>
      <c r="M34" s="695"/>
    </row>
    <row r="35" spans="1:13" ht="22.5" customHeight="1">
      <c r="A35" s="689"/>
      <c r="B35" s="692"/>
      <c r="C35" s="689"/>
      <c r="D35" s="687" t="s">
        <v>133</v>
      </c>
      <c r="E35" s="686" t="s">
        <v>19</v>
      </c>
      <c r="F35" s="688">
        <f t="shared" ref="F35:M35" ca="1" si="7">SUM(F15:F34)</f>
        <v>29196427</v>
      </c>
      <c r="G35" s="688">
        <f t="shared" ca="1" si="7"/>
        <v>0</v>
      </c>
      <c r="H35" s="688">
        <f t="shared" ca="1" si="7"/>
        <v>0</v>
      </c>
      <c r="I35" s="688">
        <f t="shared" ca="1" si="7"/>
        <v>0</v>
      </c>
      <c r="J35" s="688">
        <f t="shared" ca="1" si="7"/>
        <v>11305000</v>
      </c>
      <c r="K35" s="688">
        <f t="shared" ca="1" si="7"/>
        <v>0</v>
      </c>
      <c r="L35" s="688">
        <f t="shared" ca="1" si="7"/>
        <v>0</v>
      </c>
      <c r="M35" s="688">
        <f t="shared" ca="1" si="7"/>
        <v>2134804</v>
      </c>
    </row>
    <row r="36" spans="1:13" ht="22.5" customHeight="1">
      <c r="A36" s="696"/>
      <c r="B36" s="694"/>
      <c r="C36" s="696"/>
      <c r="D36" s="697" t="s">
        <v>379</v>
      </c>
      <c r="E36" s="692"/>
      <c r="F36" s="698">
        <f ca="1">SUM(G36:M36)</f>
        <v>13439804</v>
      </c>
      <c r="G36" s="698">
        <f t="shared" ref="G36:M36" ca="1" si="8">G35</f>
        <v>0</v>
      </c>
      <c r="H36" s="698">
        <f t="shared" ca="1" si="8"/>
        <v>0</v>
      </c>
      <c r="I36" s="698">
        <f t="shared" ref="I36" ca="1" si="9">I35</f>
        <v>0</v>
      </c>
      <c r="J36" s="698">
        <f t="shared" ca="1" si="8"/>
        <v>11305000</v>
      </c>
      <c r="K36" s="698">
        <f t="shared" ca="1" si="8"/>
        <v>0</v>
      </c>
      <c r="L36" s="698">
        <f t="shared" ref="L36" ca="1" si="10">L35</f>
        <v>0</v>
      </c>
      <c r="M36" s="698">
        <f t="shared" ca="1" si="8"/>
        <v>2134804</v>
      </c>
    </row>
    <row r="37" spans="1:13" ht="22.5" customHeight="1">
      <c r="A37" s="699"/>
      <c r="B37" s="699"/>
      <c r="C37" s="699"/>
      <c r="D37" s="700" t="s">
        <v>10</v>
      </c>
      <c r="E37" s="699" t="s">
        <v>19</v>
      </c>
      <c r="F37" s="701">
        <f t="shared" ref="F37:M37" ca="1" si="11">F15+F35-F36</f>
        <v>15756623</v>
      </c>
      <c r="G37" s="701">
        <f t="shared" ca="1" si="11"/>
        <v>0</v>
      </c>
      <c r="H37" s="701">
        <f t="shared" ca="1" si="11"/>
        <v>0</v>
      </c>
      <c r="I37" s="701">
        <f t="shared" ca="1" si="11"/>
        <v>0</v>
      </c>
      <c r="J37" s="701">
        <f t="shared" ca="1" si="11"/>
        <v>0</v>
      </c>
      <c r="K37" s="701">
        <f t="shared" ca="1" si="11"/>
        <v>0</v>
      </c>
      <c r="L37" s="701">
        <f t="shared" ca="1" si="11"/>
        <v>0</v>
      </c>
      <c r="M37" s="701">
        <f t="shared" ca="1" si="11"/>
        <v>0</v>
      </c>
    </row>
    <row r="39" spans="1:13">
      <c r="B39" s="702"/>
      <c r="C39" s="682" t="s">
        <v>380</v>
      </c>
    </row>
    <row r="40" spans="1:13">
      <c r="C40" s="682" t="str">
        <f ca="1">"Ngày mở sổ: "&amp;"01/"&amp;MONTH(A16)&amp;"/ "&amp;YEAR(A16)</f>
        <v>Ngày mở sổ: 01/4/ 2016</v>
      </c>
    </row>
    <row r="41" spans="1:13">
      <c r="E41" s="681"/>
      <c r="F41" s="681"/>
      <c r="G41" s="681"/>
      <c r="H41" s="681"/>
      <c r="I41" s="681"/>
      <c r="J41" s="1094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094"/>
      <c r="L41" s="1094"/>
      <c r="M41" s="1094"/>
    </row>
    <row r="42" spans="1:13">
      <c r="B42" s="681"/>
      <c r="C42" s="678" t="s">
        <v>11</v>
      </c>
      <c r="D42" s="681"/>
      <c r="E42" s="681"/>
      <c r="F42" s="681"/>
      <c r="G42" s="681"/>
      <c r="H42" s="681"/>
      <c r="I42" s="681"/>
      <c r="J42" s="1094" t="s">
        <v>12</v>
      </c>
      <c r="K42" s="1094"/>
      <c r="L42" s="1094"/>
      <c r="M42" s="1094"/>
    </row>
    <row r="43" spans="1:13">
      <c r="B43" s="681"/>
      <c r="C43" s="678" t="s">
        <v>13</v>
      </c>
      <c r="D43" s="681"/>
      <c r="E43" s="681"/>
      <c r="F43" s="681"/>
      <c r="G43" s="681"/>
      <c r="H43" s="681"/>
      <c r="I43" s="681"/>
      <c r="J43" s="681"/>
      <c r="K43" s="681" t="s">
        <v>13</v>
      </c>
      <c r="L43" s="68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78" customWidth="1"/>
    <col min="2" max="2" width="8.85546875" style="678" customWidth="1"/>
    <col min="3" max="3" width="10.5703125" style="678" customWidth="1"/>
    <col min="4" max="4" width="31.85546875" style="678" customWidth="1"/>
    <col min="5" max="5" width="10.28515625" style="678" customWidth="1"/>
    <col min="6" max="6" width="15.28515625" style="678" customWidth="1"/>
    <col min="7" max="7" width="9.42578125" style="678" customWidth="1"/>
    <col min="8" max="8" width="15.140625" style="678" customWidth="1"/>
    <col min="9" max="9" width="9.140625" style="678"/>
    <col min="10" max="10" width="16.28515625" style="678" customWidth="1"/>
    <col min="11" max="11" width="6" style="678" customWidth="1"/>
    <col min="12" max="16384" width="9.140625" style="678"/>
  </cols>
  <sheetData>
    <row r="2" spans="1:13">
      <c r="A2" s="677" t="str">
        <f>'154'!A2</f>
        <v>Đơn vị: CÔNG TY TNHH MỘT THÀNH VIÊN KHỞI NGUYÊN AN</v>
      </c>
      <c r="F2" s="679"/>
      <c r="G2" s="1136" t="s">
        <v>367</v>
      </c>
      <c r="H2" s="1136"/>
      <c r="I2" s="1136"/>
      <c r="J2" s="1136"/>
    </row>
    <row r="3" spans="1:13" ht="15" customHeight="1">
      <c r="A3" s="707" t="str">
        <f>'154'!A3</f>
        <v>Địa chỉ: Thửa đất số 144, tờ bản đồ số 12TĐH.1, tổ 1, khu phố Đông Tác, Phường Tân Đông Hiệp, Thị Xã Dĩ An, Tỉnh Bình Dương, Việt Nam</v>
      </c>
      <c r="G3" s="1139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1139"/>
      <c r="I3" s="1139"/>
      <c r="J3" s="1139"/>
    </row>
    <row r="4" spans="1:13">
      <c r="G4" s="1139"/>
      <c r="H4" s="1139"/>
      <c r="I4" s="1139"/>
      <c r="J4" s="1139"/>
    </row>
    <row r="5" spans="1:13" ht="27" customHeight="1">
      <c r="A5" s="1137" t="s">
        <v>368</v>
      </c>
      <c r="B5" s="1137"/>
      <c r="C5" s="1137"/>
      <c r="D5" s="1137"/>
      <c r="E5" s="1137"/>
      <c r="F5" s="1137"/>
      <c r="G5" s="1137"/>
      <c r="H5" s="1137"/>
      <c r="I5" s="1137"/>
      <c r="J5" s="1137"/>
      <c r="K5" s="680" t="s">
        <v>162</v>
      </c>
      <c r="L5" s="613">
        <f>IF(L13="Quý I",1,IF(L13="Quý II",4,IF(L13="Quý III",7,IF(L13="Quý IV",10,""))))</f>
        <v>4</v>
      </c>
      <c r="M5" s="613">
        <f>IF(L13="Quý I",3,IF(L13="Quý II",6,IF(L13="Quý III",9,IF(L13="Quý IV",12,""))))</f>
        <v>6</v>
      </c>
    </row>
    <row r="6" spans="1:13">
      <c r="A6" s="1138" t="s">
        <v>369</v>
      </c>
      <c r="B6" s="1138"/>
      <c r="C6" s="1138"/>
      <c r="D6" s="1138"/>
      <c r="E6" s="1138"/>
      <c r="F6" s="1138"/>
      <c r="G6" s="1138"/>
      <c r="H6" s="1138"/>
      <c r="I6" s="1138"/>
      <c r="J6" s="1138"/>
    </row>
    <row r="7" spans="1:13">
      <c r="B7" s="681"/>
      <c r="C7" s="681"/>
      <c r="D7" s="681"/>
      <c r="E7" s="682" t="s">
        <v>381</v>
      </c>
      <c r="G7" s="681"/>
      <c r="H7" s="681"/>
      <c r="I7" s="681"/>
      <c r="J7" s="681"/>
    </row>
    <row r="8" spans="1:13">
      <c r="B8" s="681"/>
      <c r="C8" s="681"/>
      <c r="D8" s="681"/>
      <c r="E8" s="682" t="s">
        <v>371</v>
      </c>
      <c r="G8" s="681"/>
      <c r="H8" s="681"/>
      <c r="I8" s="681"/>
      <c r="J8" s="681"/>
    </row>
    <row r="9" spans="1:13">
      <c r="B9" s="683"/>
      <c r="C9" s="683"/>
      <c r="D9" s="683"/>
      <c r="E9" s="682" t="s">
        <v>372</v>
      </c>
      <c r="G9" s="683"/>
      <c r="H9" s="683"/>
      <c r="I9" s="683"/>
      <c r="J9" s="683"/>
    </row>
    <row r="10" spans="1:13" ht="9.75" customHeight="1">
      <c r="C10" s="1135"/>
      <c r="D10" s="1135"/>
      <c r="E10" s="1135"/>
      <c r="F10" s="1135"/>
      <c r="G10" s="1135"/>
      <c r="H10" s="1135"/>
      <c r="I10" s="1135"/>
      <c r="J10" s="1135"/>
    </row>
    <row r="11" spans="1:13" ht="15.75" customHeight="1">
      <c r="A11" s="1140" t="s">
        <v>20</v>
      </c>
      <c r="B11" s="1141" t="s">
        <v>1</v>
      </c>
      <c r="C11" s="1141"/>
      <c r="D11" s="1140" t="s">
        <v>0</v>
      </c>
      <c r="E11" s="1140" t="s">
        <v>204</v>
      </c>
      <c r="F11" s="1141" t="s">
        <v>382</v>
      </c>
      <c r="G11" s="1141"/>
      <c r="H11" s="1141"/>
      <c r="I11" s="1141"/>
      <c r="J11" s="1141"/>
    </row>
    <row r="12" spans="1:13" ht="15.75" customHeight="1" thickBot="1">
      <c r="A12" s="1140"/>
      <c r="B12" s="1142" t="s">
        <v>15</v>
      </c>
      <c r="C12" s="1142" t="s">
        <v>32</v>
      </c>
      <c r="D12" s="1140"/>
      <c r="E12" s="1140"/>
      <c r="F12" s="1142" t="s">
        <v>374</v>
      </c>
      <c r="G12" s="1142" t="s">
        <v>375</v>
      </c>
      <c r="H12" s="1142"/>
      <c r="I12" s="1142"/>
      <c r="J12" s="1142"/>
    </row>
    <row r="13" spans="1:13" ht="30.75" customHeight="1" thickBot="1">
      <c r="A13" s="1140"/>
      <c r="B13" s="1142"/>
      <c r="C13" s="1142"/>
      <c r="D13" s="1140"/>
      <c r="E13" s="1140"/>
      <c r="F13" s="1142"/>
      <c r="G13" s="684">
        <v>154</v>
      </c>
      <c r="H13" s="684">
        <v>155</v>
      </c>
      <c r="I13" s="684">
        <v>156</v>
      </c>
      <c r="J13" s="684">
        <v>157</v>
      </c>
      <c r="L13" s="706" t="s">
        <v>338</v>
      </c>
    </row>
    <row r="14" spans="1:13">
      <c r="A14" s="685" t="s">
        <v>2</v>
      </c>
      <c r="B14" s="685" t="s">
        <v>3</v>
      </c>
      <c r="C14" s="685" t="s">
        <v>4</v>
      </c>
      <c r="D14" s="685" t="s">
        <v>5</v>
      </c>
      <c r="E14" s="685" t="s">
        <v>6</v>
      </c>
      <c r="F14" s="685">
        <v>1</v>
      </c>
      <c r="G14" s="685">
        <v>2</v>
      </c>
      <c r="H14" s="685">
        <v>3</v>
      </c>
      <c r="I14" s="685">
        <v>4</v>
      </c>
      <c r="J14" s="685">
        <v>5</v>
      </c>
    </row>
    <row r="15" spans="1:13" ht="20.2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</row>
    <row r="16" spans="1:13" ht="20.25" customHeight="1">
      <c r="A16" s="689">
        <f ca="1">IF(ROWS($1:1)&gt;COUNT(Dong8),"",OFFSET(TH!C$1,SMALL(Dong8,ROWS($1:1)),))</f>
        <v>42464</v>
      </c>
      <c r="B16" s="689" t="str">
        <f ca="1">IF(ROWS($1:1)&gt;COUNT(Dong8),"",OFFSET(TH!D$1,SMALL(Dong8,ROWS($1:1)),))</f>
        <v>XB/GV</v>
      </c>
      <c r="C16" s="689">
        <f ca="1">IF(ROWS($1:1)&gt;COUNT(Dong8),"",OFFSET(TH!E$1,SMALL(Dong8,ROWS($1:1)),))</f>
        <v>42464</v>
      </c>
      <c r="D16" s="690" t="str">
        <f ca="1">IF(ROWS($1:1)&gt;COUNT(Dong8),"",OFFSET(TH!F$1,SMALL(Dong8,ROWS($1:1)),))</f>
        <v>Giấy 2 lớp</v>
      </c>
      <c r="E16" s="689" t="str">
        <f ca="1">IF(ROWS($1:1)&gt;COUNT(Dong8),"",OFFSET(TH!M$1,SMALL(Dong8,ROWS($1:1)),))</f>
        <v>156</v>
      </c>
      <c r="F16" s="691">
        <f ca="1">IF(ROWS($1:1)&gt;COUNT(Dong8),"",OFFSET(TH!K$1,SMALL(Dong8,ROWS($1:1)),))</f>
        <v>4365000</v>
      </c>
      <c r="G16" s="691">
        <f ca="1">IF($E16="154",$F16,0)</f>
        <v>0</v>
      </c>
      <c r="H16" s="691">
        <f ca="1">IF($E16="155",$F16,0)</f>
        <v>0</v>
      </c>
      <c r="I16" s="691">
        <f ca="1">IF($E16="156",$F16,0)</f>
        <v>4365000</v>
      </c>
      <c r="J16" s="691">
        <f ca="1">IF($E16="157",$F16,0)</f>
        <v>0</v>
      </c>
    </row>
    <row r="17" spans="1:10" ht="20.25" customHeight="1">
      <c r="A17" s="689">
        <f ca="1">IF(ROWS($1:2)&gt;COUNT(Dong8),"",OFFSET(TH!C$1,SMALL(Dong8,ROWS($1:2)),))</f>
        <v>42465</v>
      </c>
      <c r="B17" s="689" t="str">
        <f ca="1">IF(ROWS($1:2)&gt;COUNT(Dong8),"",OFFSET(TH!D$1,SMALL(Dong8,ROWS($1:2)),))</f>
        <v>XB/GV</v>
      </c>
      <c r="C17" s="689">
        <f ca="1">IF(ROWS($1:2)&gt;COUNT(Dong8),"",OFFSET(TH!E$1,SMALL(Dong8,ROWS($1:2)),))</f>
        <v>42465</v>
      </c>
      <c r="D17" s="690" t="str">
        <f ca="1">IF(ROWS($1:2)&gt;COUNT(Dong8),"",OFFSET(TH!F$1,SMALL(Dong8,ROWS($1:2)),))</f>
        <v>Giấy 2 lớp</v>
      </c>
      <c r="E17" s="689" t="str">
        <f ca="1">IF(ROWS($1:2)&gt;COUNT(Dong8),"",OFFSET(TH!M$1,SMALL(Dong8,ROWS($1:2)),))</f>
        <v>156</v>
      </c>
      <c r="F17" s="691">
        <f ca="1">IF(ROWS($1:2)&gt;COUNT(Dong8),"",OFFSET(TH!K$1,SMALL(Dong8,ROWS($1:2)),))</f>
        <v>3797550</v>
      </c>
      <c r="G17" s="691">
        <f t="shared" ref="G17:G20" ca="1" si="0">IF($E17="154",$F17,0)</f>
        <v>0</v>
      </c>
      <c r="H17" s="691">
        <f t="shared" ref="H17:H20" ca="1" si="1">IF($E17="155",$F17,0)</f>
        <v>0</v>
      </c>
      <c r="I17" s="691">
        <f t="shared" ref="I17:I20" ca="1" si="2">IF($E17="156",$F17,0)</f>
        <v>3797550</v>
      </c>
      <c r="J17" s="691">
        <f t="shared" ref="J17:J20" ca="1" si="3">IF($E17="157",$F17,0)</f>
        <v>0</v>
      </c>
    </row>
    <row r="18" spans="1:10" ht="20.25" customHeight="1">
      <c r="A18" s="689">
        <f ca="1">IF(ROWS($1:3)&gt;COUNT(Dong8),"",OFFSET(TH!C$1,SMALL(Dong8,ROWS($1:3)),))</f>
        <v>42466</v>
      </c>
      <c r="B18" s="689" t="str">
        <f ca="1">IF(ROWS($1:3)&gt;COUNT(Dong8),"",OFFSET(TH!D$1,SMALL(Dong8,ROWS($1:3)),))</f>
        <v>XB/GV</v>
      </c>
      <c r="C18" s="689">
        <f ca="1">IF(ROWS($1:3)&gt;COUNT(Dong8),"",OFFSET(TH!E$1,SMALL(Dong8,ROWS($1:3)),))</f>
        <v>42466</v>
      </c>
      <c r="D18" s="690" t="str">
        <f ca="1">IF(ROWS($1:3)&gt;COUNT(Dong8),"",OFFSET(TH!F$1,SMALL(Dong8,ROWS($1:3)),))</f>
        <v xml:space="preserve">Thùng carton 420x305x170 </v>
      </c>
      <c r="E18" s="689" t="str">
        <f ca="1">IF(ROWS($1:3)&gt;COUNT(Dong8),"",OFFSET(TH!M$1,SMALL(Dong8,ROWS($1:3)),))</f>
        <v>156</v>
      </c>
      <c r="F18" s="691">
        <f ca="1">IF(ROWS($1:3)&gt;COUNT(Dong8),"",OFFSET(TH!K$1,SMALL(Dong8,ROWS($1:3)),))</f>
        <v>543480</v>
      </c>
      <c r="G18" s="691">
        <f t="shared" ca="1" si="0"/>
        <v>0</v>
      </c>
      <c r="H18" s="691">
        <f t="shared" ca="1" si="1"/>
        <v>0</v>
      </c>
      <c r="I18" s="691">
        <f t="shared" ca="1" si="2"/>
        <v>543480</v>
      </c>
      <c r="J18" s="691">
        <f t="shared" ca="1" si="3"/>
        <v>0</v>
      </c>
    </row>
    <row r="19" spans="1:10" ht="20.25" customHeight="1">
      <c r="A19" s="689">
        <f ca="1">IF(ROWS($1:4)&gt;COUNT(Dong8),"",OFFSET(TH!C$1,SMALL(Dong8,ROWS($1:4)),))</f>
        <v>42466</v>
      </c>
      <c r="B19" s="689" t="str">
        <f ca="1">IF(ROWS($1:4)&gt;COUNT(Dong8),"",OFFSET(TH!D$1,SMALL(Dong8,ROWS($1:4)),))</f>
        <v>XB/GV</v>
      </c>
      <c r="C19" s="689">
        <f ca="1">IF(ROWS($1:4)&gt;COUNT(Dong8),"",OFFSET(TH!E$1,SMALL(Dong8,ROWS($1:4)),))</f>
        <v>42466</v>
      </c>
      <c r="D19" s="690" t="str">
        <f ca="1">IF(ROWS($1:4)&gt;COUNT(Dong8),"",OFFSET(TH!F$1,SMALL(Dong8,ROWS($1:4)),))</f>
        <v>Thùng carton 390x275x230</v>
      </c>
      <c r="E19" s="689" t="str">
        <f ca="1">IF(ROWS($1:4)&gt;COUNT(Dong8),"",OFFSET(TH!M$1,SMALL(Dong8,ROWS($1:4)),))</f>
        <v>156</v>
      </c>
      <c r="F19" s="691">
        <f ca="1">IF(ROWS($1:4)&gt;COUNT(Dong8),"",OFFSET(TH!K$1,SMALL(Dong8,ROWS($1:4)),))</f>
        <v>792792</v>
      </c>
      <c r="G19" s="691">
        <f t="shared" ca="1" si="0"/>
        <v>0</v>
      </c>
      <c r="H19" s="691">
        <f t="shared" ca="1" si="1"/>
        <v>0</v>
      </c>
      <c r="I19" s="691">
        <f t="shared" ca="1" si="2"/>
        <v>792792</v>
      </c>
      <c r="J19" s="691">
        <f t="shared" ca="1" si="3"/>
        <v>0</v>
      </c>
    </row>
    <row r="20" spans="1:10" ht="20.25" customHeight="1">
      <c r="A20" s="689">
        <f ca="1">IF(ROWS($1:5)&gt;COUNT(Dong8),"",OFFSET(TH!C$1,SMALL(Dong8,ROWS($1:5)),))</f>
        <v>42472</v>
      </c>
      <c r="B20" s="689" t="str">
        <f ca="1">IF(ROWS($1:5)&gt;COUNT(Dong8),"",OFFSET(TH!D$1,SMALL(Dong8,ROWS($1:5)),))</f>
        <v>XB/GV</v>
      </c>
      <c r="C20" s="689">
        <f ca="1">IF(ROWS($1:5)&gt;COUNT(Dong8),"",OFFSET(TH!E$1,SMALL(Dong8,ROWS($1:5)),))</f>
        <v>42472</v>
      </c>
      <c r="D20" s="690" t="str">
        <f ca="1">IF(ROWS($1:5)&gt;COUNT(Dong8),"",OFFSET(TH!F$1,SMALL(Dong8,ROWS($1:5)),))</f>
        <v>Giấy 2 lớp</v>
      </c>
      <c r="E20" s="689" t="str">
        <f ca="1">IF(ROWS($1:5)&gt;COUNT(Dong8),"",OFFSET(TH!M$1,SMALL(Dong8,ROWS($1:5)),))</f>
        <v>156</v>
      </c>
      <c r="F20" s="691">
        <f ca="1">IF(ROWS($1:5)&gt;COUNT(Dong8),"",OFFSET(TH!K$1,SMALL(Dong8,ROWS($1:5)),))</f>
        <v>4103100</v>
      </c>
      <c r="G20" s="691">
        <f t="shared" ca="1" si="0"/>
        <v>0</v>
      </c>
      <c r="H20" s="691">
        <f t="shared" ca="1" si="1"/>
        <v>0</v>
      </c>
      <c r="I20" s="691">
        <f t="shared" ca="1" si="2"/>
        <v>4103100</v>
      </c>
      <c r="J20" s="691">
        <f t="shared" ca="1" si="3"/>
        <v>0</v>
      </c>
    </row>
    <row r="21" spans="1:10" ht="20.25" customHeight="1">
      <c r="A21" s="689"/>
      <c r="B21" s="692"/>
      <c r="C21" s="689"/>
      <c r="D21" s="693"/>
      <c r="E21" s="694"/>
      <c r="F21" s="695"/>
      <c r="G21" s="695"/>
      <c r="H21" s="695"/>
      <c r="I21" s="695"/>
      <c r="J21" s="695"/>
    </row>
    <row r="22" spans="1:10" ht="20.25" customHeight="1">
      <c r="A22" s="689"/>
      <c r="B22" s="692"/>
      <c r="C22" s="689"/>
      <c r="D22" s="687" t="s">
        <v>133</v>
      </c>
      <c r="E22" s="686" t="s">
        <v>19</v>
      </c>
      <c r="F22" s="688">
        <f ca="1">SUM(F15:F21)</f>
        <v>13601922</v>
      </c>
      <c r="G22" s="688">
        <f ca="1">SUM(G15:G21)</f>
        <v>0</v>
      </c>
      <c r="H22" s="688">
        <f ca="1">SUM(H15:H21)</f>
        <v>0</v>
      </c>
      <c r="I22" s="688">
        <f ca="1">SUM(I15:I21)</f>
        <v>13601922</v>
      </c>
      <c r="J22" s="688">
        <f ca="1">SUM(J15:J21)</f>
        <v>0</v>
      </c>
    </row>
    <row r="23" spans="1:10" ht="20.25" customHeight="1">
      <c r="A23" s="696"/>
      <c r="B23" s="694"/>
      <c r="C23" s="696"/>
      <c r="D23" s="697" t="s">
        <v>383</v>
      </c>
      <c r="E23" s="692"/>
      <c r="F23" s="698">
        <f ca="1">SUM(G23:J23)</f>
        <v>13601922</v>
      </c>
      <c r="G23" s="698">
        <f ca="1">G22</f>
        <v>0</v>
      </c>
      <c r="H23" s="698">
        <f ca="1">H22</f>
        <v>0</v>
      </c>
      <c r="I23" s="698">
        <f ca="1">I22</f>
        <v>13601922</v>
      </c>
      <c r="J23" s="698">
        <f ca="1">J22</f>
        <v>0</v>
      </c>
    </row>
    <row r="24" spans="1:10" ht="20.25" customHeight="1">
      <c r="A24" s="699"/>
      <c r="B24" s="699"/>
      <c r="C24" s="699"/>
      <c r="D24" s="700" t="s">
        <v>10</v>
      </c>
      <c r="E24" s="699" t="s">
        <v>19</v>
      </c>
      <c r="F24" s="701">
        <f ca="1">F15+F22-F23</f>
        <v>0</v>
      </c>
      <c r="G24" s="701">
        <f ca="1">G15+G22-G23</f>
        <v>0</v>
      </c>
      <c r="H24" s="701">
        <f ca="1">H15+H22-H23</f>
        <v>0</v>
      </c>
      <c r="I24" s="701">
        <f ca="1">I15+I22-I23</f>
        <v>0</v>
      </c>
      <c r="J24" s="701">
        <f ca="1">J15+J22-J23</f>
        <v>0</v>
      </c>
    </row>
    <row r="26" spans="1:10">
      <c r="B26" s="702"/>
      <c r="C26" s="682" t="s">
        <v>384</v>
      </c>
    </row>
    <row r="27" spans="1:10">
      <c r="C27" s="682" t="str">
        <f ca="1">"- Ngày mở sổ: "&amp;"01/"&amp;MONTH(A16)&amp;"/ "&amp;YEAR(A16)</f>
        <v>- Ngày mở sổ: 01/4/ 2016</v>
      </c>
    </row>
    <row r="28" spans="1:10">
      <c r="E28" s="681"/>
      <c r="F28" s="681"/>
      <c r="G28" s="681"/>
      <c r="H28" s="681"/>
      <c r="I28" s="1094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094"/>
    </row>
    <row r="29" spans="1:10">
      <c r="B29" s="681"/>
      <c r="C29" s="678" t="s">
        <v>11</v>
      </c>
      <c r="D29" s="681"/>
      <c r="E29" s="681"/>
      <c r="F29" s="681"/>
      <c r="G29" s="681"/>
      <c r="H29" s="681"/>
      <c r="I29" s="1094" t="s">
        <v>12</v>
      </c>
      <c r="J29" s="1094"/>
    </row>
    <row r="30" spans="1:10">
      <c r="B30" s="681"/>
      <c r="C30" s="678" t="s">
        <v>13</v>
      </c>
      <c r="D30" s="681"/>
      <c r="E30" s="681"/>
      <c r="F30" s="681"/>
      <c r="G30" s="681"/>
      <c r="H30" s="681"/>
      <c r="I30" s="681"/>
      <c r="J30" s="68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78" customWidth="1"/>
    <col min="3" max="3" width="8.5703125" style="678" customWidth="1"/>
    <col min="4" max="4" width="51.42578125" style="678" customWidth="1"/>
    <col min="5" max="5" width="8" style="678" customWidth="1"/>
    <col min="6" max="6" width="12.28515625" style="678" bestFit="1" customWidth="1"/>
    <col min="7" max="7" width="10.140625" style="678" customWidth="1"/>
    <col min="8" max="8" width="10.7109375" style="678" customWidth="1"/>
    <col min="9" max="9" width="11.42578125" style="678" customWidth="1"/>
    <col min="10" max="10" width="11.5703125" style="678" customWidth="1"/>
    <col min="11" max="11" width="11.42578125" style="678" customWidth="1"/>
    <col min="12" max="12" width="9.42578125" style="678" customWidth="1"/>
    <col min="13" max="13" width="6.7109375" style="678" customWidth="1"/>
    <col min="14" max="16384" width="9.140625" style="678"/>
  </cols>
  <sheetData>
    <row r="2" spans="1:15">
      <c r="A2" s="677" t="str">
        <f>'632'!A2</f>
        <v>Đơn vị: CÔNG TY TNHH MỘT THÀNH VIÊN KHỞI NGUYÊN AN</v>
      </c>
      <c r="F2" s="679"/>
      <c r="G2" s="679"/>
      <c r="H2" s="1136" t="s">
        <v>367</v>
      </c>
      <c r="I2" s="1136"/>
      <c r="J2" s="1136"/>
      <c r="K2" s="1136"/>
      <c r="L2" s="703"/>
    </row>
    <row r="3" spans="1:15" ht="15" customHeight="1">
      <c r="A3" s="707" t="str">
        <f>'632'!A3</f>
        <v>Địa chỉ: Thửa đất số 144, tờ bản đồ số 12TĐH.1, tổ 1, khu phố Đông Tác, Phường Tân Đông Hiệp, Thị Xã Dĩ An, Tỉnh Bình Dương, Việt Nam</v>
      </c>
      <c r="H3" s="1139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39"/>
      <c r="J3" s="1139"/>
      <c r="K3" s="1139"/>
      <c r="L3" s="681"/>
    </row>
    <row r="4" spans="1:15">
      <c r="H4" s="1139"/>
      <c r="I4" s="1139"/>
      <c r="J4" s="1139"/>
      <c r="K4" s="1139"/>
      <c r="L4" s="681"/>
    </row>
    <row r="5" spans="1:15" ht="19.5" customHeight="1">
      <c r="A5" s="1137" t="s">
        <v>368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680" t="s">
        <v>83</v>
      </c>
      <c r="N5" s="613">
        <f>IF(N13="Quý I",1,IF(N13="Quý II",4,IF(N13="Quý III",7,IF(N13="Quý IV",10,""))))</f>
        <v>4</v>
      </c>
      <c r="O5" s="613">
        <f>IF(N13="Quý I",3,IF(N13="Quý II",6,IF(N13="Quý III",9,IF(N13="Quý IV",12,""))))</f>
        <v>6</v>
      </c>
    </row>
    <row r="6" spans="1:15">
      <c r="A6" s="1138" t="s">
        <v>369</v>
      </c>
      <c r="B6" s="1138"/>
      <c r="C6" s="1138"/>
      <c r="D6" s="1138"/>
      <c r="E6" s="1138"/>
      <c r="F6" s="1138"/>
      <c r="G6" s="1138"/>
      <c r="H6" s="1138"/>
      <c r="I6" s="1138"/>
      <c r="J6" s="1138"/>
      <c r="K6" s="1138"/>
      <c r="L6" s="1138"/>
    </row>
    <row r="7" spans="1:15">
      <c r="B7" s="681"/>
      <c r="C7" s="681"/>
      <c r="D7" s="681"/>
      <c r="E7" s="682" t="s">
        <v>385</v>
      </c>
      <c r="G7" s="681"/>
      <c r="H7" s="681"/>
      <c r="I7" s="681"/>
      <c r="J7" s="681"/>
      <c r="K7" s="681"/>
      <c r="L7" s="681"/>
      <c r="M7" s="708"/>
    </row>
    <row r="8" spans="1:15">
      <c r="B8" s="681"/>
      <c r="C8" s="681"/>
      <c r="D8" s="681"/>
      <c r="E8" s="682" t="s">
        <v>371</v>
      </c>
      <c r="G8" s="681"/>
      <c r="H8" s="681"/>
      <c r="I8" s="681"/>
      <c r="J8" s="681"/>
      <c r="K8" s="681"/>
      <c r="L8" s="681"/>
    </row>
    <row r="9" spans="1:15">
      <c r="B9" s="683"/>
      <c r="C9" s="683"/>
      <c r="D9" s="683"/>
      <c r="E9" s="682" t="s">
        <v>372</v>
      </c>
      <c r="G9" s="683"/>
      <c r="H9" s="683"/>
      <c r="I9" s="683"/>
      <c r="J9" s="683"/>
      <c r="K9" s="683"/>
      <c r="L9" s="683"/>
    </row>
    <row r="10" spans="1:15" ht="9" customHeight="1">
      <c r="C10" s="1135"/>
      <c r="D10" s="1135"/>
      <c r="E10" s="1135"/>
      <c r="F10" s="1135"/>
      <c r="G10" s="1135"/>
      <c r="H10" s="1135"/>
      <c r="I10" s="1135"/>
      <c r="J10" s="1135"/>
      <c r="K10" s="1135"/>
      <c r="L10" s="1135"/>
    </row>
    <row r="11" spans="1:15" ht="15.75" customHeight="1">
      <c r="A11" s="1140" t="s">
        <v>20</v>
      </c>
      <c r="B11" s="1141" t="s">
        <v>1</v>
      </c>
      <c r="C11" s="1141"/>
      <c r="D11" s="1140" t="s">
        <v>0</v>
      </c>
      <c r="E11" s="1140" t="s">
        <v>204</v>
      </c>
      <c r="F11" s="1141" t="s">
        <v>386</v>
      </c>
      <c r="G11" s="1141"/>
      <c r="H11" s="1141"/>
      <c r="I11" s="1141"/>
      <c r="J11" s="1141"/>
      <c r="K11" s="1141"/>
      <c r="L11" s="1141"/>
    </row>
    <row r="12" spans="1:15" ht="15.75" customHeight="1" thickBot="1">
      <c r="A12" s="1140"/>
      <c r="B12" s="1142" t="s">
        <v>15</v>
      </c>
      <c r="C12" s="1142" t="s">
        <v>32</v>
      </c>
      <c r="D12" s="1140"/>
      <c r="E12" s="1140"/>
      <c r="F12" s="1142" t="s">
        <v>374</v>
      </c>
      <c r="G12" s="1142" t="s">
        <v>375</v>
      </c>
      <c r="H12" s="1142"/>
      <c r="I12" s="1142"/>
      <c r="J12" s="1142"/>
      <c r="K12" s="1142"/>
      <c r="L12" s="1142"/>
    </row>
    <row r="13" spans="1:15" ht="29.25" customHeight="1" thickBot="1">
      <c r="A13" s="1140"/>
      <c r="B13" s="1142"/>
      <c r="C13" s="1142"/>
      <c r="D13" s="1140"/>
      <c r="E13" s="1140"/>
      <c r="F13" s="1142"/>
      <c r="G13" s="704" t="s">
        <v>47</v>
      </c>
      <c r="H13" s="704" t="s">
        <v>24</v>
      </c>
      <c r="I13" s="704" t="s">
        <v>63</v>
      </c>
      <c r="J13" s="704" t="s">
        <v>253</v>
      </c>
      <c r="K13" s="704"/>
      <c r="L13" s="704"/>
      <c r="N13" s="706" t="s">
        <v>338</v>
      </c>
    </row>
    <row r="14" spans="1:15">
      <c r="A14" s="685" t="s">
        <v>2</v>
      </c>
      <c r="B14" s="685" t="s">
        <v>3</v>
      </c>
      <c r="C14" s="685" t="s">
        <v>4</v>
      </c>
      <c r="D14" s="685" t="s">
        <v>5</v>
      </c>
      <c r="E14" s="685" t="s">
        <v>6</v>
      </c>
      <c r="F14" s="685">
        <v>1</v>
      </c>
      <c r="G14" s="685">
        <v>2</v>
      </c>
      <c r="H14" s="685">
        <v>3</v>
      </c>
      <c r="I14" s="685">
        <v>4</v>
      </c>
      <c r="J14" s="685">
        <v>5</v>
      </c>
      <c r="K14" s="685">
        <v>6</v>
      </c>
      <c r="L14" s="685">
        <v>7</v>
      </c>
    </row>
    <row r="15" spans="1:15" ht="21.7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  <c r="K15" s="688"/>
      <c r="L15" s="688"/>
    </row>
    <row r="16" spans="1:15" ht="21.75" customHeight="1">
      <c r="A16" s="689">
        <f ca="1">IF(ROWS($1:1)&gt;COUNT(Dong7),"",OFFSET(TH!C$1,SMALL(Dong7,ROWS($1:1)),))</f>
        <v>42469</v>
      </c>
      <c r="B16" s="689" t="str">
        <f ca="1">IF(ROWS($1:1)&gt;COUNT(Dong7),"",OFFSET(TH!D$1,SMALL(Dong7,ROWS($1:1)),))</f>
        <v>GBN</v>
      </c>
      <c r="C16" s="689">
        <f ca="1">IF(ROWS($1:1)&gt;COUNT(Dong7),"",OFFSET(TH!E$1,SMALL(Dong7,ROWS($1:1)),))</f>
        <v>42469</v>
      </c>
      <c r="D16" s="690" t="str">
        <f ca="1">IF(ROWS($1:1)&gt;COUNT(Dong7),"",OFFSET(TH!F$1,SMALL(Dong7,ROWS($1:1)),))</f>
        <v>Thu phí dịch vụ SMS</v>
      </c>
      <c r="E16" s="689" t="str">
        <f ca="1">IF(ROWS($1:1)&gt;COUNT(Dong7),"",OFFSET(TH!M$1,SMALL(Dong7,ROWS($1:1)),))</f>
        <v>1121</v>
      </c>
      <c r="F16" s="691">
        <f ca="1">IF(ROWS($1:1)&gt;COUNT(Dong7),"",OFFSET(TH!K$1,SMALL(Dong7,ROWS($1:1)),))</f>
        <v>50000</v>
      </c>
      <c r="G16" s="691">
        <f t="shared" ref="G16:J30" ca="1" si="0">IF($E16=G$13,$F16,0)</f>
        <v>0</v>
      </c>
      <c r="H16" s="691">
        <f t="shared" ca="1" si="0"/>
        <v>50000</v>
      </c>
      <c r="I16" s="691">
        <f t="shared" ca="1" si="0"/>
        <v>0</v>
      </c>
      <c r="J16" s="691">
        <f t="shared" ca="1" si="0"/>
        <v>0</v>
      </c>
      <c r="K16" s="691">
        <f ca="1">IF(LEFT($E16,3)=K$13,$F16,0)</f>
        <v>0</v>
      </c>
      <c r="L16" s="691">
        <f ca="1">IF(LEFT($E16,3)=L$13,$F16,0)</f>
        <v>0</v>
      </c>
    </row>
    <row r="17" spans="1:12" ht="21.75" customHeight="1">
      <c r="A17" s="689">
        <f ca="1">IF(ROWS($1:2)&gt;COUNT(Dong7),"",OFFSET(TH!C$1,SMALL(Dong7,ROWS($1:2)),))</f>
        <v>42479</v>
      </c>
      <c r="B17" s="689" t="str">
        <f ca="1">IF(ROWS($1:2)&gt;COUNT(Dong7),"",OFFSET(TH!D$1,SMALL(Dong7,ROWS($1:2)),))</f>
        <v>GBN</v>
      </c>
      <c r="C17" s="689">
        <f ca="1">IF(ROWS($1:2)&gt;COUNT(Dong7),"",OFFSET(TH!E$1,SMALL(Dong7,ROWS($1:2)),))</f>
        <v>42479</v>
      </c>
      <c r="D17" s="690" t="str">
        <f ca="1">IF(ROWS($1:2)&gt;COUNT(Dong7),"",OFFSET(TH!F$1,SMALL(Dong7,ROWS($1:2)),))</f>
        <v>Phí ngân hàng</v>
      </c>
      <c r="E17" s="689" t="str">
        <f ca="1">IF(ROWS($1:2)&gt;COUNT(Dong7),"",OFFSET(TH!M$1,SMALL(Dong7,ROWS($1:2)),))</f>
        <v>1121</v>
      </c>
      <c r="F17" s="691">
        <f ca="1">IF(ROWS($1:2)&gt;COUNT(Dong7),"",OFFSET(TH!K$1,SMALL(Dong7,ROWS($1:2)),))</f>
        <v>20000</v>
      </c>
      <c r="G17" s="691">
        <f t="shared" ca="1" si="0"/>
        <v>0</v>
      </c>
      <c r="H17" s="691">
        <f t="shared" ca="1" si="0"/>
        <v>20000</v>
      </c>
      <c r="I17" s="691">
        <f t="shared" ca="1" si="0"/>
        <v>0</v>
      </c>
      <c r="J17" s="691">
        <f t="shared" ca="1" si="0"/>
        <v>0</v>
      </c>
      <c r="K17" s="691">
        <f t="shared" ref="K17:L30" ca="1" si="1">IF(LEFT($E17,3)=K$13,$F17,0)</f>
        <v>0</v>
      </c>
      <c r="L17" s="691">
        <f t="shared" ca="1" si="1"/>
        <v>0</v>
      </c>
    </row>
    <row r="18" spans="1:12" ht="21.75" customHeight="1">
      <c r="A18" s="689">
        <f ca="1">IF(ROWS($1:3)&gt;COUNT(Dong7),"",OFFSET(TH!C$1,SMALL(Dong7,ROWS($1:3)),))</f>
        <v>42485</v>
      </c>
      <c r="B18" s="689" t="str">
        <f ca="1">IF(ROWS($1:3)&gt;COUNT(Dong7),"",OFFSET(TH!D$1,SMALL(Dong7,ROWS($1:3)),))</f>
        <v>GBN</v>
      </c>
      <c r="C18" s="689">
        <f ca="1">IF(ROWS($1:3)&gt;COUNT(Dong7),"",OFFSET(TH!E$1,SMALL(Dong7,ROWS($1:3)),))</f>
        <v>42485</v>
      </c>
      <c r="D18" s="690" t="str">
        <f ca="1">IF(ROWS($1:3)&gt;COUNT(Dong7),"",OFFSET(TH!F$1,SMALL(Dong7,ROWS($1:3)),))</f>
        <v>Phí quản lý tài khoản</v>
      </c>
      <c r="E18" s="689" t="str">
        <f ca="1">IF(ROWS($1:3)&gt;COUNT(Dong7),"",OFFSET(TH!M$1,SMALL(Dong7,ROWS($1:3)),))</f>
        <v>1121</v>
      </c>
      <c r="F18" s="691">
        <f ca="1">IF(ROWS($1:3)&gt;COUNT(Dong7),"",OFFSET(TH!K$1,SMALL(Dong7,ROWS($1:3)),))</f>
        <v>10000</v>
      </c>
      <c r="G18" s="691">
        <f t="shared" ca="1" si="0"/>
        <v>0</v>
      </c>
      <c r="H18" s="691">
        <f t="shared" ca="1" si="0"/>
        <v>10000</v>
      </c>
      <c r="I18" s="691">
        <f t="shared" ca="1" si="0"/>
        <v>0</v>
      </c>
      <c r="J18" s="691">
        <f t="shared" ca="1" si="0"/>
        <v>0</v>
      </c>
      <c r="K18" s="691">
        <f t="shared" ca="1" si="1"/>
        <v>0</v>
      </c>
      <c r="L18" s="691">
        <f t="shared" ca="1" si="1"/>
        <v>0</v>
      </c>
    </row>
    <row r="19" spans="1:12" ht="21.75" customHeight="1">
      <c r="A19" s="689">
        <f ca="1">IF(ROWS($1:4)&gt;COUNT(Dong7),"",OFFSET(TH!C$1,SMALL(Dong7,ROWS($1:4)),))</f>
        <v>42485</v>
      </c>
      <c r="B19" s="689" t="str">
        <f ca="1">IF(ROWS($1:4)&gt;COUNT(Dong7),"",OFFSET(TH!D$1,SMALL(Dong7,ROWS($1:4)),))</f>
        <v>GBN</v>
      </c>
      <c r="C19" s="689">
        <f ca="1">IF(ROWS($1:4)&gt;COUNT(Dong7),"",OFFSET(TH!E$1,SMALL(Dong7,ROWS($1:4)),))</f>
        <v>42485</v>
      </c>
      <c r="D19" s="690" t="str">
        <f ca="1">IF(ROWS($1:4)&gt;COUNT(Dong7),"",OFFSET(TH!F$1,SMALL(Dong7,ROWS($1:4)),))</f>
        <v>Phí ngân hàng</v>
      </c>
      <c r="E19" s="689" t="str">
        <f ca="1">IF(ROWS($1:4)&gt;COUNT(Dong7),"",OFFSET(TH!M$1,SMALL(Dong7,ROWS($1:4)),))</f>
        <v>1121</v>
      </c>
      <c r="F19" s="691">
        <f ca="1">IF(ROWS($1:4)&gt;COUNT(Dong7),"",OFFSET(TH!K$1,SMALL(Dong7,ROWS($1:4)),))</f>
        <v>20000</v>
      </c>
      <c r="G19" s="691">
        <f t="shared" ca="1" si="0"/>
        <v>0</v>
      </c>
      <c r="H19" s="691">
        <f t="shared" ca="1" si="0"/>
        <v>20000</v>
      </c>
      <c r="I19" s="691">
        <f t="shared" ca="1" si="0"/>
        <v>0</v>
      </c>
      <c r="J19" s="691">
        <f t="shared" ca="1" si="0"/>
        <v>0</v>
      </c>
      <c r="K19" s="691">
        <f t="shared" ca="1" si="1"/>
        <v>0</v>
      </c>
      <c r="L19" s="691">
        <f t="shared" ca="1" si="1"/>
        <v>0</v>
      </c>
    </row>
    <row r="20" spans="1:12" ht="21.75" customHeight="1">
      <c r="A20" s="689">
        <f ca="1">IF(ROWS($1:5)&gt;COUNT(Dong7),"",OFFSET(TH!C$1,SMALL(Dong7,ROWS($1:5)),))</f>
        <v>42487</v>
      </c>
      <c r="B20" s="689" t="str">
        <f ca="1">IF(ROWS($1:5)&gt;COUNT(Dong7),"",OFFSET(TH!D$1,SMALL(Dong7,ROWS($1:5)),))</f>
        <v>GBN</v>
      </c>
      <c r="C20" s="689">
        <f ca="1">IF(ROWS($1:5)&gt;COUNT(Dong7),"",OFFSET(TH!E$1,SMALL(Dong7,ROWS($1:5)),))</f>
        <v>42487</v>
      </c>
      <c r="D20" s="690" t="str">
        <f ca="1">IF(ROWS($1:5)&gt;COUNT(Dong7),"",OFFSET(TH!F$1,SMALL(Dong7,ROWS($1:5)),))</f>
        <v>Phí ngân hàng</v>
      </c>
      <c r="E20" s="689" t="str">
        <f ca="1">IF(ROWS($1:5)&gt;COUNT(Dong7),"",OFFSET(TH!M$1,SMALL(Dong7,ROWS($1:5)),))</f>
        <v>1121</v>
      </c>
      <c r="F20" s="691">
        <f ca="1">IF(ROWS($1:5)&gt;COUNT(Dong7),"",OFFSET(TH!K$1,SMALL(Dong7,ROWS($1:5)),))</f>
        <v>20000</v>
      </c>
      <c r="G20" s="691">
        <f t="shared" ca="1" si="0"/>
        <v>0</v>
      </c>
      <c r="H20" s="691">
        <f t="shared" ca="1" si="0"/>
        <v>20000</v>
      </c>
      <c r="I20" s="691">
        <f t="shared" ca="1" si="0"/>
        <v>0</v>
      </c>
      <c r="J20" s="691">
        <f t="shared" ca="1" si="0"/>
        <v>0</v>
      </c>
      <c r="K20" s="691">
        <f t="shared" ca="1" si="1"/>
        <v>0</v>
      </c>
      <c r="L20" s="691">
        <f t="shared" ca="1" si="1"/>
        <v>0</v>
      </c>
    </row>
    <row r="21" spans="1:12" ht="21.75" customHeight="1">
      <c r="A21" s="689">
        <f ca="1">IF(ROWS($1:6)&gt;COUNT(Dong7),"",OFFSET(TH!C$1,SMALL(Dong7,ROWS($1:6)),))</f>
        <v>42498</v>
      </c>
      <c r="B21" s="689" t="str">
        <f ca="1">IF(ROWS($1:6)&gt;COUNT(Dong7),"",OFFSET(TH!D$1,SMALL(Dong7,ROWS($1:6)),))</f>
        <v>GBN</v>
      </c>
      <c r="C21" s="689">
        <f ca="1">IF(ROWS($1:6)&gt;COUNT(Dong7),"",OFFSET(TH!E$1,SMALL(Dong7,ROWS($1:6)),))</f>
        <v>42498</v>
      </c>
      <c r="D21" s="690" t="str">
        <f ca="1">IF(ROWS($1:6)&gt;COUNT(Dong7),"",OFFSET(TH!F$1,SMALL(Dong7,ROWS($1:6)),))</f>
        <v>Thu phí dịch vụ SMS</v>
      </c>
      <c r="E21" s="689" t="str">
        <f ca="1">IF(ROWS($1:6)&gt;COUNT(Dong7),"",OFFSET(TH!M$1,SMALL(Dong7,ROWS($1:6)),))</f>
        <v>1121</v>
      </c>
      <c r="F21" s="691">
        <f ca="1">IF(ROWS($1:6)&gt;COUNT(Dong7),"",OFFSET(TH!K$1,SMALL(Dong7,ROWS($1:6)),))</f>
        <v>50000</v>
      </c>
      <c r="G21" s="691">
        <f t="shared" ca="1" si="0"/>
        <v>0</v>
      </c>
      <c r="H21" s="691">
        <f t="shared" ca="1" si="0"/>
        <v>50000</v>
      </c>
      <c r="I21" s="691">
        <f t="shared" ca="1" si="0"/>
        <v>0</v>
      </c>
      <c r="J21" s="691">
        <f t="shared" ca="1" si="0"/>
        <v>0</v>
      </c>
      <c r="K21" s="691">
        <f t="shared" ca="1" si="1"/>
        <v>0</v>
      </c>
      <c r="L21" s="691">
        <f t="shared" ca="1" si="1"/>
        <v>0</v>
      </c>
    </row>
    <row r="22" spans="1:12" ht="21.75" customHeight="1">
      <c r="A22" s="689">
        <f ca="1">IF(ROWS($1:7)&gt;COUNT(Dong7),"",OFFSET(TH!C$1,SMALL(Dong7,ROWS($1:7)),))</f>
        <v>42501</v>
      </c>
      <c r="B22" s="689" t="str">
        <f ca="1">IF(ROWS($1:7)&gt;COUNT(Dong7),"",OFFSET(TH!D$1,SMALL(Dong7,ROWS($1:7)),))</f>
        <v>GBN</v>
      </c>
      <c r="C22" s="689">
        <f ca="1">IF(ROWS($1:7)&gt;COUNT(Dong7),"",OFFSET(TH!E$1,SMALL(Dong7,ROWS($1:7)),))</f>
        <v>42501</v>
      </c>
      <c r="D22" s="690" t="str">
        <f ca="1">IF(ROWS($1:7)&gt;COUNT(Dong7),"",OFFSET(TH!F$1,SMALL(Dong7,ROWS($1:7)),))</f>
        <v>Phí ngân hàng</v>
      </c>
      <c r="E22" s="689" t="str">
        <f ca="1">IF(ROWS($1:7)&gt;COUNT(Dong7),"",OFFSET(TH!M$1,SMALL(Dong7,ROWS($1:7)),))</f>
        <v>1121</v>
      </c>
      <c r="F22" s="691">
        <f ca="1">IF(ROWS($1:7)&gt;COUNT(Dong7),"",OFFSET(TH!K$1,SMALL(Dong7,ROWS($1:7)),))</f>
        <v>11000</v>
      </c>
      <c r="G22" s="691">
        <f t="shared" ca="1" si="0"/>
        <v>0</v>
      </c>
      <c r="H22" s="691">
        <f t="shared" ca="1" si="0"/>
        <v>11000</v>
      </c>
      <c r="I22" s="691">
        <f t="shared" ca="1" si="0"/>
        <v>0</v>
      </c>
      <c r="J22" s="691">
        <f t="shared" ca="1" si="0"/>
        <v>0</v>
      </c>
      <c r="K22" s="691">
        <f t="shared" ca="1" si="1"/>
        <v>0</v>
      </c>
      <c r="L22" s="691">
        <f t="shared" ca="1" si="1"/>
        <v>0</v>
      </c>
    </row>
    <row r="23" spans="1:12" ht="21.75" customHeight="1">
      <c r="A23" s="689">
        <f ca="1">IF(ROWS($1:8)&gt;COUNT(Dong7),"",OFFSET(TH!C$1,SMALL(Dong7,ROWS($1:8)),))</f>
        <v>42501</v>
      </c>
      <c r="B23" s="689" t="str">
        <f ca="1">IF(ROWS($1:8)&gt;COUNT(Dong7),"",OFFSET(TH!D$1,SMALL(Dong7,ROWS($1:8)),))</f>
        <v>GBN</v>
      </c>
      <c r="C23" s="689">
        <f ca="1">IF(ROWS($1:8)&gt;COUNT(Dong7),"",OFFSET(TH!E$1,SMALL(Dong7,ROWS($1:8)),))</f>
        <v>42501</v>
      </c>
      <c r="D23" s="690" t="str">
        <f ca="1">IF(ROWS($1:8)&gt;COUNT(Dong7),"",OFFSET(TH!F$1,SMALL(Dong7,ROWS($1:8)),))</f>
        <v>Phí ngân hàng</v>
      </c>
      <c r="E23" s="689" t="str">
        <f ca="1">IF(ROWS($1:8)&gt;COUNT(Dong7),"",OFFSET(TH!M$1,SMALL(Dong7,ROWS($1:8)),))</f>
        <v>1121</v>
      </c>
      <c r="F23" s="691">
        <f ca="1">IF(ROWS($1:8)&gt;COUNT(Dong7),"",OFFSET(TH!K$1,SMALL(Dong7,ROWS($1:8)),))</f>
        <v>20000</v>
      </c>
      <c r="G23" s="691">
        <f t="shared" ca="1" si="0"/>
        <v>0</v>
      </c>
      <c r="H23" s="691">
        <f t="shared" ca="1" si="0"/>
        <v>20000</v>
      </c>
      <c r="I23" s="691">
        <f t="shared" ca="1" si="0"/>
        <v>0</v>
      </c>
      <c r="J23" s="691">
        <f t="shared" ca="1" si="0"/>
        <v>0</v>
      </c>
      <c r="K23" s="691">
        <f t="shared" ca="1" si="1"/>
        <v>0</v>
      </c>
      <c r="L23" s="691">
        <f t="shared" ca="1" si="1"/>
        <v>0</v>
      </c>
    </row>
    <row r="24" spans="1:12" ht="21.75" customHeight="1">
      <c r="A24" s="689">
        <f ca="1">IF(ROWS($1:9)&gt;COUNT(Dong7),"",OFFSET(TH!C$1,SMALL(Dong7,ROWS($1:9)),))</f>
        <v>42502</v>
      </c>
      <c r="B24" s="689" t="str">
        <f ca="1">IF(ROWS($1:9)&gt;COUNT(Dong7),"",OFFSET(TH!D$1,SMALL(Dong7,ROWS($1:9)),))</f>
        <v>GBN</v>
      </c>
      <c r="C24" s="689">
        <f ca="1">IF(ROWS($1:9)&gt;COUNT(Dong7),"",OFFSET(TH!E$1,SMALL(Dong7,ROWS($1:9)),))</f>
        <v>42502</v>
      </c>
      <c r="D24" s="690" t="str">
        <f ca="1">IF(ROWS($1:9)&gt;COUNT(Dong7),"",OFFSET(TH!F$1,SMALL(Dong7,ROWS($1:9)),))</f>
        <v>Thuế môn bài 2016 phải nộp</v>
      </c>
      <c r="E24" s="689" t="str">
        <f ca="1">IF(ROWS($1:9)&gt;COUNT(Dong7),"",OFFSET(TH!M$1,SMALL(Dong7,ROWS($1:9)),))</f>
        <v>33382</v>
      </c>
      <c r="F24" s="691">
        <f ca="1">IF(ROWS($1:9)&gt;COUNT(Dong7),"",OFFSET(TH!K$1,SMALL(Dong7,ROWS($1:9)),))</f>
        <v>1500000</v>
      </c>
      <c r="G24" s="691">
        <f t="shared" ca="1" si="0"/>
        <v>0</v>
      </c>
      <c r="H24" s="691">
        <f t="shared" ca="1" si="0"/>
        <v>0</v>
      </c>
      <c r="I24" s="691">
        <f t="shared" ca="1" si="0"/>
        <v>1500000</v>
      </c>
      <c r="J24" s="691">
        <f t="shared" ca="1" si="0"/>
        <v>0</v>
      </c>
      <c r="K24" s="691">
        <f t="shared" ca="1" si="1"/>
        <v>0</v>
      </c>
      <c r="L24" s="691">
        <f t="shared" ca="1" si="1"/>
        <v>0</v>
      </c>
    </row>
    <row r="25" spans="1:12" ht="21.75" customHeight="1">
      <c r="A25" s="689">
        <f ca="1">IF(ROWS($1:10)&gt;COUNT(Dong7),"",OFFSET(TH!C$1,SMALL(Dong7,ROWS($1:10)),))</f>
        <v>42515</v>
      </c>
      <c r="B25" s="689" t="str">
        <f ca="1">IF(ROWS($1:10)&gt;COUNT(Dong7),"",OFFSET(TH!D$1,SMALL(Dong7,ROWS($1:10)),))</f>
        <v>GBN</v>
      </c>
      <c r="C25" s="689">
        <f ca="1">IF(ROWS($1:10)&gt;COUNT(Dong7),"",OFFSET(TH!E$1,SMALL(Dong7,ROWS($1:10)),))</f>
        <v>42515</v>
      </c>
      <c r="D25" s="690" t="str">
        <f ca="1">IF(ROWS($1:10)&gt;COUNT(Dong7),"",OFFSET(TH!F$1,SMALL(Dong7,ROWS($1:10)),))</f>
        <v>Phí quản lý tài khoản</v>
      </c>
      <c r="E25" s="689" t="str">
        <f ca="1">IF(ROWS($1:10)&gt;COUNT(Dong7),"",OFFSET(TH!M$1,SMALL(Dong7,ROWS($1:10)),))</f>
        <v>1121</v>
      </c>
      <c r="F25" s="691">
        <f ca="1">IF(ROWS($1:10)&gt;COUNT(Dong7),"",OFFSET(TH!K$1,SMALL(Dong7,ROWS($1:10)),))</f>
        <v>10000</v>
      </c>
      <c r="G25" s="691">
        <f t="shared" ca="1" si="0"/>
        <v>0</v>
      </c>
      <c r="H25" s="691">
        <f t="shared" ca="1" si="0"/>
        <v>10000</v>
      </c>
      <c r="I25" s="691">
        <f t="shared" ca="1" si="0"/>
        <v>0</v>
      </c>
      <c r="J25" s="691">
        <f t="shared" ca="1" si="0"/>
        <v>0</v>
      </c>
      <c r="K25" s="691">
        <f t="shared" ca="1" si="1"/>
        <v>0</v>
      </c>
      <c r="L25" s="691">
        <f t="shared" ca="1" si="1"/>
        <v>0</v>
      </c>
    </row>
    <row r="26" spans="1:12" ht="21.75" customHeight="1">
      <c r="A26" s="689">
        <f ca="1">IF(ROWS($1:11)&gt;COUNT(Dong7),"",OFFSET(TH!C$1,SMALL(Dong7,ROWS($1:11)),))</f>
        <v>42521</v>
      </c>
      <c r="B26" s="689" t="str">
        <f ca="1">IF(ROWS($1:11)&gt;COUNT(Dong7),"",OFFSET(TH!D$1,SMALL(Dong7,ROWS($1:11)),))</f>
        <v>GBN</v>
      </c>
      <c r="C26" s="689">
        <f ca="1">IF(ROWS($1:11)&gt;COUNT(Dong7),"",OFFSET(TH!E$1,SMALL(Dong7,ROWS($1:11)),))</f>
        <v>42521</v>
      </c>
      <c r="D26" s="690" t="str">
        <f ca="1">IF(ROWS($1:11)&gt;COUNT(Dong7),"",OFFSET(TH!F$1,SMALL(Dong7,ROWS($1:11)),))</f>
        <v>Phí chuyển tiền</v>
      </c>
      <c r="E26" s="689" t="str">
        <f ca="1">IF(ROWS($1:11)&gt;COUNT(Dong7),"",OFFSET(TH!M$1,SMALL(Dong7,ROWS($1:11)),))</f>
        <v>1121</v>
      </c>
      <c r="F26" s="691">
        <f ca="1">IF(ROWS($1:11)&gt;COUNT(Dong7),"",OFFSET(TH!K$1,SMALL(Dong7,ROWS($1:11)),))</f>
        <v>11000</v>
      </c>
      <c r="G26" s="691">
        <f t="shared" ca="1" si="0"/>
        <v>0</v>
      </c>
      <c r="H26" s="691">
        <f t="shared" ca="1" si="0"/>
        <v>11000</v>
      </c>
      <c r="I26" s="691">
        <f t="shared" ca="1" si="0"/>
        <v>0</v>
      </c>
      <c r="J26" s="691">
        <f t="shared" ca="1" si="0"/>
        <v>0</v>
      </c>
      <c r="K26" s="691">
        <f t="shared" ca="1" si="1"/>
        <v>0</v>
      </c>
      <c r="L26" s="691">
        <f t="shared" ca="1" si="1"/>
        <v>0</v>
      </c>
    </row>
    <row r="27" spans="1:12" ht="21.75" customHeight="1">
      <c r="A27" s="689">
        <f ca="1">IF(ROWS($1:12)&gt;COUNT(Dong7),"",OFFSET(TH!C$1,SMALL(Dong7,ROWS($1:12)),))</f>
        <v>42524</v>
      </c>
      <c r="B27" s="689" t="str">
        <f ca="1">IF(ROWS($1:12)&gt;COUNT(Dong7),"",OFFSET(TH!D$1,SMALL(Dong7,ROWS($1:12)),))</f>
        <v>GBN</v>
      </c>
      <c r="C27" s="689">
        <f ca="1">IF(ROWS($1:12)&gt;COUNT(Dong7),"",OFFSET(TH!E$1,SMALL(Dong7,ROWS($1:12)),))</f>
        <v>42524</v>
      </c>
      <c r="D27" s="690" t="str">
        <f ca="1">IF(ROWS($1:12)&gt;COUNT(Dong7),"",OFFSET(TH!F$1,SMALL(Dong7,ROWS($1:12)),))</f>
        <v>Phí chuyển tiền</v>
      </c>
      <c r="E27" s="689" t="str">
        <f ca="1">IF(ROWS($1:12)&gt;COUNT(Dong7),"",OFFSET(TH!M$1,SMALL(Dong7,ROWS($1:12)),))</f>
        <v>1121</v>
      </c>
      <c r="F27" s="691">
        <f ca="1">IF(ROWS($1:12)&gt;COUNT(Dong7),"",OFFSET(TH!K$1,SMALL(Dong7,ROWS($1:12)),))</f>
        <v>11000</v>
      </c>
      <c r="G27" s="691">
        <f t="shared" ca="1" si="0"/>
        <v>0</v>
      </c>
      <c r="H27" s="691">
        <f t="shared" ca="1" si="0"/>
        <v>11000</v>
      </c>
      <c r="I27" s="691">
        <f t="shared" ca="1" si="0"/>
        <v>0</v>
      </c>
      <c r="J27" s="691">
        <f t="shared" ca="1" si="0"/>
        <v>0</v>
      </c>
      <c r="K27" s="691">
        <f t="shared" ca="1" si="1"/>
        <v>0</v>
      </c>
      <c r="L27" s="691">
        <f t="shared" ca="1" si="1"/>
        <v>0</v>
      </c>
    </row>
    <row r="28" spans="1:12" ht="21.75" customHeight="1">
      <c r="A28" s="689">
        <f ca="1">IF(ROWS($1:13)&gt;COUNT(Dong7),"",OFFSET(TH!C$1,SMALL(Dong7,ROWS($1:13)),))</f>
        <v>42532</v>
      </c>
      <c r="B28" s="689" t="str">
        <f ca="1">IF(ROWS($1:13)&gt;COUNT(Dong7),"",OFFSET(TH!D$1,SMALL(Dong7,ROWS($1:13)),))</f>
        <v>GBN</v>
      </c>
      <c r="C28" s="689">
        <f ca="1">IF(ROWS($1:13)&gt;COUNT(Dong7),"",OFFSET(TH!E$1,SMALL(Dong7,ROWS($1:13)),))</f>
        <v>42532</v>
      </c>
      <c r="D28" s="690" t="str">
        <f ca="1">IF(ROWS($1:13)&gt;COUNT(Dong7),"",OFFSET(TH!F$1,SMALL(Dong7,ROWS($1:13)),))</f>
        <v>Thu phí dịch vụ SMS</v>
      </c>
      <c r="E28" s="689" t="str">
        <f ca="1">IF(ROWS($1:13)&gt;COUNT(Dong7),"",OFFSET(TH!M$1,SMALL(Dong7,ROWS($1:13)),))</f>
        <v>1121</v>
      </c>
      <c r="F28" s="691">
        <f ca="1">IF(ROWS($1:13)&gt;COUNT(Dong7),"",OFFSET(TH!K$1,SMALL(Dong7,ROWS($1:13)),))</f>
        <v>50000</v>
      </c>
      <c r="G28" s="691">
        <f t="shared" ca="1" si="0"/>
        <v>0</v>
      </c>
      <c r="H28" s="691">
        <f t="shared" ca="1" si="0"/>
        <v>50000</v>
      </c>
      <c r="I28" s="691">
        <f t="shared" ca="1" si="0"/>
        <v>0</v>
      </c>
      <c r="J28" s="691">
        <f t="shared" ca="1" si="0"/>
        <v>0</v>
      </c>
      <c r="K28" s="691">
        <f t="shared" ca="1" si="1"/>
        <v>0</v>
      </c>
      <c r="L28" s="691">
        <f t="shared" ca="1" si="1"/>
        <v>0</v>
      </c>
    </row>
    <row r="29" spans="1:12" ht="21.75" customHeight="1">
      <c r="A29" s="689">
        <f ca="1">IF(ROWS($1:14)&gt;COUNT(Dong7),"",OFFSET(TH!C$1,SMALL(Dong7,ROWS($1:14)),))</f>
        <v>42536</v>
      </c>
      <c r="B29" s="689" t="str">
        <f ca="1">IF(ROWS($1:14)&gt;COUNT(Dong7),"",OFFSET(TH!D$1,SMALL(Dong7,ROWS($1:14)),))</f>
        <v>GBN</v>
      </c>
      <c r="C29" s="689">
        <f ca="1">IF(ROWS($1:14)&gt;COUNT(Dong7),"",OFFSET(TH!E$1,SMALL(Dong7,ROWS($1:14)),))</f>
        <v>42536</v>
      </c>
      <c r="D29" s="690" t="str">
        <f ca="1">IF(ROWS($1:14)&gt;COUNT(Dong7),"",OFFSET(TH!F$1,SMALL(Dong7,ROWS($1:14)),))</f>
        <v>Phí chuyển tiền</v>
      </c>
      <c r="E29" s="689" t="str">
        <f ca="1">IF(ROWS($1:14)&gt;COUNT(Dong7),"",OFFSET(TH!M$1,SMALL(Dong7,ROWS($1:14)),))</f>
        <v>1121</v>
      </c>
      <c r="F29" s="691">
        <f ca="1">IF(ROWS($1:14)&gt;COUNT(Dong7),"",OFFSET(TH!K$1,SMALL(Dong7,ROWS($1:14)),))</f>
        <v>11999</v>
      </c>
      <c r="G29" s="691">
        <f t="shared" ca="1" si="0"/>
        <v>0</v>
      </c>
      <c r="H29" s="691">
        <f t="shared" ca="1" si="0"/>
        <v>11999</v>
      </c>
      <c r="I29" s="691">
        <f t="shared" ca="1" si="0"/>
        <v>0</v>
      </c>
      <c r="J29" s="691">
        <f t="shared" ca="1" si="0"/>
        <v>0</v>
      </c>
      <c r="K29" s="691">
        <f t="shared" ca="1" si="1"/>
        <v>0</v>
      </c>
      <c r="L29" s="691">
        <f t="shared" ca="1" si="1"/>
        <v>0</v>
      </c>
    </row>
    <row r="30" spans="1:12" ht="21.75" customHeight="1">
      <c r="A30" s="689">
        <f ca="1">IF(ROWS($1:15)&gt;COUNT(Dong7),"",OFFSET(TH!C$1,SMALL(Dong7,ROWS($1:15)),))</f>
        <v>42536</v>
      </c>
      <c r="B30" s="689" t="str">
        <f ca="1">IF(ROWS($1:15)&gt;COUNT(Dong7),"",OFFSET(TH!D$1,SMALL(Dong7,ROWS($1:15)),))</f>
        <v>GBN</v>
      </c>
      <c r="C30" s="689">
        <f ca="1">IF(ROWS($1:15)&gt;COUNT(Dong7),"",OFFSET(TH!E$1,SMALL(Dong7,ROWS($1:15)),))</f>
        <v>42536</v>
      </c>
      <c r="D30" s="690" t="str">
        <f ca="1">IF(ROWS($1:15)&gt;COUNT(Dong7),"",OFFSET(TH!F$1,SMALL(Dong7,ROWS($1:15)),))</f>
        <v>Phí ngân hàng</v>
      </c>
      <c r="E30" s="689" t="str">
        <f ca="1">IF(ROWS($1:15)&gt;COUNT(Dong7),"",OFFSET(TH!M$1,SMALL(Dong7,ROWS($1:15)),))</f>
        <v>1121</v>
      </c>
      <c r="F30" s="691">
        <f ca="1">IF(ROWS($1:15)&gt;COUNT(Dong7),"",OFFSET(TH!K$1,SMALL(Dong7,ROWS($1:15)),))</f>
        <v>20000</v>
      </c>
      <c r="G30" s="691">
        <f t="shared" ca="1" si="0"/>
        <v>0</v>
      </c>
      <c r="H30" s="691">
        <f t="shared" ca="1" si="0"/>
        <v>20000</v>
      </c>
      <c r="I30" s="691">
        <f t="shared" ca="1" si="0"/>
        <v>0</v>
      </c>
      <c r="J30" s="691">
        <f t="shared" ca="1" si="0"/>
        <v>0</v>
      </c>
      <c r="K30" s="691">
        <f t="shared" ca="1" si="1"/>
        <v>0</v>
      </c>
      <c r="L30" s="691">
        <f t="shared" ca="1" si="1"/>
        <v>0</v>
      </c>
    </row>
    <row r="31" spans="1:12" ht="21.75" customHeight="1">
      <c r="A31" s="689"/>
      <c r="B31" s="692"/>
      <c r="C31" s="689"/>
      <c r="D31" s="693"/>
      <c r="E31" s="694"/>
      <c r="F31" s="695"/>
      <c r="G31" s="695"/>
      <c r="H31" s="695"/>
      <c r="I31" s="695"/>
      <c r="J31" s="695"/>
      <c r="K31" s="695"/>
      <c r="L31" s="695"/>
    </row>
    <row r="32" spans="1:12" ht="21.75" customHeight="1">
      <c r="A32" s="689"/>
      <c r="B32" s="692"/>
      <c r="C32" s="689"/>
      <c r="D32" s="687" t="s">
        <v>133</v>
      </c>
      <c r="E32" s="686" t="s">
        <v>19</v>
      </c>
      <c r="F32" s="688">
        <f ca="1">SUM(F15:F31)</f>
        <v>1814999</v>
      </c>
      <c r="G32" s="688">
        <f t="shared" ref="G32:L32" ca="1" si="2">SUM(G15:G31)</f>
        <v>0</v>
      </c>
      <c r="H32" s="688">
        <f t="shared" ca="1" si="2"/>
        <v>314999</v>
      </c>
      <c r="I32" s="688">
        <f t="shared" ca="1" si="2"/>
        <v>1500000</v>
      </c>
      <c r="J32" s="688">
        <f t="shared" ca="1" si="2"/>
        <v>0</v>
      </c>
      <c r="K32" s="688">
        <f t="shared" ca="1" si="2"/>
        <v>0</v>
      </c>
      <c r="L32" s="688">
        <f t="shared" ca="1" si="2"/>
        <v>0</v>
      </c>
    </row>
    <row r="33" spans="1:12" ht="21.75" customHeight="1">
      <c r="A33" s="696"/>
      <c r="B33" s="694"/>
      <c r="C33" s="696"/>
      <c r="D33" s="697" t="s">
        <v>387</v>
      </c>
      <c r="E33" s="692"/>
      <c r="F33" s="698">
        <f ca="1">SUM(G33:L33)</f>
        <v>1814999</v>
      </c>
      <c r="G33" s="698">
        <f t="shared" ref="G33:L33" ca="1" si="3">G32</f>
        <v>0</v>
      </c>
      <c r="H33" s="698">
        <f t="shared" ca="1" si="3"/>
        <v>314999</v>
      </c>
      <c r="I33" s="698">
        <f t="shared" ca="1" si="3"/>
        <v>1500000</v>
      </c>
      <c r="J33" s="698">
        <f t="shared" ca="1" si="3"/>
        <v>0</v>
      </c>
      <c r="K33" s="698">
        <f t="shared" ca="1" si="3"/>
        <v>0</v>
      </c>
      <c r="L33" s="698">
        <f t="shared" ca="1" si="3"/>
        <v>0</v>
      </c>
    </row>
    <row r="34" spans="1:12" ht="21.75" customHeight="1">
      <c r="A34" s="699"/>
      <c r="B34" s="699"/>
      <c r="C34" s="699"/>
      <c r="D34" s="700" t="s">
        <v>10</v>
      </c>
      <c r="E34" s="699" t="s">
        <v>19</v>
      </c>
      <c r="F34" s="701">
        <f t="shared" ref="F34:L34" ca="1" si="4">F15+F32-F33</f>
        <v>0</v>
      </c>
      <c r="G34" s="701">
        <f t="shared" ca="1" si="4"/>
        <v>0</v>
      </c>
      <c r="H34" s="701">
        <f t="shared" ca="1" si="4"/>
        <v>0</v>
      </c>
      <c r="I34" s="701">
        <f t="shared" ca="1" si="4"/>
        <v>0</v>
      </c>
      <c r="J34" s="701">
        <f t="shared" ca="1" si="4"/>
        <v>0</v>
      </c>
      <c r="K34" s="701">
        <f t="shared" ca="1" si="4"/>
        <v>0</v>
      </c>
      <c r="L34" s="701">
        <f t="shared" ca="1" si="4"/>
        <v>0</v>
      </c>
    </row>
    <row r="36" spans="1:12">
      <c r="B36" s="702"/>
      <c r="C36" s="682" t="s">
        <v>380</v>
      </c>
    </row>
    <row r="37" spans="1:12">
      <c r="C37" s="682" t="str">
        <f ca="1">"- Ngày mở sổ: "&amp;"01/"&amp;MONTH(A16)&amp;"/"&amp;YEAR(A16)</f>
        <v>- Ngày mở sổ: 01/4/2016</v>
      </c>
    </row>
    <row r="38" spans="1:12">
      <c r="E38" s="681"/>
      <c r="F38" s="681"/>
      <c r="G38" s="681"/>
      <c r="H38" s="681"/>
      <c r="I38" s="681"/>
      <c r="J38" s="109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94"/>
      <c r="L38" s="1094"/>
    </row>
    <row r="39" spans="1:12">
      <c r="B39" s="681"/>
      <c r="C39" s="678" t="s">
        <v>11</v>
      </c>
      <c r="D39" s="681"/>
      <c r="E39" s="681"/>
      <c r="F39" s="681"/>
      <c r="G39" s="681"/>
      <c r="H39" s="681"/>
      <c r="I39" s="681"/>
      <c r="J39" s="1094" t="s">
        <v>12</v>
      </c>
      <c r="K39" s="1094"/>
      <c r="L39" s="1094"/>
    </row>
    <row r="40" spans="1:12">
      <c r="B40" s="681"/>
      <c r="C40" s="678" t="s">
        <v>13</v>
      </c>
      <c r="D40" s="681"/>
      <c r="E40" s="681"/>
      <c r="F40" s="681"/>
      <c r="G40" s="681"/>
      <c r="H40" s="681"/>
      <c r="I40" s="681"/>
      <c r="J40" s="1138" t="s">
        <v>13</v>
      </c>
      <c r="K40" s="1138"/>
      <c r="L40" s="1138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60" customWidth="1"/>
    <col min="3" max="3" width="8.5703125" style="760" customWidth="1"/>
    <col min="4" max="4" width="51.42578125" style="760" customWidth="1"/>
    <col min="5" max="5" width="8" style="760" customWidth="1"/>
    <col min="6" max="6" width="12.28515625" style="760" bestFit="1" customWidth="1"/>
    <col min="7" max="7" width="10.140625" style="760" customWidth="1"/>
    <col min="8" max="8" width="10.7109375" style="760" customWidth="1"/>
    <col min="9" max="9" width="11.42578125" style="760" customWidth="1"/>
    <col min="10" max="10" width="11.5703125" style="760" customWidth="1"/>
    <col min="11" max="11" width="11.42578125" style="760" customWidth="1"/>
    <col min="12" max="12" width="9.42578125" style="760" customWidth="1"/>
    <col min="13" max="13" width="6.7109375" style="760" customWidth="1"/>
    <col min="14" max="16384" width="9.140625" style="760"/>
  </cols>
  <sheetData>
    <row r="2" spans="1:15">
      <c r="A2" s="677" t="str">
        <f>'632'!A2</f>
        <v>Đơn vị: CÔNG TY TNHH MỘT THÀNH VIÊN KHỞI NGUYÊN AN</v>
      </c>
      <c r="F2" s="759"/>
      <c r="G2" s="759"/>
      <c r="H2" s="1136" t="s">
        <v>367</v>
      </c>
      <c r="I2" s="1136"/>
      <c r="J2" s="1136"/>
      <c r="K2" s="1136"/>
      <c r="L2" s="703"/>
    </row>
    <row r="3" spans="1:15" ht="15" customHeight="1">
      <c r="A3" s="707" t="str">
        <f>'632'!A3</f>
        <v>Địa chỉ: Thửa đất số 144, tờ bản đồ số 12TĐH.1, tổ 1, khu phố Đông Tác, Phường Tân Đông Hiệp, Thị Xã Dĩ An, Tỉnh Bình Dương, Việt Nam</v>
      </c>
      <c r="H3" s="1139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39"/>
      <c r="J3" s="1139"/>
      <c r="K3" s="1139"/>
      <c r="L3" s="681"/>
    </row>
    <row r="4" spans="1:15">
      <c r="H4" s="1139"/>
      <c r="I4" s="1139"/>
      <c r="J4" s="1139"/>
      <c r="K4" s="1139"/>
      <c r="L4" s="681"/>
    </row>
    <row r="5" spans="1:15" ht="19.5" customHeight="1">
      <c r="A5" s="1137" t="s">
        <v>368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680" t="s">
        <v>252</v>
      </c>
      <c r="N5" s="613">
        <f>IF(N13="Quý I",1,IF(N13="Quý II",4,IF(N13="Quý III",7,IF(N13="Quý IV",10,""))))</f>
        <v>7</v>
      </c>
      <c r="O5" s="613">
        <f>IF(N13="Quý I",3,IF(N13="Quý II",6,IF(N13="Quý III",9,IF(N13="Quý IV",12,""))))</f>
        <v>9</v>
      </c>
    </row>
    <row r="6" spans="1:15">
      <c r="A6" s="1138" t="s">
        <v>369</v>
      </c>
      <c r="B6" s="1138"/>
      <c r="C6" s="1138"/>
      <c r="D6" s="1138"/>
      <c r="E6" s="1138"/>
      <c r="F6" s="1138"/>
      <c r="G6" s="1138"/>
      <c r="H6" s="1138"/>
      <c r="I6" s="1138"/>
      <c r="J6" s="1138"/>
      <c r="K6" s="1138"/>
      <c r="L6" s="1138"/>
    </row>
    <row r="7" spans="1:15">
      <c r="B7" s="681"/>
      <c r="C7" s="681"/>
      <c r="D7" s="681"/>
      <c r="E7" s="682" t="s">
        <v>395</v>
      </c>
      <c r="G7" s="681"/>
      <c r="H7" s="681"/>
      <c r="I7" s="681"/>
      <c r="J7" s="681"/>
      <c r="K7" s="681"/>
      <c r="L7" s="681"/>
      <c r="M7" s="708"/>
    </row>
    <row r="8" spans="1:15">
      <c r="B8" s="681"/>
      <c r="C8" s="681"/>
      <c r="D8" s="681"/>
      <c r="E8" s="682" t="s">
        <v>371</v>
      </c>
      <c r="G8" s="681"/>
      <c r="H8" s="681"/>
      <c r="I8" s="681"/>
      <c r="J8" s="681"/>
      <c r="K8" s="681"/>
      <c r="L8" s="681"/>
    </row>
    <row r="9" spans="1:15">
      <c r="B9" s="683"/>
      <c r="C9" s="683"/>
      <c r="D9" s="683"/>
      <c r="E9" s="682" t="s">
        <v>372</v>
      </c>
      <c r="G9" s="683"/>
      <c r="H9" s="683"/>
      <c r="I9" s="683"/>
      <c r="J9" s="683"/>
      <c r="K9" s="683"/>
      <c r="L9" s="683"/>
    </row>
    <row r="10" spans="1:15" ht="9" customHeight="1">
      <c r="C10" s="1135"/>
      <c r="D10" s="1135"/>
      <c r="E10" s="1135"/>
      <c r="F10" s="1135"/>
      <c r="G10" s="1135"/>
      <c r="H10" s="1135"/>
      <c r="I10" s="1135"/>
      <c r="J10" s="1135"/>
      <c r="K10" s="1135"/>
      <c r="L10" s="1135"/>
    </row>
    <row r="11" spans="1:15" ht="15.75" customHeight="1">
      <c r="A11" s="1140" t="s">
        <v>20</v>
      </c>
      <c r="B11" s="1141" t="s">
        <v>1</v>
      </c>
      <c r="C11" s="1141"/>
      <c r="D11" s="1140" t="s">
        <v>0</v>
      </c>
      <c r="E11" s="1140" t="s">
        <v>204</v>
      </c>
      <c r="F11" s="1141" t="s">
        <v>394</v>
      </c>
      <c r="G11" s="1141"/>
      <c r="H11" s="1141"/>
      <c r="I11" s="1141"/>
      <c r="J11" s="1141"/>
      <c r="K11" s="1141"/>
      <c r="L11" s="1141"/>
    </row>
    <row r="12" spans="1:15" ht="15.75" customHeight="1" thickBot="1">
      <c r="A12" s="1140"/>
      <c r="B12" s="1142" t="s">
        <v>15</v>
      </c>
      <c r="C12" s="1142" t="s">
        <v>32</v>
      </c>
      <c r="D12" s="1140"/>
      <c r="E12" s="1140"/>
      <c r="F12" s="1142" t="s">
        <v>374</v>
      </c>
      <c r="G12" s="1142" t="s">
        <v>375</v>
      </c>
      <c r="H12" s="1142"/>
      <c r="I12" s="1142"/>
      <c r="J12" s="1142"/>
      <c r="K12" s="1142"/>
      <c r="L12" s="1142"/>
    </row>
    <row r="13" spans="1:15" ht="29.25" customHeight="1" thickBot="1">
      <c r="A13" s="1140"/>
      <c r="B13" s="1142"/>
      <c r="C13" s="1142"/>
      <c r="D13" s="1140"/>
      <c r="E13" s="1140"/>
      <c r="F13" s="1142"/>
      <c r="G13" s="704" t="s">
        <v>47</v>
      </c>
      <c r="H13" s="704" t="s">
        <v>24</v>
      </c>
      <c r="I13" s="704"/>
      <c r="J13" s="704"/>
      <c r="K13" s="704"/>
      <c r="L13" s="704"/>
      <c r="N13" s="706" t="s">
        <v>397</v>
      </c>
    </row>
    <row r="14" spans="1:15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  <c r="K14" s="761">
        <v>6</v>
      </c>
      <c r="L14" s="761">
        <v>7</v>
      </c>
    </row>
    <row r="15" spans="1:15" ht="21.7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  <c r="K15" s="688"/>
      <c r="L15" s="688"/>
    </row>
    <row r="16" spans="1:15" ht="21.75" customHeight="1">
      <c r="A16" s="689">
        <f ca="1">IF(ROWS($1:1)&gt;COUNT(Dong13),"",OFFSET(TH!C$1,SMALL(Dong13,ROWS($1:1)),))</f>
        <v>42582</v>
      </c>
      <c r="B16" s="689" t="str">
        <f ca="1">IF(ROWS($1:1)&gt;COUNT(Dong13),"",OFFSET(TH!D$1,SMALL(Dong13,ROWS($1:1)),))</f>
        <v>CTGS</v>
      </c>
      <c r="C16" s="689">
        <f ca="1">IF(ROWS($1:1)&gt;COUNT(Dong13),"",OFFSET(TH!E$1,SMALL(Dong13,ROWS($1:1)),))</f>
        <v>42582</v>
      </c>
      <c r="D16" s="690" t="str">
        <f ca="1">IF(ROWS($1:1)&gt;COUNT(Dong13),"",OFFSET(TH!F$1,SMALL(Dong13,ROWS($1:1)),))</f>
        <v>BHXH phải trả cho Văn Phòng</v>
      </c>
      <c r="E16" s="689" t="str">
        <f ca="1">IF(ROWS($1:1)&gt;COUNT(Dong13),"",OFFSET(TH!M$1,SMALL(Dong13,ROWS($1:1)),))</f>
        <v>3383</v>
      </c>
      <c r="F16" s="765">
        <f ca="1">IF(ROWS($1:1)&gt;COUNT(Dong13),"",OFFSET(TH!K$1,SMALL(Dong13,ROWS($1:1)),))</f>
        <v>1980000</v>
      </c>
      <c r="G16" s="691">
        <f t="shared" ref="G16:J25" ca="1" si="0">IF($E16=G$13,$F16,0)</f>
        <v>0</v>
      </c>
      <c r="H16" s="691">
        <f t="shared" ca="1" si="0"/>
        <v>0</v>
      </c>
      <c r="I16" s="691">
        <f t="shared" ca="1" si="0"/>
        <v>0</v>
      </c>
      <c r="J16" s="691">
        <f t="shared" ca="1" si="0"/>
        <v>0</v>
      </c>
      <c r="K16" s="691">
        <f ca="1">IF(LEFT($E16,3)=K$13,$F16,0)</f>
        <v>0</v>
      </c>
      <c r="L16" s="691">
        <f ca="1">IF(LEFT($E16,3)=L$13,$F16,0)</f>
        <v>0</v>
      </c>
    </row>
    <row r="17" spans="1:12" ht="21.75" customHeight="1">
      <c r="A17" s="689">
        <f ca="1">IF(ROWS($1:2)&gt;COUNT(Dong13),"",OFFSET(TH!C$1,SMALL(Dong13,ROWS($1:2)),))</f>
        <v>42582</v>
      </c>
      <c r="B17" s="689" t="str">
        <f ca="1">IF(ROWS($1:2)&gt;COUNT(Dong13),"",OFFSET(TH!D$1,SMALL(Dong13,ROWS($1:2)),))</f>
        <v>CTGS</v>
      </c>
      <c r="C17" s="689">
        <f ca="1">IF(ROWS($1:2)&gt;COUNT(Dong13),"",OFFSET(TH!E$1,SMALL(Dong13,ROWS($1:2)),))</f>
        <v>42582</v>
      </c>
      <c r="D17" s="690" t="str">
        <f ca="1">IF(ROWS($1:2)&gt;COUNT(Dong13),"",OFFSET(TH!F$1,SMALL(Dong13,ROWS($1:2)),))</f>
        <v>BHYT phải trả cho Văn Phòng</v>
      </c>
      <c r="E17" s="689" t="str">
        <f ca="1">IF(ROWS($1:2)&gt;COUNT(Dong13),"",OFFSET(TH!M$1,SMALL(Dong13,ROWS($1:2)),))</f>
        <v>3384</v>
      </c>
      <c r="F17" s="765">
        <f ca="1">IF(ROWS($1:2)&gt;COUNT(Dong13),"",OFFSET(TH!K$1,SMALL(Dong13,ROWS($1:2)),))</f>
        <v>330000</v>
      </c>
      <c r="G17" s="691">
        <f t="shared" ca="1" si="0"/>
        <v>0</v>
      </c>
      <c r="H17" s="691">
        <f t="shared" ca="1" si="0"/>
        <v>0</v>
      </c>
      <c r="I17" s="691">
        <f t="shared" ca="1" si="0"/>
        <v>0</v>
      </c>
      <c r="J17" s="691">
        <f t="shared" ca="1" si="0"/>
        <v>0</v>
      </c>
      <c r="K17" s="691">
        <f t="shared" ref="K17:L25" ca="1" si="1">IF(LEFT($E17,3)=K$13,$F17,0)</f>
        <v>0</v>
      </c>
      <c r="L17" s="691">
        <f t="shared" ca="1" si="1"/>
        <v>0</v>
      </c>
    </row>
    <row r="18" spans="1:12" ht="21.75" customHeight="1">
      <c r="A18" s="689">
        <f ca="1">IF(ROWS($1:3)&gt;COUNT(Dong13),"",OFFSET(TH!C$1,SMALL(Dong13,ROWS($1:3)),))</f>
        <v>42582</v>
      </c>
      <c r="B18" s="689" t="str">
        <f ca="1">IF(ROWS($1:3)&gt;COUNT(Dong13),"",OFFSET(TH!D$1,SMALL(Dong13,ROWS($1:3)),))</f>
        <v>CTGS</v>
      </c>
      <c r="C18" s="689">
        <f ca="1">IF(ROWS($1:3)&gt;COUNT(Dong13),"",OFFSET(TH!E$1,SMALL(Dong13,ROWS($1:3)),))</f>
        <v>42582</v>
      </c>
      <c r="D18" s="690" t="str">
        <f ca="1">IF(ROWS($1:3)&gt;COUNT(Dong13),"",OFFSET(TH!F$1,SMALL(Dong13,ROWS($1:3)),))</f>
        <v>BHTN phải trả cho Văn Phòng</v>
      </c>
      <c r="E18" s="689" t="str">
        <f ca="1">IF(ROWS($1:3)&gt;COUNT(Dong13),"",OFFSET(TH!M$1,SMALL(Dong13,ROWS($1:3)),))</f>
        <v>3386</v>
      </c>
      <c r="F18" s="765">
        <f ca="1">IF(ROWS($1:3)&gt;COUNT(Dong13),"",OFFSET(TH!K$1,SMALL(Dong13,ROWS($1:3)),))</f>
        <v>110000</v>
      </c>
      <c r="G18" s="691">
        <f t="shared" ca="1" si="0"/>
        <v>0</v>
      </c>
      <c r="H18" s="691">
        <f t="shared" ca="1" si="0"/>
        <v>0</v>
      </c>
      <c r="I18" s="691">
        <f t="shared" ca="1" si="0"/>
        <v>0</v>
      </c>
      <c r="J18" s="691">
        <f t="shared" ca="1" si="0"/>
        <v>0</v>
      </c>
      <c r="K18" s="691">
        <f t="shared" ca="1" si="1"/>
        <v>0</v>
      </c>
      <c r="L18" s="691">
        <f t="shared" ca="1" si="1"/>
        <v>0</v>
      </c>
    </row>
    <row r="19" spans="1:12" ht="21.75" customHeight="1">
      <c r="A19" s="689">
        <f ca="1">IF(ROWS($1:4)&gt;COUNT(Dong13),"",OFFSET(TH!C$1,SMALL(Dong13,ROWS($1:4)),))</f>
        <v>42613</v>
      </c>
      <c r="B19" s="689" t="str">
        <f ca="1">IF(ROWS($1:4)&gt;COUNT(Dong13),"",OFFSET(TH!D$1,SMALL(Dong13,ROWS($1:4)),))</f>
        <v>CTGS</v>
      </c>
      <c r="C19" s="689">
        <f ca="1">IF(ROWS($1:4)&gt;COUNT(Dong13),"",OFFSET(TH!E$1,SMALL(Dong13,ROWS($1:4)),))</f>
        <v>42613</v>
      </c>
      <c r="D19" s="690" t="str">
        <f ca="1">IF(ROWS($1:4)&gt;COUNT(Dong13),"",OFFSET(TH!F$1,SMALL(Dong13,ROWS($1:4)),))</f>
        <v>BHXH phải trả cho Văn Phòng</v>
      </c>
      <c r="E19" s="689" t="str">
        <f ca="1">IF(ROWS($1:4)&gt;COUNT(Dong13),"",OFFSET(TH!M$1,SMALL(Dong13,ROWS($1:4)),))</f>
        <v>3383</v>
      </c>
      <c r="F19" s="765">
        <f ca="1">IF(ROWS($1:4)&gt;COUNT(Dong13),"",OFFSET(TH!K$1,SMALL(Dong13,ROWS($1:4)),))</f>
        <v>1980000</v>
      </c>
      <c r="G19" s="691">
        <f t="shared" ca="1" si="0"/>
        <v>0</v>
      </c>
      <c r="H19" s="691">
        <f t="shared" ca="1" si="0"/>
        <v>0</v>
      </c>
      <c r="I19" s="691">
        <f t="shared" ca="1" si="0"/>
        <v>0</v>
      </c>
      <c r="J19" s="691">
        <f t="shared" ca="1" si="0"/>
        <v>0</v>
      </c>
      <c r="K19" s="691">
        <f t="shared" ca="1" si="1"/>
        <v>0</v>
      </c>
      <c r="L19" s="691">
        <f t="shared" ca="1" si="1"/>
        <v>0</v>
      </c>
    </row>
    <row r="20" spans="1:12" ht="21.75" customHeight="1">
      <c r="A20" s="689">
        <f ca="1">IF(ROWS($1:5)&gt;COUNT(Dong13),"",OFFSET(TH!C$1,SMALL(Dong13,ROWS($1:5)),))</f>
        <v>42613</v>
      </c>
      <c r="B20" s="689" t="str">
        <f ca="1">IF(ROWS($1:5)&gt;COUNT(Dong13),"",OFFSET(TH!D$1,SMALL(Dong13,ROWS($1:5)),))</f>
        <v>CTGS</v>
      </c>
      <c r="C20" s="689">
        <f ca="1">IF(ROWS($1:5)&gt;COUNT(Dong13),"",OFFSET(TH!E$1,SMALL(Dong13,ROWS($1:5)),))</f>
        <v>42613</v>
      </c>
      <c r="D20" s="690" t="str">
        <f ca="1">IF(ROWS($1:5)&gt;COUNT(Dong13),"",OFFSET(TH!F$1,SMALL(Dong13,ROWS($1:5)),))</f>
        <v>BHYT phải trả cho Văn Phòng</v>
      </c>
      <c r="E20" s="689" t="str">
        <f ca="1">IF(ROWS($1:5)&gt;COUNT(Dong13),"",OFFSET(TH!M$1,SMALL(Dong13,ROWS($1:5)),))</f>
        <v>3384</v>
      </c>
      <c r="F20" s="765">
        <f ca="1">IF(ROWS($1:5)&gt;COUNT(Dong13),"",OFFSET(TH!K$1,SMALL(Dong13,ROWS($1:5)),))</f>
        <v>330000</v>
      </c>
      <c r="G20" s="691">
        <f t="shared" ca="1" si="0"/>
        <v>0</v>
      </c>
      <c r="H20" s="691">
        <f t="shared" ca="1" si="0"/>
        <v>0</v>
      </c>
      <c r="I20" s="691">
        <f t="shared" ca="1" si="0"/>
        <v>0</v>
      </c>
      <c r="J20" s="691">
        <f t="shared" ca="1" si="0"/>
        <v>0</v>
      </c>
      <c r="K20" s="691">
        <f t="shared" ca="1" si="1"/>
        <v>0</v>
      </c>
      <c r="L20" s="691">
        <f t="shared" ca="1" si="1"/>
        <v>0</v>
      </c>
    </row>
    <row r="21" spans="1:12" ht="21.75" customHeight="1">
      <c r="A21" s="689">
        <f ca="1">IF(ROWS($1:6)&gt;COUNT(Dong13),"",OFFSET(TH!C$1,SMALL(Dong13,ROWS($1:6)),))</f>
        <v>42613</v>
      </c>
      <c r="B21" s="689" t="str">
        <f ca="1">IF(ROWS($1:6)&gt;COUNT(Dong13),"",OFFSET(TH!D$1,SMALL(Dong13,ROWS($1:6)),))</f>
        <v>CTGS</v>
      </c>
      <c r="C21" s="689">
        <f ca="1">IF(ROWS($1:6)&gt;COUNT(Dong13),"",OFFSET(TH!E$1,SMALL(Dong13,ROWS($1:6)),))</f>
        <v>42613</v>
      </c>
      <c r="D21" s="690" t="str">
        <f ca="1">IF(ROWS($1:6)&gt;COUNT(Dong13),"",OFFSET(TH!F$1,SMALL(Dong13,ROWS($1:6)),))</f>
        <v>BHTN phải trả cho Văn Phòng</v>
      </c>
      <c r="E21" s="689" t="str">
        <f ca="1">IF(ROWS($1:6)&gt;COUNT(Dong13),"",OFFSET(TH!M$1,SMALL(Dong13,ROWS($1:6)),))</f>
        <v>3386</v>
      </c>
      <c r="F21" s="765">
        <f ca="1">IF(ROWS($1:6)&gt;COUNT(Dong13),"",OFFSET(TH!K$1,SMALL(Dong13,ROWS($1:6)),))</f>
        <v>110000</v>
      </c>
      <c r="G21" s="691">
        <f t="shared" ca="1" si="0"/>
        <v>0</v>
      </c>
      <c r="H21" s="691">
        <f t="shared" ca="1" si="0"/>
        <v>0</v>
      </c>
      <c r="I21" s="691">
        <f t="shared" ca="1" si="0"/>
        <v>0</v>
      </c>
      <c r="J21" s="691">
        <f t="shared" ca="1" si="0"/>
        <v>0</v>
      </c>
      <c r="K21" s="691">
        <f t="shared" ca="1" si="1"/>
        <v>0</v>
      </c>
      <c r="L21" s="691">
        <f t="shared" ca="1" si="1"/>
        <v>0</v>
      </c>
    </row>
    <row r="22" spans="1:12" ht="21.75" customHeight="1">
      <c r="A22" s="689">
        <f ca="1">IF(ROWS($1:7)&gt;COUNT(Dong13),"",OFFSET(TH!C$1,SMALL(Dong13,ROWS($1:7)),))</f>
        <v>42643</v>
      </c>
      <c r="B22" s="689" t="str">
        <f ca="1">IF(ROWS($1:7)&gt;COUNT(Dong13),"",OFFSET(TH!D$1,SMALL(Dong13,ROWS($1:7)),))</f>
        <v>CTGS</v>
      </c>
      <c r="C22" s="689">
        <f ca="1">IF(ROWS($1:7)&gt;COUNT(Dong13),"",OFFSET(TH!E$1,SMALL(Dong13,ROWS($1:7)),))</f>
        <v>42643</v>
      </c>
      <c r="D22" s="690" t="str">
        <f ca="1">IF(ROWS($1:7)&gt;COUNT(Dong13),"",OFFSET(TH!F$1,SMALL(Dong13,ROWS($1:7)),))</f>
        <v>BHXH phải trả cho Văn Phòng</v>
      </c>
      <c r="E22" s="689" t="str">
        <f ca="1">IF(ROWS($1:7)&gt;COUNT(Dong13),"",OFFSET(TH!M$1,SMALL(Dong13,ROWS($1:7)),))</f>
        <v>3383</v>
      </c>
      <c r="F22" s="765">
        <f ca="1">IF(ROWS($1:7)&gt;COUNT(Dong13),"",OFFSET(TH!K$1,SMALL(Dong13,ROWS($1:7)),))</f>
        <v>1980000</v>
      </c>
      <c r="G22" s="691">
        <f t="shared" ca="1" si="0"/>
        <v>0</v>
      </c>
      <c r="H22" s="691">
        <f t="shared" ca="1" si="0"/>
        <v>0</v>
      </c>
      <c r="I22" s="691">
        <f t="shared" ca="1" si="0"/>
        <v>0</v>
      </c>
      <c r="J22" s="691">
        <f t="shared" ca="1" si="0"/>
        <v>0</v>
      </c>
      <c r="K22" s="691">
        <f t="shared" ca="1" si="1"/>
        <v>0</v>
      </c>
      <c r="L22" s="691">
        <f t="shared" ca="1" si="1"/>
        <v>0</v>
      </c>
    </row>
    <row r="23" spans="1:12" ht="21.75" customHeight="1">
      <c r="A23" s="689">
        <f ca="1">IF(ROWS($1:8)&gt;COUNT(Dong13),"",OFFSET(TH!C$1,SMALL(Dong13,ROWS($1:8)),))</f>
        <v>42643</v>
      </c>
      <c r="B23" s="689" t="str">
        <f ca="1">IF(ROWS($1:8)&gt;COUNT(Dong13),"",OFFSET(TH!D$1,SMALL(Dong13,ROWS($1:8)),))</f>
        <v>CTGS</v>
      </c>
      <c r="C23" s="689">
        <f ca="1">IF(ROWS($1:8)&gt;COUNT(Dong13),"",OFFSET(TH!E$1,SMALL(Dong13,ROWS($1:8)),))</f>
        <v>42643</v>
      </c>
      <c r="D23" s="690" t="str">
        <f ca="1">IF(ROWS($1:8)&gt;COUNT(Dong13),"",OFFSET(TH!F$1,SMALL(Dong13,ROWS($1:8)),))</f>
        <v>BHYT phải trả cho Văn Phòng</v>
      </c>
      <c r="E23" s="689" t="str">
        <f ca="1">IF(ROWS($1:8)&gt;COUNT(Dong13),"",OFFSET(TH!M$1,SMALL(Dong13,ROWS($1:8)),))</f>
        <v>3384</v>
      </c>
      <c r="F23" s="765">
        <f ca="1">IF(ROWS($1:8)&gt;COUNT(Dong13),"",OFFSET(TH!K$1,SMALL(Dong13,ROWS($1:8)),))</f>
        <v>330000</v>
      </c>
      <c r="G23" s="691">
        <f t="shared" ca="1" si="0"/>
        <v>0</v>
      </c>
      <c r="H23" s="691">
        <f t="shared" ca="1" si="0"/>
        <v>0</v>
      </c>
      <c r="I23" s="691">
        <f t="shared" ca="1" si="0"/>
        <v>0</v>
      </c>
      <c r="J23" s="691">
        <f t="shared" ca="1" si="0"/>
        <v>0</v>
      </c>
      <c r="K23" s="691">
        <f t="shared" ca="1" si="1"/>
        <v>0</v>
      </c>
      <c r="L23" s="691">
        <f t="shared" ca="1" si="1"/>
        <v>0</v>
      </c>
    </row>
    <row r="24" spans="1:12" ht="21.75" customHeight="1">
      <c r="A24" s="689">
        <f ca="1">IF(ROWS($1:9)&gt;COUNT(Dong13),"",OFFSET(TH!C$1,SMALL(Dong13,ROWS($1:9)),))</f>
        <v>42643</v>
      </c>
      <c r="B24" s="689" t="str">
        <f ca="1">IF(ROWS($1:9)&gt;COUNT(Dong13),"",OFFSET(TH!D$1,SMALL(Dong13,ROWS($1:9)),))</f>
        <v>CTGS</v>
      </c>
      <c r="C24" s="689">
        <f ca="1">IF(ROWS($1:9)&gt;COUNT(Dong13),"",OFFSET(TH!E$1,SMALL(Dong13,ROWS($1:9)),))</f>
        <v>42643</v>
      </c>
      <c r="D24" s="690" t="str">
        <f ca="1">IF(ROWS($1:9)&gt;COUNT(Dong13),"",OFFSET(TH!F$1,SMALL(Dong13,ROWS($1:9)),))</f>
        <v>BHTN phải trả cho Văn Phòng</v>
      </c>
      <c r="E24" s="689" t="str">
        <f ca="1">IF(ROWS($1:9)&gt;COUNT(Dong13),"",OFFSET(TH!M$1,SMALL(Dong13,ROWS($1:9)),))</f>
        <v>3386</v>
      </c>
      <c r="F24" s="765">
        <f ca="1">IF(ROWS($1:9)&gt;COUNT(Dong13),"",OFFSET(TH!K$1,SMALL(Dong13,ROWS($1:9)),))</f>
        <v>110000</v>
      </c>
      <c r="G24" s="691">
        <f t="shared" ca="1" si="0"/>
        <v>0</v>
      </c>
      <c r="H24" s="691">
        <f t="shared" ca="1" si="0"/>
        <v>0</v>
      </c>
      <c r="I24" s="691">
        <f t="shared" ca="1" si="0"/>
        <v>0</v>
      </c>
      <c r="J24" s="691">
        <f t="shared" ca="1" si="0"/>
        <v>0</v>
      </c>
      <c r="K24" s="691">
        <f t="shared" ca="1" si="1"/>
        <v>0</v>
      </c>
      <c r="L24" s="691">
        <f t="shared" ca="1" si="1"/>
        <v>0</v>
      </c>
    </row>
    <row r="25" spans="1:12" ht="21.75" customHeight="1">
      <c r="A25" s="689">
        <f ca="1">IF(ROWS($1:10)&gt;COUNT(Dong13),"",OFFSET(TH!C$1,SMALL(Dong13,ROWS($1:10)),))</f>
        <v>42557</v>
      </c>
      <c r="B25" s="689">
        <f ca="1">IF(ROWS($1:10)&gt;COUNT(Dong13),"",OFFSET(TH!D$1,SMALL(Dong13,ROWS($1:10)),))</f>
        <v>0</v>
      </c>
      <c r="C25" s="689">
        <f ca="1">IF(ROWS($1:10)&gt;COUNT(Dong13),"",OFFSET(TH!E$1,SMALL(Dong13,ROWS($1:10)),))</f>
        <v>42557</v>
      </c>
      <c r="D25" s="690" t="str">
        <f ca="1">IF(ROWS($1:10)&gt;COUNT(Dong13),"",OFFSET(TH!F$1,SMALL(Dong13,ROWS($1:10)),))</f>
        <v>Cước dịch vụ viễn thông T6/2016</v>
      </c>
      <c r="E25" s="689" t="str">
        <f ca="1">IF(ROWS($1:10)&gt;COUNT(Dong13),"",OFFSET(TH!M$1,SMALL(Dong13,ROWS($1:10)),))</f>
        <v>1111</v>
      </c>
      <c r="F25" s="765">
        <f ca="1">IF(ROWS($1:10)&gt;COUNT(Dong13),"",OFFSET(TH!K$1,SMALL(Dong13,ROWS($1:10)),))</f>
        <v>833683</v>
      </c>
      <c r="G25" s="691">
        <f t="shared" ca="1" si="0"/>
        <v>833683</v>
      </c>
      <c r="H25" s="691">
        <f t="shared" ca="1" si="0"/>
        <v>0</v>
      </c>
      <c r="I25" s="691">
        <f t="shared" ca="1" si="0"/>
        <v>0</v>
      </c>
      <c r="J25" s="691">
        <f t="shared" ca="1" si="0"/>
        <v>0</v>
      </c>
      <c r="K25" s="691">
        <f t="shared" ca="1" si="1"/>
        <v>0</v>
      </c>
      <c r="L25" s="691">
        <f t="shared" ca="1" si="1"/>
        <v>0</v>
      </c>
    </row>
    <row r="26" spans="1:12" ht="21.75" customHeight="1">
      <c r="A26" s="689"/>
      <c r="B26" s="692"/>
      <c r="C26" s="689"/>
      <c r="D26" s="693"/>
      <c r="E26" s="694"/>
      <c r="F26" s="695"/>
      <c r="G26" s="695"/>
      <c r="H26" s="695"/>
      <c r="I26" s="695"/>
      <c r="J26" s="695"/>
      <c r="K26" s="695"/>
      <c r="L26" s="695"/>
    </row>
    <row r="27" spans="1:12" ht="21.75" customHeight="1">
      <c r="A27" s="689"/>
      <c r="B27" s="692"/>
      <c r="C27" s="689"/>
      <c r="D27" s="687" t="s">
        <v>133</v>
      </c>
      <c r="E27" s="686" t="s">
        <v>19</v>
      </c>
      <c r="F27" s="688">
        <f t="shared" ref="F27:L27" ca="1" si="2">SUM(F15:F26)</f>
        <v>8093683</v>
      </c>
      <c r="G27" s="688">
        <f t="shared" ca="1" si="2"/>
        <v>833683</v>
      </c>
      <c r="H27" s="688">
        <f t="shared" ca="1" si="2"/>
        <v>0</v>
      </c>
      <c r="I27" s="688">
        <f t="shared" ca="1" si="2"/>
        <v>0</v>
      </c>
      <c r="J27" s="688">
        <f t="shared" ca="1" si="2"/>
        <v>0</v>
      </c>
      <c r="K27" s="688">
        <f t="shared" ca="1" si="2"/>
        <v>0</v>
      </c>
      <c r="L27" s="688">
        <f t="shared" ca="1" si="2"/>
        <v>0</v>
      </c>
    </row>
    <row r="28" spans="1:12" ht="21.75" customHeight="1">
      <c r="A28" s="696"/>
      <c r="B28" s="694"/>
      <c r="C28" s="696"/>
      <c r="D28" s="697" t="s">
        <v>396</v>
      </c>
      <c r="E28" s="692"/>
      <c r="F28" s="688">
        <f ca="1">SUM(G28:L28)</f>
        <v>833683</v>
      </c>
      <c r="G28" s="698">
        <f t="shared" ref="G28:L28" ca="1" si="3">G27</f>
        <v>833683</v>
      </c>
      <c r="H28" s="698">
        <f t="shared" ca="1" si="3"/>
        <v>0</v>
      </c>
      <c r="I28" s="698">
        <f t="shared" ca="1" si="3"/>
        <v>0</v>
      </c>
      <c r="J28" s="698">
        <f t="shared" ca="1" si="3"/>
        <v>0</v>
      </c>
      <c r="K28" s="698">
        <f t="shared" ca="1" si="3"/>
        <v>0</v>
      </c>
      <c r="L28" s="698">
        <f t="shared" ca="1" si="3"/>
        <v>0</v>
      </c>
    </row>
    <row r="29" spans="1:12" ht="21.75" customHeight="1">
      <c r="A29" s="699"/>
      <c r="B29" s="699"/>
      <c r="C29" s="699"/>
      <c r="D29" s="700" t="s">
        <v>10</v>
      </c>
      <c r="E29" s="699" t="s">
        <v>19</v>
      </c>
      <c r="F29" s="701">
        <f t="shared" ref="F29:L29" ca="1" si="4">F15+F27-F28</f>
        <v>7260000</v>
      </c>
      <c r="G29" s="701">
        <f t="shared" ca="1" si="4"/>
        <v>0</v>
      </c>
      <c r="H29" s="701">
        <f t="shared" ca="1" si="4"/>
        <v>0</v>
      </c>
      <c r="I29" s="701">
        <f t="shared" ca="1" si="4"/>
        <v>0</v>
      </c>
      <c r="J29" s="701">
        <f t="shared" ca="1" si="4"/>
        <v>0</v>
      </c>
      <c r="K29" s="701">
        <f t="shared" ca="1" si="4"/>
        <v>0</v>
      </c>
      <c r="L29" s="701">
        <f t="shared" ca="1" si="4"/>
        <v>0</v>
      </c>
    </row>
    <row r="31" spans="1:12">
      <c r="B31" s="702"/>
      <c r="C31" s="682" t="s">
        <v>380</v>
      </c>
    </row>
    <row r="32" spans="1:12">
      <c r="C32" s="682" t="str">
        <f ca="1">"- Ngày mở sổ: "&amp;"01/"&amp;MONTH(A16)&amp;"/"&amp;YEAR(A16)</f>
        <v>- Ngày mở sổ: 01/7/2016</v>
      </c>
    </row>
    <row r="33" spans="2:12">
      <c r="E33" s="681"/>
      <c r="F33" s="681"/>
      <c r="G33" s="681"/>
      <c r="H33" s="681"/>
      <c r="I33" s="681"/>
      <c r="J33" s="109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2016</v>
      </c>
      <c r="K33" s="1094"/>
      <c r="L33" s="1094"/>
    </row>
    <row r="34" spans="2:12">
      <c r="B34" s="681"/>
      <c r="C34" s="760" t="s">
        <v>11</v>
      </c>
      <c r="D34" s="681"/>
      <c r="E34" s="681"/>
      <c r="F34" s="681"/>
      <c r="G34" s="681"/>
      <c r="H34" s="681"/>
      <c r="I34" s="681"/>
      <c r="J34" s="1094" t="s">
        <v>12</v>
      </c>
      <c r="K34" s="1094"/>
      <c r="L34" s="1094"/>
    </row>
    <row r="35" spans="2:12">
      <c r="B35" s="681"/>
      <c r="C35" s="760" t="s">
        <v>13</v>
      </c>
      <c r="D35" s="681"/>
      <c r="E35" s="681"/>
      <c r="F35" s="681"/>
      <c r="G35" s="681"/>
      <c r="H35" s="681"/>
      <c r="I35" s="681"/>
      <c r="J35" s="1138" t="s">
        <v>13</v>
      </c>
      <c r="K35" s="1138"/>
      <c r="L35" s="1138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18" t="str">
        <f>TH!$A$1</f>
        <v>Đơn vị: CÔNG TY TNHH MỘT THÀNH VIÊN KHỞI NGUYÊN AN</v>
      </c>
      <c r="D1" s="820"/>
      <c r="E1" s="820"/>
      <c r="F1" s="820"/>
      <c r="G1" s="820"/>
      <c r="I1" s="1145"/>
      <c r="J1" s="1145"/>
      <c r="K1" s="1145"/>
      <c r="L1" s="1145"/>
    </row>
    <row r="2" spans="1:12" ht="21.75" customHeight="1">
      <c r="A2" s="819" t="str">
        <f>TH!$A$2</f>
        <v>Địa chỉ: Thửa đất số 144, tờ bản đồ số 12TĐH.1, tổ 1, khu phố Đông Tác, Phường Tân Đông Hiệp, Thị Xã Dĩ An, Tỉnh Bình Dương, Việt Nam</v>
      </c>
      <c r="D2" s="820"/>
      <c r="E2" s="820"/>
      <c r="F2" s="820"/>
      <c r="G2" s="820"/>
      <c r="I2" s="1145"/>
      <c r="J2" s="1145"/>
      <c r="K2" s="1145"/>
      <c r="L2" s="1145"/>
    </row>
    <row r="3" spans="1:12">
      <c r="D3" s="1145"/>
      <c r="E3" s="1145"/>
      <c r="F3" s="1145"/>
      <c r="G3" s="1145"/>
      <c r="I3" s="1145"/>
      <c r="J3" s="1145"/>
      <c r="K3" s="1145"/>
      <c r="L3" s="1145"/>
    </row>
    <row r="14" spans="1:12" ht="40.5" customHeight="1">
      <c r="H14" s="247"/>
      <c r="I14" s="247"/>
      <c r="J14" s="247"/>
    </row>
    <row r="16" spans="1:12" ht="29.25" customHeight="1">
      <c r="A16" s="1143" t="s">
        <v>406</v>
      </c>
      <c r="B16" s="1143"/>
      <c r="C16" s="1143"/>
      <c r="D16" s="1143"/>
      <c r="E16" s="1143"/>
      <c r="F16" s="1143"/>
      <c r="G16" s="1143"/>
    </row>
    <row r="17" spans="1:9" ht="6" customHeight="1">
      <c r="H17" s="248"/>
      <c r="I17" s="248"/>
    </row>
    <row r="18" spans="1:9" ht="20.25">
      <c r="A18" s="1144" t="s">
        <v>405</v>
      </c>
      <c r="B18" s="1144"/>
      <c r="C18" s="1144"/>
      <c r="D18" s="1144"/>
      <c r="E18" s="1144"/>
      <c r="F18" s="1144"/>
      <c r="G18" s="1144"/>
    </row>
    <row r="19" spans="1:9" ht="64.5" customHeight="1"/>
    <row r="22" spans="1:9" ht="22.5" customHeight="1">
      <c r="B22" s="249" t="s">
        <v>408</v>
      </c>
    </row>
    <row r="23" spans="1:9" ht="22.5" customHeight="1">
      <c r="B23" s="249" t="s">
        <v>407</v>
      </c>
    </row>
    <row r="24" spans="1:9" ht="22.5" customHeight="1">
      <c r="B24" s="249" t="s">
        <v>409</v>
      </c>
    </row>
    <row r="25" spans="1:9" ht="22.5" customHeight="1">
      <c r="B25" s="249" t="s">
        <v>411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955"/>
  <sheetViews>
    <sheetView topLeftCell="A559" workbookViewId="0">
      <pane ySplit="2" topLeftCell="A561" activePane="bottomLeft" state="frozen"/>
      <selection activeCell="A559" sqref="A559"/>
      <selection pane="bottomLeft" activeCell="P883" sqref="P883:P886"/>
    </sheetView>
  </sheetViews>
  <sheetFormatPr defaultRowHeight="12.75"/>
  <cols>
    <col min="1" max="1" width="4.28515625" style="246" customWidth="1"/>
    <col min="2" max="2" width="30.85546875" style="246" customWidth="1"/>
    <col min="3" max="3" width="6.7109375" style="246" customWidth="1"/>
    <col min="4" max="4" width="9.85546875" style="429" customWidth="1"/>
    <col min="5" max="5" width="8.85546875" style="246" customWidth="1"/>
    <col min="6" max="6" width="28.140625" style="246" customWidth="1"/>
    <col min="7" max="9" width="9.140625" style="246" customWidth="1"/>
    <col min="10" max="10" width="10.5703125" style="246" customWidth="1"/>
    <col min="11" max="11" width="3.85546875" style="246" customWidth="1"/>
    <col min="12" max="12" width="18.28515625" style="246" customWidth="1"/>
    <col min="13" max="13" width="5.85546875" style="429" customWidth="1"/>
    <col min="14" max="14" width="7.85546875" style="429" customWidth="1"/>
    <col min="15" max="15" width="12" style="429" bestFit="1" customWidth="1"/>
    <col min="16" max="18" width="9.140625" style="246"/>
    <col min="19" max="19" width="15.140625" style="246" customWidth="1"/>
    <col min="20" max="16384" width="9.140625" style="246"/>
  </cols>
  <sheetData>
    <row r="1" spans="1:9">
      <c r="C1" s="1145"/>
      <c r="D1" s="1146"/>
      <c r="E1" s="1145"/>
      <c r="F1" s="1145"/>
    </row>
    <row r="2" spans="1:9">
      <c r="C2" s="1145"/>
      <c r="D2" s="1146"/>
      <c r="E2" s="1145"/>
      <c r="F2" s="1145"/>
    </row>
    <row r="3" spans="1:9">
      <c r="C3" s="1145"/>
      <c r="D3" s="1146"/>
      <c r="E3" s="1145"/>
      <c r="F3" s="1145"/>
    </row>
    <row r="8" spans="1:9" ht="74.25" customHeight="1">
      <c r="G8" s="247"/>
      <c r="H8" s="247"/>
      <c r="I8" s="247"/>
    </row>
    <row r="10" spans="1:9" ht="29.25" customHeight="1">
      <c r="A10" s="1143"/>
      <c r="B10" s="1143"/>
      <c r="C10" s="1143"/>
      <c r="D10" s="1147"/>
      <c r="E10" s="1143"/>
      <c r="F10" s="1143"/>
    </row>
    <row r="11" spans="1:9" ht="18.75" customHeight="1">
      <c r="G11" s="248"/>
      <c r="H11" s="248"/>
    </row>
    <row r="12" spans="1:9" ht="20.25">
      <c r="A12" s="1144"/>
      <c r="B12" s="1144"/>
      <c r="C12" s="1144"/>
      <c r="D12" s="1148"/>
      <c r="E12" s="1144"/>
      <c r="F12" s="1144"/>
    </row>
    <row r="13" spans="1:9" ht="18.75" customHeight="1">
      <c r="A13" s="246" t="s">
        <v>412</v>
      </c>
    </row>
    <row r="14" spans="1:9" ht="18.75" customHeight="1">
      <c r="A14" s="246" t="s">
        <v>413</v>
      </c>
    </row>
    <row r="15" spans="1:9" ht="18.75" customHeight="1">
      <c r="A15" s="246" t="s">
        <v>414</v>
      </c>
    </row>
    <row r="16" spans="1:9" ht="18.75" customHeight="1">
      <c r="A16" s="246" t="s">
        <v>415</v>
      </c>
    </row>
    <row r="17" spans="1:15" ht="18.75" customHeight="1">
      <c r="A17" s="246" t="s">
        <v>416</v>
      </c>
    </row>
    <row r="18" spans="1:15" ht="18.75" customHeight="1">
      <c r="A18" s="246" t="s">
        <v>417</v>
      </c>
    </row>
    <row r="19" spans="1:15" ht="18.75" customHeight="1">
      <c r="A19" s="246" t="s">
        <v>418</v>
      </c>
    </row>
    <row r="20" spans="1:15" ht="18.75" customHeight="1">
      <c r="A20" s="246" t="s">
        <v>410</v>
      </c>
    </row>
    <row r="24" spans="1:15" s="850" customFormat="1">
      <c r="A24" s="850">
        <v>1</v>
      </c>
      <c r="B24" s="850">
        <v>1</v>
      </c>
      <c r="C24" s="850">
        <v>1</v>
      </c>
      <c r="D24" s="852">
        <v>1</v>
      </c>
      <c r="E24" s="850">
        <v>1</v>
      </c>
      <c r="F24" s="850">
        <v>1</v>
      </c>
      <c r="G24" s="850">
        <v>1</v>
      </c>
      <c r="H24" s="850">
        <v>1</v>
      </c>
      <c r="I24" s="850">
        <v>1</v>
      </c>
      <c r="J24" s="853">
        <v>1</v>
      </c>
      <c r="K24" s="853">
        <v>1</v>
      </c>
      <c r="L24" s="853">
        <v>1</v>
      </c>
      <c r="M24" s="854"/>
      <c r="N24" s="854"/>
      <c r="O24" s="854"/>
    </row>
    <row r="25" spans="1:15">
      <c r="B25" s="191" t="s">
        <v>1178</v>
      </c>
      <c r="C25" s="253">
        <v>850</v>
      </c>
      <c r="D25" s="429">
        <v>30875</v>
      </c>
      <c r="E25" s="190">
        <v>42373</v>
      </c>
      <c r="F25" s="191" t="s">
        <v>1178</v>
      </c>
      <c r="G25" s="833" t="s">
        <v>1019</v>
      </c>
      <c r="H25" s="253"/>
      <c r="I25" s="253">
        <v>32500</v>
      </c>
      <c r="J25" s="874">
        <f>(I25-D25)*C25</f>
        <v>1381250</v>
      </c>
      <c r="K25" s="246">
        <v>1</v>
      </c>
      <c r="L25" s="246" t="s">
        <v>1207</v>
      </c>
      <c r="M25" s="429">
        <v>47</v>
      </c>
      <c r="N25" s="429">
        <v>12444</v>
      </c>
      <c r="O25" s="429">
        <f>ROUND(C25*D25,0)</f>
        <v>26243750</v>
      </c>
    </row>
    <row r="26" spans="1:15">
      <c r="B26" s="191" t="s">
        <v>1179</v>
      </c>
      <c r="C26" s="253">
        <v>650</v>
      </c>
      <c r="D26" s="429">
        <v>31496.975384615384</v>
      </c>
      <c r="E26" s="190">
        <v>42373</v>
      </c>
      <c r="F26" s="191" t="s">
        <v>1179</v>
      </c>
      <c r="G26" s="833" t="s">
        <v>1019</v>
      </c>
      <c r="H26" s="253"/>
      <c r="I26" s="253">
        <v>31700</v>
      </c>
      <c r="J26" s="874">
        <f t="shared" ref="J26:J89" si="0">(I26-D26)*C26</f>
        <v>131966.0000000007</v>
      </c>
      <c r="M26" s="246"/>
      <c r="N26" s="246"/>
      <c r="O26" s="246"/>
    </row>
    <row r="27" spans="1:15">
      <c r="B27" s="191" t="s">
        <v>1179</v>
      </c>
      <c r="C27" s="253">
        <v>200</v>
      </c>
      <c r="D27" s="429">
        <v>31155</v>
      </c>
      <c r="E27" s="190">
        <v>42373</v>
      </c>
      <c r="F27" s="191" t="s">
        <v>1179</v>
      </c>
      <c r="G27" s="833" t="s">
        <v>1019</v>
      </c>
      <c r="H27" s="253"/>
      <c r="I27" s="253">
        <v>31700</v>
      </c>
      <c r="J27" s="874">
        <f t="shared" si="0"/>
        <v>109000</v>
      </c>
      <c r="M27" s="246"/>
      <c r="N27" s="246"/>
      <c r="O27" s="246"/>
    </row>
    <row r="28" spans="1:15">
      <c r="B28" s="188" t="s">
        <v>451</v>
      </c>
      <c r="C28" s="253">
        <v>3000</v>
      </c>
      <c r="D28" s="429">
        <v>14250</v>
      </c>
      <c r="E28" s="190">
        <v>42373</v>
      </c>
      <c r="F28" s="188" t="s">
        <v>451</v>
      </c>
      <c r="G28" s="833" t="s">
        <v>1019</v>
      </c>
      <c r="H28" s="253"/>
      <c r="I28" s="253">
        <v>15000</v>
      </c>
      <c r="J28" s="874">
        <f t="shared" si="0"/>
        <v>2250000</v>
      </c>
      <c r="M28" s="246"/>
      <c r="N28" s="246"/>
      <c r="O28" s="246"/>
    </row>
    <row r="29" spans="1:15">
      <c r="B29" s="188" t="s">
        <v>450</v>
      </c>
      <c r="C29" s="253">
        <v>3000</v>
      </c>
      <c r="D29" s="429">
        <v>15675</v>
      </c>
      <c r="E29" s="190">
        <v>42373</v>
      </c>
      <c r="F29" s="188" t="s">
        <v>450</v>
      </c>
      <c r="G29" s="833" t="s">
        <v>1019</v>
      </c>
      <c r="H29" s="253"/>
      <c r="I29" s="253">
        <v>16500</v>
      </c>
      <c r="J29" s="874">
        <f t="shared" si="0"/>
        <v>2475000</v>
      </c>
      <c r="M29" s="246"/>
      <c r="N29" s="246"/>
      <c r="O29" s="246"/>
    </row>
    <row r="30" spans="1:15">
      <c r="E30" s="190">
        <v>42373</v>
      </c>
      <c r="F30" s="290" t="s">
        <v>448</v>
      </c>
      <c r="G30" s="833" t="s">
        <v>1020</v>
      </c>
      <c r="H30" s="253">
        <v>1000</v>
      </c>
      <c r="I30" s="253">
        <v>8700</v>
      </c>
      <c r="J30" s="874">
        <f t="shared" si="0"/>
        <v>0</v>
      </c>
      <c r="M30" s="246"/>
      <c r="N30" s="246"/>
      <c r="O30" s="246"/>
    </row>
    <row r="31" spans="1:15">
      <c r="E31" s="190">
        <v>42375</v>
      </c>
      <c r="F31" s="191" t="s">
        <v>1024</v>
      </c>
      <c r="G31" s="833" t="s">
        <v>1022</v>
      </c>
      <c r="H31" s="253">
        <v>55</v>
      </c>
      <c r="I31" s="253">
        <v>18080</v>
      </c>
      <c r="J31" s="874">
        <f t="shared" si="0"/>
        <v>0</v>
      </c>
      <c r="M31" s="246"/>
      <c r="N31" s="246"/>
      <c r="O31" s="246"/>
    </row>
    <row r="32" spans="1:15">
      <c r="B32" s="191" t="s">
        <v>922</v>
      </c>
      <c r="C32" s="254">
        <v>200</v>
      </c>
      <c r="D32" s="289">
        <v>10013</v>
      </c>
      <c r="E32" s="190">
        <v>42377</v>
      </c>
      <c r="F32" s="191" t="s">
        <v>922</v>
      </c>
      <c r="G32" s="833" t="s">
        <v>1025</v>
      </c>
      <c r="H32" s="254"/>
      <c r="I32" s="254">
        <v>16308</v>
      </c>
      <c r="J32" s="874">
        <f t="shared" si="0"/>
        <v>1259000</v>
      </c>
      <c r="K32" s="246">
        <v>1</v>
      </c>
      <c r="L32" s="246" t="s">
        <v>1217</v>
      </c>
      <c r="M32" s="429">
        <v>100</v>
      </c>
      <c r="N32" s="429">
        <v>8201</v>
      </c>
      <c r="O32" s="429">
        <f t="shared" ref="O32:O34" si="1">ROUND(C32*D32,0)</f>
        <v>2002600</v>
      </c>
    </row>
    <row r="33" spans="2:15">
      <c r="B33" s="191" t="s">
        <v>659</v>
      </c>
      <c r="C33" s="253">
        <v>1000</v>
      </c>
      <c r="D33" s="289">
        <v>8771</v>
      </c>
      <c r="E33" s="190">
        <v>42381</v>
      </c>
      <c r="F33" s="191" t="s">
        <v>659</v>
      </c>
      <c r="G33" s="833" t="s">
        <v>1026</v>
      </c>
      <c r="H33" s="253"/>
      <c r="I33" s="253">
        <v>9800</v>
      </c>
      <c r="J33" s="874">
        <f t="shared" si="0"/>
        <v>1029000</v>
      </c>
      <c r="K33" s="246">
        <v>1</v>
      </c>
      <c r="L33" s="246" t="s">
        <v>1177</v>
      </c>
      <c r="M33" s="429">
        <v>40</v>
      </c>
      <c r="N33" s="429">
        <v>20777</v>
      </c>
      <c r="O33" s="429">
        <f t="shared" si="1"/>
        <v>8771000</v>
      </c>
    </row>
    <row r="34" spans="2:15">
      <c r="B34" s="191" t="s">
        <v>924</v>
      </c>
      <c r="C34" s="253">
        <v>450</v>
      </c>
      <c r="D34" s="429">
        <v>18113</v>
      </c>
      <c r="E34" s="190">
        <v>42388</v>
      </c>
      <c r="F34" s="191" t="s">
        <v>924</v>
      </c>
      <c r="G34" s="833" t="s">
        <v>1027</v>
      </c>
      <c r="H34" s="253"/>
      <c r="I34" s="253">
        <v>24877</v>
      </c>
      <c r="J34" s="874">
        <f t="shared" si="0"/>
        <v>3043800</v>
      </c>
      <c r="K34" s="246">
        <v>1</v>
      </c>
      <c r="L34" s="246" t="s">
        <v>1169</v>
      </c>
      <c r="M34" s="429">
        <v>250</v>
      </c>
      <c r="N34" s="429">
        <v>9430</v>
      </c>
      <c r="O34" s="429">
        <f t="shared" si="1"/>
        <v>8150850</v>
      </c>
    </row>
    <row r="35" spans="2:15">
      <c r="B35" s="191" t="s">
        <v>939</v>
      </c>
      <c r="C35" s="253">
        <v>50</v>
      </c>
      <c r="D35" s="429">
        <v>21518</v>
      </c>
      <c r="E35" s="190">
        <v>42388</v>
      </c>
      <c r="F35" s="191" t="s">
        <v>939</v>
      </c>
      <c r="G35" s="833" t="s">
        <v>1027</v>
      </c>
      <c r="H35" s="253"/>
      <c r="I35" s="253">
        <v>22650</v>
      </c>
      <c r="J35" s="874">
        <f t="shared" si="0"/>
        <v>56600</v>
      </c>
      <c r="M35" s="246"/>
      <c r="N35" s="246"/>
      <c r="O35" s="246"/>
    </row>
    <row r="36" spans="2:15">
      <c r="E36" s="190"/>
      <c r="F36" s="191"/>
      <c r="G36" s="833"/>
      <c r="H36" s="253"/>
      <c r="I36" s="253"/>
      <c r="J36" s="874">
        <f t="shared" si="0"/>
        <v>0</v>
      </c>
      <c r="M36" s="246"/>
      <c r="N36" s="246"/>
      <c r="O36" s="246"/>
    </row>
    <row r="37" spans="2:15">
      <c r="B37" s="191"/>
      <c r="C37" s="253"/>
      <c r="D37" s="289"/>
      <c r="E37" s="190">
        <v>42388</v>
      </c>
      <c r="F37" s="191" t="s">
        <v>1303</v>
      </c>
      <c r="G37" s="833" t="s">
        <v>1028</v>
      </c>
      <c r="H37" s="253">
        <v>20</v>
      </c>
      <c r="I37" s="253">
        <v>33120</v>
      </c>
      <c r="J37" s="874">
        <f t="shared" si="0"/>
        <v>0</v>
      </c>
      <c r="M37" s="246"/>
      <c r="N37" s="246"/>
      <c r="O37" s="246"/>
    </row>
    <row r="38" spans="2:15">
      <c r="E38" s="190">
        <v>42388</v>
      </c>
      <c r="F38" s="188" t="s">
        <v>1304</v>
      </c>
      <c r="G38" s="833" t="s">
        <v>1028</v>
      </c>
      <c r="H38" s="253">
        <v>50</v>
      </c>
      <c r="I38" s="253">
        <v>6350</v>
      </c>
      <c r="J38" s="874">
        <f t="shared" si="0"/>
        <v>0</v>
      </c>
      <c r="M38" s="246"/>
      <c r="N38" s="246"/>
      <c r="O38" s="246"/>
    </row>
    <row r="39" spans="2:15">
      <c r="B39" s="191" t="s">
        <v>930</v>
      </c>
      <c r="C39" s="253">
        <v>270</v>
      </c>
      <c r="D39" s="289">
        <v>20147</v>
      </c>
      <c r="E39" s="190">
        <v>42394</v>
      </c>
      <c r="F39" s="191" t="s">
        <v>930</v>
      </c>
      <c r="G39" s="833" t="s">
        <v>1029</v>
      </c>
      <c r="H39" s="253"/>
      <c r="I39" s="253">
        <v>29190</v>
      </c>
      <c r="J39" s="874">
        <f t="shared" si="0"/>
        <v>2441610</v>
      </c>
      <c r="K39" s="246">
        <v>1</v>
      </c>
      <c r="L39" s="246" t="s">
        <v>1160</v>
      </c>
      <c r="M39" s="429">
        <v>60</v>
      </c>
      <c r="N39" s="429">
        <v>17250</v>
      </c>
      <c r="O39" s="429">
        <f>ROUND(C39*D39,0)</f>
        <v>5439690</v>
      </c>
    </row>
    <row r="40" spans="2:15">
      <c r="E40" s="190"/>
      <c r="F40" s="191"/>
      <c r="G40" s="833"/>
      <c r="H40" s="253"/>
      <c r="I40" s="253"/>
      <c r="J40" s="874">
        <f t="shared" si="0"/>
        <v>0</v>
      </c>
      <c r="M40" s="246"/>
      <c r="N40" s="246"/>
      <c r="O40" s="246"/>
    </row>
    <row r="41" spans="2:15">
      <c r="B41" s="191" t="s">
        <v>690</v>
      </c>
      <c r="C41" s="253">
        <v>200</v>
      </c>
      <c r="D41" s="289">
        <v>4557</v>
      </c>
      <c r="E41" s="190">
        <v>42394</v>
      </c>
      <c r="F41" s="191" t="s">
        <v>690</v>
      </c>
      <c r="G41" s="833" t="s">
        <v>1030</v>
      </c>
      <c r="H41" s="253"/>
      <c r="I41" s="253">
        <v>6000</v>
      </c>
      <c r="J41" s="874">
        <f t="shared" si="0"/>
        <v>288600</v>
      </c>
      <c r="M41" s="246"/>
      <c r="N41" s="246"/>
      <c r="O41" s="246"/>
    </row>
    <row r="42" spans="2:15">
      <c r="B42" s="191" t="s">
        <v>972</v>
      </c>
      <c r="C42" s="253">
        <v>50</v>
      </c>
      <c r="D42" s="289">
        <v>37478</v>
      </c>
      <c r="E42" s="190">
        <v>42398</v>
      </c>
      <c r="F42" s="191" t="s">
        <v>972</v>
      </c>
      <c r="G42" s="833" t="s">
        <v>1031</v>
      </c>
      <c r="H42" s="253"/>
      <c r="I42" s="253">
        <v>39451</v>
      </c>
      <c r="J42" s="874">
        <f t="shared" si="0"/>
        <v>98650</v>
      </c>
      <c r="M42" s="246"/>
      <c r="N42" s="246"/>
      <c r="O42" s="246"/>
    </row>
    <row r="43" spans="2:15">
      <c r="B43" s="191" t="s">
        <v>973</v>
      </c>
      <c r="C43" s="253">
        <v>14</v>
      </c>
      <c r="D43" s="289">
        <v>57615</v>
      </c>
      <c r="E43" s="190">
        <v>42398</v>
      </c>
      <c r="F43" s="191" t="s">
        <v>973</v>
      </c>
      <c r="G43" s="833" t="s">
        <v>1031</v>
      </c>
      <c r="H43" s="253"/>
      <c r="I43" s="253">
        <v>60648</v>
      </c>
      <c r="J43" s="874">
        <f t="shared" si="0"/>
        <v>42462</v>
      </c>
      <c r="M43" s="246"/>
      <c r="N43" s="246"/>
      <c r="O43" s="246"/>
    </row>
    <row r="44" spans="2:15">
      <c r="B44" s="191" t="s">
        <v>974</v>
      </c>
      <c r="C44" s="253">
        <v>12</v>
      </c>
      <c r="D44" s="429">
        <v>65702</v>
      </c>
      <c r="E44" s="190">
        <v>42398</v>
      </c>
      <c r="F44" s="191" t="s">
        <v>974</v>
      </c>
      <c r="G44" s="833" t="s">
        <v>1031</v>
      </c>
      <c r="H44" s="253"/>
      <c r="I44" s="253">
        <v>69160</v>
      </c>
      <c r="J44" s="874">
        <f t="shared" si="0"/>
        <v>41496</v>
      </c>
      <c r="M44" s="246"/>
      <c r="N44" s="246"/>
      <c r="O44" s="246"/>
    </row>
    <row r="45" spans="2:15">
      <c r="B45" s="191" t="s">
        <v>974</v>
      </c>
      <c r="C45" s="253">
        <v>12</v>
      </c>
      <c r="D45" s="429">
        <v>65702</v>
      </c>
      <c r="E45" s="190">
        <v>42398</v>
      </c>
      <c r="F45" s="191" t="s">
        <v>974</v>
      </c>
      <c r="G45" s="833" t="s">
        <v>1031</v>
      </c>
      <c r="H45" s="253"/>
      <c r="I45" s="253">
        <v>69160</v>
      </c>
      <c r="J45" s="874">
        <f t="shared" si="0"/>
        <v>41496</v>
      </c>
      <c r="M45" s="246"/>
      <c r="N45" s="246"/>
      <c r="O45" s="246"/>
    </row>
    <row r="46" spans="2:15">
      <c r="B46" s="191" t="s">
        <v>975</v>
      </c>
      <c r="C46" s="253">
        <v>18</v>
      </c>
      <c r="D46" s="289">
        <v>42345</v>
      </c>
      <c r="E46" s="190">
        <v>42398</v>
      </c>
      <c r="F46" s="191" t="s">
        <v>975</v>
      </c>
      <c r="G46" s="833" t="s">
        <v>1031</v>
      </c>
      <c r="H46" s="253"/>
      <c r="I46" s="253">
        <v>44574</v>
      </c>
      <c r="J46" s="874">
        <f t="shared" si="0"/>
        <v>40122</v>
      </c>
      <c r="M46" s="246"/>
      <c r="N46" s="246"/>
      <c r="O46" s="246"/>
    </row>
    <row r="47" spans="2:15">
      <c r="B47" s="191" t="s">
        <v>975</v>
      </c>
      <c r="C47" s="253">
        <v>18</v>
      </c>
      <c r="D47" s="289">
        <v>42345</v>
      </c>
      <c r="E47" s="190">
        <v>42398</v>
      </c>
      <c r="F47" s="191" t="s">
        <v>975</v>
      </c>
      <c r="G47" s="833" t="s">
        <v>1031</v>
      </c>
      <c r="H47" s="253"/>
      <c r="I47" s="253">
        <v>44574</v>
      </c>
      <c r="J47" s="874">
        <f t="shared" si="0"/>
        <v>40122</v>
      </c>
      <c r="M47" s="246"/>
      <c r="N47" s="246"/>
      <c r="O47" s="246"/>
    </row>
    <row r="48" spans="2:15">
      <c r="B48" s="191" t="s">
        <v>976</v>
      </c>
      <c r="C48" s="253">
        <v>5</v>
      </c>
      <c r="D48" s="289">
        <v>137324</v>
      </c>
      <c r="E48" s="190">
        <v>42398</v>
      </c>
      <c r="F48" s="191" t="s">
        <v>976</v>
      </c>
      <c r="G48" s="833" t="s">
        <v>1031</v>
      </c>
      <c r="H48" s="253"/>
      <c r="I48" s="253">
        <v>144552</v>
      </c>
      <c r="J48" s="874">
        <f t="shared" si="0"/>
        <v>36140</v>
      </c>
      <c r="M48" s="246"/>
      <c r="N48" s="246"/>
      <c r="O48" s="246"/>
    </row>
    <row r="49" spans="2:15">
      <c r="B49" s="191" t="s">
        <v>977</v>
      </c>
      <c r="C49" s="25">
        <v>14</v>
      </c>
      <c r="D49" s="289">
        <v>45847</v>
      </c>
      <c r="E49" s="190">
        <v>42398</v>
      </c>
      <c r="F49" s="191" t="s">
        <v>977</v>
      </c>
      <c r="G49" s="833" t="s">
        <v>1031</v>
      </c>
      <c r="H49" s="253"/>
      <c r="I49" s="253">
        <v>48260</v>
      </c>
      <c r="J49" s="874">
        <f t="shared" si="0"/>
        <v>33782</v>
      </c>
      <c r="M49" s="246"/>
      <c r="N49" s="246"/>
      <c r="O49" s="246"/>
    </row>
    <row r="50" spans="2:15">
      <c r="B50" s="191" t="s">
        <v>977</v>
      </c>
      <c r="C50" s="25">
        <v>14</v>
      </c>
      <c r="D50" s="289">
        <v>45847</v>
      </c>
      <c r="E50" s="190">
        <v>42398</v>
      </c>
      <c r="F50" s="191" t="s">
        <v>977</v>
      </c>
      <c r="G50" s="833" t="s">
        <v>1031</v>
      </c>
      <c r="H50" s="253"/>
      <c r="I50" s="253">
        <v>48260</v>
      </c>
      <c r="J50" s="874">
        <f t="shared" si="0"/>
        <v>33782</v>
      </c>
      <c r="M50" s="246"/>
      <c r="N50" s="246"/>
      <c r="O50" s="246"/>
    </row>
    <row r="51" spans="2:15">
      <c r="B51" s="191" t="s">
        <v>978</v>
      </c>
      <c r="C51" s="253">
        <v>8</v>
      </c>
      <c r="D51" s="289">
        <v>49818</v>
      </c>
      <c r="E51" s="190">
        <v>42398</v>
      </c>
      <c r="F51" s="191" t="s">
        <v>978</v>
      </c>
      <c r="G51" s="833" t="s">
        <v>1031</v>
      </c>
      <c r="H51" s="253"/>
      <c r="I51" s="253">
        <v>52440</v>
      </c>
      <c r="J51" s="874">
        <f t="shared" si="0"/>
        <v>20976</v>
      </c>
      <c r="M51" s="246"/>
      <c r="N51" s="246"/>
      <c r="O51" s="246"/>
    </row>
    <row r="52" spans="2:15">
      <c r="B52" s="191" t="s">
        <v>979</v>
      </c>
      <c r="C52" s="253">
        <v>8</v>
      </c>
      <c r="D52" s="289">
        <v>69492</v>
      </c>
      <c r="E52" s="190">
        <v>42398</v>
      </c>
      <c r="F52" s="191" t="s">
        <v>979</v>
      </c>
      <c r="G52" s="833" t="s">
        <v>1031</v>
      </c>
      <c r="H52" s="253"/>
      <c r="I52" s="253">
        <v>73150</v>
      </c>
      <c r="J52" s="874">
        <f t="shared" si="0"/>
        <v>29264</v>
      </c>
      <c r="M52" s="246"/>
      <c r="N52" s="246"/>
      <c r="O52" s="246"/>
    </row>
    <row r="53" spans="2:15">
      <c r="B53" s="191" t="s">
        <v>980</v>
      </c>
      <c r="C53" s="253">
        <v>8</v>
      </c>
      <c r="D53" s="289">
        <v>61370</v>
      </c>
      <c r="E53" s="190">
        <v>42398</v>
      </c>
      <c r="F53" s="191" t="s">
        <v>980</v>
      </c>
      <c r="G53" s="833" t="s">
        <v>1031</v>
      </c>
      <c r="H53" s="253"/>
      <c r="I53" s="253">
        <v>64600</v>
      </c>
      <c r="J53" s="874">
        <f t="shared" si="0"/>
        <v>25840</v>
      </c>
      <c r="M53" s="246"/>
      <c r="N53" s="246"/>
      <c r="O53" s="246"/>
    </row>
    <row r="54" spans="2:15">
      <c r="B54" s="191" t="s">
        <v>981</v>
      </c>
      <c r="C54" s="253">
        <v>10</v>
      </c>
      <c r="D54" s="289">
        <v>51893</v>
      </c>
      <c r="E54" s="190">
        <v>42398</v>
      </c>
      <c r="F54" s="191" t="s">
        <v>981</v>
      </c>
      <c r="G54" s="833" t="s">
        <v>1031</v>
      </c>
      <c r="H54" s="253"/>
      <c r="I54" s="253">
        <v>54625</v>
      </c>
      <c r="J54" s="874">
        <f t="shared" si="0"/>
        <v>27320</v>
      </c>
      <c r="M54" s="246"/>
      <c r="N54" s="246"/>
      <c r="O54" s="246"/>
    </row>
    <row r="55" spans="2:15">
      <c r="B55" s="191" t="s">
        <v>982</v>
      </c>
      <c r="C55" s="253">
        <v>12</v>
      </c>
      <c r="D55" s="289">
        <v>30548</v>
      </c>
      <c r="E55" s="190">
        <v>42398</v>
      </c>
      <c r="F55" s="191" t="s">
        <v>982</v>
      </c>
      <c r="G55" s="833" t="s">
        <v>1031</v>
      </c>
      <c r="H55" s="253"/>
      <c r="I55" s="253">
        <v>32156</v>
      </c>
      <c r="J55" s="874">
        <f t="shared" si="0"/>
        <v>19296</v>
      </c>
      <c r="M55" s="246"/>
      <c r="N55" s="246"/>
      <c r="O55" s="246"/>
    </row>
    <row r="56" spans="2:15">
      <c r="B56" s="191" t="s">
        <v>558</v>
      </c>
      <c r="C56" s="253">
        <v>12</v>
      </c>
      <c r="D56" s="429">
        <v>32770</v>
      </c>
      <c r="E56" s="190">
        <v>42398</v>
      </c>
      <c r="F56" s="191" t="s">
        <v>558</v>
      </c>
      <c r="G56" s="833" t="s">
        <v>1031</v>
      </c>
      <c r="H56" s="253"/>
      <c r="I56" s="253">
        <v>31612</v>
      </c>
      <c r="J56" s="874">
        <f t="shared" si="0"/>
        <v>-13896</v>
      </c>
      <c r="M56" s="246"/>
      <c r="N56" s="246"/>
      <c r="O56" s="246"/>
    </row>
    <row r="57" spans="2:15">
      <c r="B57" s="191" t="s">
        <v>983</v>
      </c>
      <c r="C57" s="253">
        <v>6</v>
      </c>
      <c r="D57" s="429">
        <v>71080</v>
      </c>
      <c r="E57" s="190">
        <v>42398</v>
      </c>
      <c r="F57" s="191" t="s">
        <v>983</v>
      </c>
      <c r="G57" s="833" t="s">
        <v>1031</v>
      </c>
      <c r="H57" s="253"/>
      <c r="I57" s="253">
        <v>74822</v>
      </c>
      <c r="J57" s="874">
        <f t="shared" si="0"/>
        <v>22452</v>
      </c>
      <c r="M57" s="246"/>
      <c r="N57" s="246"/>
      <c r="O57" s="246"/>
    </row>
    <row r="58" spans="2:15">
      <c r="B58" s="191" t="s">
        <v>1082</v>
      </c>
      <c r="C58" s="253">
        <v>8</v>
      </c>
      <c r="D58" s="289">
        <v>20995</v>
      </c>
      <c r="E58" s="190">
        <v>42398</v>
      </c>
      <c r="F58" s="191" t="s">
        <v>1082</v>
      </c>
      <c r="G58" s="833" t="s">
        <v>1031</v>
      </c>
      <c r="H58" s="253"/>
      <c r="I58" s="253">
        <v>22100</v>
      </c>
      <c r="J58" s="874">
        <f t="shared" si="0"/>
        <v>8840</v>
      </c>
      <c r="M58" s="246"/>
      <c r="N58" s="246"/>
      <c r="O58" s="246"/>
    </row>
    <row r="59" spans="2:15">
      <c r="B59" s="191" t="s">
        <v>1083</v>
      </c>
      <c r="C59" s="253">
        <v>6</v>
      </c>
      <c r="D59" s="289">
        <v>33820</v>
      </c>
      <c r="E59" s="190">
        <v>42398</v>
      </c>
      <c r="F59" s="191" t="s">
        <v>1083</v>
      </c>
      <c r="G59" s="833" t="s">
        <v>1031</v>
      </c>
      <c r="H59" s="253"/>
      <c r="I59" s="253">
        <v>35600</v>
      </c>
      <c r="J59" s="874">
        <f t="shared" si="0"/>
        <v>10680</v>
      </c>
      <c r="M59" s="246"/>
      <c r="N59" s="246"/>
      <c r="O59" s="246"/>
    </row>
    <row r="60" spans="2:15">
      <c r="B60" s="191" t="s">
        <v>1084</v>
      </c>
      <c r="C60" s="253">
        <v>4</v>
      </c>
      <c r="D60" s="289">
        <v>25251</v>
      </c>
      <c r="E60" s="190">
        <v>42398</v>
      </c>
      <c r="F60" s="191" t="s">
        <v>1084</v>
      </c>
      <c r="G60" s="833" t="s">
        <v>1031</v>
      </c>
      <c r="H60" s="253"/>
      <c r="I60" s="253">
        <v>26580</v>
      </c>
      <c r="J60" s="874">
        <f t="shared" si="0"/>
        <v>5316</v>
      </c>
      <c r="M60" s="246"/>
      <c r="N60" s="246"/>
      <c r="O60" s="246"/>
    </row>
    <row r="61" spans="2:15">
      <c r="B61" s="191" t="s">
        <v>986</v>
      </c>
      <c r="C61" s="253">
        <v>10</v>
      </c>
      <c r="D61" s="289">
        <v>97297</v>
      </c>
      <c r="E61" s="190">
        <v>42398</v>
      </c>
      <c r="F61" s="191" t="s">
        <v>986</v>
      </c>
      <c r="G61" s="833" t="s">
        <v>1031</v>
      </c>
      <c r="H61" s="253"/>
      <c r="I61" s="253">
        <v>102418</v>
      </c>
      <c r="J61" s="874">
        <f t="shared" si="0"/>
        <v>51210</v>
      </c>
      <c r="M61" s="246"/>
      <c r="N61" s="246"/>
      <c r="O61" s="246"/>
    </row>
    <row r="62" spans="2:15">
      <c r="B62" s="191" t="s">
        <v>987</v>
      </c>
      <c r="C62" s="25">
        <v>10</v>
      </c>
      <c r="D62" s="289">
        <v>75503</v>
      </c>
      <c r="E62" s="190">
        <v>42398</v>
      </c>
      <c r="F62" s="191" t="s">
        <v>987</v>
      </c>
      <c r="G62" s="833" t="s">
        <v>1031</v>
      </c>
      <c r="H62" s="253"/>
      <c r="I62" s="253">
        <v>79477</v>
      </c>
      <c r="J62" s="874">
        <f t="shared" si="0"/>
        <v>39740</v>
      </c>
      <c r="M62" s="246"/>
      <c r="N62" s="246"/>
      <c r="O62" s="246"/>
    </row>
    <row r="63" spans="2:15">
      <c r="B63" s="191" t="s">
        <v>1085</v>
      </c>
      <c r="C63" s="25">
        <v>12</v>
      </c>
      <c r="D63" s="289">
        <v>66205</v>
      </c>
      <c r="E63" s="190">
        <v>42398</v>
      </c>
      <c r="F63" s="191" t="s">
        <v>1085</v>
      </c>
      <c r="G63" s="833" t="s">
        <v>1031</v>
      </c>
      <c r="H63" s="253"/>
      <c r="I63" s="253">
        <v>69690</v>
      </c>
      <c r="J63" s="874">
        <f t="shared" si="0"/>
        <v>41820</v>
      </c>
      <c r="M63" s="246"/>
      <c r="N63" s="246"/>
      <c r="O63" s="246"/>
    </row>
    <row r="64" spans="2:15">
      <c r="B64" s="191" t="s">
        <v>1086</v>
      </c>
      <c r="C64" s="253">
        <v>10</v>
      </c>
      <c r="D64" s="289">
        <v>131455</v>
      </c>
      <c r="E64" s="190">
        <v>42398</v>
      </c>
      <c r="F64" s="191" t="s">
        <v>1086</v>
      </c>
      <c r="G64" s="833" t="s">
        <v>1031</v>
      </c>
      <c r="H64" s="253"/>
      <c r="I64" s="253">
        <v>138374</v>
      </c>
      <c r="J64" s="874">
        <f t="shared" si="0"/>
        <v>69190</v>
      </c>
      <c r="M64" s="246"/>
      <c r="N64" s="246"/>
      <c r="O64" s="246"/>
    </row>
    <row r="65" spans="2:15">
      <c r="B65" s="191" t="s">
        <v>1087</v>
      </c>
      <c r="C65" s="253">
        <v>10</v>
      </c>
      <c r="D65" s="289">
        <v>150948</v>
      </c>
      <c r="E65" s="190">
        <v>42398</v>
      </c>
      <c r="F65" s="191" t="s">
        <v>1087</v>
      </c>
      <c r="G65" s="833" t="s">
        <v>1031</v>
      </c>
      <c r="H65" s="253"/>
      <c r="I65" s="253">
        <v>158893</v>
      </c>
      <c r="J65" s="874">
        <f t="shared" si="0"/>
        <v>79450</v>
      </c>
      <c r="M65" s="246"/>
      <c r="N65" s="246"/>
      <c r="O65" s="246"/>
    </row>
    <row r="66" spans="2:15">
      <c r="B66" s="191" t="s">
        <v>1088</v>
      </c>
      <c r="C66" s="25">
        <v>16</v>
      </c>
      <c r="D66" s="289">
        <v>63125</v>
      </c>
      <c r="E66" s="190">
        <v>42398</v>
      </c>
      <c r="F66" s="191" t="s">
        <v>1088</v>
      </c>
      <c r="G66" s="833" t="s">
        <v>1031</v>
      </c>
      <c r="H66" s="253"/>
      <c r="I66" s="253">
        <v>66448</v>
      </c>
      <c r="J66" s="874">
        <f t="shared" si="0"/>
        <v>53168</v>
      </c>
      <c r="M66" s="246"/>
      <c r="N66" s="246"/>
      <c r="O66" s="246"/>
    </row>
    <row r="67" spans="2:15">
      <c r="B67" s="191" t="s">
        <v>1089</v>
      </c>
      <c r="C67" s="25">
        <v>10</v>
      </c>
      <c r="D67" s="289">
        <v>45595</v>
      </c>
      <c r="E67" s="190">
        <v>42398</v>
      </c>
      <c r="F67" s="191" t="s">
        <v>1089</v>
      </c>
      <c r="G67" s="833" t="s">
        <v>1031</v>
      </c>
      <c r="H67" s="253"/>
      <c r="I67" s="253">
        <v>47995</v>
      </c>
      <c r="J67" s="874">
        <f t="shared" si="0"/>
        <v>24000</v>
      </c>
      <c r="M67" s="246"/>
      <c r="N67" s="246"/>
      <c r="O67" s="246"/>
    </row>
    <row r="68" spans="2:15">
      <c r="B68" s="191" t="s">
        <v>1090</v>
      </c>
      <c r="C68" s="253">
        <v>20</v>
      </c>
      <c r="D68" s="289">
        <v>40788</v>
      </c>
      <c r="E68" s="190">
        <v>42398</v>
      </c>
      <c r="F68" s="191" t="s">
        <v>1090</v>
      </c>
      <c r="G68" s="833" t="s">
        <v>1031</v>
      </c>
      <c r="H68" s="253"/>
      <c r="I68" s="253">
        <v>42935</v>
      </c>
      <c r="J68" s="874">
        <f t="shared" si="0"/>
        <v>42940</v>
      </c>
      <c r="M68" s="246"/>
      <c r="N68" s="246"/>
      <c r="O68" s="246"/>
    </row>
    <row r="69" spans="2:15">
      <c r="B69" s="191" t="s">
        <v>664</v>
      </c>
      <c r="C69" s="253">
        <v>210</v>
      </c>
      <c r="D69" s="289">
        <v>82473</v>
      </c>
      <c r="E69" s="190">
        <v>42399</v>
      </c>
      <c r="F69" s="191" t="s">
        <v>664</v>
      </c>
      <c r="G69" s="833" t="s">
        <v>1032</v>
      </c>
      <c r="H69" s="253"/>
      <c r="I69" s="253">
        <v>86596.652380952379</v>
      </c>
      <c r="J69" s="874">
        <f t="shared" si="0"/>
        <v>865966.99999999953</v>
      </c>
      <c r="K69" s="246">
        <v>1</v>
      </c>
      <c r="L69" s="246" t="s">
        <v>1284</v>
      </c>
      <c r="M69" s="429">
        <v>15</v>
      </c>
      <c r="N69" s="429">
        <v>24472</v>
      </c>
      <c r="O69" s="429">
        <f t="shared" ref="O69:O71" si="2">ROUND(C69*D69,0)</f>
        <v>17319330</v>
      </c>
    </row>
    <row r="70" spans="2:15">
      <c r="B70" s="191" t="s">
        <v>683</v>
      </c>
      <c r="C70" s="253">
        <v>210</v>
      </c>
      <c r="D70" s="289">
        <v>54982</v>
      </c>
      <c r="E70" s="190">
        <v>42399</v>
      </c>
      <c r="F70" s="191" t="s">
        <v>683</v>
      </c>
      <c r="G70" s="833" t="s">
        <v>1032</v>
      </c>
      <c r="H70" s="253"/>
      <c r="I70" s="253">
        <v>57731.1</v>
      </c>
      <c r="J70" s="874">
        <f t="shared" si="0"/>
        <v>577310.99999999965</v>
      </c>
      <c r="K70" s="246">
        <v>1</v>
      </c>
      <c r="L70" s="246" t="s">
        <v>1117</v>
      </c>
      <c r="M70" s="429">
        <v>28</v>
      </c>
      <c r="N70" s="429">
        <v>13988</v>
      </c>
      <c r="O70" s="429">
        <f t="shared" si="2"/>
        <v>11546220</v>
      </c>
    </row>
    <row r="71" spans="2:15">
      <c r="B71" s="191" t="s">
        <v>921</v>
      </c>
      <c r="C71" s="253">
        <v>916</v>
      </c>
      <c r="D71" s="289">
        <v>6442</v>
      </c>
      <c r="E71" s="190">
        <v>42399</v>
      </c>
      <c r="F71" s="191" t="s">
        <v>921</v>
      </c>
      <c r="G71" s="833" t="s">
        <v>1032</v>
      </c>
      <c r="H71" s="253"/>
      <c r="I71" s="253">
        <v>7473</v>
      </c>
      <c r="J71" s="874">
        <f t="shared" si="0"/>
        <v>944396</v>
      </c>
      <c r="K71" s="246">
        <v>1</v>
      </c>
      <c r="L71" s="246" t="s">
        <v>1171</v>
      </c>
      <c r="M71" s="429">
        <v>40</v>
      </c>
      <c r="N71" s="429">
        <v>19188</v>
      </c>
      <c r="O71" s="429">
        <f t="shared" si="2"/>
        <v>5900872</v>
      </c>
    </row>
    <row r="72" spans="2:15">
      <c r="B72" s="191" t="s">
        <v>938</v>
      </c>
      <c r="C72" s="25">
        <v>125</v>
      </c>
      <c r="D72" s="289">
        <v>18548</v>
      </c>
      <c r="E72" s="190">
        <v>42399</v>
      </c>
      <c r="F72" s="191" t="s">
        <v>938</v>
      </c>
      <c r="G72" s="833" t="s">
        <v>1033</v>
      </c>
      <c r="H72" s="253"/>
      <c r="I72" s="253">
        <v>18648</v>
      </c>
      <c r="J72" s="874">
        <f t="shared" si="0"/>
        <v>12500</v>
      </c>
      <c r="M72" s="246"/>
      <c r="N72" s="246"/>
      <c r="O72" s="246"/>
    </row>
    <row r="73" spans="2:15">
      <c r="E73" s="190">
        <v>42401</v>
      </c>
      <c r="F73" s="290" t="s">
        <v>448</v>
      </c>
      <c r="G73" s="833" t="s">
        <v>1038</v>
      </c>
      <c r="H73" s="253">
        <v>1000</v>
      </c>
      <c r="I73" s="253">
        <v>8700</v>
      </c>
      <c r="J73" s="874">
        <f t="shared" si="0"/>
        <v>0</v>
      </c>
      <c r="M73" s="246"/>
      <c r="N73" s="246"/>
      <c r="O73" s="246"/>
    </row>
    <row r="74" spans="2:15">
      <c r="B74" s="191" t="s">
        <v>937</v>
      </c>
      <c r="C74" s="253">
        <v>396</v>
      </c>
      <c r="D74" s="429">
        <v>18113</v>
      </c>
      <c r="E74" s="190">
        <v>42401</v>
      </c>
      <c r="F74" s="191" t="s">
        <v>937</v>
      </c>
      <c r="G74" s="833" t="s">
        <v>1039</v>
      </c>
      <c r="H74" s="253"/>
      <c r="I74" s="253">
        <v>24877</v>
      </c>
      <c r="J74" s="874">
        <f t="shared" si="0"/>
        <v>2678544</v>
      </c>
      <c r="K74" s="246">
        <v>1</v>
      </c>
      <c r="L74" s="246" t="s">
        <v>1161</v>
      </c>
      <c r="M74" s="429">
        <v>140</v>
      </c>
      <c r="N74" s="429">
        <v>16662</v>
      </c>
      <c r="O74" s="429">
        <f t="shared" ref="O74:O75" si="3">ROUND(C74*D74,0)</f>
        <v>7172748</v>
      </c>
    </row>
    <row r="75" spans="2:15">
      <c r="B75" s="191" t="s">
        <v>939</v>
      </c>
      <c r="C75" s="253">
        <v>150</v>
      </c>
      <c r="D75" s="429">
        <v>14466</v>
      </c>
      <c r="E75" s="190">
        <v>42401</v>
      </c>
      <c r="F75" s="191" t="s">
        <v>939</v>
      </c>
      <c r="G75" s="833" t="s">
        <v>1039</v>
      </c>
      <c r="H75" s="253"/>
      <c r="I75" s="253">
        <v>22650</v>
      </c>
      <c r="J75" s="874">
        <f t="shared" si="0"/>
        <v>1227600</v>
      </c>
      <c r="K75" s="246">
        <v>1</v>
      </c>
      <c r="L75" s="246" t="s">
        <v>1158</v>
      </c>
      <c r="M75" s="429">
        <v>88</v>
      </c>
      <c r="N75" s="429">
        <v>11155</v>
      </c>
      <c r="O75" s="429">
        <f t="shared" si="3"/>
        <v>2169900</v>
      </c>
    </row>
    <row r="76" spans="2:15">
      <c r="E76" s="190"/>
      <c r="F76" s="191"/>
      <c r="G76" s="833"/>
      <c r="H76" s="253"/>
      <c r="I76" s="253"/>
      <c r="J76" s="874">
        <f t="shared" si="0"/>
        <v>0</v>
      </c>
      <c r="M76" s="246"/>
      <c r="N76" s="246"/>
      <c r="O76" s="246"/>
    </row>
    <row r="77" spans="2:15">
      <c r="B77" s="191" t="s">
        <v>659</v>
      </c>
      <c r="C77" s="253">
        <v>1000</v>
      </c>
      <c r="D77" s="289">
        <v>8771</v>
      </c>
      <c r="E77" s="190">
        <v>42402</v>
      </c>
      <c r="F77" s="191" t="s">
        <v>659</v>
      </c>
      <c r="G77" s="833" t="s">
        <v>1040</v>
      </c>
      <c r="H77" s="253"/>
      <c r="I77" s="253">
        <v>9800</v>
      </c>
      <c r="J77" s="874">
        <f t="shared" si="0"/>
        <v>1029000</v>
      </c>
      <c r="K77" s="246">
        <v>1</v>
      </c>
      <c r="L77" s="246" t="s">
        <v>1165</v>
      </c>
      <c r="M77" s="429">
        <v>33</v>
      </c>
      <c r="N77" s="429">
        <v>24385</v>
      </c>
      <c r="O77" s="429">
        <f t="shared" ref="O77:O79" si="4">ROUND(C77*D77,0)</f>
        <v>8771000</v>
      </c>
    </row>
    <row r="78" spans="2:15">
      <c r="B78" s="191" t="s">
        <v>659</v>
      </c>
      <c r="C78" s="253">
        <v>1000</v>
      </c>
      <c r="D78" s="289">
        <v>8771</v>
      </c>
      <c r="E78" s="190">
        <v>42416</v>
      </c>
      <c r="F78" s="191" t="s">
        <v>659</v>
      </c>
      <c r="G78" s="833" t="s">
        <v>1043</v>
      </c>
      <c r="H78" s="253"/>
      <c r="I78" s="253">
        <v>9800</v>
      </c>
      <c r="J78" s="874">
        <f t="shared" si="0"/>
        <v>1029000</v>
      </c>
      <c r="K78" s="246">
        <v>1</v>
      </c>
      <c r="L78" s="246" t="s">
        <v>1128</v>
      </c>
      <c r="M78" s="429">
        <v>33</v>
      </c>
      <c r="N78" s="429">
        <v>21197</v>
      </c>
      <c r="O78" s="429">
        <f t="shared" si="4"/>
        <v>8771000</v>
      </c>
    </row>
    <row r="79" spans="2:15">
      <c r="B79" s="191" t="s">
        <v>637</v>
      </c>
      <c r="C79" s="253">
        <v>438</v>
      </c>
      <c r="D79" s="289">
        <v>5736.7419354838712</v>
      </c>
      <c r="E79" s="190">
        <v>42416</v>
      </c>
      <c r="F79" s="191" t="s">
        <v>637</v>
      </c>
      <c r="G79" s="833" t="s">
        <v>1044</v>
      </c>
      <c r="H79" s="253"/>
      <c r="I79" s="253">
        <v>6881</v>
      </c>
      <c r="J79" s="874">
        <f t="shared" si="0"/>
        <v>501185.03225806443</v>
      </c>
      <c r="K79" s="246">
        <v>1</v>
      </c>
      <c r="L79" s="246" t="s">
        <v>1140</v>
      </c>
      <c r="M79" s="429">
        <v>16</v>
      </c>
      <c r="N79" s="429">
        <v>21547.5</v>
      </c>
      <c r="O79" s="429">
        <f t="shared" si="4"/>
        <v>2512693</v>
      </c>
    </row>
    <row r="80" spans="2:15">
      <c r="B80" s="191" t="s">
        <v>945</v>
      </c>
      <c r="C80" s="253">
        <v>500</v>
      </c>
      <c r="D80" s="429">
        <v>12341</v>
      </c>
      <c r="E80" s="190">
        <v>42420</v>
      </c>
      <c r="F80" s="191" t="s">
        <v>945</v>
      </c>
      <c r="G80" s="833" t="s">
        <v>1045</v>
      </c>
      <c r="H80" s="253"/>
      <c r="I80" s="253">
        <v>16000</v>
      </c>
      <c r="J80" s="874">
        <f t="shared" si="0"/>
        <v>1829500</v>
      </c>
      <c r="M80" s="246"/>
      <c r="N80" s="246"/>
      <c r="O80" s="246"/>
    </row>
    <row r="81" spans="2:15">
      <c r="B81" s="191" t="s">
        <v>1178</v>
      </c>
      <c r="C81" s="253">
        <v>850</v>
      </c>
      <c r="D81" s="429">
        <v>30875</v>
      </c>
      <c r="E81" s="190">
        <v>42422</v>
      </c>
      <c r="F81" s="191" t="s">
        <v>1178</v>
      </c>
      <c r="G81" s="833" t="s">
        <v>1047</v>
      </c>
      <c r="H81" s="253"/>
      <c r="I81" s="253">
        <v>32500</v>
      </c>
      <c r="J81" s="874">
        <f t="shared" si="0"/>
        <v>1381250</v>
      </c>
      <c r="K81" s="246">
        <v>1</v>
      </c>
      <c r="L81" s="246" t="s">
        <v>1127</v>
      </c>
      <c r="M81" s="429">
        <v>72</v>
      </c>
      <c r="N81" s="429">
        <v>17333</v>
      </c>
      <c r="O81" s="429">
        <f t="shared" ref="O81:O82" si="5">ROUND(C81*D81,0)</f>
        <v>26243750</v>
      </c>
    </row>
    <row r="82" spans="2:15">
      <c r="B82" s="191" t="s">
        <v>1179</v>
      </c>
      <c r="C82" s="253">
        <v>850</v>
      </c>
      <c r="D82" s="429">
        <v>31155</v>
      </c>
      <c r="E82" s="190">
        <v>42422</v>
      </c>
      <c r="F82" s="191" t="s">
        <v>1179</v>
      </c>
      <c r="G82" s="833" t="s">
        <v>1047</v>
      </c>
      <c r="H82" s="253"/>
      <c r="I82" s="253">
        <v>31700</v>
      </c>
      <c r="J82" s="874">
        <f t="shared" si="0"/>
        <v>463250</v>
      </c>
      <c r="K82" s="246">
        <v>1</v>
      </c>
      <c r="L82" s="246" t="s">
        <v>1155</v>
      </c>
      <c r="M82" s="429">
        <v>15</v>
      </c>
      <c r="N82" s="429">
        <v>9738</v>
      </c>
      <c r="O82" s="429">
        <f t="shared" si="5"/>
        <v>26481750</v>
      </c>
    </row>
    <row r="83" spans="2:15">
      <c r="B83" s="188" t="s">
        <v>451</v>
      </c>
      <c r="C83" s="253">
        <v>3000</v>
      </c>
      <c r="D83" s="429">
        <v>14250</v>
      </c>
      <c r="E83" s="190">
        <v>42422</v>
      </c>
      <c r="F83" s="290" t="s">
        <v>451</v>
      </c>
      <c r="G83" s="833" t="s">
        <v>1047</v>
      </c>
      <c r="H83" s="253"/>
      <c r="I83" s="253">
        <v>15000</v>
      </c>
      <c r="J83" s="874">
        <f t="shared" si="0"/>
        <v>2250000</v>
      </c>
      <c r="M83" s="246"/>
      <c r="N83" s="246"/>
      <c r="O83" s="246"/>
    </row>
    <row r="84" spans="2:15">
      <c r="B84" s="188" t="s">
        <v>450</v>
      </c>
      <c r="C84" s="253">
        <v>3000</v>
      </c>
      <c r="D84" s="429">
        <v>15675</v>
      </c>
      <c r="E84" s="190">
        <v>42422</v>
      </c>
      <c r="F84" s="290" t="s">
        <v>450</v>
      </c>
      <c r="G84" s="833" t="s">
        <v>1047</v>
      </c>
      <c r="H84" s="253"/>
      <c r="I84" s="253">
        <v>16500</v>
      </c>
      <c r="J84" s="874">
        <f t="shared" si="0"/>
        <v>2475000</v>
      </c>
      <c r="M84" s="246"/>
      <c r="N84" s="246"/>
      <c r="O84" s="246"/>
    </row>
    <row r="85" spans="2:15">
      <c r="B85" s="191" t="s">
        <v>946</v>
      </c>
      <c r="C85" s="253">
        <v>200</v>
      </c>
      <c r="D85" s="289">
        <v>10355</v>
      </c>
      <c r="E85" s="190">
        <v>42423</v>
      </c>
      <c r="F85" s="191" t="s">
        <v>946</v>
      </c>
      <c r="G85" s="833" t="s">
        <v>1048</v>
      </c>
      <c r="H85" s="253"/>
      <c r="I85" s="253">
        <v>14266</v>
      </c>
      <c r="J85" s="874">
        <f t="shared" si="0"/>
        <v>782200</v>
      </c>
      <c r="K85" s="246">
        <v>1</v>
      </c>
      <c r="L85" s="246" t="s">
        <v>1139</v>
      </c>
      <c r="M85" s="429">
        <v>16</v>
      </c>
      <c r="N85" s="429">
        <v>21105.5</v>
      </c>
      <c r="O85" s="429">
        <f t="shared" ref="O85:O86" si="6">ROUND(C85*D85,0)</f>
        <v>2071000</v>
      </c>
    </row>
    <row r="86" spans="2:15">
      <c r="B86" s="191" t="s">
        <v>954</v>
      </c>
      <c r="C86" s="253">
        <v>500</v>
      </c>
      <c r="D86" s="289">
        <v>17334</v>
      </c>
      <c r="E86" s="190">
        <v>42426</v>
      </c>
      <c r="F86" s="191" t="s">
        <v>954</v>
      </c>
      <c r="G86" s="833" t="s">
        <v>1049</v>
      </c>
      <c r="H86" s="253"/>
      <c r="I86" s="253">
        <v>24140</v>
      </c>
      <c r="J86" s="874">
        <f t="shared" si="0"/>
        <v>3403000</v>
      </c>
      <c r="K86" s="246">
        <v>1</v>
      </c>
      <c r="L86" s="246" t="s">
        <v>1182</v>
      </c>
      <c r="M86" s="429">
        <v>240</v>
      </c>
      <c r="N86" s="429">
        <v>12031.541666666666</v>
      </c>
      <c r="O86" s="429">
        <f t="shared" si="6"/>
        <v>8667000</v>
      </c>
    </row>
    <row r="87" spans="2:15">
      <c r="B87" s="191" t="s">
        <v>955</v>
      </c>
      <c r="C87" s="253">
        <v>200</v>
      </c>
      <c r="D87" s="289">
        <v>6750</v>
      </c>
      <c r="E87" s="190">
        <v>42426</v>
      </c>
      <c r="F87" s="191" t="s">
        <v>955</v>
      </c>
      <c r="G87" s="833" t="s">
        <v>1051</v>
      </c>
      <c r="H87" s="253"/>
      <c r="I87" s="253">
        <v>6950</v>
      </c>
      <c r="J87" s="874">
        <f t="shared" si="0"/>
        <v>40000</v>
      </c>
      <c r="M87" s="246"/>
      <c r="N87" s="246"/>
      <c r="O87" s="246"/>
    </row>
    <row r="88" spans="2:15">
      <c r="B88" s="191" t="s">
        <v>659</v>
      </c>
      <c r="C88" s="253">
        <v>1000</v>
      </c>
      <c r="D88" s="289">
        <v>8771</v>
      </c>
      <c r="E88" s="190">
        <v>42427</v>
      </c>
      <c r="F88" s="191" t="s">
        <v>659</v>
      </c>
      <c r="G88" s="833" t="s">
        <v>1053</v>
      </c>
      <c r="H88" s="253"/>
      <c r="I88" s="253">
        <v>9800</v>
      </c>
      <c r="J88" s="874">
        <f t="shared" si="0"/>
        <v>1029000</v>
      </c>
      <c r="K88" s="246">
        <v>1</v>
      </c>
      <c r="L88" s="246" t="s">
        <v>1149</v>
      </c>
      <c r="M88" s="429">
        <v>52</v>
      </c>
      <c r="N88" s="429">
        <v>16854</v>
      </c>
      <c r="O88" s="429">
        <f>ROUND(C88*D88,0)</f>
        <v>8771000</v>
      </c>
    </row>
    <row r="89" spans="2:15">
      <c r="B89" s="191" t="s">
        <v>996</v>
      </c>
      <c r="C89" s="253">
        <v>3</v>
      </c>
      <c r="D89" s="289">
        <v>23765</v>
      </c>
      <c r="E89" s="190">
        <v>42429</v>
      </c>
      <c r="F89" s="191" t="s">
        <v>996</v>
      </c>
      <c r="G89" s="833" t="s">
        <v>1054</v>
      </c>
      <c r="H89" s="253"/>
      <c r="I89" s="253">
        <v>25016</v>
      </c>
      <c r="J89" s="874">
        <f t="shared" si="0"/>
        <v>3753</v>
      </c>
      <c r="M89" s="246"/>
      <c r="N89" s="246"/>
      <c r="O89" s="246"/>
    </row>
    <row r="90" spans="2:15">
      <c r="B90" s="191" t="s">
        <v>997</v>
      </c>
      <c r="C90" s="25">
        <v>24</v>
      </c>
      <c r="D90" s="289">
        <v>8755</v>
      </c>
      <c r="E90" s="190">
        <v>42429</v>
      </c>
      <c r="F90" s="191" t="s">
        <v>997</v>
      </c>
      <c r="G90" s="833" t="s">
        <v>1054</v>
      </c>
      <c r="H90" s="253"/>
      <c r="I90" s="253">
        <v>9216</v>
      </c>
      <c r="J90" s="874">
        <f t="shared" ref="J90:J153" si="7">(I90-D90)*C90</f>
        <v>11064</v>
      </c>
      <c r="M90" s="246"/>
      <c r="N90" s="246"/>
      <c r="O90" s="246"/>
    </row>
    <row r="91" spans="2:15">
      <c r="B91" s="191" t="s">
        <v>998</v>
      </c>
      <c r="C91" s="253">
        <v>20</v>
      </c>
      <c r="D91" s="289">
        <v>11999</v>
      </c>
      <c r="E91" s="190">
        <v>42429</v>
      </c>
      <c r="F91" s="191" t="s">
        <v>998</v>
      </c>
      <c r="G91" s="833" t="s">
        <v>1054</v>
      </c>
      <c r="H91" s="253"/>
      <c r="I91" s="253">
        <v>12630</v>
      </c>
      <c r="J91" s="874">
        <f t="shared" si="7"/>
        <v>12620</v>
      </c>
      <c r="M91" s="246"/>
      <c r="N91" s="246"/>
      <c r="O91" s="246"/>
    </row>
    <row r="92" spans="2:15">
      <c r="B92" s="191" t="s">
        <v>999</v>
      </c>
      <c r="C92" s="253">
        <v>15</v>
      </c>
      <c r="D92" s="289">
        <v>31128</v>
      </c>
      <c r="E92" s="190">
        <v>42429</v>
      </c>
      <c r="F92" s="191" t="s">
        <v>999</v>
      </c>
      <c r="G92" s="833" t="s">
        <v>1054</v>
      </c>
      <c r="H92" s="253"/>
      <c r="I92" s="253">
        <v>32766</v>
      </c>
      <c r="J92" s="874">
        <f t="shared" si="7"/>
        <v>24570</v>
      </c>
      <c r="M92" s="246"/>
      <c r="N92" s="246"/>
      <c r="O92" s="246"/>
    </row>
    <row r="93" spans="2:15">
      <c r="B93" s="191" t="s">
        <v>1000</v>
      </c>
      <c r="C93" s="253">
        <v>6</v>
      </c>
      <c r="D93" s="289">
        <v>4474</v>
      </c>
      <c r="E93" s="190">
        <v>42429</v>
      </c>
      <c r="F93" s="191" t="s">
        <v>1000</v>
      </c>
      <c r="G93" s="833" t="s">
        <v>1054</v>
      </c>
      <c r="H93" s="253"/>
      <c r="I93" s="253">
        <v>4709</v>
      </c>
      <c r="J93" s="874">
        <f t="shared" si="7"/>
        <v>1410</v>
      </c>
      <c r="M93" s="246"/>
      <c r="N93" s="246"/>
      <c r="O93" s="246"/>
    </row>
    <row r="94" spans="2:15">
      <c r="B94" s="191" t="s">
        <v>1001</v>
      </c>
      <c r="C94" s="253">
        <v>6</v>
      </c>
      <c r="D94" s="289">
        <v>6480</v>
      </c>
      <c r="E94" s="190">
        <v>42429</v>
      </c>
      <c r="F94" s="191" t="s">
        <v>1001</v>
      </c>
      <c r="G94" s="833" t="s">
        <v>1054</v>
      </c>
      <c r="H94" s="253"/>
      <c r="I94" s="253">
        <v>6821</v>
      </c>
      <c r="J94" s="874">
        <f t="shared" si="7"/>
        <v>2046</v>
      </c>
      <c r="M94" s="246"/>
      <c r="N94" s="246"/>
      <c r="O94" s="246"/>
    </row>
    <row r="95" spans="2:15">
      <c r="B95" s="191" t="s">
        <v>1002</v>
      </c>
      <c r="C95" s="25">
        <v>24</v>
      </c>
      <c r="D95" s="289">
        <v>20813</v>
      </c>
      <c r="E95" s="190">
        <v>42429</v>
      </c>
      <c r="F95" s="191" t="s">
        <v>1002</v>
      </c>
      <c r="G95" s="833" t="s">
        <v>1054</v>
      </c>
      <c r="H95" s="253"/>
      <c r="I95" s="253">
        <v>21908</v>
      </c>
      <c r="J95" s="874">
        <f t="shared" si="7"/>
        <v>26280</v>
      </c>
      <c r="M95" s="246"/>
      <c r="N95" s="246"/>
      <c r="O95" s="246"/>
    </row>
    <row r="96" spans="2:15">
      <c r="B96" s="191" t="s">
        <v>1003</v>
      </c>
      <c r="C96" s="253">
        <v>60</v>
      </c>
      <c r="D96" s="289">
        <v>20256</v>
      </c>
      <c r="E96" s="190">
        <v>42429</v>
      </c>
      <c r="F96" s="191" t="s">
        <v>1003</v>
      </c>
      <c r="G96" s="833" t="s">
        <v>1054</v>
      </c>
      <c r="H96" s="253"/>
      <c r="I96" s="253">
        <v>21322</v>
      </c>
      <c r="J96" s="874">
        <f t="shared" si="7"/>
        <v>63960</v>
      </c>
      <c r="M96" s="246"/>
      <c r="N96" s="246"/>
      <c r="O96" s="246"/>
    </row>
    <row r="97" spans="2:15">
      <c r="B97" s="191" t="s">
        <v>882</v>
      </c>
      <c r="C97" s="25">
        <v>30</v>
      </c>
      <c r="D97" s="289">
        <v>13567</v>
      </c>
      <c r="E97" s="190">
        <v>42429</v>
      </c>
      <c r="F97" s="191" t="s">
        <v>882</v>
      </c>
      <c r="G97" s="833" t="s">
        <v>1054</v>
      </c>
      <c r="H97" s="253"/>
      <c r="I97" s="253">
        <v>14281</v>
      </c>
      <c r="J97" s="874">
        <f t="shared" si="7"/>
        <v>21420</v>
      </c>
      <c r="M97" s="246"/>
      <c r="N97" s="246"/>
      <c r="O97" s="246"/>
    </row>
    <row r="98" spans="2:15">
      <c r="B98" s="191" t="s">
        <v>542</v>
      </c>
      <c r="C98" s="253">
        <v>180</v>
      </c>
      <c r="D98" s="289">
        <v>37996</v>
      </c>
      <c r="E98" s="190">
        <v>42429</v>
      </c>
      <c r="F98" s="191" t="s">
        <v>542</v>
      </c>
      <c r="G98" s="833" t="s">
        <v>1054</v>
      </c>
      <c r="H98" s="253"/>
      <c r="I98" s="253">
        <v>39996</v>
      </c>
      <c r="J98" s="874">
        <f t="shared" si="7"/>
        <v>360000</v>
      </c>
      <c r="K98" s="246">
        <v>1</v>
      </c>
      <c r="L98" s="246" t="s">
        <v>1150</v>
      </c>
      <c r="M98" s="429">
        <v>5</v>
      </c>
      <c r="N98" s="429">
        <v>20010</v>
      </c>
      <c r="O98" s="429">
        <f>ROUND(C98*D98,0)</f>
        <v>6839280</v>
      </c>
    </row>
    <row r="99" spans="2:15">
      <c r="B99" s="191" t="s">
        <v>1004</v>
      </c>
      <c r="C99" s="253">
        <v>12</v>
      </c>
      <c r="D99" s="289">
        <v>41070</v>
      </c>
      <c r="E99" s="190">
        <v>42429</v>
      </c>
      <c r="F99" s="191" t="s">
        <v>1004</v>
      </c>
      <c r="G99" s="833" t="s">
        <v>1054</v>
      </c>
      <c r="H99" s="253"/>
      <c r="I99" s="253">
        <v>43232</v>
      </c>
      <c r="J99" s="874">
        <f t="shared" si="7"/>
        <v>25944</v>
      </c>
      <c r="M99" s="246"/>
      <c r="N99" s="246"/>
      <c r="O99" s="246"/>
    </row>
    <row r="100" spans="2:15">
      <c r="B100" s="191" t="s">
        <v>1005</v>
      </c>
      <c r="C100" s="25">
        <v>4</v>
      </c>
      <c r="D100" s="289">
        <v>57565</v>
      </c>
      <c r="E100" s="190">
        <v>42429</v>
      </c>
      <c r="F100" s="191" t="s">
        <v>1005</v>
      </c>
      <c r="G100" s="833" t="s">
        <v>1054</v>
      </c>
      <c r="H100" s="253"/>
      <c r="I100" s="253">
        <v>79972</v>
      </c>
      <c r="J100" s="874">
        <f t="shared" si="7"/>
        <v>89628</v>
      </c>
      <c r="M100" s="246"/>
      <c r="N100" s="246"/>
      <c r="O100" s="246"/>
    </row>
    <row r="101" spans="2:15">
      <c r="B101" s="191" t="s">
        <v>1005</v>
      </c>
      <c r="C101" s="25">
        <v>12</v>
      </c>
      <c r="D101" s="289">
        <v>57565</v>
      </c>
      <c r="E101" s="190">
        <v>42429</v>
      </c>
      <c r="F101" s="191" t="s">
        <v>1005</v>
      </c>
      <c r="G101" s="833" t="s">
        <v>1054</v>
      </c>
      <c r="H101" s="253"/>
      <c r="I101" s="253">
        <v>54136</v>
      </c>
      <c r="J101" s="874">
        <f t="shared" si="7"/>
        <v>-41148</v>
      </c>
      <c r="M101" s="246"/>
      <c r="N101" s="246"/>
      <c r="O101" s="246"/>
    </row>
    <row r="102" spans="2:15">
      <c r="B102" s="191" t="s">
        <v>1006</v>
      </c>
      <c r="C102" s="253">
        <v>8</v>
      </c>
      <c r="D102" s="289">
        <v>65909</v>
      </c>
      <c r="E102" s="190">
        <v>42429</v>
      </c>
      <c r="F102" s="191" t="s">
        <v>1006</v>
      </c>
      <c r="G102" s="833" t="s">
        <v>1054</v>
      </c>
      <c r="H102" s="253"/>
      <c r="I102" s="253">
        <v>69378</v>
      </c>
      <c r="J102" s="874">
        <f t="shared" si="7"/>
        <v>27752</v>
      </c>
      <c r="M102" s="246"/>
      <c r="N102" s="246"/>
      <c r="O102" s="246"/>
    </row>
    <row r="103" spans="2:15">
      <c r="E103" s="190">
        <v>42429</v>
      </c>
      <c r="F103" s="191" t="s">
        <v>1007</v>
      </c>
      <c r="G103" s="833" t="s">
        <v>1054</v>
      </c>
      <c r="H103" s="253">
        <v>12</v>
      </c>
      <c r="I103" s="253">
        <v>54136</v>
      </c>
      <c r="J103" s="874">
        <f t="shared" si="7"/>
        <v>0</v>
      </c>
      <c r="M103" s="246"/>
      <c r="N103" s="246"/>
      <c r="O103" s="246"/>
    </row>
    <row r="104" spans="2:15">
      <c r="B104" s="191" t="s">
        <v>1008</v>
      </c>
      <c r="C104" s="253">
        <v>4</v>
      </c>
      <c r="D104" s="289">
        <v>129138</v>
      </c>
      <c r="E104" s="190">
        <v>42429</v>
      </c>
      <c r="F104" s="191" t="s">
        <v>1008</v>
      </c>
      <c r="G104" s="833" t="s">
        <v>1054</v>
      </c>
      <c r="H104" s="253"/>
      <c r="I104" s="253">
        <v>135935</v>
      </c>
      <c r="J104" s="874">
        <f t="shared" si="7"/>
        <v>27188</v>
      </c>
      <c r="M104" s="246"/>
      <c r="N104" s="246"/>
      <c r="O104" s="246"/>
    </row>
    <row r="105" spans="2:15">
      <c r="B105" s="191" t="s">
        <v>1009</v>
      </c>
      <c r="C105" s="253">
        <v>7</v>
      </c>
      <c r="D105" s="289">
        <v>42587</v>
      </c>
      <c r="E105" s="190">
        <v>42429</v>
      </c>
      <c r="F105" s="191" t="s">
        <v>1009</v>
      </c>
      <c r="G105" s="833" t="s">
        <v>1054</v>
      </c>
      <c r="H105" s="253"/>
      <c r="I105" s="253">
        <v>44828</v>
      </c>
      <c r="J105" s="874">
        <f t="shared" si="7"/>
        <v>15687</v>
      </c>
      <c r="M105" s="246"/>
      <c r="N105" s="246"/>
      <c r="O105" s="246"/>
    </row>
    <row r="106" spans="2:15">
      <c r="B106" s="191" t="s">
        <v>1010</v>
      </c>
      <c r="C106" s="253">
        <v>8</v>
      </c>
      <c r="D106" s="289">
        <v>47309.4</v>
      </c>
      <c r="E106" s="190">
        <v>42429</v>
      </c>
      <c r="F106" s="191" t="s">
        <v>1010</v>
      </c>
      <c r="G106" s="833" t="s">
        <v>1054</v>
      </c>
      <c r="H106" s="253"/>
      <c r="I106" s="253">
        <v>48275</v>
      </c>
      <c r="J106" s="874">
        <f t="shared" si="7"/>
        <v>7724.7999999999884</v>
      </c>
      <c r="M106" s="246"/>
      <c r="N106" s="246"/>
      <c r="O106" s="246"/>
    </row>
    <row r="107" spans="2:15">
      <c r="B107" s="191" t="s">
        <v>1011</v>
      </c>
      <c r="C107" s="253">
        <v>16</v>
      </c>
      <c r="D107" s="429">
        <v>64056</v>
      </c>
      <c r="E107" s="190">
        <v>42429</v>
      </c>
      <c r="F107" s="191" t="s">
        <v>1011</v>
      </c>
      <c r="G107" s="833" t="s">
        <v>1054</v>
      </c>
      <c r="H107" s="253"/>
      <c r="I107" s="253">
        <v>67427</v>
      </c>
      <c r="J107" s="874">
        <f t="shared" si="7"/>
        <v>53936</v>
      </c>
      <c r="M107" s="246"/>
      <c r="N107" s="246"/>
      <c r="O107" s="246"/>
    </row>
    <row r="108" spans="2:15">
      <c r="B108" s="191" t="s">
        <v>1012</v>
      </c>
      <c r="C108" s="246">
        <v>7</v>
      </c>
      <c r="D108" s="429">
        <v>59090</v>
      </c>
      <c r="E108" s="190">
        <v>42429</v>
      </c>
      <c r="F108" s="191" t="s">
        <v>1012</v>
      </c>
      <c r="G108" s="833" t="s">
        <v>1054</v>
      </c>
      <c r="H108" s="253"/>
      <c r="I108" s="253">
        <v>62200</v>
      </c>
      <c r="J108" s="874">
        <f t="shared" si="7"/>
        <v>21770</v>
      </c>
      <c r="M108" s="246"/>
      <c r="N108" s="246"/>
      <c r="O108" s="246"/>
    </row>
    <row r="109" spans="2:15">
      <c r="B109" s="191" t="s">
        <v>1013</v>
      </c>
      <c r="C109" s="25">
        <v>4</v>
      </c>
      <c r="D109" s="289">
        <v>75477</v>
      </c>
      <c r="E109" s="190">
        <v>42429</v>
      </c>
      <c r="F109" s="191" t="s">
        <v>1013</v>
      </c>
      <c r="G109" s="833" t="s">
        <v>1054</v>
      </c>
      <c r="H109" s="253"/>
      <c r="I109" s="253">
        <v>79449</v>
      </c>
      <c r="J109" s="874">
        <f t="shared" si="7"/>
        <v>15888</v>
      </c>
      <c r="M109" s="246"/>
      <c r="N109" s="246"/>
      <c r="O109" s="246"/>
    </row>
    <row r="110" spans="2:15">
      <c r="B110" s="191" t="s">
        <v>495</v>
      </c>
      <c r="C110" s="253">
        <v>72</v>
      </c>
      <c r="D110" s="289">
        <v>7623</v>
      </c>
      <c r="E110" s="190">
        <v>42429</v>
      </c>
      <c r="F110" s="191" t="s">
        <v>495</v>
      </c>
      <c r="G110" s="833" t="s">
        <v>1054</v>
      </c>
      <c r="H110" s="253"/>
      <c r="I110" s="253">
        <v>8024</v>
      </c>
      <c r="J110" s="874">
        <f t="shared" si="7"/>
        <v>28872</v>
      </c>
      <c r="M110" s="246"/>
      <c r="N110" s="246"/>
      <c r="O110" s="246"/>
    </row>
    <row r="111" spans="2:15">
      <c r="B111" s="191" t="s">
        <v>496</v>
      </c>
      <c r="C111" s="253">
        <v>72</v>
      </c>
      <c r="D111" s="289">
        <v>16489</v>
      </c>
      <c r="E111" s="190">
        <v>42429</v>
      </c>
      <c r="F111" s="191" t="s">
        <v>496</v>
      </c>
      <c r="G111" s="833" t="s">
        <v>1054</v>
      </c>
      <c r="H111" s="253"/>
      <c r="I111" s="253">
        <v>17357</v>
      </c>
      <c r="J111" s="874">
        <f t="shared" si="7"/>
        <v>62496</v>
      </c>
      <c r="M111" s="246"/>
      <c r="N111" s="246"/>
      <c r="O111" s="246"/>
    </row>
    <row r="112" spans="2:15">
      <c r="B112" s="191" t="s">
        <v>497</v>
      </c>
      <c r="C112" s="25">
        <v>54</v>
      </c>
      <c r="D112" s="289">
        <v>33710</v>
      </c>
      <c r="E112" s="190">
        <v>42429</v>
      </c>
      <c r="F112" s="191" t="s">
        <v>497</v>
      </c>
      <c r="G112" s="833" t="s">
        <v>1054</v>
      </c>
      <c r="H112" s="253"/>
      <c r="I112" s="253">
        <v>35484</v>
      </c>
      <c r="J112" s="874">
        <f t="shared" si="7"/>
        <v>95796</v>
      </c>
      <c r="M112" s="246"/>
      <c r="N112" s="246"/>
      <c r="O112" s="246"/>
    </row>
    <row r="113" spans="2:15">
      <c r="B113" s="191" t="s">
        <v>486</v>
      </c>
      <c r="C113" s="253">
        <v>30</v>
      </c>
      <c r="D113" s="289">
        <v>11161</v>
      </c>
      <c r="E113" s="190">
        <v>42429</v>
      </c>
      <c r="F113" s="191" t="s">
        <v>486</v>
      </c>
      <c r="G113" s="833" t="s">
        <v>1054</v>
      </c>
      <c r="H113" s="253"/>
      <c r="I113" s="253">
        <v>11748</v>
      </c>
      <c r="J113" s="874">
        <f t="shared" si="7"/>
        <v>17610</v>
      </c>
      <c r="M113" s="246"/>
      <c r="N113" s="246"/>
      <c r="O113" s="246"/>
    </row>
    <row r="114" spans="2:15">
      <c r="B114" s="191" t="s">
        <v>498</v>
      </c>
      <c r="C114" s="253">
        <v>36</v>
      </c>
      <c r="D114" s="289">
        <v>21081</v>
      </c>
      <c r="E114" s="190">
        <v>42429</v>
      </c>
      <c r="F114" s="191" t="s">
        <v>498</v>
      </c>
      <c r="G114" s="833" t="s">
        <v>1054</v>
      </c>
      <c r="H114" s="253"/>
      <c r="I114" s="253">
        <v>22191</v>
      </c>
      <c r="J114" s="874">
        <f t="shared" si="7"/>
        <v>39960</v>
      </c>
      <c r="M114" s="246"/>
      <c r="N114" s="246"/>
      <c r="O114" s="246"/>
    </row>
    <row r="115" spans="2:15">
      <c r="B115" s="191" t="s">
        <v>487</v>
      </c>
      <c r="C115" s="25">
        <v>12</v>
      </c>
      <c r="D115" s="289">
        <v>41677</v>
      </c>
      <c r="E115" s="190">
        <v>42429</v>
      </c>
      <c r="F115" s="191" t="s">
        <v>487</v>
      </c>
      <c r="G115" s="833" t="s">
        <v>1054</v>
      </c>
      <c r="H115" s="253"/>
      <c r="I115" s="253">
        <v>43871</v>
      </c>
      <c r="J115" s="874">
        <f t="shared" si="7"/>
        <v>26328</v>
      </c>
      <c r="M115" s="246"/>
      <c r="N115" s="246"/>
      <c r="O115" s="246"/>
    </row>
    <row r="116" spans="2:15">
      <c r="B116" s="191" t="s">
        <v>1014</v>
      </c>
      <c r="C116" s="253">
        <v>200</v>
      </c>
      <c r="D116" s="429">
        <v>56265</v>
      </c>
      <c r="E116" s="190">
        <v>42429</v>
      </c>
      <c r="F116" s="191" t="s">
        <v>1014</v>
      </c>
      <c r="G116" s="833" t="s">
        <v>1054</v>
      </c>
      <c r="H116" s="253"/>
      <c r="I116" s="253">
        <v>67708</v>
      </c>
      <c r="J116" s="874">
        <f t="shared" si="7"/>
        <v>2288600</v>
      </c>
      <c r="K116" s="246">
        <v>1</v>
      </c>
      <c r="L116" s="246" t="s">
        <v>1274</v>
      </c>
      <c r="M116" s="429">
        <v>52</v>
      </c>
      <c r="N116" s="429">
        <v>29784</v>
      </c>
      <c r="O116" s="429">
        <f>ROUND(C116*D116,0)</f>
        <v>11253000</v>
      </c>
    </row>
    <row r="117" spans="2:15">
      <c r="E117" s="190">
        <v>42433</v>
      </c>
      <c r="F117" s="191" t="s">
        <v>1057</v>
      </c>
      <c r="G117" s="833" t="s">
        <v>1056</v>
      </c>
      <c r="H117" s="253">
        <v>200</v>
      </c>
      <c r="I117" s="253">
        <v>8030</v>
      </c>
      <c r="J117" s="874">
        <f t="shared" si="7"/>
        <v>0</v>
      </c>
      <c r="M117" s="246"/>
      <c r="N117" s="246"/>
      <c r="O117" s="246"/>
    </row>
    <row r="118" spans="2:15">
      <c r="B118" s="191" t="s">
        <v>939</v>
      </c>
      <c r="C118" s="253">
        <v>685</v>
      </c>
      <c r="D118" s="429">
        <v>14572</v>
      </c>
      <c r="E118" s="190">
        <v>42436</v>
      </c>
      <c r="F118" s="191" t="s">
        <v>939</v>
      </c>
      <c r="G118" s="833" t="s">
        <v>1059</v>
      </c>
      <c r="H118" s="253"/>
      <c r="I118" s="253">
        <v>21835</v>
      </c>
      <c r="J118" s="874">
        <f t="shared" si="7"/>
        <v>4975155</v>
      </c>
      <c r="K118" s="246">
        <v>1</v>
      </c>
      <c r="L118" s="246" t="s">
        <v>1222</v>
      </c>
      <c r="M118" s="429">
        <v>400</v>
      </c>
      <c r="N118" s="429">
        <v>8556</v>
      </c>
      <c r="O118" s="429">
        <f>ROUND(C118*D118,0)</f>
        <v>9981820</v>
      </c>
    </row>
    <row r="119" spans="2:15">
      <c r="E119" s="190"/>
      <c r="F119" s="191"/>
      <c r="G119" s="833"/>
      <c r="H119" s="253"/>
      <c r="I119" s="253"/>
      <c r="J119" s="874">
        <f t="shared" si="7"/>
        <v>0</v>
      </c>
      <c r="M119" s="246"/>
      <c r="N119" s="246"/>
      <c r="O119" s="246"/>
    </row>
    <row r="120" spans="2:15">
      <c r="B120" s="292" t="s">
        <v>429</v>
      </c>
      <c r="C120" s="253">
        <v>500</v>
      </c>
      <c r="D120" s="429">
        <v>13306</v>
      </c>
      <c r="E120" s="190">
        <v>42437</v>
      </c>
      <c r="F120" s="292" t="s">
        <v>429</v>
      </c>
      <c r="G120" s="833" t="s">
        <v>1060</v>
      </c>
      <c r="H120" s="253"/>
      <c r="I120" s="253">
        <v>18100</v>
      </c>
      <c r="J120" s="874">
        <f t="shared" si="7"/>
        <v>2397000</v>
      </c>
      <c r="M120" s="246"/>
      <c r="N120" s="246"/>
      <c r="O120" s="246"/>
    </row>
    <row r="121" spans="2:15">
      <c r="B121" s="191" t="s">
        <v>1303</v>
      </c>
      <c r="C121" s="253">
        <v>25</v>
      </c>
      <c r="D121" s="289">
        <v>31464</v>
      </c>
      <c r="E121" s="190">
        <v>42439</v>
      </c>
      <c r="F121" s="191" t="s">
        <v>1303</v>
      </c>
      <c r="G121" s="833" t="s">
        <v>1065</v>
      </c>
      <c r="H121" s="253"/>
      <c r="I121" s="253">
        <v>33120</v>
      </c>
      <c r="J121" s="874">
        <f t="shared" si="7"/>
        <v>41400</v>
      </c>
      <c r="M121" s="246"/>
      <c r="N121" s="246"/>
      <c r="O121" s="246"/>
    </row>
    <row r="122" spans="2:15">
      <c r="B122" s="188" t="s">
        <v>1304</v>
      </c>
      <c r="C122" s="253">
        <v>100</v>
      </c>
      <c r="D122" s="289">
        <v>6033</v>
      </c>
      <c r="E122" s="190">
        <v>42439</v>
      </c>
      <c r="F122" s="188" t="s">
        <v>1304</v>
      </c>
      <c r="G122" s="833" t="s">
        <v>1065</v>
      </c>
      <c r="H122" s="253"/>
      <c r="I122" s="253">
        <v>6350</v>
      </c>
      <c r="J122" s="874">
        <f t="shared" si="7"/>
        <v>31700</v>
      </c>
      <c r="M122" s="246"/>
      <c r="N122" s="246"/>
      <c r="O122" s="246"/>
    </row>
    <row r="123" spans="2:15">
      <c r="B123" s="191" t="s">
        <v>637</v>
      </c>
      <c r="C123" s="253">
        <v>308</v>
      </c>
      <c r="D123" s="289">
        <v>5736.7419354838712</v>
      </c>
      <c r="E123" s="190">
        <v>42440</v>
      </c>
      <c r="F123" s="191" t="s">
        <v>637</v>
      </c>
      <c r="G123" s="833" t="s">
        <v>1066</v>
      </c>
      <c r="H123" s="253"/>
      <c r="I123" s="253">
        <v>6888</v>
      </c>
      <c r="J123" s="874">
        <f t="shared" si="7"/>
        <v>354587.48387096764</v>
      </c>
      <c r="K123" s="246">
        <v>1</v>
      </c>
      <c r="L123" s="246" t="s">
        <v>1141</v>
      </c>
      <c r="M123" s="429">
        <v>10</v>
      </c>
      <c r="N123" s="429">
        <v>21658</v>
      </c>
      <c r="O123" s="429">
        <f t="shared" ref="O123:O125" si="8">ROUND(C123*D123,0)</f>
        <v>1766917</v>
      </c>
    </row>
    <row r="124" spans="2:15">
      <c r="B124" s="191" t="s">
        <v>655</v>
      </c>
      <c r="C124" s="253">
        <v>641</v>
      </c>
      <c r="D124" s="289">
        <v>6552</v>
      </c>
      <c r="E124" s="190">
        <v>42442</v>
      </c>
      <c r="F124" s="191" t="s">
        <v>655</v>
      </c>
      <c r="G124" s="833" t="s">
        <v>1067</v>
      </c>
      <c r="H124" s="253"/>
      <c r="I124" s="253">
        <v>6880</v>
      </c>
      <c r="J124" s="874">
        <f t="shared" si="7"/>
        <v>210248</v>
      </c>
      <c r="K124" s="246">
        <v>1</v>
      </c>
      <c r="L124" s="246" t="s">
        <v>1142</v>
      </c>
      <c r="M124" s="429">
        <v>2</v>
      </c>
      <c r="N124" s="429">
        <v>22873.5</v>
      </c>
      <c r="O124" s="429">
        <f t="shared" si="8"/>
        <v>4199832</v>
      </c>
    </row>
    <row r="125" spans="2:15">
      <c r="B125" s="191" t="s">
        <v>766</v>
      </c>
      <c r="C125" s="253">
        <v>400</v>
      </c>
      <c r="D125" s="289">
        <v>12919</v>
      </c>
      <c r="E125" s="190">
        <v>42442</v>
      </c>
      <c r="F125" s="191" t="s">
        <v>766</v>
      </c>
      <c r="G125" s="833" t="s">
        <v>1068</v>
      </c>
      <c r="H125" s="253"/>
      <c r="I125" s="253">
        <v>15000</v>
      </c>
      <c r="J125" s="874">
        <f t="shared" si="7"/>
        <v>832400</v>
      </c>
      <c r="K125" s="246">
        <v>1</v>
      </c>
      <c r="L125" s="246" t="s">
        <v>1275</v>
      </c>
      <c r="M125" s="429">
        <v>24</v>
      </c>
      <c r="N125" s="429">
        <v>23634</v>
      </c>
      <c r="O125" s="429">
        <f t="shared" si="8"/>
        <v>5167600</v>
      </c>
    </row>
    <row r="126" spans="2:15">
      <c r="B126" s="290" t="s">
        <v>448</v>
      </c>
      <c r="C126" s="253">
        <v>1000</v>
      </c>
      <c r="D126" s="429">
        <v>8265</v>
      </c>
      <c r="E126" s="190">
        <v>42447</v>
      </c>
      <c r="F126" s="290" t="s">
        <v>448</v>
      </c>
      <c r="G126" s="833" t="s">
        <v>1070</v>
      </c>
      <c r="H126" s="253"/>
      <c r="I126" s="253">
        <v>8700</v>
      </c>
      <c r="J126" s="874">
        <f t="shared" si="7"/>
        <v>435000</v>
      </c>
      <c r="O126" s="246"/>
    </row>
    <row r="127" spans="2:15">
      <c r="B127" s="191" t="s">
        <v>1303</v>
      </c>
      <c r="C127" s="253">
        <v>25</v>
      </c>
      <c r="D127" s="289">
        <v>31464</v>
      </c>
      <c r="E127" s="190">
        <v>42448</v>
      </c>
      <c r="F127" s="191" t="s">
        <v>1303</v>
      </c>
      <c r="G127" s="833" t="s">
        <v>1071</v>
      </c>
      <c r="H127" s="253"/>
      <c r="I127" s="253">
        <v>33120</v>
      </c>
      <c r="J127" s="874">
        <f t="shared" si="7"/>
        <v>41400</v>
      </c>
      <c r="M127" s="246"/>
      <c r="N127" s="246"/>
      <c r="O127" s="246"/>
    </row>
    <row r="128" spans="2:15">
      <c r="B128" s="188" t="s">
        <v>1304</v>
      </c>
      <c r="C128" s="253">
        <v>100</v>
      </c>
      <c r="D128" s="289">
        <v>6033</v>
      </c>
      <c r="E128" s="190">
        <v>42448</v>
      </c>
      <c r="F128" s="188" t="s">
        <v>1304</v>
      </c>
      <c r="G128" s="833" t="s">
        <v>1071</v>
      </c>
      <c r="H128" s="253"/>
      <c r="I128" s="253">
        <v>6350</v>
      </c>
      <c r="J128" s="874">
        <f t="shared" si="7"/>
        <v>31700</v>
      </c>
      <c r="M128" s="246"/>
      <c r="N128" s="246"/>
      <c r="O128" s="246"/>
    </row>
    <row r="129" spans="2:15">
      <c r="B129" s="191" t="s">
        <v>1178</v>
      </c>
      <c r="C129" s="842">
        <v>950</v>
      </c>
      <c r="D129" s="429">
        <v>30875</v>
      </c>
      <c r="E129" s="839">
        <v>42449</v>
      </c>
      <c r="F129" s="191" t="s">
        <v>1178</v>
      </c>
      <c r="G129" s="840" t="s">
        <v>1072</v>
      </c>
      <c r="H129" s="842"/>
      <c r="I129" s="842">
        <v>32500</v>
      </c>
      <c r="J129" s="874">
        <f t="shared" si="7"/>
        <v>1543750</v>
      </c>
      <c r="K129" s="246">
        <v>1</v>
      </c>
      <c r="L129" s="246" t="s">
        <v>1131</v>
      </c>
      <c r="M129" s="429">
        <v>140</v>
      </c>
      <c r="N129" s="429">
        <v>8998</v>
      </c>
      <c r="O129" s="429">
        <f t="shared" ref="O129:O130" si="9">ROUND(C129*D129,0)</f>
        <v>29331250</v>
      </c>
    </row>
    <row r="130" spans="2:15">
      <c r="B130" s="191" t="s">
        <v>1179</v>
      </c>
      <c r="C130" s="842">
        <v>950</v>
      </c>
      <c r="D130" s="429">
        <v>31155</v>
      </c>
      <c r="E130" s="839">
        <v>42449</v>
      </c>
      <c r="F130" s="191" t="s">
        <v>1179</v>
      </c>
      <c r="G130" s="840" t="s">
        <v>1072</v>
      </c>
      <c r="H130" s="842"/>
      <c r="I130" s="842">
        <v>31700</v>
      </c>
      <c r="J130" s="874">
        <f t="shared" si="7"/>
        <v>517750</v>
      </c>
      <c r="K130" s="246">
        <v>1</v>
      </c>
      <c r="L130" s="246" t="s">
        <v>1152</v>
      </c>
      <c r="M130" s="429">
        <v>17</v>
      </c>
      <c r="N130" s="429">
        <v>23478</v>
      </c>
      <c r="O130" s="429">
        <f t="shared" si="9"/>
        <v>29597250</v>
      </c>
    </row>
    <row r="131" spans="2:15">
      <c r="B131" s="188" t="s">
        <v>451</v>
      </c>
      <c r="C131" s="253">
        <v>3100</v>
      </c>
      <c r="D131" s="429">
        <v>14250</v>
      </c>
      <c r="E131" s="839">
        <v>42449</v>
      </c>
      <c r="F131" s="845" t="s">
        <v>451</v>
      </c>
      <c r="G131" s="840" t="s">
        <v>1072</v>
      </c>
      <c r="H131" s="842">
        <v>100</v>
      </c>
      <c r="I131" s="842">
        <v>15000</v>
      </c>
      <c r="J131" s="874">
        <f t="shared" si="7"/>
        <v>2325000</v>
      </c>
      <c r="M131" s="246"/>
      <c r="N131" s="246"/>
      <c r="O131" s="246"/>
    </row>
    <row r="132" spans="2:15">
      <c r="B132" s="188" t="s">
        <v>450</v>
      </c>
      <c r="C132" s="253">
        <v>3100</v>
      </c>
      <c r="D132" s="429">
        <v>15675</v>
      </c>
      <c r="E132" s="839">
        <v>42449</v>
      </c>
      <c r="F132" s="845" t="s">
        <v>450</v>
      </c>
      <c r="G132" s="840" t="s">
        <v>1072</v>
      </c>
      <c r="H132" s="842"/>
      <c r="I132" s="842">
        <v>16500</v>
      </c>
      <c r="J132" s="874">
        <f t="shared" si="7"/>
        <v>2557500</v>
      </c>
      <c r="M132" s="246"/>
      <c r="N132" s="246"/>
      <c r="O132" s="246"/>
    </row>
    <row r="133" spans="2:15">
      <c r="B133" s="191" t="s">
        <v>655</v>
      </c>
      <c r="C133" s="253">
        <v>472</v>
      </c>
      <c r="D133" s="289">
        <v>6552</v>
      </c>
      <c r="E133" s="190">
        <v>42457</v>
      </c>
      <c r="F133" s="191" t="s">
        <v>655</v>
      </c>
      <c r="G133" s="833" t="s">
        <v>1074</v>
      </c>
      <c r="H133" s="253"/>
      <c r="I133" s="253">
        <v>6880</v>
      </c>
      <c r="J133" s="874">
        <f t="shared" si="7"/>
        <v>154816</v>
      </c>
      <c r="K133" s="246">
        <v>1</v>
      </c>
      <c r="L133" s="246" t="s">
        <v>1167</v>
      </c>
      <c r="M133" s="429">
        <v>3</v>
      </c>
      <c r="N133" s="429">
        <v>29090</v>
      </c>
      <c r="O133" s="429">
        <f t="shared" ref="O133:O134" si="10">ROUND(C133*D133,0)</f>
        <v>3092544</v>
      </c>
    </row>
    <row r="134" spans="2:15">
      <c r="B134" s="191" t="s">
        <v>656</v>
      </c>
      <c r="C134" s="253">
        <v>719</v>
      </c>
      <c r="D134" s="289">
        <v>4226.9036144578313</v>
      </c>
      <c r="E134" s="190">
        <v>42458</v>
      </c>
      <c r="F134" s="191" t="s">
        <v>656</v>
      </c>
      <c r="G134" s="833" t="s">
        <v>1075</v>
      </c>
      <c r="H134" s="253"/>
      <c r="I134" s="253">
        <v>4464</v>
      </c>
      <c r="J134" s="874">
        <f t="shared" si="7"/>
        <v>170472.30120481932</v>
      </c>
      <c r="K134" s="246">
        <v>1</v>
      </c>
      <c r="L134" s="246" t="s">
        <v>1153</v>
      </c>
      <c r="M134" s="429">
        <v>5</v>
      </c>
      <c r="N134" s="429">
        <v>26680</v>
      </c>
      <c r="O134" s="429">
        <f t="shared" si="10"/>
        <v>3039144</v>
      </c>
    </row>
    <row r="135" spans="2:15">
      <c r="B135" s="191" t="s">
        <v>1078</v>
      </c>
      <c r="C135" s="253">
        <v>300</v>
      </c>
      <c r="D135" s="429">
        <v>9699</v>
      </c>
      <c r="E135" s="190">
        <v>42458</v>
      </c>
      <c r="F135" s="191" t="s">
        <v>1078</v>
      </c>
      <c r="G135" s="833" t="s">
        <v>1076</v>
      </c>
      <c r="H135" s="253"/>
      <c r="I135" s="253">
        <v>9893</v>
      </c>
      <c r="J135" s="874">
        <f t="shared" si="7"/>
        <v>58200</v>
      </c>
      <c r="M135" s="246"/>
      <c r="N135" s="246"/>
      <c r="O135" s="246"/>
    </row>
    <row r="136" spans="2:15">
      <c r="B136" s="191" t="s">
        <v>967</v>
      </c>
      <c r="C136" s="253">
        <v>640</v>
      </c>
      <c r="D136" s="429">
        <v>9026</v>
      </c>
      <c r="E136" s="190">
        <v>42458</v>
      </c>
      <c r="F136" s="191" t="s">
        <v>967</v>
      </c>
      <c r="G136" s="833" t="s">
        <v>1076</v>
      </c>
      <c r="H136" s="253"/>
      <c r="I136" s="253">
        <v>9207</v>
      </c>
      <c r="J136" s="874">
        <f t="shared" si="7"/>
        <v>115840</v>
      </c>
      <c r="M136" s="246"/>
      <c r="N136" s="246"/>
      <c r="O136" s="246"/>
    </row>
    <row r="137" spans="2:15">
      <c r="B137" s="191" t="s">
        <v>755</v>
      </c>
      <c r="C137" s="253">
        <v>24</v>
      </c>
      <c r="D137" s="289">
        <v>33168</v>
      </c>
      <c r="E137" s="190">
        <v>42458</v>
      </c>
      <c r="F137" s="191" t="s">
        <v>755</v>
      </c>
      <c r="G137" s="833" t="s">
        <v>1080</v>
      </c>
      <c r="H137" s="253"/>
      <c r="I137" s="253">
        <v>35174</v>
      </c>
      <c r="J137" s="874">
        <f t="shared" si="7"/>
        <v>48144</v>
      </c>
      <c r="M137" s="246"/>
      <c r="N137" s="246"/>
      <c r="O137" s="246"/>
    </row>
    <row r="138" spans="2:15">
      <c r="B138" s="191" t="s">
        <v>959</v>
      </c>
      <c r="C138" s="253">
        <v>60</v>
      </c>
      <c r="D138" s="289">
        <v>67172</v>
      </c>
      <c r="E138" s="190">
        <v>42458</v>
      </c>
      <c r="F138" s="191" t="s">
        <v>959</v>
      </c>
      <c r="G138" s="833" t="s">
        <v>1080</v>
      </c>
      <c r="H138" s="253"/>
      <c r="I138" s="253">
        <v>81157</v>
      </c>
      <c r="J138" s="874">
        <f t="shared" si="7"/>
        <v>839100</v>
      </c>
      <c r="K138" s="246">
        <v>1</v>
      </c>
      <c r="L138" s="246" t="s">
        <v>1116</v>
      </c>
      <c r="M138" s="429">
        <v>40</v>
      </c>
      <c r="N138" s="429">
        <v>14364</v>
      </c>
      <c r="O138" s="429">
        <f>ROUND(C138*D138,0)</f>
        <v>4030320</v>
      </c>
    </row>
    <row r="139" spans="2:15">
      <c r="B139" s="191" t="s">
        <v>756</v>
      </c>
      <c r="C139" s="253">
        <v>36</v>
      </c>
      <c r="D139" s="289">
        <v>51418</v>
      </c>
      <c r="E139" s="190">
        <v>42458</v>
      </c>
      <c r="F139" s="191" t="s">
        <v>756</v>
      </c>
      <c r="G139" s="833" t="s">
        <v>1080</v>
      </c>
      <c r="H139" s="253"/>
      <c r="I139" s="253">
        <v>38460</v>
      </c>
      <c r="J139" s="874">
        <f t="shared" si="7"/>
        <v>-466488</v>
      </c>
      <c r="M139" s="246"/>
      <c r="N139" s="246"/>
      <c r="O139" s="246"/>
    </row>
    <row r="140" spans="2:15">
      <c r="B140" s="191" t="s">
        <v>761</v>
      </c>
      <c r="C140" s="253">
        <v>32</v>
      </c>
      <c r="D140" s="289">
        <v>70894</v>
      </c>
      <c r="E140" s="190">
        <v>42458</v>
      </c>
      <c r="F140" s="191" t="s">
        <v>761</v>
      </c>
      <c r="G140" s="833" t="s">
        <v>1080</v>
      </c>
      <c r="H140" s="253"/>
      <c r="I140" s="253">
        <v>91104</v>
      </c>
      <c r="J140" s="874">
        <f t="shared" si="7"/>
        <v>646720</v>
      </c>
      <c r="K140" s="246">
        <v>1</v>
      </c>
      <c r="L140" s="246" t="s">
        <v>1130</v>
      </c>
      <c r="M140" s="429">
        <v>17</v>
      </c>
      <c r="N140" s="429">
        <v>25171</v>
      </c>
      <c r="O140" s="429">
        <f t="shared" ref="O140:O144" si="11">ROUND(C140*D140,0)</f>
        <v>2268608</v>
      </c>
    </row>
    <row r="141" spans="2:15">
      <c r="B141" s="191" t="s">
        <v>957</v>
      </c>
      <c r="C141" s="25">
        <v>36</v>
      </c>
      <c r="D141" s="289">
        <v>30701</v>
      </c>
      <c r="E141" s="190">
        <v>42458</v>
      </c>
      <c r="F141" s="191" t="s">
        <v>957</v>
      </c>
      <c r="G141" s="833" t="s">
        <v>1080</v>
      </c>
      <c r="H141" s="253"/>
      <c r="I141" s="253">
        <v>36187</v>
      </c>
      <c r="J141" s="874">
        <f t="shared" si="7"/>
        <v>197496</v>
      </c>
      <c r="K141" s="246">
        <v>1</v>
      </c>
      <c r="L141" s="246" t="s">
        <v>1129</v>
      </c>
      <c r="M141" s="429">
        <v>6</v>
      </c>
      <c r="N141" s="429">
        <v>22853</v>
      </c>
      <c r="O141" s="429">
        <f t="shared" si="11"/>
        <v>1105236</v>
      </c>
    </row>
    <row r="142" spans="2:15">
      <c r="B142" s="191" t="s">
        <v>957</v>
      </c>
      <c r="C142" s="25">
        <v>20</v>
      </c>
      <c r="D142" s="289">
        <v>30701</v>
      </c>
      <c r="E142" s="190">
        <v>42458</v>
      </c>
      <c r="F142" s="191" t="s">
        <v>957</v>
      </c>
      <c r="G142" s="833" t="s">
        <v>1080</v>
      </c>
      <c r="H142" s="253"/>
      <c r="I142" s="253">
        <v>37997</v>
      </c>
      <c r="J142" s="874">
        <f t="shared" si="7"/>
        <v>145920</v>
      </c>
      <c r="K142" s="246">
        <v>1</v>
      </c>
      <c r="L142" s="246" t="s">
        <v>1138</v>
      </c>
      <c r="M142" s="429">
        <v>2</v>
      </c>
      <c r="N142" s="429">
        <v>17348.5</v>
      </c>
      <c r="O142" s="429">
        <f t="shared" si="11"/>
        <v>614020</v>
      </c>
    </row>
    <row r="143" spans="2:15">
      <c r="B143" s="191" t="s">
        <v>758</v>
      </c>
      <c r="C143" s="253">
        <v>18</v>
      </c>
      <c r="D143" s="289">
        <v>40482</v>
      </c>
      <c r="E143" s="190">
        <v>42458</v>
      </c>
      <c r="F143" s="191" t="s">
        <v>758</v>
      </c>
      <c r="G143" s="833" t="s">
        <v>1080</v>
      </c>
      <c r="H143" s="253"/>
      <c r="I143" s="253">
        <v>50880</v>
      </c>
      <c r="J143" s="874">
        <f t="shared" si="7"/>
        <v>187164</v>
      </c>
      <c r="K143" s="246">
        <v>1</v>
      </c>
      <c r="L143" s="246" t="s">
        <v>1151</v>
      </c>
      <c r="M143" s="429">
        <v>5</v>
      </c>
      <c r="N143" s="429">
        <v>22678</v>
      </c>
      <c r="O143" s="429">
        <f t="shared" si="11"/>
        <v>728676</v>
      </c>
    </row>
    <row r="144" spans="2:15">
      <c r="B144" s="191" t="s">
        <v>757</v>
      </c>
      <c r="C144" s="253">
        <v>40</v>
      </c>
      <c r="D144" s="289">
        <v>57766</v>
      </c>
      <c r="E144" s="190">
        <v>42458</v>
      </c>
      <c r="F144" s="191" t="s">
        <v>757</v>
      </c>
      <c r="G144" s="833" t="s">
        <v>1080</v>
      </c>
      <c r="H144" s="253"/>
      <c r="I144" s="253">
        <v>68605</v>
      </c>
      <c r="J144" s="874">
        <f t="shared" si="7"/>
        <v>433560</v>
      </c>
      <c r="K144" s="246">
        <v>1</v>
      </c>
      <c r="L144" s="246" t="s">
        <v>1148</v>
      </c>
      <c r="M144" s="429">
        <v>20</v>
      </c>
      <c r="N144" s="429">
        <v>14007</v>
      </c>
      <c r="O144" s="429">
        <f t="shared" si="11"/>
        <v>2310640</v>
      </c>
    </row>
    <row r="145" spans="2:15">
      <c r="B145" s="191" t="s">
        <v>672</v>
      </c>
      <c r="C145" s="253">
        <v>54</v>
      </c>
      <c r="D145" s="289">
        <v>51067.765625</v>
      </c>
      <c r="E145" s="190">
        <v>42458</v>
      </c>
      <c r="F145" s="191" t="s">
        <v>672</v>
      </c>
      <c r="G145" s="833" t="s">
        <v>1080</v>
      </c>
      <c r="H145" s="253"/>
      <c r="I145" s="253">
        <v>39501</v>
      </c>
      <c r="J145" s="874">
        <f t="shared" si="7"/>
        <v>-624605.34375</v>
      </c>
      <c r="M145" s="246"/>
      <c r="N145" s="246"/>
      <c r="O145" s="246"/>
    </row>
    <row r="146" spans="2:15">
      <c r="B146" s="191" t="s">
        <v>958</v>
      </c>
      <c r="C146" s="253">
        <v>50</v>
      </c>
      <c r="D146" s="289">
        <v>32374</v>
      </c>
      <c r="E146" s="190">
        <v>42458</v>
      </c>
      <c r="F146" s="191" t="s">
        <v>958</v>
      </c>
      <c r="G146" s="833" t="s">
        <v>1080</v>
      </c>
      <c r="H146" s="253"/>
      <c r="I146" s="253">
        <v>62643</v>
      </c>
      <c r="J146" s="874">
        <f t="shared" si="7"/>
        <v>1513450</v>
      </c>
      <c r="K146" s="246">
        <v>1</v>
      </c>
      <c r="L146" s="246" t="s">
        <v>1154</v>
      </c>
      <c r="M146" s="429">
        <v>34</v>
      </c>
      <c r="N146" s="429">
        <v>28281</v>
      </c>
      <c r="O146" s="429">
        <f>ROUND(C146*D146,0)</f>
        <v>1618700</v>
      </c>
    </row>
    <row r="147" spans="2:15">
      <c r="B147" s="191" t="s">
        <v>736</v>
      </c>
      <c r="C147" s="253">
        <v>15</v>
      </c>
      <c r="D147" s="429">
        <v>72214</v>
      </c>
      <c r="E147" s="190">
        <v>42458</v>
      </c>
      <c r="F147" s="191" t="s">
        <v>736</v>
      </c>
      <c r="G147" s="833" t="s">
        <v>1080</v>
      </c>
      <c r="H147" s="253"/>
      <c r="I147" s="253">
        <v>65049</v>
      </c>
      <c r="J147" s="874">
        <f t="shared" si="7"/>
        <v>-107475</v>
      </c>
      <c r="M147" s="246"/>
      <c r="N147" s="246"/>
      <c r="O147" s="246"/>
    </row>
    <row r="148" spans="2:15">
      <c r="B148" s="191" t="s">
        <v>760</v>
      </c>
      <c r="C148" s="253">
        <v>18</v>
      </c>
      <c r="D148" s="289">
        <v>39732</v>
      </c>
      <c r="E148" s="190">
        <v>42458</v>
      </c>
      <c r="F148" s="191" t="s">
        <v>760</v>
      </c>
      <c r="G148" s="833" t="s">
        <v>1080</v>
      </c>
      <c r="H148" s="253"/>
      <c r="I148" s="253">
        <v>48640</v>
      </c>
      <c r="J148" s="874">
        <f t="shared" si="7"/>
        <v>160344</v>
      </c>
      <c r="K148" s="246">
        <v>1</v>
      </c>
      <c r="L148" s="246" t="s">
        <v>1163</v>
      </c>
      <c r="M148" s="429">
        <v>3</v>
      </c>
      <c r="N148" s="429">
        <v>21960</v>
      </c>
      <c r="O148" s="429">
        <f t="shared" ref="O148:O153" si="12">ROUND(C148*D148,0)</f>
        <v>715176</v>
      </c>
    </row>
    <row r="149" spans="2:15">
      <c r="B149" s="191" t="s">
        <v>670</v>
      </c>
      <c r="C149" s="246">
        <v>27</v>
      </c>
      <c r="D149" s="429">
        <v>105692</v>
      </c>
      <c r="E149" s="190">
        <v>42458</v>
      </c>
      <c r="F149" s="191" t="s">
        <v>670</v>
      </c>
      <c r="G149" s="833" t="s">
        <v>1080</v>
      </c>
      <c r="H149" s="253"/>
      <c r="I149" s="253">
        <v>138533</v>
      </c>
      <c r="J149" s="874">
        <f t="shared" si="7"/>
        <v>886707</v>
      </c>
      <c r="K149" s="246">
        <v>1</v>
      </c>
      <c r="L149" s="246" t="s">
        <v>1124</v>
      </c>
      <c r="M149" s="429">
        <v>40</v>
      </c>
      <c r="N149" s="429">
        <v>12420</v>
      </c>
      <c r="O149" s="429">
        <f t="shared" si="12"/>
        <v>2853684</v>
      </c>
    </row>
    <row r="150" spans="2:15">
      <c r="B150" s="191" t="s">
        <v>762</v>
      </c>
      <c r="C150" s="253">
        <v>31</v>
      </c>
      <c r="D150" s="289">
        <v>51043</v>
      </c>
      <c r="E150" s="190">
        <v>42458</v>
      </c>
      <c r="F150" s="191" t="s">
        <v>762</v>
      </c>
      <c r="G150" s="833" t="s">
        <v>1080</v>
      </c>
      <c r="H150" s="253"/>
      <c r="I150" s="253">
        <v>63956</v>
      </c>
      <c r="J150" s="874">
        <f t="shared" si="7"/>
        <v>400303</v>
      </c>
      <c r="K150" s="246">
        <v>1</v>
      </c>
      <c r="L150" s="246" t="s">
        <v>1122</v>
      </c>
      <c r="M150" s="429">
        <v>16</v>
      </c>
      <c r="N150" s="429">
        <v>17986</v>
      </c>
      <c r="O150" s="429">
        <f t="shared" si="12"/>
        <v>1582333</v>
      </c>
    </row>
    <row r="151" spans="2:15">
      <c r="B151" s="191" t="s">
        <v>759</v>
      </c>
      <c r="C151" s="253">
        <v>12</v>
      </c>
      <c r="D151" s="289">
        <v>42242</v>
      </c>
      <c r="E151" s="190">
        <v>42458</v>
      </c>
      <c r="F151" s="191" t="s">
        <v>759</v>
      </c>
      <c r="G151" s="833" t="s">
        <v>1080</v>
      </c>
      <c r="H151" s="253"/>
      <c r="I151" s="253">
        <v>53685</v>
      </c>
      <c r="J151" s="874">
        <f t="shared" si="7"/>
        <v>137316</v>
      </c>
      <c r="K151" s="246">
        <v>1</v>
      </c>
      <c r="L151" s="246" t="s">
        <v>1119</v>
      </c>
      <c r="M151" s="429">
        <v>2</v>
      </c>
      <c r="N151" s="429">
        <v>35438</v>
      </c>
      <c r="O151" s="429">
        <f t="shared" si="12"/>
        <v>506904</v>
      </c>
    </row>
    <row r="152" spans="2:15">
      <c r="B152" s="191" t="s">
        <v>759</v>
      </c>
      <c r="C152" s="253">
        <v>36</v>
      </c>
      <c r="D152" s="289">
        <v>42242</v>
      </c>
      <c r="E152" s="190">
        <v>42458</v>
      </c>
      <c r="F152" s="191" t="s">
        <v>759</v>
      </c>
      <c r="G152" s="833" t="s">
        <v>1080</v>
      </c>
      <c r="H152" s="253"/>
      <c r="I152" s="253">
        <v>53685</v>
      </c>
      <c r="J152" s="874">
        <f t="shared" si="7"/>
        <v>411948</v>
      </c>
      <c r="K152" s="246">
        <v>1</v>
      </c>
      <c r="L152" s="246" t="s">
        <v>1120</v>
      </c>
      <c r="M152" s="429">
        <v>16</v>
      </c>
      <c r="N152" s="429">
        <v>15151.25</v>
      </c>
      <c r="O152" s="429">
        <f t="shared" si="12"/>
        <v>1520712</v>
      </c>
    </row>
    <row r="153" spans="2:15">
      <c r="B153" s="191" t="s">
        <v>1014</v>
      </c>
      <c r="C153" s="253">
        <v>40</v>
      </c>
      <c r="D153" s="289">
        <v>60618.818181818184</v>
      </c>
      <c r="E153" s="190">
        <v>42458</v>
      </c>
      <c r="F153" s="191" t="s">
        <v>1014</v>
      </c>
      <c r="G153" s="833" t="s">
        <v>1080</v>
      </c>
      <c r="H153" s="253"/>
      <c r="I153" s="253">
        <v>67708</v>
      </c>
      <c r="J153" s="874">
        <f t="shared" si="7"/>
        <v>283567.27272727265</v>
      </c>
      <c r="K153" s="246">
        <v>1</v>
      </c>
      <c r="L153" s="246" t="s">
        <v>1121</v>
      </c>
      <c r="M153" s="429">
        <v>10</v>
      </c>
      <c r="N153" s="429">
        <v>15835.5</v>
      </c>
      <c r="O153" s="429">
        <f t="shared" si="12"/>
        <v>2424753</v>
      </c>
    </row>
    <row r="154" spans="2:15">
      <c r="B154" s="188" t="s">
        <v>469</v>
      </c>
      <c r="C154" s="253">
        <v>9</v>
      </c>
      <c r="D154" s="289">
        <v>59270.5</v>
      </c>
      <c r="E154" s="190">
        <v>42458</v>
      </c>
      <c r="F154" s="188" t="s">
        <v>469</v>
      </c>
      <c r="G154" s="833" t="s">
        <v>1080</v>
      </c>
      <c r="H154" s="253"/>
      <c r="I154" s="253">
        <v>61913</v>
      </c>
      <c r="J154" s="874">
        <f t="shared" ref="J154:J167" si="13">(I154-D154)*C154</f>
        <v>23782.5</v>
      </c>
      <c r="M154" s="246"/>
      <c r="N154" s="246"/>
      <c r="O154" s="246"/>
    </row>
    <row r="155" spans="2:15">
      <c r="B155" s="191" t="s">
        <v>459</v>
      </c>
      <c r="C155" s="253">
        <v>155</v>
      </c>
      <c r="D155" s="289">
        <v>18932.666666666668</v>
      </c>
      <c r="E155" s="190">
        <v>42458</v>
      </c>
      <c r="F155" s="191" t="s">
        <v>459</v>
      </c>
      <c r="G155" s="833" t="s">
        <v>1080</v>
      </c>
      <c r="H155" s="253"/>
      <c r="I155" s="253">
        <v>31884</v>
      </c>
      <c r="J155" s="874">
        <f t="shared" si="13"/>
        <v>2007456.6666666665</v>
      </c>
      <c r="K155" s="246">
        <v>1</v>
      </c>
      <c r="L155" s="246" t="s">
        <v>1272</v>
      </c>
      <c r="M155" s="429">
        <v>100</v>
      </c>
      <c r="N155" s="429">
        <v>19735.599999999999</v>
      </c>
      <c r="O155" s="429">
        <f>ROUND(C155*D155,0)</f>
        <v>2934563</v>
      </c>
    </row>
    <row r="156" spans="2:15">
      <c r="B156" s="191" t="s">
        <v>453</v>
      </c>
      <c r="C156" s="253">
        <v>12</v>
      </c>
      <c r="D156" s="289">
        <v>120909</v>
      </c>
      <c r="E156" s="190">
        <v>42458</v>
      </c>
      <c r="F156" s="191" t="s">
        <v>453</v>
      </c>
      <c r="G156" s="833" t="s">
        <v>1080</v>
      </c>
      <c r="H156" s="253"/>
      <c r="I156" s="253">
        <v>127273</v>
      </c>
      <c r="J156" s="874">
        <f t="shared" si="13"/>
        <v>76368</v>
      </c>
      <c r="M156" s="246"/>
      <c r="N156" s="246"/>
      <c r="O156" s="246"/>
    </row>
    <row r="157" spans="2:15">
      <c r="B157" s="191" t="s">
        <v>764</v>
      </c>
      <c r="C157" s="253">
        <v>12</v>
      </c>
      <c r="D157" s="289">
        <v>83677</v>
      </c>
      <c r="E157" s="190">
        <v>42458</v>
      </c>
      <c r="F157" s="191" t="s">
        <v>764</v>
      </c>
      <c r="G157" s="833" t="s">
        <v>1080</v>
      </c>
      <c r="H157" s="253"/>
      <c r="I157" s="253">
        <v>221021</v>
      </c>
      <c r="J157" s="874">
        <f t="shared" si="13"/>
        <v>1648128</v>
      </c>
      <c r="K157" s="246">
        <v>1</v>
      </c>
      <c r="L157" s="246" t="s">
        <v>1172</v>
      </c>
      <c r="M157" s="429">
        <v>40</v>
      </c>
      <c r="N157" s="429">
        <v>25830</v>
      </c>
      <c r="O157" s="429">
        <f t="shared" ref="O157:O158" si="14">ROUND(C157*D157,0)</f>
        <v>1004124</v>
      </c>
    </row>
    <row r="158" spans="2:15">
      <c r="B158" s="191" t="s">
        <v>454</v>
      </c>
      <c r="C158" s="253">
        <v>10</v>
      </c>
      <c r="D158" s="289">
        <v>73996</v>
      </c>
      <c r="E158" s="190">
        <v>42458</v>
      </c>
      <c r="F158" s="191" t="s">
        <v>454</v>
      </c>
      <c r="G158" s="833" t="s">
        <v>1080</v>
      </c>
      <c r="H158" s="253"/>
      <c r="I158" s="253">
        <v>201814</v>
      </c>
      <c r="J158" s="874">
        <f t="shared" si="13"/>
        <v>1278180</v>
      </c>
      <c r="K158" s="246">
        <v>1</v>
      </c>
      <c r="L158" s="246" t="s">
        <v>1147</v>
      </c>
      <c r="M158" s="429">
        <v>30</v>
      </c>
      <c r="N158" s="429">
        <v>20230</v>
      </c>
      <c r="O158" s="429">
        <f t="shared" si="14"/>
        <v>739960</v>
      </c>
    </row>
    <row r="159" spans="2:15">
      <c r="B159" s="191" t="s">
        <v>455</v>
      </c>
      <c r="C159" s="253">
        <v>10</v>
      </c>
      <c r="D159" s="289">
        <v>157609</v>
      </c>
      <c r="E159" s="190">
        <v>42458</v>
      </c>
      <c r="F159" s="191" t="s">
        <v>455</v>
      </c>
      <c r="G159" s="833" t="s">
        <v>1080</v>
      </c>
      <c r="H159" s="253"/>
      <c r="I159" s="253">
        <v>165904</v>
      </c>
      <c r="J159" s="874">
        <f t="shared" si="13"/>
        <v>82950</v>
      </c>
      <c r="M159" s="246"/>
      <c r="N159" s="246"/>
      <c r="O159" s="246"/>
    </row>
    <row r="160" spans="2:15">
      <c r="B160" s="191" t="s">
        <v>765</v>
      </c>
      <c r="C160" s="253">
        <v>10</v>
      </c>
      <c r="D160" s="289">
        <v>72380</v>
      </c>
      <c r="E160" s="190">
        <v>42458</v>
      </c>
      <c r="F160" s="191" t="s">
        <v>765</v>
      </c>
      <c r="G160" s="833" t="s">
        <v>1080</v>
      </c>
      <c r="H160" s="253"/>
      <c r="I160" s="253">
        <v>98427</v>
      </c>
      <c r="J160" s="874">
        <f t="shared" si="13"/>
        <v>260470</v>
      </c>
      <c r="K160" s="246">
        <v>1</v>
      </c>
      <c r="L160" s="246" t="s">
        <v>1126</v>
      </c>
      <c r="M160" s="429">
        <v>10</v>
      </c>
      <c r="N160" s="429">
        <v>17112</v>
      </c>
      <c r="O160" s="429">
        <f>ROUND(C160*D160,0)</f>
        <v>723800</v>
      </c>
    </row>
    <row r="161" spans="1:15">
      <c r="B161" s="191" t="s">
        <v>456</v>
      </c>
      <c r="C161" s="253">
        <v>10</v>
      </c>
      <c r="D161" s="289">
        <v>138818</v>
      </c>
      <c r="E161" s="190">
        <v>42458</v>
      </c>
      <c r="F161" s="191" t="s">
        <v>456</v>
      </c>
      <c r="G161" s="833" t="s">
        <v>1080</v>
      </c>
      <c r="H161" s="253"/>
      <c r="I161" s="253">
        <v>145454</v>
      </c>
      <c r="J161" s="874">
        <f t="shared" si="13"/>
        <v>66360</v>
      </c>
      <c r="M161" s="246"/>
      <c r="N161" s="246"/>
      <c r="O161" s="246"/>
    </row>
    <row r="162" spans="1:15">
      <c r="B162" s="191" t="s">
        <v>1010</v>
      </c>
      <c r="C162" s="253">
        <v>12</v>
      </c>
      <c r="D162" s="289">
        <v>47309.4</v>
      </c>
      <c r="E162" s="190">
        <v>42458</v>
      </c>
      <c r="F162" s="191" t="s">
        <v>1010</v>
      </c>
      <c r="G162" s="833" t="s">
        <v>1080</v>
      </c>
      <c r="H162" s="253"/>
      <c r="I162" s="253">
        <v>50816</v>
      </c>
      <c r="J162" s="874">
        <f t="shared" si="13"/>
        <v>42079.199999999983</v>
      </c>
      <c r="M162" s="246"/>
      <c r="N162" s="246"/>
      <c r="O162" s="246"/>
    </row>
    <row r="163" spans="1:15">
      <c r="B163" s="191" t="s">
        <v>457</v>
      </c>
      <c r="C163" s="253">
        <v>10</v>
      </c>
      <c r="D163" s="289">
        <v>96550</v>
      </c>
      <c r="E163" s="190">
        <v>42458</v>
      </c>
      <c r="F163" s="191" t="s">
        <v>457</v>
      </c>
      <c r="G163" s="833" t="s">
        <v>1080</v>
      </c>
      <c r="H163" s="253"/>
      <c r="I163" s="253">
        <v>101632</v>
      </c>
      <c r="J163" s="874">
        <f t="shared" si="13"/>
        <v>50820</v>
      </c>
      <c r="M163" s="246"/>
      <c r="N163" s="246"/>
      <c r="O163" s="246"/>
    </row>
    <row r="164" spans="1:15">
      <c r="B164" s="191" t="s">
        <v>1011</v>
      </c>
      <c r="C164" s="246">
        <v>20</v>
      </c>
      <c r="D164" s="429">
        <v>77984</v>
      </c>
      <c r="E164" s="190">
        <v>42458</v>
      </c>
      <c r="F164" s="191" t="s">
        <v>1011</v>
      </c>
      <c r="G164" s="833" t="s">
        <v>1080</v>
      </c>
      <c r="H164" s="253"/>
      <c r="I164" s="253">
        <v>70976</v>
      </c>
      <c r="J164" s="874">
        <f t="shared" si="13"/>
        <v>-140160</v>
      </c>
      <c r="M164" s="246"/>
      <c r="N164" s="246"/>
      <c r="O164" s="246"/>
    </row>
    <row r="165" spans="1:15">
      <c r="B165" s="191" t="s">
        <v>458</v>
      </c>
      <c r="C165" s="253">
        <v>10</v>
      </c>
      <c r="D165" s="289">
        <v>47796</v>
      </c>
      <c r="E165" s="190">
        <v>42458</v>
      </c>
      <c r="F165" s="191" t="s">
        <v>458</v>
      </c>
      <c r="G165" s="833" t="s">
        <v>1080</v>
      </c>
      <c r="H165" s="253"/>
      <c r="I165" s="253">
        <v>50312</v>
      </c>
      <c r="J165" s="874">
        <f t="shared" si="13"/>
        <v>25160</v>
      </c>
      <c r="M165" s="246"/>
      <c r="N165" s="246"/>
      <c r="O165" s="246"/>
    </row>
    <row r="166" spans="1:15">
      <c r="B166" s="191" t="s">
        <v>1012</v>
      </c>
      <c r="C166" s="246">
        <v>10</v>
      </c>
      <c r="D166" s="429">
        <v>62200</v>
      </c>
      <c r="E166" s="190">
        <v>42458</v>
      </c>
      <c r="F166" s="191" t="s">
        <v>1012</v>
      </c>
      <c r="G166" s="833" t="s">
        <v>1080</v>
      </c>
      <c r="H166" s="253"/>
      <c r="I166" s="253">
        <v>65474</v>
      </c>
      <c r="J166" s="874">
        <f t="shared" si="13"/>
        <v>32740</v>
      </c>
      <c r="M166" s="246"/>
      <c r="N166" s="246"/>
      <c r="O166" s="246"/>
    </row>
    <row r="167" spans="1:15">
      <c r="B167" s="191" t="s">
        <v>627</v>
      </c>
      <c r="C167" s="253">
        <v>2750</v>
      </c>
      <c r="D167" s="289">
        <v>6209</v>
      </c>
      <c r="E167" s="190">
        <v>42459</v>
      </c>
      <c r="F167" s="191" t="s">
        <v>627</v>
      </c>
      <c r="G167" s="833" t="s">
        <v>1081</v>
      </c>
      <c r="H167" s="253"/>
      <c r="I167" s="253">
        <v>6519</v>
      </c>
      <c r="J167" s="874">
        <f t="shared" si="13"/>
        <v>852500</v>
      </c>
      <c r="K167" s="246">
        <v>1</v>
      </c>
      <c r="L167" s="246" t="s">
        <v>1123</v>
      </c>
      <c r="M167" s="429">
        <v>40</v>
      </c>
      <c r="N167" s="429">
        <v>15138</v>
      </c>
      <c r="O167" s="429">
        <f>ROUND(C167*D167,0)</f>
        <v>17074750</v>
      </c>
    </row>
    <row r="168" spans="1:15">
      <c r="F168" s="40"/>
      <c r="M168" s="246"/>
      <c r="N168" s="246"/>
      <c r="O168" s="246"/>
    </row>
    <row r="169" spans="1:15">
      <c r="F169" s="191"/>
    </row>
    <row r="170" spans="1:15">
      <c r="D170" s="429">
        <f>C158*D158</f>
        <v>739960</v>
      </c>
      <c r="F170" s="191"/>
    </row>
    <row r="171" spans="1:15">
      <c r="F171" s="191"/>
    </row>
    <row r="172" spans="1:15">
      <c r="F172" s="292"/>
    </row>
    <row r="173" spans="1:15">
      <c r="F173" s="188"/>
    </row>
    <row r="174" spans="1:15">
      <c r="F174" s="191"/>
    </row>
    <row r="175" spans="1:15">
      <c r="F175" s="191"/>
    </row>
    <row r="176" spans="1:15">
      <c r="A176" s="246">
        <v>2</v>
      </c>
      <c r="B176" s="246">
        <v>2</v>
      </c>
      <c r="C176" s="246">
        <v>2</v>
      </c>
      <c r="D176" s="246">
        <v>2</v>
      </c>
      <c r="E176" s="246">
        <v>2</v>
      </c>
      <c r="F176" s="246">
        <v>2</v>
      </c>
      <c r="G176" s="246">
        <v>2</v>
      </c>
      <c r="H176" s="246">
        <v>2</v>
      </c>
      <c r="I176" s="246">
        <v>2</v>
      </c>
      <c r="J176" s="246">
        <v>2</v>
      </c>
      <c r="L176" s="246">
        <v>2</v>
      </c>
      <c r="M176" s="246">
        <v>2</v>
      </c>
      <c r="N176" s="246">
        <v>2</v>
      </c>
      <c r="O176" s="246">
        <v>2</v>
      </c>
    </row>
    <row r="177" spans="2:15">
      <c r="B177" s="191" t="s">
        <v>627</v>
      </c>
      <c r="C177" s="253">
        <v>995</v>
      </c>
      <c r="D177" s="429">
        <v>6209</v>
      </c>
      <c r="E177" s="190">
        <v>42464</v>
      </c>
      <c r="F177" s="191" t="s">
        <v>627</v>
      </c>
      <c r="G177" s="833" t="s">
        <v>629</v>
      </c>
      <c r="H177" s="253"/>
      <c r="I177" s="253">
        <v>6519</v>
      </c>
      <c r="J177" s="874">
        <f t="shared" ref="J177:J241" si="15">(I177-D177)*C177</f>
        <v>308450</v>
      </c>
      <c r="K177" s="246">
        <v>2</v>
      </c>
      <c r="L177" s="246" t="s">
        <v>1288</v>
      </c>
      <c r="M177" s="429">
        <v>11</v>
      </c>
      <c r="N177" s="429">
        <v>23745</v>
      </c>
      <c r="O177" s="429">
        <f>ROUND(C177*D177,0)</f>
        <v>6177955</v>
      </c>
    </row>
    <row r="178" spans="2:15">
      <c r="B178" s="188" t="s">
        <v>451</v>
      </c>
      <c r="C178" s="874">
        <v>300</v>
      </c>
      <c r="D178" s="429">
        <v>14250</v>
      </c>
      <c r="E178" s="190">
        <v>42464</v>
      </c>
      <c r="F178" s="188" t="s">
        <v>451</v>
      </c>
      <c r="G178" s="833" t="s">
        <v>631</v>
      </c>
      <c r="H178" s="253"/>
      <c r="I178" s="253">
        <v>15000</v>
      </c>
      <c r="J178" s="874">
        <f t="shared" si="15"/>
        <v>225000</v>
      </c>
    </row>
    <row r="179" spans="2:15">
      <c r="B179" s="188" t="s">
        <v>451</v>
      </c>
      <c r="C179" s="874">
        <v>261</v>
      </c>
      <c r="D179" s="429">
        <v>14250</v>
      </c>
      <c r="E179" s="190">
        <v>42465</v>
      </c>
      <c r="F179" s="188" t="s">
        <v>451</v>
      </c>
      <c r="G179" s="833" t="s">
        <v>634</v>
      </c>
      <c r="H179" s="253"/>
      <c r="I179" s="253">
        <v>15000</v>
      </c>
      <c r="J179" s="874">
        <f t="shared" si="15"/>
        <v>195750</v>
      </c>
    </row>
    <row r="180" spans="2:15">
      <c r="B180" s="191" t="s">
        <v>921</v>
      </c>
      <c r="C180" s="253">
        <v>84</v>
      </c>
      <c r="D180" s="429">
        <v>6470</v>
      </c>
      <c r="E180" s="190">
        <v>42466</v>
      </c>
      <c r="F180" s="191" t="s">
        <v>921</v>
      </c>
      <c r="G180" s="833" t="s">
        <v>635</v>
      </c>
      <c r="H180" s="253"/>
      <c r="I180" s="253">
        <v>7473</v>
      </c>
      <c r="J180" s="874">
        <f t="shared" si="15"/>
        <v>84252</v>
      </c>
    </row>
    <row r="181" spans="2:15">
      <c r="B181" s="191" t="s">
        <v>637</v>
      </c>
      <c r="C181" s="253">
        <v>254</v>
      </c>
      <c r="D181" s="429">
        <v>5942</v>
      </c>
      <c r="E181" s="190">
        <v>42466</v>
      </c>
      <c r="F181" s="191" t="s">
        <v>637</v>
      </c>
      <c r="G181" s="833" t="s">
        <v>635</v>
      </c>
      <c r="H181" s="253"/>
      <c r="I181" s="253">
        <v>6888</v>
      </c>
      <c r="J181" s="874">
        <f t="shared" si="15"/>
        <v>240284</v>
      </c>
      <c r="K181" s="246">
        <v>2</v>
      </c>
      <c r="L181" s="188" t="s">
        <v>1242</v>
      </c>
      <c r="M181" s="25">
        <v>20</v>
      </c>
      <c r="N181" s="289">
        <v>6503</v>
      </c>
      <c r="O181" s="429">
        <f>ROUND(C181*D181,0)</f>
        <v>1509268</v>
      </c>
    </row>
    <row r="182" spans="2:15">
      <c r="B182" s="191" t="s">
        <v>655</v>
      </c>
      <c r="C182" s="253">
        <v>121</v>
      </c>
      <c r="D182" s="429">
        <v>6552</v>
      </c>
      <c r="E182" s="190">
        <v>42466</v>
      </c>
      <c r="F182" s="191" t="s">
        <v>655</v>
      </c>
      <c r="G182" s="833" t="s">
        <v>635</v>
      </c>
      <c r="H182" s="253"/>
      <c r="I182" s="253">
        <v>6880</v>
      </c>
      <c r="J182" s="874">
        <f t="shared" si="15"/>
        <v>39688</v>
      </c>
    </row>
    <row r="183" spans="2:15">
      <c r="B183" s="191" t="s">
        <v>479</v>
      </c>
      <c r="C183" s="255">
        <v>300</v>
      </c>
      <c r="D183" s="429">
        <v>7628</v>
      </c>
      <c r="E183" s="190">
        <v>42467</v>
      </c>
      <c r="F183" s="191" t="s">
        <v>479</v>
      </c>
      <c r="G183" s="833" t="s">
        <v>638</v>
      </c>
      <c r="H183" s="255"/>
      <c r="I183" s="253">
        <v>8030</v>
      </c>
      <c r="J183" s="874">
        <f t="shared" si="15"/>
        <v>120600</v>
      </c>
      <c r="K183" s="246">
        <v>2</v>
      </c>
      <c r="L183" s="191" t="s">
        <v>1237</v>
      </c>
      <c r="M183" s="25">
        <v>7</v>
      </c>
      <c r="N183" s="289">
        <v>11362</v>
      </c>
      <c r="O183" s="429">
        <f>ROUND(C183*D183,0)</f>
        <v>2288400</v>
      </c>
    </row>
    <row r="184" spans="2:15">
      <c r="E184" s="190">
        <v>42472</v>
      </c>
      <c r="F184" s="191" t="s">
        <v>641</v>
      </c>
      <c r="G184" s="833" t="s">
        <v>640</v>
      </c>
      <c r="H184" s="253">
        <v>474</v>
      </c>
      <c r="I184" s="253">
        <v>10078</v>
      </c>
      <c r="J184" s="874">
        <f t="shared" si="15"/>
        <v>0</v>
      </c>
    </row>
    <row r="185" spans="2:15">
      <c r="B185" s="188" t="s">
        <v>451</v>
      </c>
      <c r="C185" s="874">
        <v>282</v>
      </c>
      <c r="D185" s="429">
        <v>14250</v>
      </c>
      <c r="E185" s="190">
        <v>42472</v>
      </c>
      <c r="F185" s="188" t="s">
        <v>451</v>
      </c>
      <c r="G185" s="833" t="s">
        <v>642</v>
      </c>
      <c r="H185" s="253"/>
      <c r="I185" s="253">
        <v>15000</v>
      </c>
      <c r="J185" s="874">
        <f t="shared" si="15"/>
        <v>211500</v>
      </c>
    </row>
    <row r="186" spans="2:15">
      <c r="B186" s="188" t="s">
        <v>451</v>
      </c>
      <c r="C186" s="874">
        <v>282</v>
      </c>
      <c r="D186" s="429">
        <v>14250</v>
      </c>
      <c r="E186" s="190">
        <v>42472</v>
      </c>
      <c r="F186" s="188" t="s">
        <v>451</v>
      </c>
      <c r="G186" s="833" t="s">
        <v>643</v>
      </c>
      <c r="H186" s="254"/>
      <c r="I186" s="254">
        <v>15000</v>
      </c>
      <c r="J186" s="874">
        <f t="shared" si="15"/>
        <v>211500</v>
      </c>
    </row>
    <row r="187" spans="2:15">
      <c r="B187" s="188" t="s">
        <v>451</v>
      </c>
      <c r="C187" s="874">
        <v>282</v>
      </c>
      <c r="D187" s="429">
        <v>14250</v>
      </c>
      <c r="E187" s="190">
        <v>42474</v>
      </c>
      <c r="F187" s="188" t="s">
        <v>451</v>
      </c>
      <c r="G187" s="833" t="s">
        <v>644</v>
      </c>
      <c r="H187" s="254"/>
      <c r="I187" s="254">
        <v>15000</v>
      </c>
      <c r="J187" s="874">
        <f t="shared" si="15"/>
        <v>211500</v>
      </c>
    </row>
    <row r="188" spans="2:15">
      <c r="B188" s="188" t="s">
        <v>451</v>
      </c>
      <c r="C188" s="874">
        <v>280</v>
      </c>
      <c r="D188" s="429">
        <v>14250</v>
      </c>
      <c r="E188" s="190">
        <v>42474</v>
      </c>
      <c r="F188" s="188" t="s">
        <v>451</v>
      </c>
      <c r="G188" s="833" t="s">
        <v>645</v>
      </c>
      <c r="H188" s="253"/>
      <c r="I188" s="253">
        <v>15000</v>
      </c>
      <c r="J188" s="874">
        <f t="shared" si="15"/>
        <v>210000</v>
      </c>
    </row>
    <row r="189" spans="2:15">
      <c r="B189" s="188" t="s">
        <v>451</v>
      </c>
      <c r="C189" s="874">
        <v>275</v>
      </c>
      <c r="D189" s="429">
        <v>14250</v>
      </c>
      <c r="E189" s="190">
        <v>42475</v>
      </c>
      <c r="F189" s="188" t="s">
        <v>451</v>
      </c>
      <c r="G189" s="833" t="s">
        <v>646</v>
      </c>
      <c r="H189" s="253"/>
      <c r="I189" s="253">
        <v>15000</v>
      </c>
      <c r="J189" s="874">
        <f t="shared" si="15"/>
        <v>206250</v>
      </c>
    </row>
    <row r="190" spans="2:15">
      <c r="B190" s="188" t="s">
        <v>451</v>
      </c>
      <c r="C190" s="874">
        <v>291</v>
      </c>
      <c r="D190" s="429">
        <v>14250</v>
      </c>
      <c r="E190" s="190">
        <v>42475</v>
      </c>
      <c r="F190" s="188" t="s">
        <v>451</v>
      </c>
      <c r="G190" s="833" t="s">
        <v>647</v>
      </c>
      <c r="H190" s="253"/>
      <c r="I190" s="253">
        <v>15000</v>
      </c>
      <c r="J190" s="874">
        <f t="shared" si="15"/>
        <v>218250</v>
      </c>
    </row>
    <row r="191" spans="2:15">
      <c r="B191" s="188" t="s">
        <v>451</v>
      </c>
      <c r="C191" s="874">
        <v>300</v>
      </c>
      <c r="D191" s="429">
        <v>14250</v>
      </c>
      <c r="E191" s="190">
        <v>42475</v>
      </c>
      <c r="F191" s="188" t="s">
        <v>451</v>
      </c>
      <c r="G191" s="833" t="s">
        <v>648</v>
      </c>
      <c r="H191" s="253"/>
      <c r="I191" s="253">
        <v>15000</v>
      </c>
      <c r="J191" s="874">
        <f t="shared" si="15"/>
        <v>225000</v>
      </c>
    </row>
    <row r="192" spans="2:15">
      <c r="B192" s="188" t="s">
        <v>451</v>
      </c>
      <c r="C192" s="874">
        <v>253</v>
      </c>
      <c r="D192" s="429">
        <v>14250</v>
      </c>
      <c r="E192" s="190">
        <v>42475</v>
      </c>
      <c r="F192" s="188" t="s">
        <v>451</v>
      </c>
      <c r="G192" s="833" t="s">
        <v>649</v>
      </c>
      <c r="H192" s="253"/>
      <c r="I192" s="253">
        <v>15000</v>
      </c>
      <c r="J192" s="874">
        <f t="shared" si="15"/>
        <v>189750</v>
      </c>
    </row>
    <row r="193" spans="2:15">
      <c r="B193" s="191" t="s">
        <v>572</v>
      </c>
      <c r="C193" s="253">
        <v>500</v>
      </c>
      <c r="D193" s="429">
        <v>11562</v>
      </c>
      <c r="E193" s="190">
        <v>42480</v>
      </c>
      <c r="F193" s="191" t="s">
        <v>572</v>
      </c>
      <c r="G193" s="833" t="s">
        <v>650</v>
      </c>
      <c r="H193" s="253"/>
      <c r="I193" s="253">
        <v>12170</v>
      </c>
      <c r="J193" s="874">
        <f t="shared" si="15"/>
        <v>304000</v>
      </c>
      <c r="K193" s="246">
        <v>2</v>
      </c>
      <c r="L193" s="188" t="s">
        <v>1235</v>
      </c>
      <c r="M193" s="25">
        <v>17</v>
      </c>
      <c r="N193" s="289">
        <v>14683</v>
      </c>
      <c r="O193" s="429">
        <f>ROUND(C193*D193,0)</f>
        <v>5781000</v>
      </c>
    </row>
    <row r="194" spans="2:15">
      <c r="B194" s="191" t="s">
        <v>655</v>
      </c>
      <c r="C194" s="253">
        <v>316</v>
      </c>
      <c r="D194" s="429">
        <v>6552</v>
      </c>
      <c r="E194" s="190">
        <v>42480</v>
      </c>
      <c r="F194" s="191" t="s">
        <v>655</v>
      </c>
      <c r="G194" s="833" t="s">
        <v>654</v>
      </c>
      <c r="H194" s="253"/>
      <c r="I194" s="253">
        <v>6519</v>
      </c>
      <c r="J194" s="874">
        <f t="shared" si="15"/>
        <v>-10428</v>
      </c>
    </row>
    <row r="195" spans="2:15">
      <c r="B195" s="191" t="s">
        <v>656</v>
      </c>
      <c r="C195" s="253">
        <v>259</v>
      </c>
      <c r="D195" s="429">
        <v>4251</v>
      </c>
      <c r="E195" s="190">
        <v>42480</v>
      </c>
      <c r="F195" s="191" t="s">
        <v>656</v>
      </c>
      <c r="G195" s="833" t="s">
        <v>654</v>
      </c>
      <c r="H195" s="253"/>
      <c r="I195" s="253">
        <v>4464</v>
      </c>
      <c r="J195" s="874">
        <f t="shared" si="15"/>
        <v>55167</v>
      </c>
    </row>
    <row r="196" spans="2:15">
      <c r="B196" s="191" t="s">
        <v>659</v>
      </c>
      <c r="C196" s="253">
        <v>1000</v>
      </c>
      <c r="D196" s="429">
        <v>8771</v>
      </c>
      <c r="E196" s="190">
        <v>42481</v>
      </c>
      <c r="F196" s="191" t="s">
        <v>659</v>
      </c>
      <c r="G196" s="833" t="s">
        <v>657</v>
      </c>
      <c r="H196" s="253"/>
      <c r="I196" s="253">
        <v>9800</v>
      </c>
      <c r="J196" s="874">
        <f t="shared" si="15"/>
        <v>1029000</v>
      </c>
      <c r="K196" s="246">
        <v>2</v>
      </c>
      <c r="L196" s="191" t="s">
        <v>1243</v>
      </c>
      <c r="M196" s="25">
        <v>332</v>
      </c>
      <c r="N196" s="289">
        <v>1913</v>
      </c>
      <c r="O196" s="429">
        <f>ROUND(C196*D196,0)</f>
        <v>8771000</v>
      </c>
    </row>
    <row r="197" spans="2:15">
      <c r="B197" s="191" t="s">
        <v>680</v>
      </c>
      <c r="C197" s="253">
        <v>221</v>
      </c>
      <c r="D197" s="429">
        <v>7663</v>
      </c>
      <c r="E197" s="190">
        <v>42485</v>
      </c>
      <c r="F197" s="191" t="s">
        <v>680</v>
      </c>
      <c r="G197" s="833" t="s">
        <v>660</v>
      </c>
      <c r="H197" s="253"/>
      <c r="I197" s="253">
        <v>8046</v>
      </c>
      <c r="J197" s="874">
        <f t="shared" si="15"/>
        <v>84643</v>
      </c>
    </row>
    <row r="198" spans="2:15">
      <c r="B198" s="191" t="s">
        <v>1178</v>
      </c>
      <c r="C198" s="253">
        <v>1000</v>
      </c>
      <c r="D198" s="429">
        <v>30875</v>
      </c>
      <c r="E198" s="190">
        <v>42485</v>
      </c>
      <c r="F198" s="191" t="s">
        <v>1178</v>
      </c>
      <c r="G198" s="833" t="s">
        <v>661</v>
      </c>
      <c r="H198" s="253"/>
      <c r="I198" s="253">
        <v>32500</v>
      </c>
      <c r="J198" s="874">
        <f t="shared" si="15"/>
        <v>1625000</v>
      </c>
      <c r="K198" s="246">
        <v>2</v>
      </c>
      <c r="L198" s="191" t="s">
        <v>1234</v>
      </c>
      <c r="M198" s="25">
        <v>66</v>
      </c>
      <c r="N198" s="289">
        <v>15994</v>
      </c>
      <c r="O198" s="429">
        <f t="shared" ref="O198:O199" si="16">ROUND(C198*D198,0)</f>
        <v>30875000</v>
      </c>
    </row>
    <row r="199" spans="2:15">
      <c r="B199" s="191" t="s">
        <v>1179</v>
      </c>
      <c r="C199" s="253">
        <v>1100</v>
      </c>
      <c r="D199" s="429">
        <v>31155</v>
      </c>
      <c r="E199" s="190">
        <v>42485</v>
      </c>
      <c r="F199" s="191" t="s">
        <v>1179</v>
      </c>
      <c r="G199" s="833" t="s">
        <v>661</v>
      </c>
      <c r="H199" s="253"/>
      <c r="I199" s="253">
        <v>31700</v>
      </c>
      <c r="J199" s="874">
        <f t="shared" si="15"/>
        <v>599500</v>
      </c>
      <c r="K199" s="246">
        <v>2</v>
      </c>
      <c r="L199" s="191" t="s">
        <v>1231</v>
      </c>
      <c r="M199" s="25">
        <v>24</v>
      </c>
      <c r="N199" s="289">
        <v>17043</v>
      </c>
      <c r="O199" s="429">
        <f t="shared" si="16"/>
        <v>34270500</v>
      </c>
    </row>
    <row r="200" spans="2:15">
      <c r="B200" s="188" t="s">
        <v>451</v>
      </c>
      <c r="C200" s="874">
        <v>3500</v>
      </c>
      <c r="D200" s="429">
        <v>14250</v>
      </c>
      <c r="E200" s="190">
        <v>42485</v>
      </c>
      <c r="F200" s="188" t="s">
        <v>451</v>
      </c>
      <c r="G200" s="833" t="s">
        <v>661</v>
      </c>
      <c r="H200" s="253"/>
      <c r="I200" s="253">
        <v>15000</v>
      </c>
      <c r="J200" s="874">
        <f t="shared" si="15"/>
        <v>2625000</v>
      </c>
    </row>
    <row r="201" spans="2:15">
      <c r="B201" s="188" t="s">
        <v>450</v>
      </c>
      <c r="C201" s="253">
        <v>3200</v>
      </c>
      <c r="D201" s="429">
        <v>15675</v>
      </c>
      <c r="E201" s="190">
        <v>42485</v>
      </c>
      <c r="F201" s="188" t="s">
        <v>450</v>
      </c>
      <c r="G201" s="833" t="s">
        <v>661</v>
      </c>
      <c r="H201" s="253"/>
      <c r="I201" s="253">
        <v>16500</v>
      </c>
      <c r="J201" s="874">
        <f t="shared" si="15"/>
        <v>2640000</v>
      </c>
    </row>
    <row r="202" spans="2:15">
      <c r="E202" s="190">
        <v>42486</v>
      </c>
      <c r="F202" s="191" t="s">
        <v>664</v>
      </c>
      <c r="G202" s="833" t="s">
        <v>663</v>
      </c>
      <c r="H202" s="253">
        <v>200</v>
      </c>
      <c r="I202" s="253">
        <v>86597</v>
      </c>
      <c r="J202" s="874">
        <f t="shared" si="15"/>
        <v>0</v>
      </c>
    </row>
    <row r="203" spans="2:15">
      <c r="B203" s="191" t="s">
        <v>680</v>
      </c>
      <c r="C203" s="246">
        <v>179</v>
      </c>
      <c r="D203" s="429">
        <v>7663</v>
      </c>
      <c r="E203" s="190">
        <v>42488</v>
      </c>
      <c r="F203" s="191" t="s">
        <v>680</v>
      </c>
      <c r="G203" s="833" t="s">
        <v>666</v>
      </c>
      <c r="H203" s="253"/>
      <c r="I203" s="253">
        <v>8046</v>
      </c>
      <c r="J203" s="874">
        <f t="shared" si="15"/>
        <v>68557</v>
      </c>
    </row>
    <row r="204" spans="2:15">
      <c r="B204" s="191" t="s">
        <v>681</v>
      </c>
      <c r="C204" s="253">
        <v>26</v>
      </c>
      <c r="D204" s="429">
        <v>9598</v>
      </c>
      <c r="E204" s="190">
        <v>42488</v>
      </c>
      <c r="F204" s="191" t="s">
        <v>681</v>
      </c>
      <c r="G204" s="833" t="s">
        <v>666</v>
      </c>
      <c r="H204" s="253"/>
      <c r="I204" s="253">
        <v>10078</v>
      </c>
      <c r="J204" s="874">
        <f t="shared" si="15"/>
        <v>12480</v>
      </c>
    </row>
    <row r="205" spans="2:15">
      <c r="B205" s="191" t="s">
        <v>682</v>
      </c>
      <c r="C205" s="253">
        <v>1000</v>
      </c>
      <c r="D205" s="429">
        <v>763</v>
      </c>
      <c r="E205" s="190">
        <v>42488</v>
      </c>
      <c r="F205" s="191" t="s">
        <v>682</v>
      </c>
      <c r="G205" s="833" t="s">
        <v>666</v>
      </c>
      <c r="H205" s="253"/>
      <c r="I205" s="253">
        <v>801</v>
      </c>
      <c r="J205" s="874">
        <f t="shared" si="15"/>
        <v>38000</v>
      </c>
    </row>
    <row r="206" spans="2:15">
      <c r="E206" s="190">
        <v>42488</v>
      </c>
      <c r="F206" s="191" t="s">
        <v>683</v>
      </c>
      <c r="G206" s="833" t="s">
        <v>666</v>
      </c>
      <c r="H206" s="253">
        <v>210</v>
      </c>
      <c r="I206" s="253">
        <v>57731</v>
      </c>
      <c r="J206" s="874">
        <f t="shared" si="15"/>
        <v>0</v>
      </c>
    </row>
    <row r="207" spans="2:15">
      <c r="B207" s="191" t="s">
        <v>536</v>
      </c>
      <c r="C207" s="246">
        <v>50</v>
      </c>
      <c r="D207" s="429">
        <v>57074</v>
      </c>
      <c r="E207" s="190">
        <v>42489</v>
      </c>
      <c r="F207" s="191" t="s">
        <v>536</v>
      </c>
      <c r="G207" s="833" t="s">
        <v>669</v>
      </c>
      <c r="H207" s="253"/>
      <c r="I207" s="253">
        <v>60078</v>
      </c>
      <c r="J207" s="874">
        <f t="shared" si="15"/>
        <v>150200</v>
      </c>
      <c r="K207" s="246">
        <v>2</v>
      </c>
      <c r="L207" s="191" t="s">
        <v>1230</v>
      </c>
      <c r="M207" s="25">
        <v>7</v>
      </c>
      <c r="N207" s="289">
        <v>17130</v>
      </c>
      <c r="O207" s="429">
        <f t="shared" ref="O207:O209" si="17">ROUND(C207*D207,0)</f>
        <v>2853700</v>
      </c>
    </row>
    <row r="208" spans="2:15">
      <c r="B208" s="188" t="s">
        <v>670</v>
      </c>
      <c r="C208" s="246">
        <v>23</v>
      </c>
      <c r="D208" s="429">
        <v>105692</v>
      </c>
      <c r="E208" s="190">
        <v>42489</v>
      </c>
      <c r="F208" s="191" t="s">
        <v>670</v>
      </c>
      <c r="G208" s="833" t="s">
        <v>669</v>
      </c>
      <c r="H208" s="253"/>
      <c r="I208" s="253">
        <v>137667</v>
      </c>
      <c r="J208" s="874">
        <f t="shared" si="15"/>
        <v>735425</v>
      </c>
      <c r="K208" s="246">
        <v>2</v>
      </c>
      <c r="L208" s="191" t="s">
        <v>1232</v>
      </c>
      <c r="M208" s="25">
        <v>33</v>
      </c>
      <c r="N208" s="289">
        <v>15665.515151515152</v>
      </c>
      <c r="O208" s="429">
        <f t="shared" si="17"/>
        <v>2430916</v>
      </c>
    </row>
    <row r="209" spans="2:15">
      <c r="B209" s="188" t="s">
        <v>670</v>
      </c>
      <c r="C209" s="246">
        <v>8</v>
      </c>
      <c r="D209" s="429">
        <v>104596</v>
      </c>
      <c r="E209" s="190">
        <v>42489</v>
      </c>
      <c r="F209" s="191" t="s">
        <v>670</v>
      </c>
      <c r="G209" s="833" t="s">
        <v>669</v>
      </c>
      <c r="H209" s="253"/>
      <c r="I209" s="253">
        <v>137667</v>
      </c>
      <c r="J209" s="874">
        <f t="shared" ref="J209" si="18">(I209-D209)*C209</f>
        <v>264568</v>
      </c>
      <c r="K209" s="246">
        <v>2</v>
      </c>
      <c r="L209" s="191" t="s">
        <v>1236</v>
      </c>
      <c r="M209" s="25">
        <v>12</v>
      </c>
      <c r="N209" s="289">
        <v>12236</v>
      </c>
      <c r="O209" s="429">
        <f t="shared" si="17"/>
        <v>836768</v>
      </c>
    </row>
    <row r="210" spans="2:15">
      <c r="C210" s="246">
        <v>24</v>
      </c>
      <c r="D210" s="429">
        <v>130943</v>
      </c>
      <c r="E210" s="190">
        <v>42489</v>
      </c>
      <c r="F210" s="766" t="s">
        <v>464</v>
      </c>
      <c r="G210" s="833" t="s">
        <v>669</v>
      </c>
      <c r="H210" s="253"/>
      <c r="I210" s="253">
        <v>137835</v>
      </c>
      <c r="J210" s="874">
        <f t="shared" si="15"/>
        <v>165408</v>
      </c>
    </row>
    <row r="211" spans="2:15">
      <c r="B211" s="191" t="s">
        <v>482</v>
      </c>
      <c r="C211" s="246">
        <v>9</v>
      </c>
      <c r="D211" s="429">
        <v>54953</v>
      </c>
      <c r="E211" s="190">
        <v>42489</v>
      </c>
      <c r="F211" s="191" t="s">
        <v>482</v>
      </c>
      <c r="G211" s="833" t="s">
        <v>669</v>
      </c>
      <c r="H211" s="253"/>
      <c r="I211" s="253">
        <v>57845</v>
      </c>
      <c r="J211" s="874">
        <f t="shared" si="15"/>
        <v>26028</v>
      </c>
    </row>
    <row r="212" spans="2:15">
      <c r="B212" s="191" t="s">
        <v>540</v>
      </c>
      <c r="C212" s="246">
        <v>24</v>
      </c>
      <c r="D212" s="429">
        <v>65819</v>
      </c>
      <c r="E212" s="190">
        <v>42489</v>
      </c>
      <c r="F212" s="191" t="s">
        <v>540</v>
      </c>
      <c r="G212" s="833" t="s">
        <v>669</v>
      </c>
      <c r="H212" s="253"/>
      <c r="I212" s="253">
        <v>69283</v>
      </c>
      <c r="J212" s="874">
        <f t="shared" si="15"/>
        <v>83136</v>
      </c>
    </row>
    <row r="213" spans="2:15">
      <c r="B213" s="191" t="s">
        <v>471</v>
      </c>
      <c r="C213" s="246">
        <v>10</v>
      </c>
      <c r="D213" s="429">
        <v>53599</v>
      </c>
      <c r="E213" s="190">
        <v>42489</v>
      </c>
      <c r="F213" s="191" t="s">
        <v>471</v>
      </c>
      <c r="G213" s="833" t="s">
        <v>669</v>
      </c>
      <c r="H213" s="253"/>
      <c r="I213" s="253">
        <v>56420</v>
      </c>
      <c r="J213" s="874">
        <f t="shared" si="15"/>
        <v>28210</v>
      </c>
    </row>
    <row r="214" spans="2:15">
      <c r="B214" s="191" t="s">
        <v>534</v>
      </c>
      <c r="C214" s="246">
        <v>12</v>
      </c>
      <c r="D214" s="429">
        <v>88678</v>
      </c>
      <c r="E214" s="190">
        <v>42489</v>
      </c>
      <c r="F214" s="191" t="s">
        <v>534</v>
      </c>
      <c r="G214" s="833" t="s">
        <v>669</v>
      </c>
      <c r="H214" s="253"/>
      <c r="I214" s="253">
        <v>93345</v>
      </c>
      <c r="J214" s="874">
        <f t="shared" si="15"/>
        <v>56004</v>
      </c>
    </row>
    <row r="215" spans="2:15">
      <c r="B215" s="191" t="s">
        <v>469</v>
      </c>
      <c r="C215" s="253">
        <v>9</v>
      </c>
      <c r="D215" s="429">
        <v>59724</v>
      </c>
      <c r="E215" s="190">
        <v>42489</v>
      </c>
      <c r="F215" s="191" t="s">
        <v>469</v>
      </c>
      <c r="G215" s="833" t="s">
        <v>669</v>
      </c>
      <c r="H215" s="253"/>
      <c r="I215" s="253">
        <v>62868</v>
      </c>
      <c r="J215" s="874">
        <f t="shared" si="15"/>
        <v>28296</v>
      </c>
    </row>
    <row r="216" spans="2:15">
      <c r="B216" s="191" t="s">
        <v>468</v>
      </c>
      <c r="C216" s="253">
        <v>22</v>
      </c>
      <c r="D216" s="429">
        <v>68001</v>
      </c>
      <c r="E216" s="190">
        <v>42489</v>
      </c>
      <c r="F216" s="191" t="s">
        <v>468</v>
      </c>
      <c r="G216" s="833" t="s">
        <v>669</v>
      </c>
      <c r="H216" s="253"/>
      <c r="I216" s="253">
        <v>71581</v>
      </c>
      <c r="J216" s="874">
        <f t="shared" si="15"/>
        <v>78760</v>
      </c>
    </row>
    <row r="217" spans="2:15">
      <c r="B217" s="191" t="s">
        <v>483</v>
      </c>
      <c r="C217" s="246">
        <v>18</v>
      </c>
      <c r="D217" s="429">
        <v>50167</v>
      </c>
      <c r="E217" s="190">
        <v>42489</v>
      </c>
      <c r="F217" s="191" t="s">
        <v>483</v>
      </c>
      <c r="G217" s="833" t="s">
        <v>669</v>
      </c>
      <c r="H217" s="253"/>
      <c r="I217" s="253">
        <v>52807</v>
      </c>
      <c r="J217" s="874">
        <f t="shared" si="15"/>
        <v>47520</v>
      </c>
    </row>
    <row r="218" spans="2:15">
      <c r="B218" s="191" t="s">
        <v>466</v>
      </c>
      <c r="C218" s="253">
        <v>27</v>
      </c>
      <c r="D218" s="429">
        <v>75981</v>
      </c>
      <c r="E218" s="190">
        <v>42489</v>
      </c>
      <c r="F218" s="191" t="s">
        <v>466</v>
      </c>
      <c r="G218" s="833" t="s">
        <v>669</v>
      </c>
      <c r="H218" s="253"/>
      <c r="I218" s="253">
        <v>79980</v>
      </c>
      <c r="J218" s="874">
        <f t="shared" si="15"/>
        <v>107973</v>
      </c>
    </row>
    <row r="219" spans="2:15">
      <c r="B219" s="191" t="s">
        <v>502</v>
      </c>
      <c r="C219" s="246">
        <v>24</v>
      </c>
      <c r="D219" s="429">
        <v>93789</v>
      </c>
      <c r="E219" s="190">
        <v>42489</v>
      </c>
      <c r="F219" s="191" t="s">
        <v>502</v>
      </c>
      <c r="G219" s="833" t="s">
        <v>669</v>
      </c>
      <c r="H219" s="253"/>
      <c r="I219" s="253">
        <v>98725</v>
      </c>
      <c r="J219" s="874">
        <f t="shared" si="15"/>
        <v>118464</v>
      </c>
    </row>
    <row r="220" spans="2:15">
      <c r="B220" s="191" t="s">
        <v>470</v>
      </c>
      <c r="C220" s="253">
        <v>10</v>
      </c>
      <c r="D220" s="429">
        <v>94741</v>
      </c>
      <c r="E220" s="190">
        <v>42489</v>
      </c>
      <c r="F220" s="191" t="s">
        <v>470</v>
      </c>
      <c r="G220" s="833" t="s">
        <v>669</v>
      </c>
      <c r="H220" s="253"/>
      <c r="I220" s="253">
        <v>99728</v>
      </c>
      <c r="J220" s="874">
        <f t="shared" si="15"/>
        <v>49870</v>
      </c>
    </row>
    <row r="221" spans="2:15">
      <c r="B221" s="191" t="s">
        <v>475</v>
      </c>
      <c r="C221" s="253">
        <v>10</v>
      </c>
      <c r="D221" s="429">
        <v>84170</v>
      </c>
      <c r="E221" s="190">
        <v>42489</v>
      </c>
      <c r="F221" s="191" t="s">
        <v>475</v>
      </c>
      <c r="G221" s="833" t="s">
        <v>669</v>
      </c>
      <c r="H221" s="253"/>
      <c r="I221" s="253">
        <v>88600</v>
      </c>
      <c r="J221" s="874">
        <f t="shared" si="15"/>
        <v>44300</v>
      </c>
    </row>
    <row r="222" spans="2:15">
      <c r="B222" s="191" t="s">
        <v>564</v>
      </c>
      <c r="C222" s="253">
        <v>112</v>
      </c>
      <c r="D222" s="429">
        <v>7972</v>
      </c>
      <c r="E222" s="190">
        <v>42489</v>
      </c>
      <c r="F222" s="191" t="s">
        <v>564</v>
      </c>
      <c r="G222" s="833" t="s">
        <v>669</v>
      </c>
      <c r="H222" s="253"/>
      <c r="I222" s="253">
        <v>8392</v>
      </c>
      <c r="J222" s="874">
        <f t="shared" si="15"/>
        <v>47040</v>
      </c>
    </row>
    <row r="223" spans="2:15">
      <c r="B223" s="191" t="s">
        <v>495</v>
      </c>
      <c r="C223" s="253">
        <v>126</v>
      </c>
      <c r="D223" s="429">
        <v>7800</v>
      </c>
      <c r="E223" s="190">
        <v>42489</v>
      </c>
      <c r="F223" s="191" t="s">
        <v>495</v>
      </c>
      <c r="G223" s="833" t="s">
        <v>669</v>
      </c>
      <c r="H223" s="253"/>
      <c r="I223" s="253">
        <v>8212</v>
      </c>
      <c r="J223" s="874">
        <f t="shared" si="15"/>
        <v>51912</v>
      </c>
    </row>
    <row r="224" spans="2:15">
      <c r="B224" s="191" t="s">
        <v>486</v>
      </c>
      <c r="C224" s="253">
        <v>45</v>
      </c>
      <c r="D224" s="429">
        <v>11449</v>
      </c>
      <c r="E224" s="190">
        <v>42489</v>
      </c>
      <c r="F224" s="191" t="s">
        <v>486</v>
      </c>
      <c r="G224" s="833" t="s">
        <v>669</v>
      </c>
      <c r="H224" s="253"/>
      <c r="I224" s="253">
        <v>12052</v>
      </c>
      <c r="J224" s="874">
        <f t="shared" si="15"/>
        <v>27135</v>
      </c>
    </row>
    <row r="225" spans="2:10">
      <c r="B225" s="191" t="s">
        <v>563</v>
      </c>
      <c r="C225" s="253">
        <v>24</v>
      </c>
      <c r="D225" s="429">
        <v>8491</v>
      </c>
      <c r="E225" s="190">
        <v>42489</v>
      </c>
      <c r="F225" s="191" t="s">
        <v>563</v>
      </c>
      <c r="G225" s="833" t="s">
        <v>669</v>
      </c>
      <c r="H225" s="253"/>
      <c r="I225" s="253">
        <v>8938</v>
      </c>
      <c r="J225" s="874">
        <f t="shared" si="15"/>
        <v>10728</v>
      </c>
    </row>
    <row r="226" spans="2:10">
      <c r="B226" s="191" t="s">
        <v>568</v>
      </c>
      <c r="C226" s="253">
        <v>24</v>
      </c>
      <c r="D226" s="429">
        <v>8909</v>
      </c>
      <c r="E226" s="190">
        <v>42489</v>
      </c>
      <c r="F226" s="191" t="s">
        <v>568</v>
      </c>
      <c r="G226" s="833" t="s">
        <v>669</v>
      </c>
      <c r="H226" s="253"/>
      <c r="I226" s="253">
        <v>9378</v>
      </c>
      <c r="J226" s="874">
        <f t="shared" si="15"/>
        <v>11256</v>
      </c>
    </row>
    <row r="227" spans="2:10">
      <c r="B227" s="191" t="s">
        <v>567</v>
      </c>
      <c r="C227" s="253">
        <v>50</v>
      </c>
      <c r="D227" s="429">
        <v>9160</v>
      </c>
      <c r="E227" s="190">
        <v>42489</v>
      </c>
      <c r="F227" s="191" t="s">
        <v>567</v>
      </c>
      <c r="G227" s="833" t="s">
        <v>669</v>
      </c>
      <c r="H227" s="253"/>
      <c r="I227" s="253">
        <v>9642</v>
      </c>
      <c r="J227" s="874">
        <f t="shared" si="15"/>
        <v>24100</v>
      </c>
    </row>
    <row r="228" spans="2:10">
      <c r="B228" s="191" t="s">
        <v>565</v>
      </c>
      <c r="C228" s="253">
        <v>24</v>
      </c>
      <c r="D228" s="429">
        <v>9336</v>
      </c>
      <c r="E228" s="190">
        <v>42489</v>
      </c>
      <c r="F228" s="191" t="s">
        <v>565</v>
      </c>
      <c r="G228" s="833" t="s">
        <v>669</v>
      </c>
      <c r="H228" s="253"/>
      <c r="I228" s="253">
        <v>9827</v>
      </c>
      <c r="J228" s="874">
        <f t="shared" si="15"/>
        <v>11784</v>
      </c>
    </row>
    <row r="229" spans="2:10">
      <c r="B229" s="191" t="s">
        <v>561</v>
      </c>
      <c r="C229" s="253">
        <v>24</v>
      </c>
      <c r="D229" s="429">
        <v>9230</v>
      </c>
      <c r="E229" s="190">
        <v>42489</v>
      </c>
      <c r="F229" s="191" t="s">
        <v>561</v>
      </c>
      <c r="G229" s="833" t="s">
        <v>669</v>
      </c>
      <c r="H229" s="253"/>
      <c r="I229" s="253">
        <v>9176</v>
      </c>
      <c r="J229" s="874">
        <f t="shared" si="15"/>
        <v>-1296</v>
      </c>
    </row>
    <row r="230" spans="2:10">
      <c r="B230" s="191" t="s">
        <v>550</v>
      </c>
      <c r="C230" s="253">
        <v>16</v>
      </c>
      <c r="D230" s="429">
        <v>23940</v>
      </c>
      <c r="E230" s="190">
        <v>42489</v>
      </c>
      <c r="F230" s="191" t="s">
        <v>550</v>
      </c>
      <c r="G230" s="833" t="s">
        <v>669</v>
      </c>
      <c r="H230" s="253"/>
      <c r="I230" s="253">
        <v>25200</v>
      </c>
      <c r="J230" s="874">
        <f t="shared" si="15"/>
        <v>20160</v>
      </c>
    </row>
    <row r="231" spans="2:10">
      <c r="B231" s="191" t="s">
        <v>554</v>
      </c>
      <c r="C231" s="246">
        <v>36</v>
      </c>
      <c r="D231" s="429">
        <v>16469</v>
      </c>
      <c r="E231" s="190">
        <v>42489</v>
      </c>
      <c r="F231" s="191" t="s">
        <v>554</v>
      </c>
      <c r="G231" s="833" t="s">
        <v>669</v>
      </c>
      <c r="H231" s="253"/>
      <c r="I231" s="253">
        <v>17336</v>
      </c>
      <c r="J231" s="874">
        <f t="shared" si="15"/>
        <v>31212</v>
      </c>
    </row>
    <row r="232" spans="2:10">
      <c r="B232" s="191" t="s">
        <v>566</v>
      </c>
      <c r="C232" s="253">
        <v>33</v>
      </c>
      <c r="D232" s="429">
        <v>5960</v>
      </c>
      <c r="E232" s="190">
        <v>42489</v>
      </c>
      <c r="F232" s="191" t="s">
        <v>566</v>
      </c>
      <c r="G232" s="833" t="s">
        <v>669</v>
      </c>
      <c r="H232" s="253"/>
      <c r="I232" s="253">
        <v>6274</v>
      </c>
      <c r="J232" s="874">
        <f t="shared" si="15"/>
        <v>10362</v>
      </c>
    </row>
    <row r="233" spans="2:10">
      <c r="B233" s="191" t="s">
        <v>547</v>
      </c>
      <c r="C233" s="253">
        <v>36</v>
      </c>
      <c r="D233" s="429">
        <v>16584</v>
      </c>
      <c r="E233" s="190">
        <v>42489</v>
      </c>
      <c r="F233" s="191" t="s">
        <v>547</v>
      </c>
      <c r="G233" s="833" t="s">
        <v>669</v>
      </c>
      <c r="H233" s="253"/>
      <c r="I233" s="253">
        <v>17457</v>
      </c>
      <c r="J233" s="874">
        <f t="shared" si="15"/>
        <v>31428</v>
      </c>
    </row>
    <row r="234" spans="2:10">
      <c r="B234" s="191" t="s">
        <v>525</v>
      </c>
      <c r="C234" s="253">
        <v>108</v>
      </c>
      <c r="D234" s="429">
        <v>16775</v>
      </c>
      <c r="E234" s="190">
        <v>42489</v>
      </c>
      <c r="F234" s="191" t="s">
        <v>525</v>
      </c>
      <c r="G234" s="833" t="s">
        <v>669</v>
      </c>
      <c r="H234" s="253"/>
      <c r="I234" s="253">
        <v>17658</v>
      </c>
      <c r="J234" s="874">
        <f t="shared" si="15"/>
        <v>95364</v>
      </c>
    </row>
    <row r="235" spans="2:10">
      <c r="B235" s="191" t="s">
        <v>548</v>
      </c>
      <c r="C235" s="253">
        <v>54</v>
      </c>
      <c r="D235" s="429">
        <v>17591</v>
      </c>
      <c r="E235" s="190">
        <v>42489</v>
      </c>
      <c r="F235" s="191" t="s">
        <v>548</v>
      </c>
      <c r="G235" s="833" t="s">
        <v>669</v>
      </c>
      <c r="H235" s="253"/>
      <c r="I235" s="253">
        <v>18517</v>
      </c>
      <c r="J235" s="874">
        <f t="shared" si="15"/>
        <v>50004</v>
      </c>
    </row>
    <row r="236" spans="2:10">
      <c r="B236" s="191" t="s">
        <v>472</v>
      </c>
      <c r="C236" s="253">
        <v>52</v>
      </c>
      <c r="D236" s="429">
        <v>18040</v>
      </c>
      <c r="E236" s="190">
        <v>42489</v>
      </c>
      <c r="F236" s="191" t="s">
        <v>472</v>
      </c>
      <c r="G236" s="833" t="s">
        <v>669</v>
      </c>
      <c r="H236" s="253"/>
      <c r="I236" s="253">
        <v>18990</v>
      </c>
      <c r="J236" s="874">
        <f t="shared" si="15"/>
        <v>49400</v>
      </c>
    </row>
    <row r="237" spans="2:10">
      <c r="B237" s="191" t="s">
        <v>570</v>
      </c>
      <c r="C237" s="246">
        <v>12</v>
      </c>
      <c r="D237" s="429">
        <v>11404</v>
      </c>
      <c r="E237" s="190">
        <v>42489</v>
      </c>
      <c r="F237" s="191" t="s">
        <v>570</v>
      </c>
      <c r="G237" s="833" t="s">
        <v>669</v>
      </c>
      <c r="H237" s="253"/>
      <c r="I237" s="253">
        <v>12004</v>
      </c>
      <c r="J237" s="874">
        <f t="shared" si="15"/>
        <v>7200</v>
      </c>
    </row>
    <row r="238" spans="2:10">
      <c r="B238" s="191" t="s">
        <v>473</v>
      </c>
      <c r="C238" s="246">
        <v>21</v>
      </c>
      <c r="D238" s="429">
        <v>18714</v>
      </c>
      <c r="E238" s="190">
        <v>42489</v>
      </c>
      <c r="F238" s="191" t="s">
        <v>473</v>
      </c>
      <c r="G238" s="833" t="s">
        <v>669</v>
      </c>
      <c r="H238" s="253"/>
      <c r="I238" s="253">
        <v>19669</v>
      </c>
      <c r="J238" s="874">
        <f t="shared" si="15"/>
        <v>20055</v>
      </c>
    </row>
    <row r="239" spans="2:10">
      <c r="B239" s="191" t="s">
        <v>467</v>
      </c>
      <c r="C239" s="253">
        <v>114</v>
      </c>
      <c r="D239" s="429">
        <v>19075</v>
      </c>
      <c r="E239" s="190">
        <v>42489</v>
      </c>
      <c r="F239" s="191" t="s">
        <v>467</v>
      </c>
      <c r="G239" s="833" t="s">
        <v>669</v>
      </c>
      <c r="H239" s="253"/>
      <c r="I239" s="253">
        <v>20079</v>
      </c>
      <c r="J239" s="874">
        <f t="shared" si="15"/>
        <v>114456</v>
      </c>
    </row>
    <row r="240" spans="2:10">
      <c r="B240" s="191" t="s">
        <v>467</v>
      </c>
      <c r="C240" s="253">
        <v>8</v>
      </c>
      <c r="D240" s="429">
        <v>31540</v>
      </c>
      <c r="E240" s="190">
        <v>42489</v>
      </c>
      <c r="F240" s="191" t="s">
        <v>467</v>
      </c>
      <c r="G240" s="833" t="s">
        <v>669</v>
      </c>
      <c r="H240" s="253"/>
      <c r="I240" s="253">
        <v>33201</v>
      </c>
      <c r="J240" s="874">
        <f t="shared" si="15"/>
        <v>13288</v>
      </c>
    </row>
    <row r="241" spans="2:15">
      <c r="B241" s="191" t="s">
        <v>555</v>
      </c>
      <c r="C241" s="246">
        <v>36</v>
      </c>
      <c r="D241" s="429">
        <v>19429</v>
      </c>
      <c r="E241" s="190">
        <v>42489</v>
      </c>
      <c r="F241" s="191" t="s">
        <v>555</v>
      </c>
      <c r="G241" s="833" t="s">
        <v>669</v>
      </c>
      <c r="H241" s="253"/>
      <c r="I241" s="253">
        <v>20452</v>
      </c>
      <c r="J241" s="874">
        <f t="shared" si="15"/>
        <v>36828</v>
      </c>
    </row>
    <row r="242" spans="2:15">
      <c r="B242" s="191" t="s">
        <v>496</v>
      </c>
      <c r="C242" s="253">
        <v>90</v>
      </c>
      <c r="D242" s="429">
        <v>16751</v>
      </c>
      <c r="E242" s="190">
        <v>42489</v>
      </c>
      <c r="F242" s="191" t="s">
        <v>496</v>
      </c>
      <c r="G242" s="833" t="s">
        <v>669</v>
      </c>
      <c r="H242" s="253"/>
      <c r="I242" s="253">
        <v>17633</v>
      </c>
      <c r="J242" s="874">
        <f t="shared" ref="J242:J305" si="19">(I242-D242)*C242</f>
        <v>79380</v>
      </c>
    </row>
    <row r="243" spans="2:15">
      <c r="B243" s="191" t="s">
        <v>498</v>
      </c>
      <c r="C243" s="246">
        <v>72</v>
      </c>
      <c r="D243" s="429">
        <v>21476</v>
      </c>
      <c r="E243" s="190">
        <v>42489</v>
      </c>
      <c r="F243" s="191" t="s">
        <v>498</v>
      </c>
      <c r="G243" s="833" t="s">
        <v>669</v>
      </c>
      <c r="H243" s="253"/>
      <c r="I243" s="253">
        <v>22606</v>
      </c>
      <c r="J243" s="874">
        <f t="shared" si="19"/>
        <v>81360</v>
      </c>
    </row>
    <row r="244" spans="2:15">
      <c r="B244" s="191" t="s">
        <v>552</v>
      </c>
      <c r="C244" s="253">
        <v>36</v>
      </c>
      <c r="D244" s="429">
        <v>32901</v>
      </c>
      <c r="E244" s="190">
        <v>42489</v>
      </c>
      <c r="F244" s="191" t="s">
        <v>552</v>
      </c>
      <c r="G244" s="833" t="s">
        <v>669</v>
      </c>
      <c r="H244" s="253"/>
      <c r="I244" s="253">
        <v>34633</v>
      </c>
      <c r="J244" s="874">
        <f t="shared" si="19"/>
        <v>62352</v>
      </c>
    </row>
    <row r="245" spans="2:15">
      <c r="B245" s="191" t="s">
        <v>500</v>
      </c>
      <c r="C245" s="246">
        <v>36</v>
      </c>
      <c r="D245" s="429">
        <v>21319</v>
      </c>
      <c r="E245" s="190">
        <v>42489</v>
      </c>
      <c r="F245" s="191" t="s">
        <v>500</v>
      </c>
      <c r="G245" s="833" t="s">
        <v>669</v>
      </c>
      <c r="H245" s="253"/>
      <c r="I245" s="253">
        <v>22441</v>
      </c>
      <c r="J245" s="874">
        <f t="shared" si="19"/>
        <v>40392</v>
      </c>
    </row>
    <row r="246" spans="2:15">
      <c r="B246" s="191" t="s">
        <v>672</v>
      </c>
      <c r="C246" s="246">
        <v>80</v>
      </c>
      <c r="D246" s="429">
        <v>61724.974999999999</v>
      </c>
      <c r="E246" s="190">
        <v>42489</v>
      </c>
      <c r="F246" s="191" t="s">
        <v>672</v>
      </c>
      <c r="G246" s="833" t="s">
        <v>669</v>
      </c>
      <c r="H246" s="253"/>
      <c r="I246" s="253">
        <v>40177</v>
      </c>
      <c r="J246" s="874">
        <f t="shared" si="19"/>
        <v>-1723838</v>
      </c>
    </row>
    <row r="247" spans="2:15">
      <c r="B247" s="191" t="s">
        <v>474</v>
      </c>
      <c r="C247" s="253">
        <v>13</v>
      </c>
      <c r="D247" s="429">
        <v>28854</v>
      </c>
      <c r="E247" s="190">
        <v>42489</v>
      </c>
      <c r="F247" s="191" t="s">
        <v>474</v>
      </c>
      <c r="G247" s="833" t="s">
        <v>669</v>
      </c>
      <c r="H247" s="253"/>
      <c r="I247" s="253">
        <v>30373</v>
      </c>
      <c r="J247" s="874">
        <f t="shared" si="19"/>
        <v>19747</v>
      </c>
    </row>
    <row r="248" spans="2:15">
      <c r="B248" s="191" t="s">
        <v>542</v>
      </c>
      <c r="C248" s="253">
        <v>134</v>
      </c>
      <c r="D248" s="429">
        <v>40107</v>
      </c>
      <c r="E248" s="190">
        <v>42489</v>
      </c>
      <c r="F248" s="191" t="s">
        <v>542</v>
      </c>
      <c r="G248" s="833" t="s">
        <v>669</v>
      </c>
      <c r="H248" s="253"/>
      <c r="I248" s="253">
        <v>42218</v>
      </c>
      <c r="J248" s="874">
        <f t="shared" si="19"/>
        <v>282874</v>
      </c>
      <c r="K248" s="246">
        <v>2</v>
      </c>
      <c r="L248" s="40" t="s">
        <v>1239</v>
      </c>
      <c r="M248" s="25">
        <v>12</v>
      </c>
      <c r="N248" s="289">
        <v>15300</v>
      </c>
      <c r="O248" s="429">
        <f>ROUND(C248*D248,0)</f>
        <v>5374338</v>
      </c>
    </row>
    <row r="249" spans="2:15">
      <c r="B249" s="191" t="s">
        <v>542</v>
      </c>
      <c r="C249" s="253">
        <v>12</v>
      </c>
      <c r="D249" s="429">
        <v>40107</v>
      </c>
      <c r="E249" s="190">
        <v>42489</v>
      </c>
      <c r="F249" s="191" t="s">
        <v>542</v>
      </c>
      <c r="G249" s="833" t="s">
        <v>669</v>
      </c>
      <c r="H249" s="253"/>
      <c r="I249" s="253">
        <v>44429</v>
      </c>
      <c r="J249" s="874">
        <f t="shared" si="19"/>
        <v>51864</v>
      </c>
    </row>
    <row r="250" spans="2:15">
      <c r="B250" s="191" t="s">
        <v>463</v>
      </c>
      <c r="C250" s="246">
        <v>90</v>
      </c>
      <c r="D250" s="429">
        <v>31393</v>
      </c>
      <c r="E250" s="190">
        <v>42489</v>
      </c>
      <c r="F250" s="191" t="s">
        <v>463</v>
      </c>
      <c r="G250" s="833" t="s">
        <v>669</v>
      </c>
      <c r="H250" s="253"/>
      <c r="I250" s="253">
        <v>43445</v>
      </c>
      <c r="J250" s="874">
        <f t="shared" si="19"/>
        <v>1084680</v>
      </c>
      <c r="K250" s="246">
        <v>2</v>
      </c>
      <c r="L250" s="191" t="s">
        <v>1245</v>
      </c>
      <c r="M250" s="25">
        <v>35</v>
      </c>
      <c r="N250" s="289">
        <v>27788</v>
      </c>
      <c r="O250" s="429">
        <f>ROUND(C250*D250,0)</f>
        <v>2825370</v>
      </c>
    </row>
    <row r="251" spans="2:15">
      <c r="B251" s="191" t="s">
        <v>463</v>
      </c>
      <c r="C251" s="246">
        <v>24</v>
      </c>
      <c r="D251" s="429">
        <v>43337</v>
      </c>
      <c r="E251" s="190">
        <v>42489</v>
      </c>
      <c r="F251" s="191" t="s">
        <v>463</v>
      </c>
      <c r="G251" s="833" t="s">
        <v>669</v>
      </c>
      <c r="H251" s="253"/>
      <c r="I251" s="253">
        <v>45618</v>
      </c>
      <c r="J251" s="874">
        <f t="shared" si="19"/>
        <v>54744</v>
      </c>
    </row>
    <row r="252" spans="2:15">
      <c r="B252" s="191" t="s">
        <v>569</v>
      </c>
      <c r="C252" s="246">
        <v>24</v>
      </c>
      <c r="D252" s="429">
        <v>8715</v>
      </c>
      <c r="E252" s="190">
        <v>42489</v>
      </c>
      <c r="F252" s="191" t="s">
        <v>569</v>
      </c>
      <c r="G252" s="833" t="s">
        <v>669</v>
      </c>
      <c r="H252" s="253"/>
      <c r="I252" s="253">
        <v>9174</v>
      </c>
      <c r="J252" s="874">
        <f t="shared" si="19"/>
        <v>11016</v>
      </c>
    </row>
    <row r="253" spans="2:15">
      <c r="B253" s="191" t="s">
        <v>544</v>
      </c>
      <c r="C253" s="246">
        <v>32</v>
      </c>
      <c r="D253" s="429">
        <v>45055</v>
      </c>
      <c r="E253" s="190">
        <v>42489</v>
      </c>
      <c r="F253" s="191" t="s">
        <v>544</v>
      </c>
      <c r="G253" s="833" t="s">
        <v>669</v>
      </c>
      <c r="H253" s="253"/>
      <c r="I253" s="253">
        <v>47426</v>
      </c>
      <c r="J253" s="874">
        <f t="shared" si="19"/>
        <v>75872</v>
      </c>
    </row>
    <row r="254" spans="2:15">
      <c r="E254" s="190">
        <v>42489</v>
      </c>
      <c r="F254" s="191" t="s">
        <v>675</v>
      </c>
      <c r="G254" s="833" t="s">
        <v>669</v>
      </c>
      <c r="H254" s="253">
        <v>90</v>
      </c>
      <c r="I254" s="253">
        <v>45939</v>
      </c>
      <c r="J254" s="874">
        <f t="shared" si="19"/>
        <v>0</v>
      </c>
    </row>
    <row r="255" spans="2:15">
      <c r="B255" s="191" t="s">
        <v>673</v>
      </c>
      <c r="C255" s="246">
        <v>64</v>
      </c>
      <c r="D255" s="429">
        <v>36031</v>
      </c>
      <c r="E255" s="190">
        <v>42489</v>
      </c>
      <c r="F255" s="191" t="s">
        <v>673</v>
      </c>
      <c r="G255" s="833" t="s">
        <v>669</v>
      </c>
      <c r="H255" s="253"/>
      <c r="I255" s="253">
        <v>46946</v>
      </c>
      <c r="J255" s="874">
        <f t="shared" si="19"/>
        <v>698560</v>
      </c>
      <c r="K255" s="246">
        <v>2</v>
      </c>
      <c r="L255" s="191" t="s">
        <v>1219</v>
      </c>
      <c r="M255" s="25">
        <v>40</v>
      </c>
      <c r="N255" s="289">
        <v>11930</v>
      </c>
      <c r="O255" s="429">
        <f>ROUND(C255*D255,0)</f>
        <v>2305984</v>
      </c>
    </row>
    <row r="256" spans="2:15">
      <c r="B256" s="191" t="s">
        <v>674</v>
      </c>
      <c r="C256" s="253">
        <v>12</v>
      </c>
      <c r="D256" s="429">
        <v>40511</v>
      </c>
      <c r="E256" s="190">
        <v>42489</v>
      </c>
      <c r="F256" s="191" t="s">
        <v>674</v>
      </c>
      <c r="G256" s="833" t="s">
        <v>669</v>
      </c>
      <c r="H256" s="253"/>
      <c r="I256" s="253">
        <v>54545</v>
      </c>
      <c r="J256" s="874">
        <f t="shared" si="19"/>
        <v>168408</v>
      </c>
    </row>
    <row r="257" spans="2:10">
      <c r="B257" s="191" t="s">
        <v>503</v>
      </c>
      <c r="C257" s="246">
        <v>48</v>
      </c>
      <c r="D257" s="429">
        <v>24323</v>
      </c>
      <c r="E257" s="190">
        <v>42489</v>
      </c>
      <c r="F257" s="191" t="s">
        <v>503</v>
      </c>
      <c r="G257" s="833" t="s">
        <v>669</v>
      </c>
      <c r="H257" s="253"/>
      <c r="I257" s="253">
        <v>25603</v>
      </c>
      <c r="J257" s="874">
        <f t="shared" si="19"/>
        <v>61440</v>
      </c>
    </row>
    <row r="258" spans="2:10">
      <c r="B258" s="191" t="s">
        <v>465</v>
      </c>
      <c r="C258" s="246">
        <v>24</v>
      </c>
      <c r="D258" s="429">
        <v>40975</v>
      </c>
      <c r="E258" s="190">
        <v>42489</v>
      </c>
      <c r="F258" s="191" t="s">
        <v>465</v>
      </c>
      <c r="G258" s="833" t="s">
        <v>669</v>
      </c>
      <c r="H258" s="253"/>
      <c r="I258" s="253">
        <v>43132</v>
      </c>
      <c r="J258" s="874">
        <f t="shared" si="19"/>
        <v>51768</v>
      </c>
    </row>
    <row r="259" spans="2:10">
      <c r="B259" s="191" t="s">
        <v>485</v>
      </c>
      <c r="C259" s="246">
        <v>26</v>
      </c>
      <c r="D259" s="429">
        <v>26363</v>
      </c>
      <c r="E259" s="190">
        <v>42489</v>
      </c>
      <c r="F259" s="191" t="s">
        <v>485</v>
      </c>
      <c r="G259" s="833" t="s">
        <v>669</v>
      </c>
      <c r="H259" s="253"/>
      <c r="I259" s="253">
        <v>27750</v>
      </c>
      <c r="J259" s="874">
        <f t="shared" si="19"/>
        <v>36062</v>
      </c>
    </row>
    <row r="260" spans="2:10">
      <c r="B260" s="191" t="s">
        <v>535</v>
      </c>
      <c r="C260" s="246">
        <v>8</v>
      </c>
      <c r="D260" s="429">
        <v>49097</v>
      </c>
      <c r="E260" s="190">
        <v>42489</v>
      </c>
      <c r="F260" s="191" t="s">
        <v>535</v>
      </c>
      <c r="G260" s="833" t="s">
        <v>669</v>
      </c>
      <c r="H260" s="253"/>
      <c r="I260" s="253">
        <v>51681</v>
      </c>
      <c r="J260" s="874">
        <f t="shared" si="19"/>
        <v>20672</v>
      </c>
    </row>
    <row r="261" spans="2:10">
      <c r="B261" s="191" t="s">
        <v>541</v>
      </c>
      <c r="C261" s="246">
        <v>60</v>
      </c>
      <c r="D261" s="429">
        <v>46705</v>
      </c>
      <c r="E261" s="190">
        <v>42489</v>
      </c>
      <c r="F261" s="191" t="s">
        <v>541</v>
      </c>
      <c r="G261" s="833" t="s">
        <v>669</v>
      </c>
      <c r="H261" s="253"/>
      <c r="I261" s="253">
        <v>49163</v>
      </c>
      <c r="J261" s="874">
        <f t="shared" si="19"/>
        <v>147480</v>
      </c>
    </row>
    <row r="262" spans="2:10">
      <c r="B262" s="191" t="s">
        <v>501</v>
      </c>
      <c r="C262" s="246">
        <v>30</v>
      </c>
      <c r="D262" s="429">
        <v>31357</v>
      </c>
      <c r="E262" s="190">
        <v>42489</v>
      </c>
      <c r="F262" s="191" t="s">
        <v>501</v>
      </c>
      <c r="G262" s="833" t="s">
        <v>669</v>
      </c>
      <c r="H262" s="253"/>
      <c r="I262" s="253">
        <v>33007</v>
      </c>
      <c r="J262" s="874">
        <f t="shared" si="19"/>
        <v>49500</v>
      </c>
    </row>
    <row r="263" spans="2:10">
      <c r="B263" s="191" t="s">
        <v>501</v>
      </c>
      <c r="C263" s="246">
        <v>50</v>
      </c>
      <c r="D263" s="429">
        <v>46912</v>
      </c>
      <c r="E263" s="190">
        <v>42489</v>
      </c>
      <c r="F263" s="191" t="s">
        <v>501</v>
      </c>
      <c r="G263" s="833" t="s">
        <v>669</v>
      </c>
      <c r="H263" s="253"/>
      <c r="I263" s="253">
        <v>49381</v>
      </c>
      <c r="J263" s="874">
        <f t="shared" si="19"/>
        <v>123450</v>
      </c>
    </row>
    <row r="264" spans="2:10">
      <c r="B264" s="191" t="s">
        <v>476</v>
      </c>
      <c r="C264" s="246">
        <v>12</v>
      </c>
      <c r="D264" s="429">
        <v>38630</v>
      </c>
      <c r="E264" s="190">
        <v>42489</v>
      </c>
      <c r="F264" s="191" t="s">
        <v>476</v>
      </c>
      <c r="G264" s="833" t="s">
        <v>669</v>
      </c>
      <c r="H264" s="253"/>
      <c r="I264" s="253">
        <v>40664</v>
      </c>
      <c r="J264" s="874">
        <f t="shared" si="19"/>
        <v>24408</v>
      </c>
    </row>
    <row r="265" spans="2:10">
      <c r="B265" s="191" t="s">
        <v>562</v>
      </c>
      <c r="C265" s="253">
        <v>72</v>
      </c>
      <c r="D265" s="429">
        <v>12654</v>
      </c>
      <c r="E265" s="190">
        <v>42489</v>
      </c>
      <c r="F265" s="191" t="s">
        <v>562</v>
      </c>
      <c r="G265" s="833" t="s">
        <v>669</v>
      </c>
      <c r="H265" s="253"/>
      <c r="I265" s="253">
        <v>13320</v>
      </c>
      <c r="J265" s="874">
        <f t="shared" si="19"/>
        <v>47952</v>
      </c>
    </row>
    <row r="266" spans="2:10">
      <c r="B266" s="191" t="s">
        <v>537</v>
      </c>
      <c r="C266" s="253">
        <v>86</v>
      </c>
      <c r="D266" s="429">
        <v>30043</v>
      </c>
      <c r="E266" s="190">
        <v>42489</v>
      </c>
      <c r="F266" s="191" t="s">
        <v>537</v>
      </c>
      <c r="G266" s="833" t="s">
        <v>669</v>
      </c>
      <c r="H266" s="253"/>
      <c r="I266" s="253">
        <v>31624</v>
      </c>
      <c r="J266" s="874">
        <f t="shared" si="19"/>
        <v>135966</v>
      </c>
    </row>
    <row r="267" spans="2:10">
      <c r="B267" s="191" t="s">
        <v>497</v>
      </c>
      <c r="C267" s="253">
        <v>72</v>
      </c>
      <c r="D267" s="429">
        <v>33403</v>
      </c>
      <c r="E267" s="190">
        <v>42489</v>
      </c>
      <c r="F267" s="191" t="s">
        <v>497</v>
      </c>
      <c r="G267" s="833" t="s">
        <v>669</v>
      </c>
      <c r="H267" s="253"/>
      <c r="I267" s="253">
        <v>35161</v>
      </c>
      <c r="J267" s="874">
        <f t="shared" si="19"/>
        <v>126576</v>
      </c>
    </row>
    <row r="268" spans="2:10">
      <c r="B268" s="191" t="s">
        <v>487</v>
      </c>
      <c r="C268" s="253">
        <v>42</v>
      </c>
      <c r="D268" s="429">
        <v>41371</v>
      </c>
      <c r="E268" s="190">
        <v>42489</v>
      </c>
      <c r="F268" s="191" t="s">
        <v>487</v>
      </c>
      <c r="G268" s="833" t="s">
        <v>669</v>
      </c>
      <c r="H268" s="253"/>
      <c r="I268" s="253">
        <v>43548</v>
      </c>
      <c r="J268" s="874">
        <f t="shared" si="19"/>
        <v>91434</v>
      </c>
    </row>
    <row r="269" spans="2:10">
      <c r="B269" s="191" t="s">
        <v>488</v>
      </c>
      <c r="C269" s="246">
        <v>42</v>
      </c>
      <c r="D269" s="429">
        <v>52589</v>
      </c>
      <c r="E269" s="190">
        <v>42489</v>
      </c>
      <c r="F269" s="191" t="s">
        <v>488</v>
      </c>
      <c r="G269" s="833" t="s">
        <v>669</v>
      </c>
      <c r="H269" s="253"/>
      <c r="I269" s="253">
        <v>55357</v>
      </c>
      <c r="J269" s="874">
        <f t="shared" si="19"/>
        <v>116256</v>
      </c>
    </row>
    <row r="270" spans="2:10">
      <c r="B270" s="191" t="s">
        <v>571</v>
      </c>
      <c r="C270" s="246">
        <v>5</v>
      </c>
      <c r="D270" s="429">
        <v>27084</v>
      </c>
      <c r="E270" s="190">
        <v>42489</v>
      </c>
      <c r="F270" s="191" t="s">
        <v>571</v>
      </c>
      <c r="G270" s="833" t="s">
        <v>669</v>
      </c>
      <c r="H270" s="253"/>
      <c r="I270" s="253">
        <v>28509</v>
      </c>
      <c r="J270" s="874">
        <f t="shared" si="19"/>
        <v>7125</v>
      </c>
    </row>
    <row r="271" spans="2:10">
      <c r="B271" s="191" t="s">
        <v>499</v>
      </c>
      <c r="C271" s="246">
        <v>27</v>
      </c>
      <c r="D271" s="429">
        <v>32995</v>
      </c>
      <c r="E271" s="190">
        <v>42489</v>
      </c>
      <c r="F271" s="191" t="s">
        <v>499</v>
      </c>
      <c r="G271" s="833" t="s">
        <v>669</v>
      </c>
      <c r="H271" s="253"/>
      <c r="I271" s="253">
        <v>34732</v>
      </c>
      <c r="J271" s="874">
        <f t="shared" si="19"/>
        <v>46899</v>
      </c>
    </row>
    <row r="272" spans="2:10">
      <c r="B272" s="191" t="s">
        <v>546</v>
      </c>
      <c r="C272" s="246">
        <v>20</v>
      </c>
      <c r="D272" s="429">
        <v>37383</v>
      </c>
      <c r="E272" s="190">
        <v>42489</v>
      </c>
      <c r="F272" s="191" t="s">
        <v>546</v>
      </c>
      <c r="G272" s="833" t="s">
        <v>669</v>
      </c>
      <c r="H272" s="253"/>
      <c r="I272" s="253">
        <v>39350</v>
      </c>
      <c r="J272" s="874">
        <f t="shared" si="19"/>
        <v>39340</v>
      </c>
    </row>
    <row r="273" spans="2:15">
      <c r="B273" s="191" t="s">
        <v>462</v>
      </c>
      <c r="C273" s="253">
        <v>144</v>
      </c>
      <c r="D273" s="429">
        <v>45872</v>
      </c>
      <c r="E273" s="190">
        <v>42489</v>
      </c>
      <c r="F273" s="191" t="s">
        <v>462</v>
      </c>
      <c r="G273" s="833" t="s">
        <v>669</v>
      </c>
      <c r="H273" s="253"/>
      <c r="I273" s="253">
        <v>48287</v>
      </c>
      <c r="J273" s="874">
        <f t="shared" si="19"/>
        <v>347760</v>
      </c>
      <c r="K273" s="246">
        <v>2</v>
      </c>
      <c r="L273" s="191" t="s">
        <v>1241</v>
      </c>
      <c r="M273" s="25">
        <v>20</v>
      </c>
      <c r="N273" s="289">
        <v>7290</v>
      </c>
      <c r="O273" s="429">
        <f>ROUND(C273*D273,0)</f>
        <v>6605568</v>
      </c>
    </row>
    <row r="274" spans="2:15">
      <c r="B274" s="191" t="s">
        <v>484</v>
      </c>
      <c r="C274" s="246">
        <v>9</v>
      </c>
      <c r="D274" s="429">
        <v>22563</v>
      </c>
      <c r="E274" s="190">
        <v>42489</v>
      </c>
      <c r="F274" s="191" t="s">
        <v>484</v>
      </c>
      <c r="G274" s="833" t="s">
        <v>669</v>
      </c>
      <c r="H274" s="253"/>
      <c r="I274" s="253">
        <v>23751</v>
      </c>
      <c r="J274" s="874">
        <f t="shared" si="19"/>
        <v>10692</v>
      </c>
    </row>
    <row r="275" spans="2:15">
      <c r="B275" s="191" t="s">
        <v>489</v>
      </c>
      <c r="C275" s="246">
        <v>42</v>
      </c>
      <c r="D275" s="429">
        <v>35553</v>
      </c>
      <c r="E275" s="190">
        <v>42489</v>
      </c>
      <c r="F275" s="191" t="s">
        <v>489</v>
      </c>
      <c r="G275" s="833" t="s">
        <v>669</v>
      </c>
      <c r="H275" s="253"/>
      <c r="I275" s="253">
        <v>37424</v>
      </c>
      <c r="J275" s="874">
        <f t="shared" si="19"/>
        <v>78582</v>
      </c>
    </row>
    <row r="276" spans="2:15">
      <c r="B276" s="191" t="s">
        <v>477</v>
      </c>
      <c r="C276" s="246">
        <v>350</v>
      </c>
      <c r="D276" s="429">
        <v>61738</v>
      </c>
      <c r="E276" s="190">
        <v>42489</v>
      </c>
      <c r="F276" s="191" t="s">
        <v>477</v>
      </c>
      <c r="G276" s="833" t="s">
        <v>669</v>
      </c>
      <c r="H276" s="253"/>
      <c r="I276" s="253">
        <v>64988</v>
      </c>
      <c r="J276" s="874">
        <f t="shared" si="19"/>
        <v>1137500</v>
      </c>
      <c r="K276" s="246">
        <v>2</v>
      </c>
      <c r="L276" s="191" t="s">
        <v>1185</v>
      </c>
      <c r="M276" s="25">
        <v>68</v>
      </c>
      <c r="N276" s="289">
        <v>9206</v>
      </c>
      <c r="O276" s="429">
        <f t="shared" ref="O276:O278" si="20">ROUND(C276*D276,0)</f>
        <v>21608300</v>
      </c>
    </row>
    <row r="277" spans="2:15">
      <c r="B277" s="191" t="s">
        <v>538</v>
      </c>
      <c r="C277" s="253">
        <v>76</v>
      </c>
      <c r="D277" s="429">
        <v>67731</v>
      </c>
      <c r="E277" s="190">
        <v>42489</v>
      </c>
      <c r="F277" s="191" t="s">
        <v>538</v>
      </c>
      <c r="G277" s="833" t="s">
        <v>669</v>
      </c>
      <c r="H277" s="253"/>
      <c r="I277" s="253">
        <v>71296</v>
      </c>
      <c r="J277" s="874">
        <f t="shared" si="19"/>
        <v>270940</v>
      </c>
      <c r="K277" s="246">
        <v>2</v>
      </c>
      <c r="L277" s="188" t="s">
        <v>1189</v>
      </c>
      <c r="M277" s="25">
        <v>10</v>
      </c>
      <c r="N277" s="289">
        <v>10557</v>
      </c>
      <c r="O277" s="429">
        <f t="shared" si="20"/>
        <v>5147556</v>
      </c>
    </row>
    <row r="278" spans="2:15">
      <c r="B278" s="191" t="s">
        <v>671</v>
      </c>
      <c r="C278" s="253">
        <v>20</v>
      </c>
      <c r="D278" s="429">
        <v>110639</v>
      </c>
      <c r="E278" s="190">
        <v>42489</v>
      </c>
      <c r="F278" s="191" t="s">
        <v>671</v>
      </c>
      <c r="G278" s="833" t="s">
        <v>669</v>
      </c>
      <c r="H278" s="253"/>
      <c r="I278" s="253">
        <v>123283</v>
      </c>
      <c r="J278" s="874">
        <f t="shared" si="19"/>
        <v>252880</v>
      </c>
      <c r="K278" s="246">
        <v>2</v>
      </c>
      <c r="L278" s="191" t="s">
        <v>1289</v>
      </c>
      <c r="M278" s="25">
        <v>10</v>
      </c>
      <c r="N278" s="289">
        <v>19116</v>
      </c>
      <c r="O278" s="429">
        <f t="shared" si="20"/>
        <v>2212780</v>
      </c>
    </row>
    <row r="279" spans="2:15">
      <c r="B279" s="191" t="s">
        <v>656</v>
      </c>
      <c r="C279" s="253">
        <v>1107</v>
      </c>
      <c r="D279" s="429">
        <v>4251</v>
      </c>
      <c r="E279" s="190">
        <v>42499</v>
      </c>
      <c r="F279" s="191" t="s">
        <v>656</v>
      </c>
      <c r="G279" s="833" t="s">
        <v>676</v>
      </c>
      <c r="H279" s="253"/>
      <c r="I279" s="253">
        <v>4460</v>
      </c>
      <c r="J279" s="874">
        <f t="shared" si="19"/>
        <v>231363</v>
      </c>
    </row>
    <row r="280" spans="2:15">
      <c r="B280" s="191" t="s">
        <v>479</v>
      </c>
      <c r="C280" s="253">
        <v>380</v>
      </c>
      <c r="D280" s="429">
        <v>7628.5</v>
      </c>
      <c r="E280" s="190">
        <v>42502</v>
      </c>
      <c r="F280" s="191" t="s">
        <v>479</v>
      </c>
      <c r="G280" s="833" t="s">
        <v>685</v>
      </c>
      <c r="H280" s="253"/>
      <c r="I280" s="253">
        <v>8030</v>
      </c>
      <c r="J280" s="874">
        <f t="shared" si="19"/>
        <v>152570</v>
      </c>
    </row>
    <row r="281" spans="2:15">
      <c r="B281" s="191" t="s">
        <v>627</v>
      </c>
      <c r="C281" s="246">
        <v>1097</v>
      </c>
      <c r="D281" s="429">
        <v>6209</v>
      </c>
      <c r="E281" s="190">
        <v>42502</v>
      </c>
      <c r="F281" s="191" t="s">
        <v>627</v>
      </c>
      <c r="G281" s="833" t="s">
        <v>686</v>
      </c>
      <c r="H281" s="253"/>
      <c r="I281" s="253">
        <v>6519</v>
      </c>
      <c r="J281" s="874">
        <f t="shared" si="19"/>
        <v>340070</v>
      </c>
      <c r="K281" s="246">
        <v>2</v>
      </c>
      <c r="L281" s="188" t="s">
        <v>1258</v>
      </c>
      <c r="M281" s="25">
        <v>10</v>
      </c>
      <c r="N281" s="289">
        <v>25740</v>
      </c>
      <c r="O281" s="429">
        <f>ROUND(C281*D281,0)</f>
        <v>6811273</v>
      </c>
    </row>
    <row r="282" spans="2:15">
      <c r="B282" s="191" t="s">
        <v>656</v>
      </c>
      <c r="C282" s="253">
        <v>393</v>
      </c>
      <c r="D282" s="429">
        <v>4251</v>
      </c>
      <c r="E282" s="190">
        <v>42513</v>
      </c>
      <c r="F282" s="191" t="s">
        <v>656</v>
      </c>
      <c r="G282" s="833" t="s">
        <v>687</v>
      </c>
      <c r="H282" s="253"/>
      <c r="I282" s="253">
        <v>4458</v>
      </c>
      <c r="J282" s="874">
        <f t="shared" si="19"/>
        <v>81351</v>
      </c>
    </row>
    <row r="283" spans="2:15">
      <c r="B283" s="191" t="s">
        <v>690</v>
      </c>
      <c r="C283" s="253">
        <v>200</v>
      </c>
      <c r="D283" s="429">
        <v>4557</v>
      </c>
      <c r="E283" s="190">
        <v>42515</v>
      </c>
      <c r="F283" s="191" t="s">
        <v>690</v>
      </c>
      <c r="G283" s="833" t="s">
        <v>688</v>
      </c>
      <c r="H283" s="253"/>
      <c r="I283" s="253">
        <v>6000</v>
      </c>
      <c r="J283" s="874">
        <f t="shared" si="19"/>
        <v>288600</v>
      </c>
    </row>
    <row r="284" spans="2:15">
      <c r="B284" s="191" t="s">
        <v>627</v>
      </c>
      <c r="C284" s="246">
        <v>1392</v>
      </c>
      <c r="D284" s="429">
        <v>6209</v>
      </c>
      <c r="E284" s="190">
        <v>42516</v>
      </c>
      <c r="F284" s="191" t="s">
        <v>627</v>
      </c>
      <c r="G284" s="833" t="s">
        <v>691</v>
      </c>
      <c r="H284" s="253"/>
      <c r="I284" s="253">
        <v>6519</v>
      </c>
      <c r="J284" s="874">
        <f t="shared" si="19"/>
        <v>431520</v>
      </c>
      <c r="K284" s="246">
        <v>2</v>
      </c>
      <c r="L284" s="191" t="s">
        <v>1285</v>
      </c>
      <c r="M284" s="25">
        <v>15</v>
      </c>
      <c r="N284" s="289">
        <v>21375</v>
      </c>
      <c r="O284" s="429">
        <f t="shared" ref="O284:O285" si="21">ROUND(C284*D284,0)</f>
        <v>8642928</v>
      </c>
    </row>
    <row r="285" spans="2:15">
      <c r="B285" s="191" t="s">
        <v>696</v>
      </c>
      <c r="C285" s="253">
        <v>1000</v>
      </c>
      <c r="D285" s="429">
        <v>11115</v>
      </c>
      <c r="E285" s="190">
        <v>42516</v>
      </c>
      <c r="F285" s="191" t="s">
        <v>696</v>
      </c>
      <c r="G285" s="833" t="s">
        <v>692</v>
      </c>
      <c r="H285" s="253"/>
      <c r="I285" s="253">
        <v>11700</v>
      </c>
      <c r="J285" s="874">
        <f t="shared" si="19"/>
        <v>585000</v>
      </c>
      <c r="K285" s="246">
        <v>2</v>
      </c>
      <c r="L285" s="191" t="s">
        <v>1225</v>
      </c>
      <c r="M285" s="25">
        <v>40</v>
      </c>
      <c r="N285" s="289">
        <v>9340</v>
      </c>
      <c r="O285" s="429">
        <f t="shared" si="21"/>
        <v>11115000</v>
      </c>
    </row>
    <row r="286" spans="2:15">
      <c r="B286" s="191" t="s">
        <v>1301</v>
      </c>
      <c r="C286" s="253">
        <v>1000</v>
      </c>
      <c r="D286" s="429">
        <v>507.3</v>
      </c>
      <c r="E286" s="190">
        <v>42516</v>
      </c>
      <c r="F286" s="191" t="s">
        <v>1301</v>
      </c>
      <c r="G286" s="833" t="s">
        <v>692</v>
      </c>
      <c r="H286" s="253"/>
      <c r="I286" s="253">
        <v>534</v>
      </c>
      <c r="J286" s="874">
        <f t="shared" si="19"/>
        <v>26699.999999999989</v>
      </c>
    </row>
    <row r="287" spans="2:15">
      <c r="B287" s="191" t="s">
        <v>1178</v>
      </c>
      <c r="C287" s="253">
        <v>1250</v>
      </c>
      <c r="D287" s="429">
        <v>30875</v>
      </c>
      <c r="E287" s="190">
        <v>42516</v>
      </c>
      <c r="F287" s="191" t="s">
        <v>1178</v>
      </c>
      <c r="G287" s="833" t="s">
        <v>693</v>
      </c>
      <c r="H287" s="253"/>
      <c r="I287" s="253">
        <v>32500</v>
      </c>
      <c r="J287" s="874">
        <f t="shared" si="19"/>
        <v>2031250</v>
      </c>
      <c r="K287" s="246">
        <v>2</v>
      </c>
      <c r="L287" s="191" t="s">
        <v>1146</v>
      </c>
      <c r="M287" s="25">
        <v>70</v>
      </c>
      <c r="N287" s="289">
        <v>16380</v>
      </c>
      <c r="O287" s="429">
        <f t="shared" ref="O287:O288" si="22">ROUND(C287*D287,0)</f>
        <v>38593750</v>
      </c>
    </row>
    <row r="288" spans="2:15">
      <c r="B288" s="191" t="s">
        <v>1179</v>
      </c>
      <c r="C288" s="253">
        <v>1300</v>
      </c>
      <c r="D288" s="429">
        <v>30115</v>
      </c>
      <c r="E288" s="190">
        <v>42516</v>
      </c>
      <c r="F288" s="191" t="s">
        <v>1179</v>
      </c>
      <c r="G288" s="833" t="s">
        <v>693</v>
      </c>
      <c r="H288" s="253"/>
      <c r="I288" s="253">
        <v>31700</v>
      </c>
      <c r="J288" s="874">
        <f t="shared" si="19"/>
        <v>2060500</v>
      </c>
      <c r="K288" s="246">
        <v>2</v>
      </c>
      <c r="L288" s="188" t="s">
        <v>1144</v>
      </c>
      <c r="M288" s="25">
        <v>96</v>
      </c>
      <c r="N288" s="289">
        <v>15059</v>
      </c>
      <c r="O288" s="429">
        <f t="shared" si="22"/>
        <v>39149500</v>
      </c>
    </row>
    <row r="289" spans="2:15">
      <c r="B289" s="188" t="s">
        <v>451</v>
      </c>
      <c r="C289" s="874">
        <v>3900</v>
      </c>
      <c r="D289" s="429">
        <v>14250</v>
      </c>
      <c r="E289" s="190">
        <v>42516</v>
      </c>
      <c r="F289" s="188" t="s">
        <v>451</v>
      </c>
      <c r="G289" s="833" t="s">
        <v>693</v>
      </c>
      <c r="H289" s="253"/>
      <c r="I289" s="253">
        <v>15000</v>
      </c>
      <c r="J289" s="874">
        <f t="shared" si="19"/>
        <v>2925000</v>
      </c>
    </row>
    <row r="290" spans="2:15">
      <c r="B290" s="188" t="s">
        <v>450</v>
      </c>
      <c r="C290" s="253">
        <v>3500</v>
      </c>
      <c r="D290" s="429">
        <v>15675</v>
      </c>
      <c r="E290" s="190">
        <v>42516</v>
      </c>
      <c r="F290" s="188" t="s">
        <v>450</v>
      </c>
      <c r="G290" s="833" t="s">
        <v>693</v>
      </c>
      <c r="H290" s="253"/>
      <c r="I290" s="253">
        <v>16500</v>
      </c>
      <c r="J290" s="874">
        <f t="shared" si="19"/>
        <v>2887500</v>
      </c>
    </row>
    <row r="291" spans="2:15">
      <c r="B291" s="191" t="s">
        <v>627</v>
      </c>
      <c r="C291" s="246">
        <v>1516</v>
      </c>
      <c r="D291" s="429">
        <v>6209</v>
      </c>
      <c r="E291" s="190">
        <v>42517</v>
      </c>
      <c r="F291" s="191" t="s">
        <v>627</v>
      </c>
      <c r="G291" s="833" t="s">
        <v>694</v>
      </c>
      <c r="H291" s="253"/>
      <c r="I291" s="253">
        <v>6540</v>
      </c>
      <c r="J291" s="874">
        <f t="shared" si="19"/>
        <v>501796</v>
      </c>
      <c r="K291" s="246">
        <v>2</v>
      </c>
      <c r="L291" s="191" t="s">
        <v>1224</v>
      </c>
      <c r="M291" s="25">
        <v>40</v>
      </c>
      <c r="N291" s="289">
        <v>9443</v>
      </c>
      <c r="O291" s="429">
        <f>ROUND(C291*D291,0)</f>
        <v>9412844</v>
      </c>
    </row>
    <row r="292" spans="2:15">
      <c r="B292" s="191" t="s">
        <v>507</v>
      </c>
      <c r="C292" s="246">
        <v>8</v>
      </c>
      <c r="D292" s="429">
        <v>89927</v>
      </c>
      <c r="E292" s="190">
        <v>42521</v>
      </c>
      <c r="F292" s="191" t="s">
        <v>507</v>
      </c>
      <c r="G292" s="833" t="s">
        <v>697</v>
      </c>
      <c r="H292" s="253"/>
      <c r="I292" s="253">
        <v>94660</v>
      </c>
      <c r="J292" s="874">
        <f t="shared" si="19"/>
        <v>37864</v>
      </c>
    </row>
    <row r="293" spans="2:15">
      <c r="B293" s="191" t="s">
        <v>539</v>
      </c>
      <c r="C293" s="246">
        <v>40</v>
      </c>
      <c r="D293" s="429">
        <v>121856</v>
      </c>
      <c r="E293" s="190">
        <v>42521</v>
      </c>
      <c r="F293" s="191" t="s">
        <v>539</v>
      </c>
      <c r="G293" s="833" t="s">
        <v>697</v>
      </c>
      <c r="H293" s="253"/>
      <c r="I293" s="253">
        <v>128269</v>
      </c>
      <c r="J293" s="874">
        <f t="shared" si="19"/>
        <v>256520</v>
      </c>
    </row>
    <row r="294" spans="2:15">
      <c r="B294" s="191" t="s">
        <v>536</v>
      </c>
      <c r="C294" s="246">
        <v>36</v>
      </c>
      <c r="D294" s="429">
        <v>57074</v>
      </c>
      <c r="E294" s="190">
        <v>42521</v>
      </c>
      <c r="F294" s="188" t="s">
        <v>536</v>
      </c>
      <c r="G294" s="833" t="s">
        <v>697</v>
      </c>
      <c r="H294" s="253"/>
      <c r="I294" s="253">
        <v>60078</v>
      </c>
      <c r="J294" s="874">
        <f t="shared" si="19"/>
        <v>108144</v>
      </c>
    </row>
    <row r="295" spans="2:15">
      <c r="B295" s="191" t="s">
        <v>490</v>
      </c>
      <c r="C295" s="246">
        <v>4</v>
      </c>
      <c r="D295" s="429">
        <v>153503</v>
      </c>
      <c r="E295" s="190">
        <v>42521</v>
      </c>
      <c r="F295" s="191" t="s">
        <v>490</v>
      </c>
      <c r="G295" s="833" t="s">
        <v>697</v>
      </c>
      <c r="H295" s="253"/>
      <c r="I295" s="253">
        <v>161582</v>
      </c>
      <c r="J295" s="874">
        <f t="shared" si="19"/>
        <v>32316</v>
      </c>
    </row>
    <row r="296" spans="2:15">
      <c r="B296" s="191" t="s">
        <v>491</v>
      </c>
      <c r="C296" s="246">
        <v>6</v>
      </c>
      <c r="D296" s="429">
        <v>98645</v>
      </c>
      <c r="E296" s="190">
        <v>42521</v>
      </c>
      <c r="F296" s="191" t="s">
        <v>491</v>
      </c>
      <c r="G296" s="833" t="s">
        <v>697</v>
      </c>
      <c r="H296" s="253"/>
      <c r="I296" s="253">
        <v>103837</v>
      </c>
      <c r="J296" s="874">
        <f t="shared" si="19"/>
        <v>31152</v>
      </c>
    </row>
    <row r="297" spans="2:15">
      <c r="C297" s="246">
        <v>12</v>
      </c>
      <c r="D297" s="429">
        <v>137835</v>
      </c>
      <c r="E297" s="190">
        <v>42521</v>
      </c>
      <c r="F297" s="191" t="s">
        <v>464</v>
      </c>
      <c r="G297" s="833" t="s">
        <v>697</v>
      </c>
      <c r="H297" s="253"/>
      <c r="I297" s="253">
        <v>145089</v>
      </c>
      <c r="J297" s="874">
        <f t="shared" si="19"/>
        <v>87048</v>
      </c>
    </row>
    <row r="298" spans="2:15">
      <c r="B298" s="191" t="s">
        <v>710</v>
      </c>
      <c r="C298" s="246">
        <v>12</v>
      </c>
      <c r="D298" s="429">
        <v>63175</v>
      </c>
      <c r="E298" s="190">
        <v>42521</v>
      </c>
      <c r="F298" s="191" t="s">
        <v>710</v>
      </c>
      <c r="G298" s="833" t="s">
        <v>697</v>
      </c>
      <c r="H298" s="253"/>
      <c r="I298" s="253">
        <v>66500</v>
      </c>
      <c r="J298" s="874">
        <f t="shared" si="19"/>
        <v>39900</v>
      </c>
    </row>
    <row r="299" spans="2:15">
      <c r="B299" s="191" t="s">
        <v>710</v>
      </c>
      <c r="C299" s="246">
        <v>16</v>
      </c>
      <c r="D299" s="429">
        <v>69825</v>
      </c>
      <c r="E299" s="190">
        <v>42521</v>
      </c>
      <c r="F299" s="40" t="s">
        <v>710</v>
      </c>
      <c r="G299" s="833" t="s">
        <v>697</v>
      </c>
      <c r="H299" s="253"/>
      <c r="I299" s="253">
        <v>73500</v>
      </c>
      <c r="J299" s="874">
        <f t="shared" si="19"/>
        <v>58800</v>
      </c>
    </row>
    <row r="300" spans="2:15">
      <c r="B300" s="191" t="s">
        <v>471</v>
      </c>
      <c r="C300" s="246">
        <v>12</v>
      </c>
      <c r="D300" s="429">
        <v>52362</v>
      </c>
      <c r="E300" s="190">
        <v>42521</v>
      </c>
      <c r="F300" s="191" t="s">
        <v>471</v>
      </c>
      <c r="G300" s="833" t="s">
        <v>697</v>
      </c>
      <c r="H300" s="253"/>
      <c r="I300" s="253">
        <v>55118</v>
      </c>
      <c r="J300" s="874">
        <f t="shared" si="19"/>
        <v>33072</v>
      </c>
    </row>
    <row r="301" spans="2:15">
      <c r="B301" s="191" t="s">
        <v>534</v>
      </c>
      <c r="C301" s="246">
        <v>36</v>
      </c>
      <c r="D301" s="429">
        <v>80232.25</v>
      </c>
      <c r="E301" s="190">
        <v>42521</v>
      </c>
      <c r="F301" s="188" t="s">
        <v>534</v>
      </c>
      <c r="G301" s="833" t="s">
        <v>697</v>
      </c>
      <c r="H301" s="256"/>
      <c r="I301" s="256">
        <v>84455</v>
      </c>
      <c r="J301" s="874">
        <f t="shared" si="19"/>
        <v>152019</v>
      </c>
    </row>
    <row r="302" spans="2:15">
      <c r="B302" s="191" t="s">
        <v>707</v>
      </c>
      <c r="C302" s="253">
        <v>12</v>
      </c>
      <c r="D302" s="429">
        <v>104834.4</v>
      </c>
      <c r="E302" s="190">
        <v>42521</v>
      </c>
      <c r="F302" s="191" t="s">
        <v>707</v>
      </c>
      <c r="G302" s="833" t="s">
        <v>697</v>
      </c>
      <c r="H302" s="253"/>
      <c r="I302" s="253">
        <v>110352</v>
      </c>
      <c r="J302" s="874">
        <f t="shared" si="19"/>
        <v>66211.20000000007</v>
      </c>
    </row>
    <row r="303" spans="2:15">
      <c r="B303" s="191" t="s">
        <v>468</v>
      </c>
      <c r="C303" s="253">
        <v>17</v>
      </c>
      <c r="D303" s="429">
        <v>71581</v>
      </c>
      <c r="E303" s="190">
        <v>42521</v>
      </c>
      <c r="F303" s="191" t="s">
        <v>468</v>
      </c>
      <c r="G303" s="833" t="s">
        <v>697</v>
      </c>
      <c r="H303" s="253"/>
      <c r="I303" s="253">
        <v>75348</v>
      </c>
      <c r="J303" s="874">
        <f t="shared" si="19"/>
        <v>64039</v>
      </c>
    </row>
    <row r="304" spans="2:15">
      <c r="B304" s="188" t="s">
        <v>468</v>
      </c>
      <c r="C304" s="253">
        <v>10</v>
      </c>
      <c r="D304" s="429">
        <v>64763.4</v>
      </c>
      <c r="E304" s="190">
        <v>42521</v>
      </c>
      <c r="F304" s="188" t="s">
        <v>468</v>
      </c>
      <c r="G304" s="833" t="s">
        <v>697</v>
      </c>
      <c r="H304" s="253"/>
      <c r="I304" s="253">
        <v>68172</v>
      </c>
      <c r="J304" s="874">
        <f t="shared" si="19"/>
        <v>34085.999999999985</v>
      </c>
    </row>
    <row r="305" spans="2:10">
      <c r="B305" s="191" t="s">
        <v>469</v>
      </c>
      <c r="C305" s="253">
        <v>8</v>
      </c>
      <c r="D305" s="429">
        <v>58346</v>
      </c>
      <c r="E305" s="190">
        <v>42521</v>
      </c>
      <c r="F305" s="191" t="s">
        <v>469</v>
      </c>
      <c r="G305" s="833" t="s">
        <v>697</v>
      </c>
      <c r="H305" s="253"/>
      <c r="I305" s="253">
        <v>61417</v>
      </c>
      <c r="J305" s="874">
        <f t="shared" si="19"/>
        <v>24568</v>
      </c>
    </row>
    <row r="306" spans="2:10">
      <c r="B306" s="191" t="s">
        <v>469</v>
      </c>
      <c r="C306" s="253">
        <v>4</v>
      </c>
      <c r="D306" s="429">
        <v>59724.6</v>
      </c>
      <c r="E306" s="190">
        <v>42521</v>
      </c>
      <c r="F306" s="191" t="s">
        <v>469</v>
      </c>
      <c r="G306" s="833" t="s">
        <v>697</v>
      </c>
      <c r="H306" s="253"/>
      <c r="I306" s="253">
        <v>62868</v>
      </c>
      <c r="J306" s="874">
        <f t="shared" ref="J306:J370" si="23">(I306-D306)*C306</f>
        <v>12573.600000000006</v>
      </c>
    </row>
    <row r="307" spans="2:10">
      <c r="B307" s="191" t="s">
        <v>575</v>
      </c>
      <c r="C307" s="246">
        <v>40</v>
      </c>
      <c r="D307" s="429">
        <v>50792</v>
      </c>
      <c r="E307" s="190">
        <v>42521</v>
      </c>
      <c r="F307" s="191" t="s">
        <v>575</v>
      </c>
      <c r="G307" s="833" t="s">
        <v>697</v>
      </c>
      <c r="H307" s="253"/>
      <c r="I307" s="253">
        <v>53466</v>
      </c>
      <c r="J307" s="874">
        <f t="shared" si="23"/>
        <v>106960</v>
      </c>
    </row>
    <row r="308" spans="2:10">
      <c r="B308" s="191" t="s">
        <v>527</v>
      </c>
      <c r="C308" s="246">
        <v>16</v>
      </c>
      <c r="D308" s="429">
        <v>73033</v>
      </c>
      <c r="E308" s="190">
        <v>42521</v>
      </c>
      <c r="F308" s="191" t="s">
        <v>527</v>
      </c>
      <c r="G308" s="833" t="s">
        <v>697</v>
      </c>
      <c r="H308" s="253"/>
      <c r="I308" s="253">
        <v>76877</v>
      </c>
      <c r="J308" s="874">
        <f t="shared" si="23"/>
        <v>61504</v>
      </c>
    </row>
    <row r="309" spans="2:10">
      <c r="B309" s="191" t="s">
        <v>506</v>
      </c>
      <c r="C309" s="246">
        <v>7</v>
      </c>
      <c r="D309" s="429">
        <v>162529</v>
      </c>
      <c r="E309" s="190">
        <v>42521</v>
      </c>
      <c r="F309" s="191" t="s">
        <v>506</v>
      </c>
      <c r="G309" s="833" t="s">
        <v>697</v>
      </c>
      <c r="H309" s="253"/>
      <c r="I309" s="253">
        <v>171083</v>
      </c>
      <c r="J309" s="874">
        <f t="shared" si="23"/>
        <v>59878</v>
      </c>
    </row>
    <row r="310" spans="2:10">
      <c r="B310" s="191" t="s">
        <v>526</v>
      </c>
      <c r="C310" s="253">
        <v>12</v>
      </c>
      <c r="D310" s="429">
        <v>43318</v>
      </c>
      <c r="E310" s="190">
        <v>42521</v>
      </c>
      <c r="F310" s="191" t="s">
        <v>526</v>
      </c>
      <c r="G310" s="833" t="s">
        <v>697</v>
      </c>
      <c r="H310" s="253"/>
      <c r="I310" s="253">
        <v>45598</v>
      </c>
      <c r="J310" s="874">
        <f t="shared" si="23"/>
        <v>27360</v>
      </c>
    </row>
    <row r="311" spans="2:10">
      <c r="B311" s="191" t="s">
        <v>508</v>
      </c>
      <c r="C311" s="246">
        <v>8</v>
      </c>
      <c r="D311" s="429">
        <v>85322</v>
      </c>
      <c r="E311" s="190">
        <v>42521</v>
      </c>
      <c r="F311" s="191" t="s">
        <v>508</v>
      </c>
      <c r="G311" s="833" t="s">
        <v>697</v>
      </c>
      <c r="H311" s="253"/>
      <c r="I311" s="253">
        <v>89813</v>
      </c>
      <c r="J311" s="874">
        <f t="shared" si="23"/>
        <v>35928</v>
      </c>
    </row>
    <row r="312" spans="2:10">
      <c r="B312" s="188" t="s">
        <v>720</v>
      </c>
      <c r="C312" s="253">
        <v>20</v>
      </c>
      <c r="D312" s="429">
        <v>74993</v>
      </c>
      <c r="E312" s="190">
        <v>42521</v>
      </c>
      <c r="F312" s="188" t="s">
        <v>720</v>
      </c>
      <c r="G312" s="833" t="s">
        <v>697</v>
      </c>
      <c r="H312" s="253"/>
      <c r="I312" s="253">
        <v>78940</v>
      </c>
      <c r="J312" s="874">
        <f t="shared" si="23"/>
        <v>78940</v>
      </c>
    </row>
    <row r="313" spans="2:10">
      <c r="B313" s="191" t="s">
        <v>720</v>
      </c>
      <c r="C313" s="254">
        <v>7</v>
      </c>
      <c r="D313" s="429">
        <v>78762.600000000006</v>
      </c>
      <c r="E313" s="190">
        <v>42521</v>
      </c>
      <c r="F313" s="191" t="s">
        <v>720</v>
      </c>
      <c r="G313" s="833" t="s">
        <v>697</v>
      </c>
      <c r="H313" s="254"/>
      <c r="I313" s="254">
        <v>82908</v>
      </c>
      <c r="J313" s="874">
        <f t="shared" si="23"/>
        <v>29017.799999999959</v>
      </c>
    </row>
    <row r="314" spans="2:10">
      <c r="B314" s="188" t="s">
        <v>723</v>
      </c>
      <c r="C314" s="254">
        <v>40</v>
      </c>
      <c r="D314" s="429">
        <v>73156.649999999994</v>
      </c>
      <c r="E314" s="190">
        <v>42521</v>
      </c>
      <c r="F314" s="188" t="s">
        <v>723</v>
      </c>
      <c r="G314" s="833" t="s">
        <v>697</v>
      </c>
      <c r="H314" s="254"/>
      <c r="I314" s="254">
        <v>77007</v>
      </c>
      <c r="J314" s="874">
        <f t="shared" si="23"/>
        <v>154014.00000000023</v>
      </c>
    </row>
    <row r="315" spans="2:10">
      <c r="B315" s="191" t="s">
        <v>466</v>
      </c>
      <c r="C315" s="253">
        <v>18</v>
      </c>
      <c r="D315" s="429">
        <v>79980</v>
      </c>
      <c r="E315" s="190">
        <v>42521</v>
      </c>
      <c r="F315" s="191" t="s">
        <v>466</v>
      </c>
      <c r="G315" s="833" t="s">
        <v>697</v>
      </c>
      <c r="H315" s="253"/>
      <c r="I315" s="253">
        <v>84189</v>
      </c>
      <c r="J315" s="874">
        <f t="shared" si="23"/>
        <v>75762</v>
      </c>
    </row>
    <row r="316" spans="2:10">
      <c r="B316" s="191" t="s">
        <v>532</v>
      </c>
      <c r="C316" s="246">
        <v>8</v>
      </c>
      <c r="D316" s="429">
        <v>50210</v>
      </c>
      <c r="E316" s="190">
        <v>42521</v>
      </c>
      <c r="F316" s="191" t="s">
        <v>532</v>
      </c>
      <c r="G316" s="833" t="s">
        <v>697</v>
      </c>
      <c r="H316" s="253"/>
      <c r="I316" s="253">
        <v>52853</v>
      </c>
      <c r="J316" s="874">
        <f t="shared" si="23"/>
        <v>21144</v>
      </c>
    </row>
    <row r="317" spans="2:10">
      <c r="B317" s="191" t="s">
        <v>516</v>
      </c>
      <c r="C317" s="253">
        <v>12</v>
      </c>
      <c r="D317" s="429">
        <v>51951</v>
      </c>
      <c r="E317" s="190">
        <v>42521</v>
      </c>
      <c r="F317" s="191" t="s">
        <v>516</v>
      </c>
      <c r="G317" s="833" t="s">
        <v>697</v>
      </c>
      <c r="H317" s="253"/>
      <c r="I317" s="253">
        <v>54685</v>
      </c>
      <c r="J317" s="874">
        <f t="shared" si="23"/>
        <v>32808</v>
      </c>
    </row>
    <row r="318" spans="2:10">
      <c r="B318" s="191" t="s">
        <v>509</v>
      </c>
      <c r="C318" s="253">
        <v>8</v>
      </c>
      <c r="D318" s="429">
        <v>96382</v>
      </c>
      <c r="E318" s="190">
        <v>42521</v>
      </c>
      <c r="F318" s="191" t="s">
        <v>509</v>
      </c>
      <c r="G318" s="833" t="s">
        <v>697</v>
      </c>
      <c r="H318" s="253"/>
      <c r="I318" s="253">
        <v>101455</v>
      </c>
      <c r="J318" s="874">
        <f t="shared" si="23"/>
        <v>40584</v>
      </c>
    </row>
    <row r="319" spans="2:10">
      <c r="B319" s="191" t="s">
        <v>573</v>
      </c>
      <c r="C319" s="246">
        <v>40</v>
      </c>
      <c r="D319" s="429">
        <v>142144</v>
      </c>
      <c r="E319" s="190">
        <v>42521</v>
      </c>
      <c r="F319" s="191" t="s">
        <v>573</v>
      </c>
      <c r="G319" s="833" t="s">
        <v>697</v>
      </c>
      <c r="H319" s="253"/>
      <c r="I319" s="253">
        <v>149625</v>
      </c>
      <c r="J319" s="874">
        <f t="shared" si="23"/>
        <v>299240</v>
      </c>
    </row>
    <row r="320" spans="2:10">
      <c r="B320" s="191" t="s">
        <v>470</v>
      </c>
      <c r="C320" s="253">
        <v>12</v>
      </c>
      <c r="D320" s="429">
        <v>92556</v>
      </c>
      <c r="E320" s="190">
        <v>42521</v>
      </c>
      <c r="F320" s="191" t="s">
        <v>470</v>
      </c>
      <c r="G320" s="833" t="s">
        <v>697</v>
      </c>
      <c r="H320" s="253"/>
      <c r="I320" s="253">
        <v>97427</v>
      </c>
      <c r="J320" s="874">
        <f t="shared" si="23"/>
        <v>58452</v>
      </c>
    </row>
    <row r="321" spans="2:15">
      <c r="B321" s="191" t="s">
        <v>574</v>
      </c>
      <c r="C321" s="246">
        <v>6</v>
      </c>
      <c r="D321" s="429">
        <v>177056</v>
      </c>
      <c r="E321" s="190">
        <v>42521</v>
      </c>
      <c r="F321" s="191" t="s">
        <v>574</v>
      </c>
      <c r="G321" s="833" t="s">
        <v>697</v>
      </c>
      <c r="H321" s="253"/>
      <c r="I321" s="253">
        <v>186375</v>
      </c>
      <c r="J321" s="874">
        <f t="shared" si="23"/>
        <v>55914</v>
      </c>
    </row>
    <row r="322" spans="2:15">
      <c r="B322" s="191" t="s">
        <v>531</v>
      </c>
      <c r="C322" s="253">
        <v>10</v>
      </c>
      <c r="D322" s="429">
        <v>6970</v>
      </c>
      <c r="E322" s="190">
        <v>42521</v>
      </c>
      <c r="F322" s="191" t="s">
        <v>531</v>
      </c>
      <c r="G322" s="833" t="s">
        <v>697</v>
      </c>
      <c r="H322" s="253"/>
      <c r="I322" s="253">
        <v>7337</v>
      </c>
      <c r="J322" s="874">
        <f t="shared" si="23"/>
        <v>3670</v>
      </c>
    </row>
    <row r="323" spans="2:15">
      <c r="B323" s="191" t="s">
        <v>520</v>
      </c>
      <c r="C323" s="253">
        <v>12</v>
      </c>
      <c r="D323" s="429">
        <v>15680</v>
      </c>
      <c r="E323" s="190">
        <v>42521</v>
      </c>
      <c r="F323" s="191" t="s">
        <v>520</v>
      </c>
      <c r="G323" s="833" t="s">
        <v>697</v>
      </c>
      <c r="H323" s="253"/>
      <c r="I323" s="253">
        <v>16505</v>
      </c>
      <c r="J323" s="874">
        <f t="shared" si="23"/>
        <v>9900</v>
      </c>
    </row>
    <row r="324" spans="2:15">
      <c r="E324" s="190">
        <v>42521</v>
      </c>
      <c r="F324" s="191" t="s">
        <v>568</v>
      </c>
      <c r="G324" s="833" t="s">
        <v>697</v>
      </c>
      <c r="H324" s="253">
        <v>36</v>
      </c>
      <c r="I324" s="253">
        <v>15137</v>
      </c>
      <c r="J324" s="874">
        <f t="shared" si="23"/>
        <v>0</v>
      </c>
    </row>
    <row r="325" spans="2:15">
      <c r="B325" s="191" t="s">
        <v>561</v>
      </c>
      <c r="C325" s="253">
        <v>48</v>
      </c>
      <c r="D325" s="429">
        <v>9230</v>
      </c>
      <c r="E325" s="190">
        <v>42521</v>
      </c>
      <c r="F325" s="191" t="s">
        <v>561</v>
      </c>
      <c r="G325" s="833" t="s">
        <v>697</v>
      </c>
      <c r="H325" s="253"/>
      <c r="I325" s="253">
        <v>9716</v>
      </c>
      <c r="J325" s="874">
        <f t="shared" si="23"/>
        <v>23328</v>
      </c>
    </row>
    <row r="326" spans="2:15">
      <c r="B326" s="191" t="s">
        <v>550</v>
      </c>
      <c r="C326" s="253">
        <v>10</v>
      </c>
      <c r="D326" s="429">
        <v>23940</v>
      </c>
      <c r="E326" s="190">
        <v>42521</v>
      </c>
      <c r="F326" s="191" t="s">
        <v>550</v>
      </c>
      <c r="G326" s="833" t="s">
        <v>697</v>
      </c>
      <c r="H326" s="253"/>
      <c r="I326" s="253">
        <v>25200</v>
      </c>
      <c r="J326" s="874">
        <f t="shared" si="23"/>
        <v>12600</v>
      </c>
    </row>
    <row r="327" spans="2:15">
      <c r="B327" s="191" t="s">
        <v>551</v>
      </c>
      <c r="C327" s="253">
        <v>16</v>
      </c>
      <c r="D327" s="429">
        <v>29327</v>
      </c>
      <c r="E327" s="190">
        <v>42521</v>
      </c>
      <c r="F327" s="191" t="s">
        <v>551</v>
      </c>
      <c r="G327" s="833" t="s">
        <v>697</v>
      </c>
      <c r="H327" s="253"/>
      <c r="I327" s="253">
        <v>30870</v>
      </c>
      <c r="J327" s="874">
        <f t="shared" si="23"/>
        <v>24688</v>
      </c>
    </row>
    <row r="328" spans="2:15">
      <c r="B328" s="191" t="s">
        <v>547</v>
      </c>
      <c r="C328" s="253">
        <v>36</v>
      </c>
      <c r="D328" s="429">
        <v>16584</v>
      </c>
      <c r="E328" s="190">
        <v>42521</v>
      </c>
      <c r="F328" s="191" t="s">
        <v>547</v>
      </c>
      <c r="G328" s="833" t="s">
        <v>697</v>
      </c>
      <c r="H328" s="254"/>
      <c r="I328" s="254">
        <v>17457</v>
      </c>
      <c r="J328" s="874">
        <f t="shared" si="23"/>
        <v>31428</v>
      </c>
    </row>
    <row r="329" spans="2:15">
      <c r="B329" s="191" t="s">
        <v>525</v>
      </c>
      <c r="C329" s="253">
        <v>534</v>
      </c>
      <c r="D329" s="429">
        <v>16775</v>
      </c>
      <c r="E329" s="190">
        <v>42521</v>
      </c>
      <c r="F329" s="191" t="s">
        <v>525</v>
      </c>
      <c r="G329" s="833" t="s">
        <v>697</v>
      </c>
      <c r="H329" s="253"/>
      <c r="I329" s="253">
        <v>17658</v>
      </c>
      <c r="J329" s="874">
        <f t="shared" si="23"/>
        <v>471522</v>
      </c>
      <c r="K329" s="246">
        <v>2</v>
      </c>
      <c r="L329" s="191" t="s">
        <v>1226</v>
      </c>
      <c r="M329" s="25">
        <v>12</v>
      </c>
      <c r="N329" s="289">
        <v>20102</v>
      </c>
      <c r="O329" s="429">
        <f>ROUND(C329*D329,0)</f>
        <v>8957850</v>
      </c>
    </row>
    <row r="330" spans="2:15">
      <c r="B330" s="191" t="s">
        <v>517</v>
      </c>
      <c r="C330" s="253">
        <v>36</v>
      </c>
      <c r="D330" s="429">
        <v>16870</v>
      </c>
      <c r="E330" s="190">
        <v>42521</v>
      </c>
      <c r="F330" s="191" t="s">
        <v>517</v>
      </c>
      <c r="G330" s="833" t="s">
        <v>697</v>
      </c>
      <c r="H330" s="253"/>
      <c r="I330" s="253">
        <v>17758</v>
      </c>
      <c r="J330" s="874">
        <f t="shared" si="23"/>
        <v>31968</v>
      </c>
    </row>
    <row r="331" spans="2:15">
      <c r="B331" s="191" t="s">
        <v>716</v>
      </c>
      <c r="C331" s="246">
        <v>12</v>
      </c>
      <c r="D331" s="429">
        <v>22634.666666666668</v>
      </c>
      <c r="E331" s="190">
        <v>42521</v>
      </c>
      <c r="F331" s="191" t="s">
        <v>716</v>
      </c>
      <c r="G331" s="833" t="s">
        <v>697</v>
      </c>
      <c r="H331" s="253"/>
      <c r="I331" s="253">
        <v>23826</v>
      </c>
      <c r="J331" s="874">
        <f t="shared" si="23"/>
        <v>14295.999999999985</v>
      </c>
    </row>
    <row r="332" spans="2:15">
      <c r="B332" s="191" t="s">
        <v>711</v>
      </c>
      <c r="C332" s="253">
        <v>24</v>
      </c>
      <c r="D332" s="429">
        <v>17395.45</v>
      </c>
      <c r="E332" s="190">
        <v>42521</v>
      </c>
      <c r="F332" s="191" t="s">
        <v>711</v>
      </c>
      <c r="G332" s="833" t="s">
        <v>697</v>
      </c>
      <c r="H332" s="253"/>
      <c r="I332" s="253">
        <v>18311</v>
      </c>
      <c r="J332" s="874">
        <f t="shared" si="23"/>
        <v>21973.199999999983</v>
      </c>
    </row>
    <row r="333" spans="2:15">
      <c r="B333" s="191" t="s">
        <v>512</v>
      </c>
      <c r="C333" s="253">
        <v>56</v>
      </c>
      <c r="D333" s="429">
        <v>18141</v>
      </c>
      <c r="E333" s="190">
        <v>42521</v>
      </c>
      <c r="F333" s="191" t="s">
        <v>512</v>
      </c>
      <c r="G333" s="833" t="s">
        <v>697</v>
      </c>
      <c r="H333" s="253"/>
      <c r="I333" s="253">
        <v>19096</v>
      </c>
      <c r="J333" s="874">
        <f t="shared" si="23"/>
        <v>53480</v>
      </c>
    </row>
    <row r="334" spans="2:15">
      <c r="B334" s="188" t="s">
        <v>512</v>
      </c>
      <c r="C334" s="254">
        <v>12</v>
      </c>
      <c r="D334" s="429">
        <v>18569.650000000001</v>
      </c>
      <c r="E334" s="190">
        <v>42521</v>
      </c>
      <c r="F334" s="188" t="s">
        <v>512</v>
      </c>
      <c r="G334" s="833" t="s">
        <v>697</v>
      </c>
      <c r="H334" s="254"/>
      <c r="I334" s="254">
        <v>19547</v>
      </c>
      <c r="J334" s="874">
        <f t="shared" si="23"/>
        <v>11728.199999999983</v>
      </c>
    </row>
    <row r="335" spans="2:15">
      <c r="B335" s="191" t="s">
        <v>513</v>
      </c>
      <c r="C335" s="246">
        <v>48</v>
      </c>
      <c r="D335" s="429">
        <v>18806</v>
      </c>
      <c r="E335" s="190">
        <v>42521</v>
      </c>
      <c r="F335" s="191" t="s">
        <v>513</v>
      </c>
      <c r="G335" s="833" t="s">
        <v>697</v>
      </c>
      <c r="H335" s="253"/>
      <c r="I335" s="253">
        <v>19769</v>
      </c>
      <c r="J335" s="874">
        <f t="shared" si="23"/>
        <v>46224</v>
      </c>
    </row>
    <row r="336" spans="2:15">
      <c r="E336" s="190">
        <v>42521</v>
      </c>
      <c r="F336" s="191" t="s">
        <v>558</v>
      </c>
      <c r="G336" s="833" t="s">
        <v>697</v>
      </c>
      <c r="H336" s="253">
        <v>12</v>
      </c>
      <c r="I336" s="253">
        <v>34495</v>
      </c>
      <c r="J336" s="874">
        <f t="shared" si="23"/>
        <v>0</v>
      </c>
    </row>
    <row r="337" spans="2:10">
      <c r="B337" s="188" t="s">
        <v>725</v>
      </c>
      <c r="C337" s="254">
        <v>320</v>
      </c>
      <c r="D337" s="429">
        <v>18625.7</v>
      </c>
      <c r="E337" s="190">
        <v>42521</v>
      </c>
      <c r="F337" s="188" t="s">
        <v>725</v>
      </c>
      <c r="G337" s="833" t="s">
        <v>697</v>
      </c>
      <c r="H337" s="254"/>
      <c r="I337" s="254">
        <v>19174</v>
      </c>
      <c r="J337" s="874">
        <f t="shared" si="23"/>
        <v>175455.99999999977</v>
      </c>
    </row>
    <row r="338" spans="2:10">
      <c r="B338" s="191" t="s">
        <v>511</v>
      </c>
      <c r="C338" s="253">
        <v>118</v>
      </c>
      <c r="D338" s="429">
        <v>28844</v>
      </c>
      <c r="E338" s="190">
        <v>42521</v>
      </c>
      <c r="F338" s="191" t="s">
        <v>511</v>
      </c>
      <c r="G338" s="833" t="s">
        <v>697</v>
      </c>
      <c r="H338" s="253"/>
      <c r="I338" s="253">
        <v>30362</v>
      </c>
      <c r="J338" s="874">
        <f t="shared" si="23"/>
        <v>179124</v>
      </c>
    </row>
    <row r="339" spans="2:10">
      <c r="B339" s="191" t="s">
        <v>511</v>
      </c>
      <c r="C339" s="253">
        <v>12</v>
      </c>
      <c r="D339" s="429">
        <v>31880.1</v>
      </c>
      <c r="E339" s="190">
        <v>42521</v>
      </c>
      <c r="F339" s="191" t="s">
        <v>511</v>
      </c>
      <c r="G339" s="833" t="s">
        <v>697</v>
      </c>
      <c r="H339" s="253"/>
      <c r="I339" s="253">
        <v>33558</v>
      </c>
      <c r="J339" s="874">
        <f t="shared" si="23"/>
        <v>20134.800000000017</v>
      </c>
    </row>
    <row r="340" spans="2:10">
      <c r="B340" s="191" t="s">
        <v>717</v>
      </c>
      <c r="C340" s="246">
        <v>12</v>
      </c>
      <c r="D340" s="429">
        <v>40358.833333333336</v>
      </c>
      <c r="E340" s="190">
        <v>42521</v>
      </c>
      <c r="F340" s="191" t="s">
        <v>717</v>
      </c>
      <c r="G340" s="833" t="s">
        <v>697</v>
      </c>
      <c r="H340" s="253"/>
      <c r="I340" s="253">
        <v>42483</v>
      </c>
      <c r="J340" s="874">
        <f t="shared" si="23"/>
        <v>25489.999999999971</v>
      </c>
    </row>
    <row r="341" spans="2:10">
      <c r="B341" s="191" t="s">
        <v>701</v>
      </c>
      <c r="C341" s="246">
        <v>4</v>
      </c>
      <c r="D341" s="429">
        <v>29852.75</v>
      </c>
      <c r="E341" s="190">
        <v>42521</v>
      </c>
      <c r="F341" s="191" t="s">
        <v>701</v>
      </c>
      <c r="G341" s="833" t="s">
        <v>697</v>
      </c>
      <c r="H341" s="253"/>
      <c r="I341" s="253">
        <v>31424</v>
      </c>
      <c r="J341" s="874">
        <f t="shared" si="23"/>
        <v>6285</v>
      </c>
    </row>
    <row r="342" spans="2:10">
      <c r="B342" s="191" t="s">
        <v>700</v>
      </c>
      <c r="C342" s="253">
        <v>24</v>
      </c>
      <c r="D342" s="429">
        <v>19758.099999999999</v>
      </c>
      <c r="E342" s="190">
        <v>42521</v>
      </c>
      <c r="F342" s="191" t="s">
        <v>700</v>
      </c>
      <c r="G342" s="833" t="s">
        <v>697</v>
      </c>
      <c r="H342" s="253"/>
      <c r="I342" s="253">
        <v>20798</v>
      </c>
      <c r="J342" s="874">
        <f t="shared" si="23"/>
        <v>24957.600000000035</v>
      </c>
    </row>
    <row r="343" spans="2:10">
      <c r="B343" s="40" t="s">
        <v>888</v>
      </c>
      <c r="C343" s="246">
        <v>24</v>
      </c>
      <c r="D343" s="429">
        <v>19972.791666666668</v>
      </c>
      <c r="E343" s="190">
        <v>42521</v>
      </c>
      <c r="F343" s="40" t="s">
        <v>888</v>
      </c>
      <c r="G343" s="833" t="s">
        <v>697</v>
      </c>
      <c r="H343" s="253"/>
      <c r="I343" s="253">
        <v>21025</v>
      </c>
      <c r="J343" s="874">
        <f t="shared" si="23"/>
        <v>25252.999999999971</v>
      </c>
    </row>
    <row r="344" spans="2:10">
      <c r="B344" s="191" t="s">
        <v>522</v>
      </c>
      <c r="C344" s="246">
        <v>7</v>
      </c>
      <c r="D344" s="429">
        <v>22423</v>
      </c>
      <c r="E344" s="190">
        <v>42521</v>
      </c>
      <c r="F344" s="191" t="s">
        <v>522</v>
      </c>
      <c r="G344" s="833" t="s">
        <v>697</v>
      </c>
      <c r="H344" s="253"/>
      <c r="I344" s="253">
        <v>23603</v>
      </c>
      <c r="J344" s="874">
        <f t="shared" si="23"/>
        <v>8260</v>
      </c>
    </row>
    <row r="345" spans="2:10">
      <c r="B345" s="40" t="s">
        <v>721</v>
      </c>
      <c r="C345" s="246">
        <v>12</v>
      </c>
      <c r="D345" s="429">
        <v>26599.083333333332</v>
      </c>
      <c r="E345" s="190">
        <v>42521</v>
      </c>
      <c r="F345" s="40" t="s">
        <v>721</v>
      </c>
      <c r="G345" s="833" t="s">
        <v>697</v>
      </c>
      <c r="H345" s="253"/>
      <c r="I345" s="253">
        <v>27999</v>
      </c>
      <c r="J345" s="874">
        <f t="shared" si="23"/>
        <v>16799.000000000015</v>
      </c>
    </row>
    <row r="346" spans="2:10">
      <c r="B346" s="191" t="s">
        <v>530</v>
      </c>
      <c r="C346" s="246">
        <v>10</v>
      </c>
      <c r="D346" s="429">
        <v>11431</v>
      </c>
      <c r="E346" s="190">
        <v>42521</v>
      </c>
      <c r="F346" s="191" t="s">
        <v>530</v>
      </c>
      <c r="G346" s="833" t="s">
        <v>697</v>
      </c>
      <c r="H346" s="253"/>
      <c r="I346" s="253">
        <v>12033</v>
      </c>
      <c r="J346" s="874">
        <f t="shared" si="23"/>
        <v>6020</v>
      </c>
    </row>
    <row r="347" spans="2:10">
      <c r="B347" s="191" t="s">
        <v>706</v>
      </c>
      <c r="C347" s="246">
        <v>12</v>
      </c>
      <c r="D347" s="429">
        <v>14160.666666666666</v>
      </c>
      <c r="E347" s="190">
        <v>42521</v>
      </c>
      <c r="F347" s="191" t="s">
        <v>706</v>
      </c>
      <c r="G347" s="833" t="s">
        <v>697</v>
      </c>
      <c r="H347" s="253"/>
      <c r="I347" s="253">
        <v>14906</v>
      </c>
      <c r="J347" s="874">
        <f t="shared" si="23"/>
        <v>8944.0000000000073</v>
      </c>
    </row>
    <row r="348" spans="2:10">
      <c r="B348" s="191" t="s">
        <v>712</v>
      </c>
      <c r="C348" s="246">
        <v>12</v>
      </c>
      <c r="D348" s="429">
        <v>21128</v>
      </c>
      <c r="E348" s="190">
        <v>42521</v>
      </c>
      <c r="F348" s="191" t="s">
        <v>712</v>
      </c>
      <c r="G348" s="833" t="s">
        <v>697</v>
      </c>
      <c r="H348" s="253"/>
      <c r="I348" s="253">
        <v>22240</v>
      </c>
      <c r="J348" s="874">
        <f t="shared" si="23"/>
        <v>13344</v>
      </c>
    </row>
    <row r="349" spans="2:10">
      <c r="B349" s="191" t="s">
        <v>556</v>
      </c>
      <c r="C349" s="253">
        <v>12</v>
      </c>
      <c r="D349" s="429">
        <v>20597</v>
      </c>
      <c r="E349" s="190">
        <v>42521</v>
      </c>
      <c r="F349" s="191" t="s">
        <v>556</v>
      </c>
      <c r="G349" s="833" t="s">
        <v>697</v>
      </c>
      <c r="H349" s="253"/>
      <c r="I349" s="253">
        <v>21681</v>
      </c>
      <c r="J349" s="874">
        <f t="shared" si="23"/>
        <v>13008</v>
      </c>
    </row>
    <row r="350" spans="2:10">
      <c r="B350" s="191" t="s">
        <v>556</v>
      </c>
      <c r="C350" s="253">
        <v>12</v>
      </c>
      <c r="D350" s="429">
        <v>21084.3</v>
      </c>
      <c r="E350" s="190">
        <v>42521</v>
      </c>
      <c r="F350" s="191" t="s">
        <v>556</v>
      </c>
      <c r="G350" s="833" t="s">
        <v>697</v>
      </c>
      <c r="H350" s="253"/>
      <c r="I350" s="253">
        <v>22194</v>
      </c>
      <c r="J350" s="874">
        <f t="shared" si="23"/>
        <v>13316.400000000009</v>
      </c>
    </row>
    <row r="351" spans="2:10">
      <c r="B351" s="191" t="s">
        <v>552</v>
      </c>
      <c r="C351" s="253">
        <v>12</v>
      </c>
      <c r="D351" s="429">
        <v>36365</v>
      </c>
      <c r="E351" s="190">
        <v>42521</v>
      </c>
      <c r="F351" s="191" t="s">
        <v>552</v>
      </c>
      <c r="G351" s="833" t="s">
        <v>697</v>
      </c>
      <c r="H351" s="253"/>
      <c r="I351" s="253">
        <v>38279</v>
      </c>
      <c r="J351" s="874">
        <f t="shared" si="23"/>
        <v>22968</v>
      </c>
    </row>
    <row r="352" spans="2:10">
      <c r="B352" s="191" t="s">
        <v>552</v>
      </c>
      <c r="C352" s="253">
        <v>36</v>
      </c>
      <c r="D352" s="429">
        <v>32901.35</v>
      </c>
      <c r="E352" s="190">
        <v>42521</v>
      </c>
      <c r="F352" s="191" t="s">
        <v>552</v>
      </c>
      <c r="G352" s="833" t="s">
        <v>697</v>
      </c>
      <c r="H352" s="253"/>
      <c r="I352" s="253">
        <v>34633</v>
      </c>
      <c r="J352" s="874">
        <f t="shared" si="23"/>
        <v>62339.400000000052</v>
      </c>
    </row>
    <row r="353" spans="2:10">
      <c r="B353" s="191" t="s">
        <v>552</v>
      </c>
      <c r="C353" s="253">
        <v>12</v>
      </c>
      <c r="D353" s="429">
        <v>36365.050000000003</v>
      </c>
      <c r="E353" s="190">
        <v>42521</v>
      </c>
      <c r="F353" s="191" t="s">
        <v>552</v>
      </c>
      <c r="G353" s="833" t="s">
        <v>697</v>
      </c>
      <c r="H353" s="253"/>
      <c r="I353" s="253">
        <v>38279</v>
      </c>
      <c r="J353" s="874">
        <f t="shared" si="23"/>
        <v>22967.399999999965</v>
      </c>
    </row>
    <row r="354" spans="2:10">
      <c r="B354" s="191" t="s">
        <v>560</v>
      </c>
      <c r="C354" s="246">
        <v>36</v>
      </c>
      <c r="D354" s="429">
        <v>35369.305555555555</v>
      </c>
      <c r="E354" s="190">
        <v>42521</v>
      </c>
      <c r="F354" s="191" t="s">
        <v>560</v>
      </c>
      <c r="G354" s="833" t="s">
        <v>697</v>
      </c>
      <c r="H354" s="253"/>
      <c r="I354" s="253">
        <v>37231</v>
      </c>
      <c r="J354" s="874">
        <f t="shared" si="23"/>
        <v>67021.000000000029</v>
      </c>
    </row>
    <row r="355" spans="2:10">
      <c r="B355" s="188" t="s">
        <v>704</v>
      </c>
      <c r="C355" s="253">
        <v>18</v>
      </c>
      <c r="D355" s="429">
        <v>34295</v>
      </c>
      <c r="E355" s="190">
        <v>42521</v>
      </c>
      <c r="F355" s="188" t="s">
        <v>704</v>
      </c>
      <c r="G355" s="833" t="s">
        <v>697</v>
      </c>
      <c r="H355" s="253"/>
      <c r="I355" s="253">
        <v>36100</v>
      </c>
      <c r="J355" s="874">
        <f t="shared" si="23"/>
        <v>32490</v>
      </c>
    </row>
    <row r="356" spans="2:10">
      <c r="B356" s="40" t="s">
        <v>719</v>
      </c>
      <c r="C356" s="246">
        <v>12</v>
      </c>
      <c r="D356" s="429">
        <v>39800.25</v>
      </c>
      <c r="E356" s="190">
        <v>42521</v>
      </c>
      <c r="F356" s="40" t="s">
        <v>719</v>
      </c>
      <c r="G356" s="833" t="s">
        <v>697</v>
      </c>
      <c r="H356" s="253"/>
      <c r="I356" s="253">
        <v>41895</v>
      </c>
      <c r="J356" s="874">
        <f t="shared" si="23"/>
        <v>25137</v>
      </c>
    </row>
    <row r="357" spans="2:10">
      <c r="B357" s="188" t="s">
        <v>718</v>
      </c>
      <c r="C357" s="246">
        <v>10</v>
      </c>
      <c r="D357" s="429">
        <v>43590.8</v>
      </c>
      <c r="E357" s="190">
        <v>42521</v>
      </c>
      <c r="F357" s="188" t="s">
        <v>718</v>
      </c>
      <c r="G357" s="833" t="s">
        <v>697</v>
      </c>
      <c r="H357" s="253"/>
      <c r="I357" s="253">
        <v>45885</v>
      </c>
      <c r="J357" s="874">
        <f t="shared" si="23"/>
        <v>22941.999999999971</v>
      </c>
    </row>
    <row r="358" spans="2:10">
      <c r="B358" s="40" t="s">
        <v>703</v>
      </c>
      <c r="C358" s="246">
        <v>24</v>
      </c>
      <c r="D358" s="246">
        <v>43554.65</v>
      </c>
      <c r="E358" s="190">
        <v>42521</v>
      </c>
      <c r="F358" s="40" t="s">
        <v>703</v>
      </c>
      <c r="G358" s="833" t="s">
        <v>697</v>
      </c>
      <c r="H358" s="253"/>
      <c r="I358" s="253">
        <v>45847</v>
      </c>
      <c r="J358" s="874">
        <f t="shared" si="23"/>
        <v>55016.399999999965</v>
      </c>
    </row>
    <row r="359" spans="2:10">
      <c r="B359" s="191" t="s">
        <v>492</v>
      </c>
      <c r="C359" s="246">
        <v>12</v>
      </c>
      <c r="D359" s="429">
        <v>38124</v>
      </c>
      <c r="E359" s="190">
        <v>42521</v>
      </c>
      <c r="F359" s="191" t="s">
        <v>492</v>
      </c>
      <c r="G359" s="833" t="s">
        <v>697</v>
      </c>
      <c r="H359" s="253"/>
      <c r="I359" s="253">
        <v>40131</v>
      </c>
      <c r="J359" s="874">
        <f t="shared" si="23"/>
        <v>24084</v>
      </c>
    </row>
    <row r="360" spans="2:10">
      <c r="B360" s="191" t="s">
        <v>505</v>
      </c>
      <c r="C360" s="246">
        <v>10</v>
      </c>
      <c r="D360" s="429">
        <v>39302</v>
      </c>
      <c r="E360" s="190">
        <v>42521</v>
      </c>
      <c r="F360" s="191" t="s">
        <v>505</v>
      </c>
      <c r="G360" s="833" t="s">
        <v>697</v>
      </c>
      <c r="H360" s="253"/>
      <c r="I360" s="253">
        <v>41370</v>
      </c>
      <c r="J360" s="874">
        <f t="shared" si="23"/>
        <v>20680</v>
      </c>
    </row>
    <row r="361" spans="2:10">
      <c r="B361" s="191" t="s">
        <v>514</v>
      </c>
      <c r="C361" s="253">
        <v>15</v>
      </c>
      <c r="D361" s="429">
        <v>28428</v>
      </c>
      <c r="E361" s="190">
        <v>42521</v>
      </c>
      <c r="F361" s="191" t="s">
        <v>514</v>
      </c>
      <c r="G361" s="833" t="s">
        <v>697</v>
      </c>
      <c r="H361" s="253"/>
      <c r="I361" s="253">
        <v>29924</v>
      </c>
      <c r="J361" s="874">
        <f t="shared" si="23"/>
        <v>22440</v>
      </c>
    </row>
    <row r="362" spans="2:10">
      <c r="B362" s="188" t="s">
        <v>514</v>
      </c>
      <c r="C362" s="254">
        <v>12</v>
      </c>
      <c r="D362" s="429">
        <v>29099.45</v>
      </c>
      <c r="E362" s="190">
        <v>42521</v>
      </c>
      <c r="F362" s="188" t="s">
        <v>514</v>
      </c>
      <c r="G362" s="833" t="s">
        <v>697</v>
      </c>
      <c r="H362" s="254"/>
      <c r="I362" s="254">
        <v>30631</v>
      </c>
      <c r="J362" s="874">
        <f t="shared" si="23"/>
        <v>18378.599999999991</v>
      </c>
    </row>
    <row r="363" spans="2:10">
      <c r="B363" s="188" t="s">
        <v>553</v>
      </c>
      <c r="C363" s="246">
        <v>36</v>
      </c>
      <c r="D363" s="429">
        <v>37225</v>
      </c>
      <c r="E363" s="190">
        <v>42521</v>
      </c>
      <c r="F363" s="191" t="s">
        <v>553</v>
      </c>
      <c r="G363" s="833" t="s">
        <v>697</v>
      </c>
      <c r="H363" s="253"/>
      <c r="I363" s="253">
        <v>39148</v>
      </c>
      <c r="J363" s="874">
        <f t="shared" ref="J363" si="24">(I363-D363)*C363</f>
        <v>69228</v>
      </c>
    </row>
    <row r="364" spans="2:10">
      <c r="B364" s="188" t="s">
        <v>553</v>
      </c>
      <c r="C364" s="246">
        <v>48</v>
      </c>
      <c r="D364" s="429">
        <v>37190.6</v>
      </c>
      <c r="E364" s="190">
        <v>42521</v>
      </c>
      <c r="F364" s="191" t="s">
        <v>553</v>
      </c>
      <c r="G364" s="833" t="s">
        <v>697</v>
      </c>
      <c r="H364" s="253"/>
      <c r="I364" s="253">
        <v>39148</v>
      </c>
      <c r="J364" s="874">
        <f t="shared" si="23"/>
        <v>93955.20000000007</v>
      </c>
    </row>
    <row r="365" spans="2:10">
      <c r="B365" s="191" t="s">
        <v>576</v>
      </c>
      <c r="C365" s="246">
        <v>94</v>
      </c>
      <c r="D365" s="429">
        <v>50135</v>
      </c>
      <c r="E365" s="190">
        <v>42521</v>
      </c>
      <c r="F365" s="191" t="s">
        <v>576</v>
      </c>
      <c r="G365" s="833" t="s">
        <v>697</v>
      </c>
      <c r="H365" s="253"/>
      <c r="I365" s="253">
        <v>52774</v>
      </c>
      <c r="J365" s="874">
        <f t="shared" si="23"/>
        <v>248066</v>
      </c>
    </row>
    <row r="366" spans="2:10">
      <c r="B366" s="191" t="s">
        <v>523</v>
      </c>
      <c r="C366" s="246">
        <v>32</v>
      </c>
      <c r="D366" s="429">
        <v>28012</v>
      </c>
      <c r="E366" s="190">
        <v>42521</v>
      </c>
      <c r="F366" s="191" t="s">
        <v>523</v>
      </c>
      <c r="G366" s="833" t="s">
        <v>697</v>
      </c>
      <c r="H366" s="253"/>
      <c r="I366" s="253">
        <v>29486</v>
      </c>
      <c r="J366" s="874">
        <f t="shared" si="23"/>
        <v>47168</v>
      </c>
    </row>
    <row r="367" spans="2:10">
      <c r="B367" s="191" t="s">
        <v>529</v>
      </c>
      <c r="C367" s="246">
        <v>10</v>
      </c>
      <c r="D367" s="429">
        <v>16692</v>
      </c>
      <c r="E367" s="190">
        <v>42521</v>
      </c>
      <c r="F367" s="191" t="s">
        <v>529</v>
      </c>
      <c r="G367" s="833" t="s">
        <v>697</v>
      </c>
      <c r="H367" s="253"/>
      <c r="I367" s="253">
        <v>17571</v>
      </c>
      <c r="J367" s="874">
        <f t="shared" si="23"/>
        <v>8790</v>
      </c>
    </row>
    <row r="368" spans="2:10">
      <c r="B368" s="191" t="s">
        <v>713</v>
      </c>
      <c r="C368" s="246">
        <v>24</v>
      </c>
      <c r="D368" s="429">
        <v>8923.3333333333339</v>
      </c>
      <c r="E368" s="190">
        <v>42521</v>
      </c>
      <c r="F368" s="191" t="s">
        <v>713</v>
      </c>
      <c r="G368" s="833" t="s">
        <v>697</v>
      </c>
      <c r="H368" s="253"/>
      <c r="I368" s="253">
        <v>9393</v>
      </c>
      <c r="J368" s="874">
        <f t="shared" si="23"/>
        <v>11271.999999999985</v>
      </c>
    </row>
    <row r="369" spans="2:10">
      <c r="B369" s="188" t="s">
        <v>724</v>
      </c>
      <c r="C369" s="246">
        <v>50</v>
      </c>
      <c r="D369" s="429">
        <v>23782.3</v>
      </c>
      <c r="E369" s="190">
        <v>42521</v>
      </c>
      <c r="F369" s="188" t="s">
        <v>724</v>
      </c>
      <c r="G369" s="833" t="s">
        <v>697</v>
      </c>
      <c r="H369" s="254"/>
      <c r="I369" s="254">
        <v>25034</v>
      </c>
      <c r="J369" s="874">
        <f t="shared" si="23"/>
        <v>62585.000000000036</v>
      </c>
    </row>
    <row r="370" spans="2:10">
      <c r="B370" s="191" t="s">
        <v>485</v>
      </c>
      <c r="C370" s="246">
        <v>12</v>
      </c>
      <c r="D370" s="429">
        <v>43591</v>
      </c>
      <c r="E370" s="190">
        <v>42521</v>
      </c>
      <c r="F370" s="191" t="s">
        <v>485</v>
      </c>
      <c r="G370" s="833" t="s">
        <v>697</v>
      </c>
      <c r="H370" s="253"/>
      <c r="I370" s="253">
        <v>45885</v>
      </c>
      <c r="J370" s="874">
        <f t="shared" si="23"/>
        <v>27528</v>
      </c>
    </row>
    <row r="371" spans="2:10">
      <c r="B371" s="191" t="s">
        <v>559</v>
      </c>
      <c r="C371" s="246">
        <v>48</v>
      </c>
      <c r="D371" s="429">
        <v>45874</v>
      </c>
      <c r="E371" s="190">
        <v>42521</v>
      </c>
      <c r="F371" s="191" t="s">
        <v>559</v>
      </c>
      <c r="G371" s="833" t="s">
        <v>697</v>
      </c>
      <c r="H371" s="253"/>
      <c r="I371" s="253">
        <v>48288</v>
      </c>
      <c r="J371" s="874">
        <f t="shared" ref="J371:J434" si="25">(I371-D371)*C371</f>
        <v>115872</v>
      </c>
    </row>
    <row r="372" spans="2:10">
      <c r="B372" s="191" t="s">
        <v>535</v>
      </c>
      <c r="C372" s="246">
        <v>24</v>
      </c>
      <c r="D372" s="429">
        <v>44421.05</v>
      </c>
      <c r="E372" s="190">
        <v>42521</v>
      </c>
      <c r="F372" s="188" t="s">
        <v>535</v>
      </c>
      <c r="G372" s="833" t="s">
        <v>697</v>
      </c>
      <c r="H372" s="256"/>
      <c r="I372" s="256">
        <v>46759</v>
      </c>
      <c r="J372" s="874">
        <f t="shared" si="25"/>
        <v>56110.79999999993</v>
      </c>
    </row>
    <row r="373" spans="2:10">
      <c r="B373" s="191" t="s">
        <v>501</v>
      </c>
      <c r="C373" s="246">
        <v>93</v>
      </c>
      <c r="D373" s="429">
        <v>46912</v>
      </c>
      <c r="E373" s="190">
        <v>42521</v>
      </c>
      <c r="F373" s="40" t="s">
        <v>501</v>
      </c>
      <c r="G373" s="833" t="s">
        <v>697</v>
      </c>
      <c r="H373" s="253"/>
      <c r="I373" s="253">
        <v>49381</v>
      </c>
      <c r="J373" s="874">
        <f t="shared" si="25"/>
        <v>229617</v>
      </c>
    </row>
    <row r="374" spans="2:10">
      <c r="B374" s="191" t="s">
        <v>708</v>
      </c>
      <c r="C374" s="246">
        <v>24</v>
      </c>
      <c r="D374" s="429">
        <v>48572.55</v>
      </c>
      <c r="E374" s="190">
        <v>42521</v>
      </c>
      <c r="F374" s="191" t="s">
        <v>708</v>
      </c>
      <c r="G374" s="833" t="s">
        <v>697</v>
      </c>
      <c r="H374" s="253"/>
      <c r="I374" s="253">
        <v>51129</v>
      </c>
      <c r="J374" s="874">
        <f t="shared" si="25"/>
        <v>61354.79999999993</v>
      </c>
    </row>
    <row r="375" spans="2:10">
      <c r="B375" s="191" t="s">
        <v>705</v>
      </c>
      <c r="C375" s="246">
        <v>24</v>
      </c>
      <c r="D375" s="429">
        <v>56045.25</v>
      </c>
      <c r="E375" s="190">
        <v>42521</v>
      </c>
      <c r="F375" s="191" t="s">
        <v>705</v>
      </c>
      <c r="G375" s="833" t="s">
        <v>697</v>
      </c>
      <c r="H375" s="253"/>
      <c r="I375" s="253">
        <v>58995</v>
      </c>
      <c r="J375" s="874">
        <f t="shared" si="25"/>
        <v>70794</v>
      </c>
    </row>
    <row r="376" spans="2:10">
      <c r="B376" s="191" t="s">
        <v>562</v>
      </c>
      <c r="C376" s="253">
        <v>72</v>
      </c>
      <c r="D376" s="429">
        <v>12654</v>
      </c>
      <c r="E376" s="190">
        <v>42521</v>
      </c>
      <c r="F376" s="191" t="s">
        <v>562</v>
      </c>
      <c r="G376" s="833" t="s">
        <v>697</v>
      </c>
      <c r="H376" s="253"/>
      <c r="I376" s="253">
        <v>13320</v>
      </c>
      <c r="J376" s="874">
        <f t="shared" si="25"/>
        <v>47952</v>
      </c>
    </row>
    <row r="377" spans="2:10">
      <c r="B377" s="191" t="s">
        <v>557</v>
      </c>
      <c r="C377" s="253">
        <v>48</v>
      </c>
      <c r="D377" s="429">
        <v>43240</v>
      </c>
      <c r="E377" s="190">
        <v>42521</v>
      </c>
      <c r="F377" s="191" t="s">
        <v>557</v>
      </c>
      <c r="G377" s="833" t="s">
        <v>697</v>
      </c>
      <c r="H377" s="253"/>
      <c r="I377" s="253">
        <v>45516</v>
      </c>
      <c r="J377" s="874">
        <f t="shared" si="25"/>
        <v>109248</v>
      </c>
    </row>
    <row r="378" spans="2:10">
      <c r="B378" s="191" t="s">
        <v>557</v>
      </c>
      <c r="C378" s="253">
        <v>24</v>
      </c>
      <c r="D378" s="429">
        <v>45505</v>
      </c>
      <c r="E378" s="190">
        <v>42521</v>
      </c>
      <c r="F378" s="191" t="s">
        <v>557</v>
      </c>
      <c r="G378" s="833" t="s">
        <v>697</v>
      </c>
      <c r="H378" s="253"/>
      <c r="I378" s="253">
        <v>47900</v>
      </c>
      <c r="J378" s="874">
        <f t="shared" si="25"/>
        <v>57480</v>
      </c>
    </row>
    <row r="379" spans="2:10">
      <c r="B379" s="191" t="s">
        <v>528</v>
      </c>
      <c r="C379" s="246">
        <v>10</v>
      </c>
      <c r="D379" s="429">
        <v>19073</v>
      </c>
      <c r="E379" s="190">
        <v>42521</v>
      </c>
      <c r="F379" s="191" t="s">
        <v>528</v>
      </c>
      <c r="G379" s="833" t="s">
        <v>697</v>
      </c>
      <c r="H379" s="253"/>
      <c r="I379" s="253">
        <v>20077</v>
      </c>
      <c r="J379" s="874">
        <f t="shared" si="25"/>
        <v>10040</v>
      </c>
    </row>
    <row r="380" spans="2:10">
      <c r="B380" s="191" t="s">
        <v>577</v>
      </c>
      <c r="C380" s="253">
        <v>30</v>
      </c>
      <c r="D380" s="429">
        <v>61919</v>
      </c>
      <c r="E380" s="190">
        <v>42521</v>
      </c>
      <c r="F380" s="191" t="s">
        <v>577</v>
      </c>
      <c r="G380" s="833" t="s">
        <v>697</v>
      </c>
      <c r="H380" s="253"/>
      <c r="I380" s="253">
        <v>65178</v>
      </c>
      <c r="J380" s="874">
        <f t="shared" si="25"/>
        <v>97770</v>
      </c>
    </row>
    <row r="381" spans="2:10">
      <c r="B381" s="191" t="s">
        <v>493</v>
      </c>
      <c r="C381" s="253">
        <v>60</v>
      </c>
      <c r="D381" s="429">
        <v>52285</v>
      </c>
      <c r="E381" s="190">
        <v>42521</v>
      </c>
      <c r="F381" s="191" t="s">
        <v>493</v>
      </c>
      <c r="G381" s="833" t="s">
        <v>697</v>
      </c>
      <c r="H381" s="253"/>
      <c r="I381" s="253">
        <v>55037</v>
      </c>
      <c r="J381" s="874">
        <f t="shared" si="25"/>
        <v>165120</v>
      </c>
    </row>
    <row r="382" spans="2:10">
      <c r="B382" s="191" t="s">
        <v>519</v>
      </c>
      <c r="C382" s="246">
        <v>12</v>
      </c>
      <c r="D382" s="429">
        <v>24216</v>
      </c>
      <c r="E382" s="190">
        <v>42521</v>
      </c>
      <c r="F382" s="191" t="s">
        <v>519</v>
      </c>
      <c r="G382" s="833" t="s">
        <v>697</v>
      </c>
      <c r="H382" s="253"/>
      <c r="I382" s="253">
        <v>25490</v>
      </c>
      <c r="J382" s="874">
        <f t="shared" si="25"/>
        <v>15288</v>
      </c>
    </row>
    <row r="383" spans="2:10">
      <c r="B383" s="292" t="s">
        <v>515</v>
      </c>
      <c r="C383" s="246">
        <v>17</v>
      </c>
      <c r="D383" s="429">
        <v>78526.032258064515</v>
      </c>
      <c r="E383" s="190">
        <v>42521</v>
      </c>
      <c r="F383" s="292" t="s">
        <v>515</v>
      </c>
      <c r="G383" s="833" t="s">
        <v>697</v>
      </c>
      <c r="H383" s="253"/>
      <c r="I383" s="253">
        <v>81812</v>
      </c>
      <c r="J383" s="874">
        <f t="shared" si="25"/>
        <v>55861.451612903242</v>
      </c>
    </row>
    <row r="384" spans="2:10">
      <c r="B384" s="292" t="s">
        <v>515</v>
      </c>
      <c r="C384" s="246">
        <v>6</v>
      </c>
      <c r="D384" s="429">
        <v>78526.032258064515</v>
      </c>
      <c r="E384" s="190">
        <v>42521</v>
      </c>
      <c r="F384" s="188" t="s">
        <v>515</v>
      </c>
      <c r="G384" s="833" t="s">
        <v>697</v>
      </c>
      <c r="H384" s="253"/>
      <c r="I384" s="253">
        <v>81813</v>
      </c>
      <c r="J384" s="874">
        <f t="shared" si="25"/>
        <v>19721.806451612909</v>
      </c>
    </row>
    <row r="385" spans="2:15">
      <c r="B385" s="191" t="s">
        <v>484</v>
      </c>
      <c r="C385" s="246">
        <v>42</v>
      </c>
      <c r="D385" s="429">
        <v>32977.35</v>
      </c>
      <c r="E385" s="190">
        <v>42521</v>
      </c>
      <c r="F385" s="188" t="s">
        <v>484</v>
      </c>
      <c r="G385" s="833" t="s">
        <v>697</v>
      </c>
      <c r="H385" s="253"/>
      <c r="I385" s="253">
        <v>34713</v>
      </c>
      <c r="J385" s="874">
        <f t="shared" si="25"/>
        <v>72897.300000000061</v>
      </c>
    </row>
    <row r="386" spans="2:15">
      <c r="B386" s="191" t="s">
        <v>549</v>
      </c>
      <c r="C386" s="253">
        <v>22</v>
      </c>
      <c r="D386" s="429">
        <v>42056</v>
      </c>
      <c r="E386" s="190">
        <v>42521</v>
      </c>
      <c r="F386" s="191" t="s">
        <v>549</v>
      </c>
      <c r="G386" s="833" t="s">
        <v>697</v>
      </c>
      <c r="H386" s="253"/>
      <c r="I386" s="253">
        <v>44269</v>
      </c>
      <c r="J386" s="874">
        <f t="shared" si="25"/>
        <v>48686</v>
      </c>
    </row>
    <row r="387" spans="2:15">
      <c r="B387" s="191" t="s">
        <v>549</v>
      </c>
      <c r="C387" s="253">
        <v>16</v>
      </c>
      <c r="D387" s="429">
        <v>44169.3</v>
      </c>
      <c r="E387" s="190">
        <v>42521</v>
      </c>
      <c r="F387" s="191" t="s">
        <v>549</v>
      </c>
      <c r="G387" s="833" t="s">
        <v>697</v>
      </c>
      <c r="H387" s="253"/>
      <c r="I387" s="253">
        <v>46494</v>
      </c>
      <c r="J387" s="874">
        <f t="shared" si="25"/>
        <v>37195.199999999953</v>
      </c>
    </row>
    <row r="388" spans="2:15">
      <c r="B388" s="188" t="s">
        <v>722</v>
      </c>
      <c r="C388" s="246">
        <v>8</v>
      </c>
      <c r="D388" s="429">
        <v>48016.75</v>
      </c>
      <c r="E388" s="190">
        <v>42521</v>
      </c>
      <c r="F388" s="188" t="s">
        <v>722</v>
      </c>
      <c r="G388" s="833" t="s">
        <v>697</v>
      </c>
      <c r="H388" s="253"/>
      <c r="I388" s="253">
        <v>50544</v>
      </c>
      <c r="J388" s="874">
        <f t="shared" si="25"/>
        <v>20218</v>
      </c>
    </row>
    <row r="389" spans="2:15">
      <c r="B389" s="191" t="s">
        <v>504</v>
      </c>
      <c r="C389" s="246">
        <v>5</v>
      </c>
      <c r="D389" s="429">
        <v>100939</v>
      </c>
      <c r="E389" s="190">
        <v>42521</v>
      </c>
      <c r="F389" s="191" t="s">
        <v>504</v>
      </c>
      <c r="G389" s="833" t="s">
        <v>697</v>
      </c>
      <c r="H389" s="253"/>
      <c r="I389" s="253">
        <v>106252</v>
      </c>
      <c r="J389" s="874">
        <f t="shared" si="25"/>
        <v>26565</v>
      </c>
    </row>
    <row r="390" spans="2:15">
      <c r="B390" s="191" t="s">
        <v>698</v>
      </c>
      <c r="C390" s="246">
        <v>15</v>
      </c>
      <c r="D390" s="429">
        <v>74189</v>
      </c>
      <c r="E390" s="190">
        <v>42521</v>
      </c>
      <c r="F390" s="191" t="s">
        <v>698</v>
      </c>
      <c r="G390" s="833" t="s">
        <v>697</v>
      </c>
      <c r="H390" s="253"/>
      <c r="I390" s="253">
        <v>78094</v>
      </c>
      <c r="J390" s="874">
        <f t="shared" si="25"/>
        <v>58575</v>
      </c>
    </row>
    <row r="391" spans="2:15">
      <c r="B391" s="191" t="s">
        <v>518</v>
      </c>
      <c r="C391" s="246">
        <v>10</v>
      </c>
      <c r="D391" s="429">
        <v>47956</v>
      </c>
      <c r="E391" s="190">
        <v>42521</v>
      </c>
      <c r="F391" s="191" t="s">
        <v>518</v>
      </c>
      <c r="G391" s="833" t="s">
        <v>697</v>
      </c>
      <c r="H391" s="253"/>
      <c r="I391" s="253">
        <v>50480</v>
      </c>
      <c r="J391" s="874">
        <f t="shared" si="25"/>
        <v>25240</v>
      </c>
    </row>
    <row r="392" spans="2:15">
      <c r="B392" s="783" t="s">
        <v>494</v>
      </c>
      <c r="C392" s="253">
        <v>16</v>
      </c>
      <c r="D392" s="429">
        <v>67288</v>
      </c>
      <c r="E392" s="190">
        <v>42521</v>
      </c>
      <c r="F392" s="783" t="s">
        <v>494</v>
      </c>
      <c r="G392" s="833" t="s">
        <v>697</v>
      </c>
      <c r="H392" s="253"/>
      <c r="I392" s="253">
        <v>70829</v>
      </c>
      <c r="J392" s="874">
        <f t="shared" si="25"/>
        <v>56656</v>
      </c>
    </row>
    <row r="393" spans="2:15">
      <c r="B393" s="191" t="s">
        <v>714</v>
      </c>
      <c r="C393" s="246">
        <v>20</v>
      </c>
      <c r="D393" s="429">
        <v>43188</v>
      </c>
      <c r="E393" s="190">
        <v>42521</v>
      </c>
      <c r="F393" s="191" t="s">
        <v>714</v>
      </c>
      <c r="G393" s="833" t="s">
        <v>697</v>
      </c>
      <c r="H393" s="253"/>
      <c r="I393" s="253">
        <v>45461</v>
      </c>
      <c r="J393" s="874">
        <f t="shared" si="25"/>
        <v>45460</v>
      </c>
    </row>
    <row r="394" spans="2:15">
      <c r="B394" s="191" t="s">
        <v>477</v>
      </c>
      <c r="C394" s="246">
        <v>170</v>
      </c>
      <c r="D394" s="429">
        <v>62802.6</v>
      </c>
      <c r="E394" s="190">
        <v>42521</v>
      </c>
      <c r="F394" s="191" t="s">
        <v>477</v>
      </c>
      <c r="G394" s="833" t="s">
        <v>697</v>
      </c>
      <c r="H394" s="253"/>
      <c r="I394" s="253">
        <v>66108</v>
      </c>
      <c r="J394" s="874">
        <f t="shared" si="25"/>
        <v>561918.00000000023</v>
      </c>
      <c r="K394" s="246">
        <v>2</v>
      </c>
      <c r="L394" s="191" t="s">
        <v>1223</v>
      </c>
      <c r="M394" s="25">
        <v>41</v>
      </c>
      <c r="N394" s="289">
        <v>10687</v>
      </c>
      <c r="O394" s="429">
        <f>ROUND(C394*D394,0)</f>
        <v>10676442</v>
      </c>
    </row>
    <row r="395" spans="2:15">
      <c r="B395" s="191" t="s">
        <v>510</v>
      </c>
      <c r="C395" s="246">
        <v>5</v>
      </c>
      <c r="D395" s="429">
        <v>57599</v>
      </c>
      <c r="E395" s="190">
        <v>42521</v>
      </c>
      <c r="F395" s="191" t="s">
        <v>510</v>
      </c>
      <c r="G395" s="833" t="s">
        <v>697</v>
      </c>
      <c r="H395" s="253"/>
      <c r="I395" s="253">
        <v>60630</v>
      </c>
      <c r="J395" s="874">
        <f t="shared" si="25"/>
        <v>15155</v>
      </c>
    </row>
    <row r="396" spans="2:15">
      <c r="B396" s="191" t="s">
        <v>521</v>
      </c>
      <c r="C396" s="246">
        <v>19</v>
      </c>
      <c r="D396" s="429">
        <v>40072.947368421053</v>
      </c>
      <c r="E396" s="190">
        <v>42521</v>
      </c>
      <c r="F396" s="191" t="s">
        <v>521</v>
      </c>
      <c r="G396" s="833" t="s">
        <v>697</v>
      </c>
      <c r="H396" s="253"/>
      <c r="I396" s="253">
        <v>42182</v>
      </c>
      <c r="J396" s="874">
        <f t="shared" si="25"/>
        <v>40071.999999999985</v>
      </c>
    </row>
    <row r="397" spans="2:15">
      <c r="B397" s="191" t="s">
        <v>524</v>
      </c>
      <c r="C397" s="246">
        <v>10</v>
      </c>
      <c r="D397" s="429">
        <v>44247</v>
      </c>
      <c r="E397" s="190">
        <v>42521</v>
      </c>
      <c r="F397" s="191" t="s">
        <v>524</v>
      </c>
      <c r="G397" s="833" t="s">
        <v>697</v>
      </c>
      <c r="H397" s="253"/>
      <c r="I397" s="253">
        <v>46576</v>
      </c>
      <c r="J397" s="874">
        <f t="shared" si="25"/>
        <v>23290</v>
      </c>
    </row>
    <row r="398" spans="2:15">
      <c r="B398" s="191" t="s">
        <v>715</v>
      </c>
      <c r="C398" s="246">
        <v>8</v>
      </c>
      <c r="D398" s="429">
        <v>48550.75</v>
      </c>
      <c r="E398" s="190">
        <v>42521</v>
      </c>
      <c r="F398" s="191" t="s">
        <v>715</v>
      </c>
      <c r="G398" s="833" t="s">
        <v>697</v>
      </c>
      <c r="H398" s="253"/>
      <c r="I398" s="253">
        <v>51106</v>
      </c>
      <c r="J398" s="874">
        <f t="shared" si="25"/>
        <v>20442</v>
      </c>
    </row>
    <row r="399" spans="2:15">
      <c r="B399" s="191" t="s">
        <v>533</v>
      </c>
      <c r="C399" s="246">
        <v>24</v>
      </c>
      <c r="D399" s="429">
        <v>59493</v>
      </c>
      <c r="E399" s="190">
        <v>42521</v>
      </c>
      <c r="F399" s="191" t="s">
        <v>533</v>
      </c>
      <c r="G399" s="833" t="s">
        <v>697</v>
      </c>
      <c r="H399" s="253"/>
      <c r="I399" s="253">
        <v>62624</v>
      </c>
      <c r="J399" s="874">
        <f t="shared" si="25"/>
        <v>75144</v>
      </c>
    </row>
    <row r="400" spans="2:15">
      <c r="B400" s="292" t="s">
        <v>702</v>
      </c>
      <c r="C400" s="767">
        <v>24</v>
      </c>
      <c r="D400" s="429">
        <v>57019.95</v>
      </c>
      <c r="E400" s="190">
        <v>42521</v>
      </c>
      <c r="F400" s="292" t="s">
        <v>702</v>
      </c>
      <c r="G400" s="833" t="s">
        <v>697</v>
      </c>
      <c r="H400" s="767"/>
      <c r="I400" s="253">
        <v>60021</v>
      </c>
      <c r="J400" s="874">
        <f t="shared" si="25"/>
        <v>72025.20000000007</v>
      </c>
    </row>
    <row r="401" spans="2:19">
      <c r="B401" s="191" t="s">
        <v>709</v>
      </c>
      <c r="C401" s="253">
        <v>24</v>
      </c>
      <c r="D401" s="429">
        <v>103480.65</v>
      </c>
      <c r="E401" s="190">
        <v>42521</v>
      </c>
      <c r="F401" s="191" t="s">
        <v>709</v>
      </c>
      <c r="G401" s="833" t="s">
        <v>697</v>
      </c>
      <c r="H401" s="253"/>
      <c r="I401" s="253">
        <v>108927</v>
      </c>
      <c r="J401" s="874">
        <f t="shared" si="25"/>
        <v>130712.40000000014</v>
      </c>
    </row>
    <row r="402" spans="2:19">
      <c r="B402" s="191" t="s">
        <v>696</v>
      </c>
      <c r="C402" s="253">
        <v>1000</v>
      </c>
      <c r="D402" s="429">
        <v>13029</v>
      </c>
      <c r="E402" s="190">
        <v>42523</v>
      </c>
      <c r="F402" s="188" t="s">
        <v>696</v>
      </c>
      <c r="G402" s="833" t="s">
        <v>726</v>
      </c>
      <c r="H402" s="253"/>
      <c r="I402" s="253">
        <v>13572</v>
      </c>
      <c r="J402" s="874">
        <f t="shared" si="25"/>
        <v>543000</v>
      </c>
      <c r="K402" s="246">
        <v>2</v>
      </c>
      <c r="L402" s="191" t="s">
        <v>1227</v>
      </c>
      <c r="M402" s="25">
        <v>19</v>
      </c>
      <c r="N402" s="289">
        <v>18354</v>
      </c>
      <c r="O402" s="429">
        <f t="shared" ref="O402:O404" si="26">ROUND(C402*D402,0)</f>
        <v>13029000</v>
      </c>
    </row>
    <row r="403" spans="2:19">
      <c r="B403" s="191" t="s">
        <v>921</v>
      </c>
      <c r="C403" s="253">
        <v>2000</v>
      </c>
      <c r="D403" s="429">
        <v>6428</v>
      </c>
      <c r="E403" s="190">
        <v>42527</v>
      </c>
      <c r="F403" s="191" t="s">
        <v>921</v>
      </c>
      <c r="G403" s="833" t="s">
        <v>733</v>
      </c>
      <c r="H403" s="253"/>
      <c r="I403" s="253">
        <v>6749</v>
      </c>
      <c r="J403" s="874">
        <f t="shared" si="25"/>
        <v>642000</v>
      </c>
      <c r="K403" s="246">
        <v>2</v>
      </c>
      <c r="L403" s="191" t="s">
        <v>1228</v>
      </c>
      <c r="M403" s="25">
        <v>17</v>
      </c>
      <c r="N403" s="289">
        <v>18267</v>
      </c>
      <c r="O403" s="429">
        <f t="shared" si="26"/>
        <v>12856000</v>
      </c>
      <c r="S403" s="429">
        <v>35435568</v>
      </c>
    </row>
    <row r="404" spans="2:19">
      <c r="B404" s="188" t="s">
        <v>637</v>
      </c>
      <c r="C404" s="253">
        <v>2050</v>
      </c>
      <c r="D404" s="429">
        <v>5639</v>
      </c>
      <c r="E404" s="190">
        <v>42527</v>
      </c>
      <c r="F404" s="188" t="s">
        <v>637</v>
      </c>
      <c r="G404" s="833" t="s">
        <v>733</v>
      </c>
      <c r="H404" s="253"/>
      <c r="I404" s="253">
        <v>5921</v>
      </c>
      <c r="J404" s="874">
        <f t="shared" si="25"/>
        <v>578100</v>
      </c>
      <c r="K404" s="246">
        <v>2</v>
      </c>
      <c r="L404" s="188" t="s">
        <v>1238</v>
      </c>
      <c r="M404" s="25">
        <v>33</v>
      </c>
      <c r="N404" s="289">
        <v>10663</v>
      </c>
      <c r="O404" s="429">
        <f t="shared" si="26"/>
        <v>11559950</v>
      </c>
      <c r="S404" s="469">
        <v>49990998.200000003</v>
      </c>
    </row>
    <row r="405" spans="2:19">
      <c r="B405" s="188" t="s">
        <v>728</v>
      </c>
      <c r="C405" s="246">
        <v>500</v>
      </c>
      <c r="D405" s="429">
        <v>6589</v>
      </c>
      <c r="E405" s="190">
        <v>42527</v>
      </c>
      <c r="F405" s="188" t="s">
        <v>728</v>
      </c>
      <c r="G405" s="833" t="s">
        <v>733</v>
      </c>
      <c r="H405" s="253"/>
      <c r="I405" s="253">
        <v>6918</v>
      </c>
      <c r="J405" s="874">
        <f t="shared" si="25"/>
        <v>164500</v>
      </c>
    </row>
    <row r="406" spans="2:19">
      <c r="B406" s="188" t="s">
        <v>962</v>
      </c>
      <c r="C406" s="253">
        <v>500</v>
      </c>
      <c r="D406" s="429">
        <v>6029</v>
      </c>
      <c r="E406" s="190">
        <v>42527</v>
      </c>
      <c r="F406" s="188" t="s">
        <v>962</v>
      </c>
      <c r="G406" s="833" t="s">
        <v>733</v>
      </c>
      <c r="H406" s="253"/>
      <c r="I406" s="253">
        <v>6330</v>
      </c>
      <c r="J406" s="874">
        <f t="shared" si="25"/>
        <v>150500</v>
      </c>
    </row>
    <row r="407" spans="2:19">
      <c r="B407" s="188" t="s">
        <v>729</v>
      </c>
      <c r="C407" s="246">
        <v>500</v>
      </c>
      <c r="D407" s="429">
        <v>6389</v>
      </c>
      <c r="E407" s="190">
        <v>42527</v>
      </c>
      <c r="F407" s="188" t="s">
        <v>729</v>
      </c>
      <c r="G407" s="833" t="s">
        <v>733</v>
      </c>
      <c r="H407" s="253"/>
      <c r="I407" s="253">
        <v>6708</v>
      </c>
      <c r="J407" s="874">
        <f t="shared" si="25"/>
        <v>159500</v>
      </c>
    </row>
    <row r="408" spans="2:19">
      <c r="E408" s="190">
        <v>42527</v>
      </c>
      <c r="F408" s="188" t="s">
        <v>730</v>
      </c>
      <c r="G408" s="833" t="s">
        <v>733</v>
      </c>
      <c r="H408" s="253">
        <v>1050</v>
      </c>
      <c r="I408" s="253">
        <v>4464</v>
      </c>
      <c r="J408" s="874">
        <f t="shared" si="25"/>
        <v>0</v>
      </c>
    </row>
    <row r="409" spans="2:19">
      <c r="B409" s="188" t="s">
        <v>731</v>
      </c>
      <c r="C409" s="246">
        <v>500</v>
      </c>
      <c r="D409" s="429">
        <v>4828</v>
      </c>
      <c r="E409" s="190">
        <v>42527</v>
      </c>
      <c r="F409" s="188" t="s">
        <v>731</v>
      </c>
      <c r="G409" s="833" t="s">
        <v>733</v>
      </c>
      <c r="H409" s="253"/>
      <c r="I409" s="253">
        <v>5069</v>
      </c>
      <c r="J409" s="874">
        <f t="shared" si="25"/>
        <v>120500</v>
      </c>
    </row>
    <row r="410" spans="2:19">
      <c r="B410" s="188" t="s">
        <v>732</v>
      </c>
      <c r="C410" s="253">
        <v>141</v>
      </c>
      <c r="D410" s="429">
        <v>12444</v>
      </c>
      <c r="E410" s="190">
        <v>42527</v>
      </c>
      <c r="F410" s="188" t="s">
        <v>732</v>
      </c>
      <c r="G410" s="833" t="s">
        <v>733</v>
      </c>
      <c r="H410" s="253"/>
      <c r="I410" s="253">
        <v>6800</v>
      </c>
      <c r="J410" s="874">
        <f t="shared" si="25"/>
        <v>-795804</v>
      </c>
    </row>
    <row r="411" spans="2:19">
      <c r="B411" s="188" t="s">
        <v>736</v>
      </c>
      <c r="C411" s="246">
        <v>35</v>
      </c>
      <c r="D411" s="429">
        <v>72214</v>
      </c>
      <c r="E411" s="190">
        <v>42527</v>
      </c>
      <c r="F411" s="188" t="s">
        <v>736</v>
      </c>
      <c r="G411" s="833" t="s">
        <v>735</v>
      </c>
      <c r="H411" s="253"/>
      <c r="I411" s="253">
        <v>42858</v>
      </c>
      <c r="J411" s="874">
        <f t="shared" si="25"/>
        <v>-1027460</v>
      </c>
    </row>
    <row r="412" spans="2:19">
      <c r="E412" s="190">
        <v>42528</v>
      </c>
      <c r="F412" s="191" t="s">
        <v>1222</v>
      </c>
      <c r="G412" s="833" t="s">
        <v>737</v>
      </c>
      <c r="H412" s="253">
        <v>1373</v>
      </c>
      <c r="I412" s="253">
        <v>6650</v>
      </c>
      <c r="J412" s="874">
        <f t="shared" si="25"/>
        <v>0</v>
      </c>
    </row>
    <row r="413" spans="2:19">
      <c r="B413" s="188" t="s">
        <v>741</v>
      </c>
      <c r="C413" s="253">
        <v>200</v>
      </c>
      <c r="D413" s="429">
        <v>7872</v>
      </c>
      <c r="E413" s="190">
        <v>42530</v>
      </c>
      <c r="F413" s="188" t="s">
        <v>741</v>
      </c>
      <c r="G413" s="833" t="s">
        <v>740</v>
      </c>
      <c r="H413" s="253"/>
      <c r="I413" s="253">
        <v>8200</v>
      </c>
      <c r="J413" s="874">
        <f t="shared" si="25"/>
        <v>65600</v>
      </c>
    </row>
    <row r="414" spans="2:19">
      <c r="B414" s="188" t="s">
        <v>744</v>
      </c>
      <c r="C414" s="246">
        <v>54</v>
      </c>
      <c r="D414" s="429">
        <v>17042</v>
      </c>
      <c r="E414" s="190">
        <v>42532</v>
      </c>
      <c r="F414" s="188" t="s">
        <v>744</v>
      </c>
      <c r="G414" s="833" t="s">
        <v>742</v>
      </c>
      <c r="H414" s="253"/>
      <c r="I414" s="253">
        <v>17752</v>
      </c>
      <c r="J414" s="874">
        <f t="shared" si="25"/>
        <v>38340</v>
      </c>
    </row>
    <row r="415" spans="2:19">
      <c r="B415" s="188" t="s">
        <v>745</v>
      </c>
      <c r="C415" s="246">
        <v>80</v>
      </c>
      <c r="D415" s="429">
        <v>25891</v>
      </c>
      <c r="E415" s="190">
        <v>42532</v>
      </c>
      <c r="F415" s="188" t="s">
        <v>745</v>
      </c>
      <c r="G415" s="833" t="s">
        <v>742</v>
      </c>
      <c r="H415" s="253"/>
      <c r="I415" s="253">
        <v>26970</v>
      </c>
      <c r="J415" s="874">
        <f t="shared" si="25"/>
        <v>86320</v>
      </c>
    </row>
    <row r="416" spans="2:19">
      <c r="B416" s="188" t="s">
        <v>859</v>
      </c>
      <c r="C416" s="246">
        <v>104</v>
      </c>
      <c r="D416" s="429">
        <v>32909</v>
      </c>
      <c r="E416" s="190">
        <v>42532</v>
      </c>
      <c r="F416" s="188" t="s">
        <v>859</v>
      </c>
      <c r="G416" s="833" t="s">
        <v>742</v>
      </c>
      <c r="H416" s="253"/>
      <c r="I416" s="253">
        <v>34280</v>
      </c>
      <c r="J416" s="874">
        <f t="shared" si="25"/>
        <v>142584</v>
      </c>
    </row>
    <row r="417" spans="2:15">
      <c r="B417" s="188" t="s">
        <v>746</v>
      </c>
      <c r="C417" s="246">
        <v>25</v>
      </c>
      <c r="D417" s="429">
        <v>20400</v>
      </c>
      <c r="E417" s="190">
        <v>42532</v>
      </c>
      <c r="F417" s="188" t="s">
        <v>746</v>
      </c>
      <c r="G417" s="833" t="s">
        <v>742</v>
      </c>
      <c r="H417" s="253"/>
      <c r="I417" s="253">
        <v>21250</v>
      </c>
      <c r="J417" s="874">
        <f t="shared" si="25"/>
        <v>21250</v>
      </c>
    </row>
    <row r="418" spans="2:15">
      <c r="B418" s="188" t="s">
        <v>748</v>
      </c>
      <c r="C418" s="246">
        <v>22</v>
      </c>
      <c r="D418" s="429">
        <v>16608</v>
      </c>
      <c r="E418" s="190">
        <v>42532</v>
      </c>
      <c r="F418" s="188" t="s">
        <v>748</v>
      </c>
      <c r="G418" s="833" t="s">
        <v>742</v>
      </c>
      <c r="H418" s="253"/>
      <c r="I418" s="253">
        <v>17300</v>
      </c>
      <c r="J418" s="874">
        <f t="shared" si="25"/>
        <v>15224</v>
      </c>
    </row>
    <row r="419" spans="2:15">
      <c r="B419" s="188" t="s">
        <v>747</v>
      </c>
      <c r="C419" s="246">
        <v>14</v>
      </c>
      <c r="D419" s="429">
        <v>37854</v>
      </c>
      <c r="E419" s="190">
        <v>42532</v>
      </c>
      <c r="F419" s="188" t="s">
        <v>747</v>
      </c>
      <c r="G419" s="833" t="s">
        <v>742</v>
      </c>
      <c r="H419" s="253"/>
      <c r="I419" s="253">
        <v>39431</v>
      </c>
      <c r="J419" s="874">
        <f t="shared" si="25"/>
        <v>22078</v>
      </c>
    </row>
    <row r="420" spans="2:15">
      <c r="B420" s="188" t="s">
        <v>749</v>
      </c>
      <c r="C420" s="254">
        <v>12</v>
      </c>
      <c r="D420" s="429">
        <v>3155</v>
      </c>
      <c r="E420" s="190">
        <v>42532</v>
      </c>
      <c r="F420" s="188" t="s">
        <v>749</v>
      </c>
      <c r="G420" s="833" t="s">
        <v>742</v>
      </c>
      <c r="H420" s="254"/>
      <c r="I420" s="254">
        <v>3286</v>
      </c>
      <c r="J420" s="874">
        <f t="shared" si="25"/>
        <v>1572</v>
      </c>
    </row>
    <row r="421" spans="2:15">
      <c r="B421" s="188" t="s">
        <v>750</v>
      </c>
      <c r="C421" s="253">
        <v>86</v>
      </c>
      <c r="D421" s="429">
        <v>4124</v>
      </c>
      <c r="E421" s="190">
        <v>42532</v>
      </c>
      <c r="F421" s="188" t="s">
        <v>750</v>
      </c>
      <c r="G421" s="833" t="s">
        <v>742</v>
      </c>
      <c r="H421" s="253"/>
      <c r="I421" s="253">
        <v>4296</v>
      </c>
      <c r="J421" s="874">
        <f t="shared" si="25"/>
        <v>14792</v>
      </c>
    </row>
    <row r="422" spans="2:15">
      <c r="B422" s="191" t="s">
        <v>656</v>
      </c>
      <c r="C422" s="253">
        <v>27</v>
      </c>
      <c r="D422" s="429">
        <v>4285</v>
      </c>
      <c r="E422" s="190">
        <v>42532</v>
      </c>
      <c r="F422" s="191" t="s">
        <v>656</v>
      </c>
      <c r="G422" s="833" t="s">
        <v>751</v>
      </c>
      <c r="H422" s="253"/>
      <c r="I422" s="253">
        <v>4464</v>
      </c>
      <c r="J422" s="874">
        <f t="shared" si="25"/>
        <v>4833</v>
      </c>
    </row>
    <row r="423" spans="2:15">
      <c r="B423" s="188" t="s">
        <v>690</v>
      </c>
      <c r="C423" s="253">
        <v>100</v>
      </c>
      <c r="D423" s="429">
        <v>4557</v>
      </c>
      <c r="E423" s="190">
        <v>42532</v>
      </c>
      <c r="F423" s="188" t="s">
        <v>690</v>
      </c>
      <c r="G423" s="833" t="s">
        <v>751</v>
      </c>
      <c r="H423" s="253"/>
      <c r="I423" s="253">
        <v>4785</v>
      </c>
      <c r="J423" s="874">
        <f t="shared" si="25"/>
        <v>22800</v>
      </c>
    </row>
    <row r="424" spans="2:15">
      <c r="B424" s="191" t="s">
        <v>656</v>
      </c>
      <c r="C424" s="253">
        <v>5000</v>
      </c>
      <c r="D424" s="429">
        <v>4217</v>
      </c>
      <c r="E424" s="190">
        <v>42532</v>
      </c>
      <c r="F424" s="191" t="s">
        <v>656</v>
      </c>
      <c r="G424" s="833" t="s">
        <v>751</v>
      </c>
      <c r="H424" s="253"/>
      <c r="I424" s="253">
        <v>4428</v>
      </c>
      <c r="J424" s="874">
        <f t="shared" si="25"/>
        <v>1055000</v>
      </c>
      <c r="K424" s="246">
        <v>2</v>
      </c>
      <c r="L424" s="191" t="s">
        <v>1262</v>
      </c>
      <c r="M424" s="25">
        <v>25</v>
      </c>
      <c r="N424" s="289">
        <v>24188</v>
      </c>
      <c r="O424" s="429">
        <f>ROUND(C424*D424,0)</f>
        <v>21085000</v>
      </c>
    </row>
    <row r="425" spans="2:15">
      <c r="B425" s="188" t="s">
        <v>754</v>
      </c>
      <c r="C425" s="253">
        <v>1000</v>
      </c>
      <c r="D425" s="429">
        <v>763</v>
      </c>
      <c r="E425" s="190">
        <v>42532</v>
      </c>
      <c r="F425" s="188" t="s">
        <v>754</v>
      </c>
      <c r="G425" s="833" t="s">
        <v>751</v>
      </c>
      <c r="H425" s="253"/>
      <c r="I425" s="253">
        <v>801</v>
      </c>
      <c r="J425" s="874">
        <f t="shared" si="25"/>
        <v>38000</v>
      </c>
    </row>
    <row r="426" spans="2:15">
      <c r="B426" s="188" t="s">
        <v>664</v>
      </c>
      <c r="C426" s="253">
        <v>210</v>
      </c>
      <c r="D426" s="429">
        <v>83133</v>
      </c>
      <c r="E426" s="190">
        <v>42532</v>
      </c>
      <c r="F426" s="188" t="s">
        <v>664</v>
      </c>
      <c r="G426" s="833" t="s">
        <v>751</v>
      </c>
      <c r="H426" s="253"/>
      <c r="I426" s="253">
        <v>86597</v>
      </c>
      <c r="J426" s="874">
        <f t="shared" si="25"/>
        <v>727440</v>
      </c>
      <c r="K426" s="246">
        <v>2</v>
      </c>
      <c r="L426" s="191" t="s">
        <v>1218</v>
      </c>
      <c r="M426" s="25">
        <v>65</v>
      </c>
      <c r="N426" s="289">
        <v>8918</v>
      </c>
      <c r="O426" s="429">
        <f>ROUND(C426*D426,0)</f>
        <v>17457930</v>
      </c>
    </row>
    <row r="427" spans="2:15">
      <c r="B427" s="188" t="s">
        <v>683</v>
      </c>
      <c r="C427" s="253">
        <v>10</v>
      </c>
      <c r="D427" s="429">
        <v>55421</v>
      </c>
      <c r="E427" s="190">
        <v>42532</v>
      </c>
      <c r="F427" s="188" t="s">
        <v>683</v>
      </c>
      <c r="G427" s="833" t="s">
        <v>751</v>
      </c>
      <c r="H427" s="253"/>
      <c r="I427" s="253">
        <v>57731</v>
      </c>
      <c r="J427" s="874">
        <f t="shared" si="25"/>
        <v>23100</v>
      </c>
    </row>
    <row r="428" spans="2:15">
      <c r="B428" s="188" t="s">
        <v>755</v>
      </c>
      <c r="C428" s="253">
        <v>26</v>
      </c>
      <c r="D428" s="429">
        <v>33168</v>
      </c>
      <c r="E428" s="190">
        <v>42532</v>
      </c>
      <c r="F428" s="188" t="s">
        <v>755</v>
      </c>
      <c r="G428" s="833" t="s">
        <v>751</v>
      </c>
      <c r="H428" s="253"/>
      <c r="I428" s="253">
        <v>34826</v>
      </c>
      <c r="J428" s="874">
        <f t="shared" si="25"/>
        <v>43108</v>
      </c>
    </row>
    <row r="429" spans="2:15">
      <c r="B429" s="188" t="s">
        <v>756</v>
      </c>
      <c r="C429" s="253">
        <v>14</v>
      </c>
      <c r="D429" s="429">
        <v>51418</v>
      </c>
      <c r="E429" s="190">
        <v>42532</v>
      </c>
      <c r="F429" s="188" t="s">
        <v>756</v>
      </c>
      <c r="G429" s="833" t="s">
        <v>751</v>
      </c>
      <c r="H429" s="253"/>
      <c r="I429" s="253">
        <v>53989</v>
      </c>
      <c r="J429" s="874">
        <f t="shared" si="25"/>
        <v>35994</v>
      </c>
    </row>
    <row r="430" spans="2:15">
      <c r="B430" s="188" t="s">
        <v>757</v>
      </c>
      <c r="C430" s="246">
        <v>10</v>
      </c>
      <c r="D430" s="429">
        <v>57766</v>
      </c>
      <c r="E430" s="190">
        <v>42532</v>
      </c>
      <c r="F430" s="188" t="s">
        <v>757</v>
      </c>
      <c r="G430" s="833" t="s">
        <v>751</v>
      </c>
      <c r="H430" s="253"/>
      <c r="I430" s="253">
        <v>60654</v>
      </c>
      <c r="J430" s="874">
        <f t="shared" si="25"/>
        <v>28880</v>
      </c>
    </row>
    <row r="431" spans="2:15">
      <c r="B431" s="188" t="s">
        <v>758</v>
      </c>
      <c r="C431" s="253">
        <v>32</v>
      </c>
      <c r="D431" s="429">
        <v>40482</v>
      </c>
      <c r="E431" s="190">
        <v>42532</v>
      </c>
      <c r="F431" s="188" t="s">
        <v>758</v>
      </c>
      <c r="G431" s="833" t="s">
        <v>751</v>
      </c>
      <c r="H431" s="253"/>
      <c r="I431" s="253">
        <v>42506</v>
      </c>
      <c r="J431" s="874">
        <f t="shared" si="25"/>
        <v>64768</v>
      </c>
    </row>
    <row r="432" spans="2:15">
      <c r="B432" s="188" t="s">
        <v>759</v>
      </c>
      <c r="C432" s="253">
        <v>2</v>
      </c>
      <c r="D432" s="429">
        <v>42242</v>
      </c>
      <c r="E432" s="190">
        <v>42532</v>
      </c>
      <c r="F432" s="188" t="s">
        <v>759</v>
      </c>
      <c r="G432" s="833" t="s">
        <v>751</v>
      </c>
      <c r="H432" s="253"/>
      <c r="I432" s="253">
        <v>44366</v>
      </c>
      <c r="J432" s="874">
        <f t="shared" si="25"/>
        <v>4248</v>
      </c>
    </row>
    <row r="433" spans="2:15">
      <c r="B433" s="188" t="s">
        <v>760</v>
      </c>
      <c r="C433" s="253">
        <v>32</v>
      </c>
      <c r="D433" s="429">
        <v>39732</v>
      </c>
      <c r="E433" s="190">
        <v>42532</v>
      </c>
      <c r="F433" s="188" t="s">
        <v>760</v>
      </c>
      <c r="G433" s="833" t="s">
        <v>751</v>
      </c>
      <c r="H433" s="253"/>
      <c r="I433" s="253">
        <v>41719</v>
      </c>
      <c r="J433" s="874">
        <f t="shared" si="25"/>
        <v>63584</v>
      </c>
    </row>
    <row r="434" spans="2:15">
      <c r="B434" s="188" t="s">
        <v>761</v>
      </c>
      <c r="C434" s="246">
        <v>18</v>
      </c>
      <c r="D434" s="429">
        <v>71461</v>
      </c>
      <c r="E434" s="190">
        <v>42532</v>
      </c>
      <c r="F434" s="188" t="s">
        <v>761</v>
      </c>
      <c r="G434" s="833" t="s">
        <v>751</v>
      </c>
      <c r="H434" s="253"/>
      <c r="I434" s="253">
        <v>74439</v>
      </c>
      <c r="J434" s="874">
        <f t="shared" si="25"/>
        <v>53604</v>
      </c>
    </row>
    <row r="435" spans="2:15">
      <c r="B435" s="188" t="s">
        <v>762</v>
      </c>
      <c r="C435" s="253">
        <v>19</v>
      </c>
      <c r="D435" s="429">
        <v>51043</v>
      </c>
      <c r="E435" s="190">
        <v>42532</v>
      </c>
      <c r="F435" s="188" t="s">
        <v>762</v>
      </c>
      <c r="G435" s="833" t="s">
        <v>751</v>
      </c>
      <c r="H435" s="253"/>
      <c r="I435" s="253">
        <v>53595</v>
      </c>
      <c r="J435" s="874">
        <f t="shared" ref="J435:J500" si="27">(I435-D435)*C435</f>
        <v>48488</v>
      </c>
    </row>
    <row r="436" spans="2:15">
      <c r="B436" s="188" t="s">
        <v>763</v>
      </c>
      <c r="C436" s="246">
        <v>88</v>
      </c>
      <c r="D436" s="429">
        <v>68337.136363636368</v>
      </c>
      <c r="E436" s="190">
        <v>42532</v>
      </c>
      <c r="F436" s="188" t="s">
        <v>763</v>
      </c>
      <c r="G436" s="833" t="s">
        <v>751</v>
      </c>
      <c r="H436" s="253"/>
      <c r="I436" s="253">
        <v>69934</v>
      </c>
      <c r="J436" s="874">
        <f t="shared" si="27"/>
        <v>140523.99999999965</v>
      </c>
    </row>
    <row r="437" spans="2:15">
      <c r="B437" s="188" t="s">
        <v>764</v>
      </c>
      <c r="C437" s="253">
        <v>38</v>
      </c>
      <c r="D437" s="429">
        <v>84346</v>
      </c>
      <c r="E437" s="190">
        <v>42532</v>
      </c>
      <c r="F437" s="188" t="s">
        <v>764</v>
      </c>
      <c r="G437" s="833" t="s">
        <v>751</v>
      </c>
      <c r="H437" s="253"/>
      <c r="I437" s="253">
        <v>87861</v>
      </c>
      <c r="J437" s="874">
        <f t="shared" si="27"/>
        <v>133570</v>
      </c>
    </row>
    <row r="438" spans="2:15">
      <c r="B438" s="188" t="s">
        <v>765</v>
      </c>
      <c r="C438" s="246">
        <v>40</v>
      </c>
      <c r="D438" s="429">
        <v>72380</v>
      </c>
      <c r="E438" s="190">
        <v>42532</v>
      </c>
      <c r="F438" s="188" t="s">
        <v>765</v>
      </c>
      <c r="G438" s="833" t="s">
        <v>751</v>
      </c>
      <c r="H438" s="253">
        <v>10</v>
      </c>
      <c r="I438" s="253">
        <v>75999</v>
      </c>
      <c r="J438" s="874">
        <f t="shared" si="27"/>
        <v>144760</v>
      </c>
    </row>
    <row r="439" spans="2:15">
      <c r="B439" s="188" t="s">
        <v>454</v>
      </c>
      <c r="C439" s="253">
        <v>40</v>
      </c>
      <c r="D439" s="429">
        <v>73996</v>
      </c>
      <c r="E439" s="190">
        <v>42532</v>
      </c>
      <c r="F439" s="188" t="s">
        <v>454</v>
      </c>
      <c r="G439" s="833" t="s">
        <v>751</v>
      </c>
      <c r="H439" s="253"/>
      <c r="I439" s="253">
        <v>77696</v>
      </c>
      <c r="J439" s="874">
        <f t="shared" si="27"/>
        <v>148000</v>
      </c>
    </row>
    <row r="440" spans="2:15">
      <c r="B440" s="191" t="s">
        <v>1011</v>
      </c>
      <c r="C440" s="253">
        <v>20</v>
      </c>
      <c r="D440" s="429">
        <v>77984</v>
      </c>
      <c r="E440" s="190">
        <v>42532</v>
      </c>
      <c r="F440" s="191" t="s">
        <v>1011</v>
      </c>
      <c r="G440" s="833" t="s">
        <v>751</v>
      </c>
      <c r="H440" s="253"/>
      <c r="I440" s="253">
        <v>81883</v>
      </c>
      <c r="J440" s="874">
        <f t="shared" si="27"/>
        <v>77980</v>
      </c>
    </row>
    <row r="441" spans="2:15">
      <c r="B441" s="188" t="s">
        <v>766</v>
      </c>
      <c r="C441" s="253">
        <v>600</v>
      </c>
      <c r="D441" s="429">
        <v>12919</v>
      </c>
      <c r="E441" s="190">
        <v>42532</v>
      </c>
      <c r="F441" s="188" t="s">
        <v>766</v>
      </c>
      <c r="G441" s="833" t="s">
        <v>751</v>
      </c>
      <c r="H441" s="253"/>
      <c r="I441" s="253">
        <v>13565</v>
      </c>
      <c r="J441" s="874">
        <f t="shared" si="27"/>
        <v>387600</v>
      </c>
      <c r="K441" s="246">
        <v>2</v>
      </c>
      <c r="L441" s="191" t="s">
        <v>1233</v>
      </c>
      <c r="M441" s="25">
        <v>14</v>
      </c>
      <c r="N441" s="289">
        <v>16606</v>
      </c>
      <c r="O441" s="429">
        <f>ROUND(C441*D441,0)</f>
        <v>7751400</v>
      </c>
    </row>
    <row r="442" spans="2:15">
      <c r="B442" s="188" t="s">
        <v>459</v>
      </c>
      <c r="C442" s="253">
        <v>155</v>
      </c>
      <c r="D442" s="429">
        <v>15747</v>
      </c>
      <c r="E442" s="190">
        <v>42532</v>
      </c>
      <c r="F442" s="188" t="s">
        <v>459</v>
      </c>
      <c r="G442" s="833" t="s">
        <v>751</v>
      </c>
      <c r="H442" s="253"/>
      <c r="I442" s="253">
        <v>16534</v>
      </c>
      <c r="J442" s="874">
        <f t="shared" si="27"/>
        <v>121985</v>
      </c>
    </row>
    <row r="443" spans="2:15">
      <c r="B443" s="188" t="s">
        <v>459</v>
      </c>
      <c r="C443" s="253">
        <v>155</v>
      </c>
      <c r="D443" s="429">
        <v>10762</v>
      </c>
      <c r="E443" s="190">
        <v>42532</v>
      </c>
      <c r="F443" s="786" t="s">
        <v>459</v>
      </c>
      <c r="G443" s="833" t="s">
        <v>751</v>
      </c>
      <c r="H443" s="253"/>
      <c r="I443" s="253">
        <v>11300</v>
      </c>
      <c r="J443" s="874">
        <f t="shared" si="27"/>
        <v>83390</v>
      </c>
    </row>
    <row r="444" spans="2:15">
      <c r="B444" s="188" t="s">
        <v>767</v>
      </c>
      <c r="C444" s="246">
        <v>100</v>
      </c>
      <c r="D444" s="429">
        <v>6153</v>
      </c>
      <c r="E444" s="190">
        <v>42532</v>
      </c>
      <c r="F444" s="188" t="s">
        <v>767</v>
      </c>
      <c r="G444" s="833" t="s">
        <v>751</v>
      </c>
      <c r="H444" s="253"/>
      <c r="I444" s="253">
        <v>6461</v>
      </c>
      <c r="J444" s="874">
        <f t="shared" si="27"/>
        <v>30800</v>
      </c>
    </row>
    <row r="445" spans="2:15">
      <c r="B445" s="188" t="s">
        <v>768</v>
      </c>
      <c r="C445" s="246">
        <v>100</v>
      </c>
      <c r="D445" s="429">
        <v>6153</v>
      </c>
      <c r="E445" s="190">
        <v>42532</v>
      </c>
      <c r="F445" s="188" t="s">
        <v>768</v>
      </c>
      <c r="G445" s="833" t="s">
        <v>751</v>
      </c>
      <c r="H445" s="253"/>
      <c r="I445" s="253">
        <v>6462</v>
      </c>
      <c r="J445" s="874">
        <f t="shared" si="27"/>
        <v>30900</v>
      </c>
    </row>
    <row r="446" spans="2:15">
      <c r="B446" s="191" t="s">
        <v>627</v>
      </c>
      <c r="C446" s="246">
        <v>1000</v>
      </c>
      <c r="D446" s="429">
        <v>6209</v>
      </c>
      <c r="E446" s="190">
        <v>42532</v>
      </c>
      <c r="F446" s="191" t="s">
        <v>627</v>
      </c>
      <c r="G446" s="833" t="s">
        <v>751</v>
      </c>
      <c r="H446" s="253"/>
      <c r="I446" s="253">
        <v>6519</v>
      </c>
      <c r="J446" s="874">
        <f t="shared" si="27"/>
        <v>310000</v>
      </c>
    </row>
    <row r="447" spans="2:15">
      <c r="B447" s="188" t="s">
        <v>671</v>
      </c>
      <c r="C447" s="253">
        <v>25</v>
      </c>
      <c r="D447" s="429">
        <v>110639</v>
      </c>
      <c r="E447" s="190">
        <v>42532</v>
      </c>
      <c r="F447" s="188" t="s">
        <v>671</v>
      </c>
      <c r="G447" s="833" t="s">
        <v>751</v>
      </c>
      <c r="H447" s="253"/>
      <c r="I447" s="253">
        <v>116171</v>
      </c>
      <c r="J447" s="874">
        <f t="shared" si="27"/>
        <v>138300</v>
      </c>
    </row>
    <row r="448" spans="2:15">
      <c r="B448" s="188" t="s">
        <v>674</v>
      </c>
      <c r="C448" s="253">
        <v>48</v>
      </c>
      <c r="D448" s="429">
        <v>40511</v>
      </c>
      <c r="E448" s="190">
        <v>42532</v>
      </c>
      <c r="F448" s="188" t="s">
        <v>674</v>
      </c>
      <c r="G448" s="833" t="s">
        <v>751</v>
      </c>
      <c r="H448" s="253"/>
      <c r="I448" s="253">
        <v>42537</v>
      </c>
      <c r="J448" s="874">
        <f t="shared" si="27"/>
        <v>97248</v>
      </c>
    </row>
    <row r="449" spans="2:15">
      <c r="B449" s="188" t="s">
        <v>670</v>
      </c>
      <c r="C449" s="246">
        <v>27</v>
      </c>
      <c r="D449" s="429">
        <v>104596</v>
      </c>
      <c r="E449" s="190">
        <v>42532</v>
      </c>
      <c r="F449" s="188" t="s">
        <v>670</v>
      </c>
      <c r="G449" s="833" t="s">
        <v>751</v>
      </c>
      <c r="H449" s="253"/>
      <c r="I449" s="253">
        <v>109826</v>
      </c>
      <c r="J449" s="874">
        <f t="shared" si="27"/>
        <v>141210</v>
      </c>
    </row>
    <row r="450" spans="2:15">
      <c r="B450" s="188" t="s">
        <v>769</v>
      </c>
      <c r="C450" s="246">
        <v>180</v>
      </c>
      <c r="D450" s="429">
        <v>14141</v>
      </c>
      <c r="E450" s="190">
        <v>42532</v>
      </c>
      <c r="F450" s="188" t="s">
        <v>769</v>
      </c>
      <c r="G450" s="833" t="s">
        <v>751</v>
      </c>
      <c r="H450" s="253"/>
      <c r="I450" s="253">
        <v>14848</v>
      </c>
      <c r="J450" s="874">
        <f t="shared" si="27"/>
        <v>127260</v>
      </c>
    </row>
    <row r="451" spans="2:15">
      <c r="B451" s="188" t="s">
        <v>770</v>
      </c>
      <c r="C451" s="246">
        <v>60</v>
      </c>
      <c r="D451" s="429">
        <v>24907</v>
      </c>
      <c r="E451" s="190">
        <v>42532</v>
      </c>
      <c r="F451" s="188" t="s">
        <v>770</v>
      </c>
      <c r="G451" s="833" t="s">
        <v>751</v>
      </c>
      <c r="H451" s="253"/>
      <c r="I451" s="253">
        <v>26152</v>
      </c>
      <c r="J451" s="874">
        <f t="shared" si="27"/>
        <v>74700</v>
      </c>
    </row>
    <row r="452" spans="2:15">
      <c r="B452" s="188" t="s">
        <v>771</v>
      </c>
      <c r="C452" s="246">
        <v>200</v>
      </c>
      <c r="D452" s="429">
        <v>11518</v>
      </c>
      <c r="E452" s="190">
        <v>42532</v>
      </c>
      <c r="F452" s="188" t="s">
        <v>771</v>
      </c>
      <c r="G452" s="833" t="s">
        <v>751</v>
      </c>
      <c r="H452" s="253"/>
      <c r="I452" s="253">
        <v>12094</v>
      </c>
      <c r="J452" s="874">
        <f t="shared" si="27"/>
        <v>115200</v>
      </c>
    </row>
    <row r="453" spans="2:15">
      <c r="B453" s="188" t="s">
        <v>732</v>
      </c>
      <c r="C453" s="253">
        <v>9</v>
      </c>
      <c r="D453" s="429">
        <v>12444</v>
      </c>
      <c r="E453" s="190">
        <v>42532</v>
      </c>
      <c r="F453" s="188" t="s">
        <v>732</v>
      </c>
      <c r="G453" s="833" t="s">
        <v>751</v>
      </c>
      <c r="H453" s="253">
        <v>30</v>
      </c>
      <c r="I453" s="253">
        <v>6839</v>
      </c>
      <c r="J453" s="874">
        <f t="shared" si="27"/>
        <v>-50445</v>
      </c>
    </row>
    <row r="454" spans="2:15">
      <c r="B454" s="188" t="s">
        <v>772</v>
      </c>
      <c r="C454" s="246">
        <v>150</v>
      </c>
      <c r="D454" s="429">
        <v>6513</v>
      </c>
      <c r="E454" s="190">
        <v>42532</v>
      </c>
      <c r="F454" s="188" t="s">
        <v>772</v>
      </c>
      <c r="G454" s="833" t="s">
        <v>751</v>
      </c>
      <c r="H454" s="253"/>
      <c r="I454" s="253">
        <v>13066</v>
      </c>
      <c r="J454" s="874">
        <f t="shared" si="27"/>
        <v>982950</v>
      </c>
      <c r="K454" s="246">
        <v>2</v>
      </c>
      <c r="L454" s="188" t="s">
        <v>1252</v>
      </c>
      <c r="M454" s="25">
        <v>30</v>
      </c>
      <c r="N454" s="289">
        <v>22972</v>
      </c>
      <c r="O454" s="429">
        <f>ROUND(C454*D454,0)</f>
        <v>976950</v>
      </c>
    </row>
    <row r="455" spans="2:15">
      <c r="B455" s="188" t="s">
        <v>773</v>
      </c>
      <c r="C455" s="246">
        <v>75</v>
      </c>
      <c r="D455" s="429">
        <v>26567</v>
      </c>
      <c r="E455" s="190">
        <v>42532</v>
      </c>
      <c r="F455" s="188" t="s">
        <v>773</v>
      </c>
      <c r="G455" s="833" t="s">
        <v>751</v>
      </c>
      <c r="H455" s="253"/>
      <c r="I455" s="253">
        <v>27895</v>
      </c>
      <c r="J455" s="874">
        <f t="shared" si="27"/>
        <v>99600</v>
      </c>
    </row>
    <row r="456" spans="2:15">
      <c r="B456" s="188" t="s">
        <v>774</v>
      </c>
      <c r="C456" s="246">
        <v>40</v>
      </c>
      <c r="D456" s="429">
        <v>24407</v>
      </c>
      <c r="E456" s="190">
        <v>42532</v>
      </c>
      <c r="F456" s="188" t="s">
        <v>774</v>
      </c>
      <c r="G456" s="833" t="s">
        <v>751</v>
      </c>
      <c r="H456" s="253"/>
      <c r="I456" s="253">
        <v>25627</v>
      </c>
      <c r="J456" s="874">
        <f t="shared" si="27"/>
        <v>48800</v>
      </c>
    </row>
    <row r="457" spans="2:15">
      <c r="B457" s="188" t="s">
        <v>432</v>
      </c>
      <c r="C457" s="246">
        <v>180</v>
      </c>
      <c r="D457" s="429">
        <v>16181</v>
      </c>
      <c r="E457" s="190">
        <v>42532</v>
      </c>
      <c r="F457" s="188" t="s">
        <v>432</v>
      </c>
      <c r="G457" s="833" t="s">
        <v>751</v>
      </c>
      <c r="H457" s="253"/>
      <c r="I457" s="253">
        <v>16990</v>
      </c>
      <c r="J457" s="874">
        <f t="shared" si="27"/>
        <v>145620</v>
      </c>
    </row>
    <row r="458" spans="2:15">
      <c r="B458" s="191" t="s">
        <v>1014</v>
      </c>
      <c r="C458" s="253">
        <v>44</v>
      </c>
      <c r="D458" s="429">
        <v>64232</v>
      </c>
      <c r="E458" s="190">
        <v>42532</v>
      </c>
      <c r="F458" s="191" t="s">
        <v>1014</v>
      </c>
      <c r="G458" s="833" t="s">
        <v>751</v>
      </c>
      <c r="H458" s="253"/>
      <c r="I458" s="253">
        <v>60595</v>
      </c>
      <c r="J458" s="874">
        <f t="shared" si="27"/>
        <v>-160028</v>
      </c>
    </row>
    <row r="459" spans="2:15">
      <c r="B459" s="783" t="s">
        <v>1178</v>
      </c>
      <c r="C459" s="253">
        <v>1250</v>
      </c>
      <c r="D459" s="429">
        <v>33600</v>
      </c>
      <c r="E459" s="190">
        <v>42535</v>
      </c>
      <c r="F459" s="783" t="s">
        <v>1178</v>
      </c>
      <c r="G459" s="833" t="s">
        <v>775</v>
      </c>
      <c r="H459" s="253"/>
      <c r="I459" s="253">
        <v>35000</v>
      </c>
      <c r="J459" s="874">
        <f t="shared" si="27"/>
        <v>1750000</v>
      </c>
      <c r="K459" s="246">
        <v>2</v>
      </c>
      <c r="L459" s="188" t="s">
        <v>1170</v>
      </c>
      <c r="M459" s="25">
        <v>60</v>
      </c>
      <c r="N459" s="289">
        <v>18338</v>
      </c>
      <c r="O459" s="429">
        <f t="shared" ref="O459:O460" si="28">ROUND(C459*D459,0)</f>
        <v>42000000</v>
      </c>
    </row>
    <row r="460" spans="2:15">
      <c r="B460" s="191" t="s">
        <v>1179</v>
      </c>
      <c r="C460" s="253">
        <v>1300</v>
      </c>
      <c r="D460" s="429">
        <v>31200</v>
      </c>
      <c r="E460" s="190">
        <v>42535</v>
      </c>
      <c r="F460" s="191" t="s">
        <v>1179</v>
      </c>
      <c r="G460" s="833" t="s">
        <v>775</v>
      </c>
      <c r="H460" s="253"/>
      <c r="I460" s="253">
        <v>32500</v>
      </c>
      <c r="J460" s="874">
        <f t="shared" si="27"/>
        <v>1690000</v>
      </c>
      <c r="K460" s="246">
        <v>2</v>
      </c>
      <c r="L460" s="191" t="s">
        <v>1287</v>
      </c>
      <c r="M460" s="25">
        <v>72</v>
      </c>
      <c r="N460" s="289">
        <v>15735.5</v>
      </c>
      <c r="O460" s="429">
        <f t="shared" si="28"/>
        <v>40560000</v>
      </c>
    </row>
    <row r="461" spans="2:15">
      <c r="B461" s="188" t="s">
        <v>451</v>
      </c>
      <c r="C461" s="874">
        <v>3900</v>
      </c>
      <c r="D461" s="429">
        <v>17760</v>
      </c>
      <c r="E461" s="190">
        <v>42535</v>
      </c>
      <c r="F461" s="188" t="s">
        <v>451</v>
      </c>
      <c r="G461" s="833" t="s">
        <v>775</v>
      </c>
      <c r="H461" s="253"/>
      <c r="I461" s="253">
        <v>18500</v>
      </c>
      <c r="J461" s="874">
        <f t="shared" si="27"/>
        <v>2886000</v>
      </c>
    </row>
    <row r="462" spans="2:15">
      <c r="B462" s="188" t="s">
        <v>450</v>
      </c>
      <c r="C462" s="253">
        <v>3500</v>
      </c>
      <c r="D462" s="429">
        <v>17760</v>
      </c>
      <c r="E462" s="190">
        <v>42535</v>
      </c>
      <c r="F462" s="188" t="s">
        <v>450</v>
      </c>
      <c r="G462" s="833" t="s">
        <v>775</v>
      </c>
      <c r="H462" s="253"/>
      <c r="I462" s="253">
        <v>18500</v>
      </c>
      <c r="J462" s="874">
        <f t="shared" si="27"/>
        <v>2590000</v>
      </c>
    </row>
    <row r="463" spans="2:15">
      <c r="B463" s="191" t="s">
        <v>659</v>
      </c>
      <c r="C463" s="253">
        <v>1000</v>
      </c>
      <c r="D463" s="429">
        <v>8771</v>
      </c>
      <c r="E463" s="190">
        <v>42536</v>
      </c>
      <c r="F463" s="188" t="s">
        <v>659</v>
      </c>
      <c r="G463" s="833" t="s">
        <v>778</v>
      </c>
      <c r="H463" s="253"/>
      <c r="I463" s="253">
        <v>9800</v>
      </c>
      <c r="J463" s="874">
        <f t="shared" si="27"/>
        <v>1029000</v>
      </c>
      <c r="K463" s="246">
        <v>2</v>
      </c>
      <c r="L463" s="191" t="s">
        <v>1292</v>
      </c>
      <c r="M463" s="25">
        <v>30</v>
      </c>
      <c r="N463" s="289">
        <v>20358</v>
      </c>
      <c r="O463" s="429">
        <f>ROUND(C463*D463,0)</f>
        <v>8771000</v>
      </c>
    </row>
    <row r="464" spans="2:15">
      <c r="E464" s="190">
        <v>42536</v>
      </c>
      <c r="F464" s="188" t="s">
        <v>780</v>
      </c>
      <c r="G464" s="833" t="s">
        <v>779</v>
      </c>
      <c r="H464" s="253">
        <v>75</v>
      </c>
      <c r="I464" s="253">
        <v>21450</v>
      </c>
      <c r="J464" s="874">
        <f t="shared" si="27"/>
        <v>0</v>
      </c>
    </row>
    <row r="465" spans="2:15">
      <c r="E465" s="190">
        <v>42536</v>
      </c>
      <c r="F465" s="188" t="s">
        <v>781</v>
      </c>
      <c r="G465" s="833" t="s">
        <v>779</v>
      </c>
      <c r="H465" s="253">
        <v>300</v>
      </c>
      <c r="I465" s="253">
        <v>5430</v>
      </c>
      <c r="J465" s="874">
        <f t="shared" si="27"/>
        <v>0</v>
      </c>
    </row>
    <row r="466" spans="2:15">
      <c r="B466" s="188" t="s">
        <v>451</v>
      </c>
      <c r="C466" s="874">
        <v>1000</v>
      </c>
      <c r="D466" s="429">
        <v>10080</v>
      </c>
      <c r="E466" s="190">
        <v>42539</v>
      </c>
      <c r="F466" s="188" t="s">
        <v>451</v>
      </c>
      <c r="G466" s="833" t="s">
        <v>782</v>
      </c>
      <c r="H466" s="253"/>
      <c r="I466" s="253">
        <v>10500</v>
      </c>
      <c r="J466" s="874">
        <f t="shared" si="27"/>
        <v>420000</v>
      </c>
    </row>
    <row r="467" spans="2:15">
      <c r="B467" s="191" t="s">
        <v>627</v>
      </c>
      <c r="C467" s="246">
        <v>1090</v>
      </c>
      <c r="D467" s="429">
        <v>6258</v>
      </c>
      <c r="E467" s="190">
        <v>42544</v>
      </c>
      <c r="F467" s="191" t="s">
        <v>627</v>
      </c>
      <c r="G467" s="833" t="s">
        <v>784</v>
      </c>
      <c r="H467" s="253"/>
      <c r="I467" s="253">
        <v>6519</v>
      </c>
      <c r="J467" s="874">
        <f t="shared" si="27"/>
        <v>284490</v>
      </c>
    </row>
    <row r="468" spans="2:15">
      <c r="B468" s="191" t="s">
        <v>656</v>
      </c>
      <c r="C468" s="253">
        <v>308</v>
      </c>
      <c r="D468" s="429">
        <v>4285</v>
      </c>
      <c r="E468" s="190">
        <v>42544</v>
      </c>
      <c r="F468" s="191" t="s">
        <v>656</v>
      </c>
      <c r="G468" s="833" t="s">
        <v>784</v>
      </c>
      <c r="H468" s="253"/>
      <c r="I468" s="253">
        <v>4464</v>
      </c>
      <c r="J468" s="874">
        <f t="shared" si="27"/>
        <v>55132</v>
      </c>
    </row>
    <row r="469" spans="2:15">
      <c r="B469" s="191" t="s">
        <v>921</v>
      </c>
      <c r="C469" s="253">
        <v>2000</v>
      </c>
      <c r="D469" s="429">
        <v>6479</v>
      </c>
      <c r="E469" s="190">
        <v>42544</v>
      </c>
      <c r="F469" s="191" t="s">
        <v>921</v>
      </c>
      <c r="G469" s="833" t="s">
        <v>784</v>
      </c>
      <c r="H469" s="253"/>
      <c r="I469" s="253">
        <v>6749</v>
      </c>
      <c r="J469" s="874">
        <f t="shared" si="27"/>
        <v>540000</v>
      </c>
      <c r="K469" s="246">
        <v>2</v>
      </c>
      <c r="L469" s="191" t="s">
        <v>1221</v>
      </c>
      <c r="M469" s="25">
        <v>20</v>
      </c>
      <c r="N469" s="289">
        <v>15379</v>
      </c>
      <c r="O469" s="429">
        <f t="shared" ref="O469:O472" si="29">ROUND(C469*D469,0)</f>
        <v>12958000</v>
      </c>
    </row>
    <row r="470" spans="2:15">
      <c r="B470" s="188" t="s">
        <v>637</v>
      </c>
      <c r="C470" s="253">
        <v>2000</v>
      </c>
      <c r="D470" s="429">
        <v>5676</v>
      </c>
      <c r="E470" s="190">
        <v>42544</v>
      </c>
      <c r="F470" s="188" t="s">
        <v>637</v>
      </c>
      <c r="G470" s="833" t="s">
        <v>784</v>
      </c>
      <c r="H470" s="253"/>
      <c r="I470" s="253">
        <v>5912</v>
      </c>
      <c r="J470" s="874">
        <f t="shared" si="27"/>
        <v>472000</v>
      </c>
      <c r="K470" s="246">
        <v>2</v>
      </c>
      <c r="L470" s="191" t="s">
        <v>1248</v>
      </c>
      <c r="M470" s="25">
        <v>10</v>
      </c>
      <c r="N470" s="289">
        <v>28553</v>
      </c>
      <c r="O470" s="429">
        <f t="shared" si="29"/>
        <v>11352000</v>
      </c>
    </row>
    <row r="471" spans="2:15">
      <c r="B471" s="191" t="s">
        <v>1302</v>
      </c>
      <c r="C471" s="253">
        <v>57</v>
      </c>
      <c r="D471" s="429">
        <v>20592</v>
      </c>
      <c r="E471" s="190">
        <v>42548</v>
      </c>
      <c r="F471" s="191" t="s">
        <v>1302</v>
      </c>
      <c r="G471" s="833" t="s">
        <v>786</v>
      </c>
      <c r="H471" s="253"/>
      <c r="I471" s="253">
        <v>30737</v>
      </c>
      <c r="J471" s="874">
        <f t="shared" si="27"/>
        <v>578265</v>
      </c>
      <c r="K471" s="246">
        <v>2</v>
      </c>
      <c r="L471" s="40" t="s">
        <v>1255</v>
      </c>
      <c r="M471" s="25">
        <v>11</v>
      </c>
      <c r="N471" s="289">
        <v>28722</v>
      </c>
      <c r="O471" s="429">
        <f t="shared" si="29"/>
        <v>1173744</v>
      </c>
    </row>
    <row r="472" spans="2:15">
      <c r="B472" s="191" t="s">
        <v>659</v>
      </c>
      <c r="C472" s="253">
        <v>984</v>
      </c>
      <c r="D472" s="429">
        <v>8771</v>
      </c>
      <c r="E472" s="190">
        <v>42548</v>
      </c>
      <c r="F472" s="188" t="s">
        <v>659</v>
      </c>
      <c r="G472" s="833" t="s">
        <v>788</v>
      </c>
      <c r="H472" s="253"/>
      <c r="I472" s="253">
        <v>9800</v>
      </c>
      <c r="J472" s="874">
        <f t="shared" si="27"/>
        <v>1012536</v>
      </c>
      <c r="K472" s="246">
        <v>2</v>
      </c>
      <c r="L472" s="191" t="s">
        <v>1190</v>
      </c>
      <c r="M472" s="25">
        <v>30</v>
      </c>
      <c r="N472" s="289">
        <v>16126</v>
      </c>
      <c r="O472" s="429">
        <f t="shared" si="29"/>
        <v>8630664</v>
      </c>
    </row>
    <row r="473" spans="2:15">
      <c r="E473" s="190">
        <v>42548</v>
      </c>
      <c r="F473" s="188" t="s">
        <v>790</v>
      </c>
      <c r="G473" s="833" t="s">
        <v>789</v>
      </c>
      <c r="H473" s="253">
        <v>7</v>
      </c>
      <c r="I473" s="253">
        <v>127240</v>
      </c>
      <c r="J473" s="874">
        <f t="shared" si="27"/>
        <v>0</v>
      </c>
    </row>
    <row r="474" spans="2:15">
      <c r="E474" s="190">
        <v>42548</v>
      </c>
      <c r="F474" s="188" t="s">
        <v>791</v>
      </c>
      <c r="G474" s="833" t="s">
        <v>789</v>
      </c>
      <c r="H474" s="253">
        <v>15</v>
      </c>
      <c r="I474" s="253">
        <v>27120</v>
      </c>
      <c r="J474" s="874">
        <f t="shared" si="27"/>
        <v>0</v>
      </c>
    </row>
    <row r="475" spans="2:15">
      <c r="E475" s="190">
        <v>42548</v>
      </c>
      <c r="F475" s="188" t="s">
        <v>792</v>
      </c>
      <c r="G475" s="833" t="s">
        <v>789</v>
      </c>
      <c r="H475" s="253">
        <v>304</v>
      </c>
      <c r="I475" s="253">
        <v>30770</v>
      </c>
      <c r="J475" s="874">
        <f t="shared" si="27"/>
        <v>0</v>
      </c>
    </row>
    <row r="476" spans="2:15">
      <c r="B476" s="191"/>
      <c r="E476" s="190">
        <v>42548</v>
      </c>
      <c r="F476" s="188" t="s">
        <v>793</v>
      </c>
      <c r="G476" s="833" t="s">
        <v>789</v>
      </c>
      <c r="H476" s="253">
        <v>50</v>
      </c>
      <c r="I476" s="253">
        <v>44870</v>
      </c>
      <c r="J476" s="874">
        <f t="shared" si="27"/>
        <v>0</v>
      </c>
    </row>
    <row r="477" spans="2:15">
      <c r="B477" s="188" t="s">
        <v>451</v>
      </c>
      <c r="C477" s="874">
        <v>1420</v>
      </c>
      <c r="D477" s="429">
        <v>10560</v>
      </c>
      <c r="E477" s="190">
        <v>42549</v>
      </c>
      <c r="F477" s="188" t="s">
        <v>451</v>
      </c>
      <c r="G477" s="833" t="s">
        <v>794</v>
      </c>
      <c r="H477" s="253"/>
      <c r="I477" s="253">
        <v>11000</v>
      </c>
      <c r="J477" s="874">
        <f t="shared" si="27"/>
        <v>624800</v>
      </c>
    </row>
    <row r="478" spans="2:15">
      <c r="B478" s="188" t="s">
        <v>451</v>
      </c>
      <c r="C478" s="874">
        <v>80</v>
      </c>
      <c r="D478" s="429">
        <v>10560</v>
      </c>
      <c r="E478" s="190">
        <v>42550</v>
      </c>
      <c r="F478" s="188" t="s">
        <v>451</v>
      </c>
      <c r="G478" s="833" t="s">
        <v>795</v>
      </c>
      <c r="H478" s="253"/>
      <c r="I478" s="253">
        <v>11000</v>
      </c>
      <c r="J478" s="874">
        <f t="shared" ref="J478" si="30">(I478-D478)*C478</f>
        <v>35200</v>
      </c>
    </row>
    <row r="479" spans="2:15">
      <c r="B479" s="188" t="s">
        <v>451</v>
      </c>
      <c r="C479" s="874">
        <v>11</v>
      </c>
      <c r="D479" s="429">
        <v>14250</v>
      </c>
      <c r="E479" s="190">
        <v>42550</v>
      </c>
      <c r="F479" s="188" t="s">
        <v>451</v>
      </c>
      <c r="G479" s="833" t="s">
        <v>795</v>
      </c>
      <c r="H479" s="253">
        <v>5</v>
      </c>
      <c r="I479" s="253">
        <v>11000</v>
      </c>
      <c r="J479" s="874">
        <f t="shared" si="27"/>
        <v>-35750</v>
      </c>
    </row>
    <row r="480" spans="2:15">
      <c r="E480" s="190">
        <v>42551</v>
      </c>
      <c r="F480" s="188" t="s">
        <v>1305</v>
      </c>
      <c r="G480" s="833" t="s">
        <v>798</v>
      </c>
      <c r="H480" s="253">
        <v>3</v>
      </c>
      <c r="I480" s="253">
        <v>6000</v>
      </c>
      <c r="J480" s="874">
        <f t="shared" si="27"/>
        <v>0</v>
      </c>
    </row>
    <row r="481" spans="2:15">
      <c r="E481" s="190">
        <v>42551</v>
      </c>
      <c r="F481" s="188" t="s">
        <v>1306</v>
      </c>
      <c r="G481" s="833" t="s">
        <v>798</v>
      </c>
      <c r="H481" s="253">
        <v>4</v>
      </c>
      <c r="I481" s="253">
        <v>27800</v>
      </c>
      <c r="J481" s="874">
        <f t="shared" si="27"/>
        <v>0</v>
      </c>
    </row>
    <row r="482" spans="2:15">
      <c r="E482" s="190">
        <v>42551</v>
      </c>
      <c r="F482" s="188" t="s">
        <v>1307</v>
      </c>
      <c r="G482" s="833" t="s">
        <v>798</v>
      </c>
      <c r="H482" s="253">
        <v>5</v>
      </c>
      <c r="I482" s="253">
        <v>210000</v>
      </c>
      <c r="J482" s="874">
        <f t="shared" si="27"/>
        <v>0</v>
      </c>
    </row>
    <row r="483" spans="2:15">
      <c r="E483" s="190">
        <v>42551</v>
      </c>
      <c r="F483" s="188" t="s">
        <v>1308</v>
      </c>
      <c r="G483" s="833" t="s">
        <v>798</v>
      </c>
      <c r="H483" s="253">
        <v>25</v>
      </c>
      <c r="I483" s="253">
        <v>28900</v>
      </c>
      <c r="J483" s="874">
        <f t="shared" si="27"/>
        <v>0</v>
      </c>
    </row>
    <row r="484" spans="2:15">
      <c r="E484" s="190">
        <v>42551</v>
      </c>
      <c r="F484" s="191" t="s">
        <v>1178</v>
      </c>
      <c r="G484" s="833" t="s">
        <v>798</v>
      </c>
      <c r="H484" s="253">
        <v>375</v>
      </c>
      <c r="I484" s="253">
        <v>30950</v>
      </c>
      <c r="J484" s="874">
        <f t="shared" si="27"/>
        <v>0</v>
      </c>
    </row>
    <row r="485" spans="2:15">
      <c r="E485" s="190">
        <v>42551</v>
      </c>
      <c r="F485" s="188" t="s">
        <v>802</v>
      </c>
      <c r="G485" s="833" t="s">
        <v>799</v>
      </c>
      <c r="H485" s="253">
        <v>1000</v>
      </c>
      <c r="I485" s="253">
        <v>1400</v>
      </c>
      <c r="J485" s="874">
        <f t="shared" si="27"/>
        <v>0</v>
      </c>
    </row>
    <row r="486" spans="2:15">
      <c r="B486" s="191" t="s">
        <v>1178</v>
      </c>
      <c r="C486" s="253">
        <v>1275</v>
      </c>
      <c r="D486" s="429">
        <v>29760</v>
      </c>
      <c r="E486" s="190">
        <v>42551</v>
      </c>
      <c r="F486" s="191" t="s">
        <v>1178</v>
      </c>
      <c r="G486" s="833" t="s">
        <v>803</v>
      </c>
      <c r="H486" s="253"/>
      <c r="I486" s="253">
        <v>31000</v>
      </c>
      <c r="J486" s="874">
        <f t="shared" si="27"/>
        <v>1581000</v>
      </c>
      <c r="K486" s="246">
        <v>2</v>
      </c>
      <c r="L486" s="191" t="s">
        <v>1204</v>
      </c>
      <c r="M486" s="25">
        <v>60</v>
      </c>
      <c r="N486" s="289">
        <v>17664</v>
      </c>
      <c r="O486" s="429">
        <f t="shared" ref="O486:O487" si="31">ROUND(C486*D486,0)</f>
        <v>37944000</v>
      </c>
    </row>
    <row r="487" spans="2:15">
      <c r="B487" s="191" t="s">
        <v>1302</v>
      </c>
      <c r="C487" s="253">
        <v>997</v>
      </c>
      <c r="D487" s="429">
        <v>31488</v>
      </c>
      <c r="E487" s="190">
        <v>42551</v>
      </c>
      <c r="F487" s="191" t="s">
        <v>1302</v>
      </c>
      <c r="G487" s="833" t="s">
        <v>803</v>
      </c>
      <c r="H487" s="253"/>
      <c r="I487" s="253">
        <v>32800</v>
      </c>
      <c r="J487" s="874">
        <f t="shared" si="27"/>
        <v>1308064</v>
      </c>
      <c r="K487" s="246">
        <v>2</v>
      </c>
      <c r="L487" s="191" t="s">
        <v>1166</v>
      </c>
      <c r="M487" s="25">
        <v>30</v>
      </c>
      <c r="N487" s="289">
        <v>22924.5</v>
      </c>
      <c r="O487" s="429">
        <f t="shared" si="31"/>
        <v>31393536</v>
      </c>
    </row>
    <row r="488" spans="2:15">
      <c r="B488" s="188" t="s">
        <v>834</v>
      </c>
      <c r="C488" s="246">
        <v>15</v>
      </c>
      <c r="D488" s="429">
        <v>91164</v>
      </c>
      <c r="E488" s="190">
        <v>42551</v>
      </c>
      <c r="F488" s="188" t="s">
        <v>834</v>
      </c>
      <c r="G488" s="833" t="s">
        <v>804</v>
      </c>
      <c r="H488" s="253"/>
      <c r="I488" s="253">
        <v>94962</v>
      </c>
      <c r="J488" s="874">
        <f t="shared" si="27"/>
        <v>56970</v>
      </c>
    </row>
    <row r="489" spans="2:15">
      <c r="B489" s="191" t="s">
        <v>539</v>
      </c>
      <c r="C489" s="246">
        <v>6</v>
      </c>
      <c r="D489" s="429">
        <v>137834</v>
      </c>
      <c r="E489" s="190">
        <v>42551</v>
      </c>
      <c r="F489" s="188" t="s">
        <v>539</v>
      </c>
      <c r="G489" s="833" t="s">
        <v>804</v>
      </c>
      <c r="H489" s="253"/>
      <c r="I489" s="253">
        <v>143577</v>
      </c>
      <c r="J489" s="874">
        <f t="shared" si="27"/>
        <v>34458</v>
      </c>
    </row>
    <row r="490" spans="2:15">
      <c r="B490" s="191" t="s">
        <v>536</v>
      </c>
      <c r="C490" s="246">
        <v>50</v>
      </c>
      <c r="D490" s="429">
        <v>58806</v>
      </c>
      <c r="E490" s="190">
        <v>42551</v>
      </c>
      <c r="F490" s="191" t="s">
        <v>536</v>
      </c>
      <c r="G490" s="833" t="s">
        <v>804</v>
      </c>
      <c r="H490" s="253"/>
      <c r="I490" s="253">
        <v>61256</v>
      </c>
      <c r="J490" s="874">
        <f t="shared" si="27"/>
        <v>122500</v>
      </c>
    </row>
    <row r="491" spans="2:15">
      <c r="B491" s="191" t="s">
        <v>490</v>
      </c>
      <c r="C491" s="246">
        <v>18</v>
      </c>
      <c r="D491" s="429">
        <v>155330.70000000001</v>
      </c>
      <c r="E491" s="190">
        <v>42551</v>
      </c>
      <c r="F491" s="188" t="s">
        <v>490</v>
      </c>
      <c r="G491" s="833" t="s">
        <v>804</v>
      </c>
      <c r="H491" s="253"/>
      <c r="I491" s="253">
        <v>162544</v>
      </c>
      <c r="J491" s="874">
        <f t="shared" si="27"/>
        <v>129839.39999999979</v>
      </c>
    </row>
    <row r="492" spans="2:15">
      <c r="B492" s="191" t="s">
        <v>710</v>
      </c>
      <c r="C492" s="246">
        <v>20</v>
      </c>
      <c r="D492" s="429">
        <v>68527</v>
      </c>
      <c r="E492" s="190">
        <v>42551</v>
      </c>
      <c r="F492" s="191" t="s">
        <v>710</v>
      </c>
      <c r="G492" s="833" t="s">
        <v>804</v>
      </c>
      <c r="H492" s="253"/>
      <c r="I492" s="253">
        <v>71382</v>
      </c>
      <c r="J492" s="874">
        <f t="shared" si="27"/>
        <v>57100</v>
      </c>
    </row>
    <row r="493" spans="2:15">
      <c r="B493" s="191" t="s">
        <v>534</v>
      </c>
      <c r="C493" s="246">
        <v>20</v>
      </c>
      <c r="D493" s="429">
        <v>85763.15</v>
      </c>
      <c r="E493" s="190">
        <v>42551</v>
      </c>
      <c r="F493" s="191" t="s">
        <v>534</v>
      </c>
      <c r="G493" s="833" t="s">
        <v>804</v>
      </c>
      <c r="H493" s="253"/>
      <c r="I493" s="253">
        <v>90277</v>
      </c>
      <c r="J493" s="874">
        <f t="shared" ref="J493" si="32">(I493-D493)*C493</f>
        <v>90277.000000000116</v>
      </c>
    </row>
    <row r="494" spans="2:15">
      <c r="B494" s="191" t="s">
        <v>534</v>
      </c>
      <c r="C494" s="246">
        <v>20</v>
      </c>
      <c r="D494" s="429">
        <v>86666</v>
      </c>
      <c r="E494" s="190">
        <v>42551</v>
      </c>
      <c r="F494" s="191" t="s">
        <v>534</v>
      </c>
      <c r="G494" s="833" t="s">
        <v>804</v>
      </c>
      <c r="H494" s="253"/>
      <c r="I494" s="253">
        <v>90277</v>
      </c>
      <c r="J494" s="874">
        <f t="shared" si="27"/>
        <v>72220</v>
      </c>
    </row>
    <row r="495" spans="2:15">
      <c r="B495" s="188" t="s">
        <v>816</v>
      </c>
      <c r="C495" s="253">
        <v>6</v>
      </c>
      <c r="D495" s="429">
        <v>203928.9</v>
      </c>
      <c r="E495" s="190">
        <v>42551</v>
      </c>
      <c r="F495" s="188" t="s">
        <v>816</v>
      </c>
      <c r="G495" s="833" t="s">
        <v>804</v>
      </c>
      <c r="H495" s="253"/>
      <c r="I495" s="253">
        <v>213532</v>
      </c>
      <c r="J495" s="874">
        <f t="shared" si="27"/>
        <v>57618.600000000035</v>
      </c>
    </row>
    <row r="496" spans="2:15">
      <c r="B496" s="191" t="s">
        <v>707</v>
      </c>
      <c r="C496" s="253">
        <v>18</v>
      </c>
      <c r="D496" s="429">
        <v>115869.6</v>
      </c>
      <c r="E496" s="190">
        <v>42551</v>
      </c>
      <c r="F496" s="191" t="s">
        <v>707</v>
      </c>
      <c r="G496" s="833" t="s">
        <v>804</v>
      </c>
      <c r="H496" s="253"/>
      <c r="I496" s="253">
        <v>121968</v>
      </c>
      <c r="J496" s="874">
        <f t="shared" si="27"/>
        <v>109771.1999999999</v>
      </c>
    </row>
    <row r="497" spans="2:10">
      <c r="B497" s="191" t="s">
        <v>707</v>
      </c>
      <c r="C497" s="253">
        <v>4</v>
      </c>
      <c r="D497" s="429">
        <v>118863</v>
      </c>
      <c r="E497" s="190">
        <v>42551</v>
      </c>
      <c r="F497" s="191" t="s">
        <v>707</v>
      </c>
      <c r="G497" s="833" t="s">
        <v>804</v>
      </c>
      <c r="H497" s="253"/>
      <c r="I497" s="253">
        <v>123816</v>
      </c>
      <c r="J497" s="874">
        <f t="shared" si="27"/>
        <v>19812</v>
      </c>
    </row>
    <row r="498" spans="2:10">
      <c r="B498" s="188" t="s">
        <v>817</v>
      </c>
      <c r="C498" s="253">
        <v>16</v>
      </c>
      <c r="D498" s="429">
        <v>143041.5</v>
      </c>
      <c r="E498" s="190">
        <v>42551</v>
      </c>
      <c r="F498" s="188" t="s">
        <v>817</v>
      </c>
      <c r="G498" s="833" t="s">
        <v>804</v>
      </c>
      <c r="H498" s="253"/>
      <c r="I498" s="253">
        <v>149566</v>
      </c>
      <c r="J498" s="874">
        <f t="shared" si="27"/>
        <v>104392</v>
      </c>
    </row>
    <row r="499" spans="2:10">
      <c r="B499" s="191" t="s">
        <v>526</v>
      </c>
      <c r="C499" s="255">
        <v>8</v>
      </c>
      <c r="D499" s="429">
        <v>44769</v>
      </c>
      <c r="E499" s="190">
        <v>42551</v>
      </c>
      <c r="F499" s="191" t="s">
        <v>526</v>
      </c>
      <c r="G499" s="833" t="s">
        <v>804</v>
      </c>
      <c r="H499" s="255"/>
      <c r="I499" s="255">
        <v>46634</v>
      </c>
      <c r="J499" s="874">
        <f t="shared" si="27"/>
        <v>14920</v>
      </c>
    </row>
    <row r="500" spans="2:10">
      <c r="B500" s="188" t="s">
        <v>820</v>
      </c>
      <c r="C500" s="253">
        <v>6</v>
      </c>
      <c r="D500" s="429">
        <v>98313.600000000006</v>
      </c>
      <c r="E500" s="190">
        <v>42551</v>
      </c>
      <c r="F500" s="188" t="s">
        <v>820</v>
      </c>
      <c r="G500" s="833" t="s">
        <v>804</v>
      </c>
      <c r="H500" s="253"/>
      <c r="I500" s="253">
        <v>102547</v>
      </c>
      <c r="J500" s="874">
        <f t="shared" si="27"/>
        <v>25400.399999999965</v>
      </c>
    </row>
    <row r="501" spans="2:10">
      <c r="B501" s="188" t="s">
        <v>823</v>
      </c>
      <c r="C501" s="253">
        <v>3</v>
      </c>
      <c r="D501" s="429">
        <v>177495.15</v>
      </c>
      <c r="E501" s="190">
        <v>42551</v>
      </c>
      <c r="F501" s="188" t="s">
        <v>823</v>
      </c>
      <c r="G501" s="833" t="s">
        <v>804</v>
      </c>
      <c r="H501" s="253"/>
      <c r="I501" s="253">
        <v>185632</v>
      </c>
      <c r="J501" s="874">
        <f t="shared" ref="J501:J557" si="33">(I501-D501)*C501</f>
        <v>24410.550000000017</v>
      </c>
    </row>
    <row r="502" spans="2:10">
      <c r="B502" s="191" t="s">
        <v>822</v>
      </c>
      <c r="C502" s="253">
        <v>16</v>
      </c>
      <c r="D502" s="429">
        <v>107091.6</v>
      </c>
      <c r="E502" s="190">
        <v>42551</v>
      </c>
      <c r="F502" s="191" t="s">
        <v>822</v>
      </c>
      <c r="G502" s="833" t="s">
        <v>804</v>
      </c>
      <c r="H502" s="253"/>
      <c r="I502" s="253">
        <v>111703</v>
      </c>
      <c r="J502" s="874">
        <f t="shared" si="33"/>
        <v>73782.399999999907</v>
      </c>
    </row>
    <row r="503" spans="2:10">
      <c r="B503" s="191" t="s">
        <v>828</v>
      </c>
      <c r="C503" s="777">
        <v>10</v>
      </c>
      <c r="D503" s="429">
        <v>67593</v>
      </c>
      <c r="E503" s="190">
        <v>42551</v>
      </c>
      <c r="F503" s="191" t="s">
        <v>828</v>
      </c>
      <c r="G503" s="833" t="s">
        <v>804</v>
      </c>
      <c r="H503" s="777"/>
      <c r="I503" s="255">
        <v>70409</v>
      </c>
      <c r="J503" s="874">
        <f t="shared" si="33"/>
        <v>28160</v>
      </c>
    </row>
    <row r="504" spans="2:10">
      <c r="B504" s="188" t="s">
        <v>807</v>
      </c>
      <c r="C504" s="253">
        <v>24</v>
      </c>
      <c r="D504" s="429">
        <v>7564.85</v>
      </c>
      <c r="E504" s="190">
        <v>42551</v>
      </c>
      <c r="F504" s="188" t="s">
        <v>807</v>
      </c>
      <c r="G504" s="833" t="s">
        <v>804</v>
      </c>
      <c r="H504" s="253"/>
      <c r="I504" s="253">
        <v>7963</v>
      </c>
      <c r="J504" s="874">
        <f t="shared" si="33"/>
        <v>9555.5999999999913</v>
      </c>
    </row>
    <row r="505" spans="2:10">
      <c r="B505" s="188" t="s">
        <v>808</v>
      </c>
      <c r="C505" s="253">
        <v>18</v>
      </c>
      <c r="D505" s="429">
        <v>11253.7</v>
      </c>
      <c r="E505" s="190">
        <v>42551</v>
      </c>
      <c r="F505" s="188" t="s">
        <v>808</v>
      </c>
      <c r="G505" s="833" t="s">
        <v>804</v>
      </c>
      <c r="H505" s="253"/>
      <c r="I505" s="253">
        <v>11846</v>
      </c>
      <c r="J505" s="874">
        <f t="shared" si="33"/>
        <v>10661.399999999987</v>
      </c>
    </row>
    <row r="506" spans="2:10">
      <c r="B506" s="188" t="s">
        <v>699</v>
      </c>
      <c r="C506" s="253">
        <v>24</v>
      </c>
      <c r="D506" s="429">
        <v>14380.15</v>
      </c>
      <c r="E506" s="190">
        <v>42551</v>
      </c>
      <c r="F506" s="188" t="s">
        <v>699</v>
      </c>
      <c r="G506" s="833" t="s">
        <v>804</v>
      </c>
      <c r="H506" s="253"/>
      <c r="I506" s="253">
        <v>14722</v>
      </c>
      <c r="J506" s="874">
        <f t="shared" si="33"/>
        <v>8204.4000000000087</v>
      </c>
    </row>
    <row r="507" spans="2:10">
      <c r="B507" s="786" t="s">
        <v>810</v>
      </c>
      <c r="C507" s="253">
        <v>16</v>
      </c>
      <c r="D507" s="429">
        <v>30930.1</v>
      </c>
      <c r="E507" s="190">
        <v>42551</v>
      </c>
      <c r="F507" s="786" t="s">
        <v>810</v>
      </c>
      <c r="G507" s="833" t="s">
        <v>804</v>
      </c>
      <c r="H507" s="253"/>
      <c r="I507" s="253">
        <v>32558</v>
      </c>
      <c r="J507" s="874">
        <f t="shared" si="33"/>
        <v>26046.400000000023</v>
      </c>
    </row>
    <row r="508" spans="2:10">
      <c r="B508" s="188" t="s">
        <v>525</v>
      </c>
      <c r="C508" s="253">
        <v>254</v>
      </c>
      <c r="D508" s="429">
        <v>16775</v>
      </c>
      <c r="E508" s="190">
        <v>42551</v>
      </c>
      <c r="F508" s="188" t="s">
        <v>525</v>
      </c>
      <c r="G508" s="833" t="s">
        <v>804</v>
      </c>
      <c r="H508" s="253"/>
      <c r="I508" s="253">
        <v>17602</v>
      </c>
      <c r="J508" s="874">
        <f t="shared" si="33"/>
        <v>210058</v>
      </c>
    </row>
    <row r="509" spans="2:10">
      <c r="B509" s="188" t="s">
        <v>812</v>
      </c>
      <c r="C509" s="253">
        <v>20</v>
      </c>
      <c r="D509" s="429">
        <v>16012.25</v>
      </c>
      <c r="E509" s="190">
        <v>42551</v>
      </c>
      <c r="F509" s="188" t="s">
        <v>812</v>
      </c>
      <c r="G509" s="833" t="s">
        <v>804</v>
      </c>
      <c r="H509" s="253"/>
      <c r="I509" s="253">
        <v>16855</v>
      </c>
      <c r="J509" s="874">
        <f t="shared" si="33"/>
        <v>16855</v>
      </c>
    </row>
    <row r="510" spans="2:10">
      <c r="B510" s="188" t="s">
        <v>711</v>
      </c>
      <c r="C510" s="253">
        <v>54</v>
      </c>
      <c r="D510" s="429">
        <v>17347</v>
      </c>
      <c r="E510" s="190">
        <v>42551</v>
      </c>
      <c r="F510" s="188" t="s">
        <v>711</v>
      </c>
      <c r="G510" s="833" t="s">
        <v>804</v>
      </c>
      <c r="H510" s="253"/>
      <c r="I510" s="253">
        <v>18260</v>
      </c>
      <c r="J510" s="874">
        <f t="shared" si="33"/>
        <v>49302</v>
      </c>
    </row>
    <row r="511" spans="2:10">
      <c r="B511" s="188" t="s">
        <v>511</v>
      </c>
      <c r="C511" s="253">
        <v>48</v>
      </c>
      <c r="D511" s="429">
        <v>28764.1</v>
      </c>
      <c r="E511" s="190">
        <v>42551</v>
      </c>
      <c r="F511" s="188" t="s">
        <v>511</v>
      </c>
      <c r="G511" s="833" t="s">
        <v>804</v>
      </c>
      <c r="H511" s="253"/>
      <c r="I511" s="253">
        <v>30278</v>
      </c>
      <c r="J511" s="874">
        <f t="shared" si="33"/>
        <v>72667.20000000007</v>
      </c>
    </row>
    <row r="512" spans="2:10">
      <c r="B512" s="188" t="s">
        <v>811</v>
      </c>
      <c r="C512" s="246">
        <v>5</v>
      </c>
      <c r="D512" s="429">
        <v>40402.6</v>
      </c>
      <c r="E512" s="190">
        <v>42551</v>
      </c>
      <c r="F512" s="188" t="s">
        <v>811</v>
      </c>
      <c r="G512" s="833" t="s">
        <v>804</v>
      </c>
      <c r="H512" s="253"/>
      <c r="I512" s="253">
        <v>42529</v>
      </c>
      <c r="J512" s="874">
        <f t="shared" si="33"/>
        <v>10632.000000000007</v>
      </c>
    </row>
    <row r="513" spans="2:10">
      <c r="B513" s="188" t="s">
        <v>700</v>
      </c>
      <c r="C513" s="253">
        <v>36</v>
      </c>
      <c r="D513" s="429">
        <v>19733.400000000001</v>
      </c>
      <c r="E513" s="190">
        <v>42551</v>
      </c>
      <c r="F513" s="188" t="s">
        <v>700</v>
      </c>
      <c r="G513" s="833" t="s">
        <v>804</v>
      </c>
      <c r="H513" s="253"/>
      <c r="I513" s="253">
        <v>20772</v>
      </c>
      <c r="J513" s="874">
        <f t="shared" si="33"/>
        <v>37389.599999999948</v>
      </c>
    </row>
    <row r="514" spans="2:10">
      <c r="B514" s="786" t="s">
        <v>814</v>
      </c>
      <c r="C514" s="253">
        <v>24</v>
      </c>
      <c r="D514" s="429">
        <v>20153.291666666668</v>
      </c>
      <c r="E514" s="190">
        <v>42551</v>
      </c>
      <c r="F514" s="786" t="s">
        <v>814</v>
      </c>
      <c r="G514" s="833" t="s">
        <v>804</v>
      </c>
      <c r="H514" s="253"/>
      <c r="I514" s="253">
        <v>21214</v>
      </c>
      <c r="J514" s="874">
        <f t="shared" si="33"/>
        <v>25456.999999999971</v>
      </c>
    </row>
    <row r="515" spans="2:10">
      <c r="B515" s="786" t="s">
        <v>805</v>
      </c>
      <c r="C515" s="246">
        <v>24</v>
      </c>
      <c r="D515" s="429">
        <v>20402.208333333332</v>
      </c>
      <c r="E515" s="190">
        <v>42551</v>
      </c>
      <c r="F515" s="786" t="s">
        <v>805</v>
      </c>
      <c r="G515" s="833" t="s">
        <v>804</v>
      </c>
      <c r="H515" s="253"/>
      <c r="I515" s="253">
        <v>21476</v>
      </c>
      <c r="J515" s="874">
        <f t="shared" si="33"/>
        <v>25771.000000000029</v>
      </c>
    </row>
    <row r="516" spans="2:10">
      <c r="B516" s="188" t="s">
        <v>552</v>
      </c>
      <c r="C516" s="253">
        <v>84</v>
      </c>
      <c r="D516" s="429">
        <v>32851</v>
      </c>
      <c r="E516" s="190">
        <v>42551</v>
      </c>
      <c r="F516" s="188" t="s">
        <v>552</v>
      </c>
      <c r="G516" s="833" t="s">
        <v>804</v>
      </c>
      <c r="H516" s="253"/>
      <c r="I516" s="253">
        <v>34580</v>
      </c>
      <c r="J516" s="874">
        <f t="shared" si="33"/>
        <v>145236</v>
      </c>
    </row>
    <row r="517" spans="2:10">
      <c r="B517" s="188" t="s">
        <v>806</v>
      </c>
      <c r="C517" s="246">
        <v>36</v>
      </c>
      <c r="D517" s="429">
        <v>30887.361111111109</v>
      </c>
      <c r="E517" s="190">
        <v>42551</v>
      </c>
      <c r="F517" s="188" t="s">
        <v>806</v>
      </c>
      <c r="G517" s="833" t="s">
        <v>804</v>
      </c>
      <c r="H517" s="253"/>
      <c r="I517" s="253">
        <v>32513</v>
      </c>
      <c r="J517" s="874">
        <f t="shared" si="33"/>
        <v>58523.000000000058</v>
      </c>
    </row>
    <row r="518" spans="2:10">
      <c r="B518" s="191" t="s">
        <v>824</v>
      </c>
      <c r="C518" s="253">
        <v>20</v>
      </c>
      <c r="D518" s="429">
        <v>35730.449999999997</v>
      </c>
      <c r="E518" s="190">
        <v>42551</v>
      </c>
      <c r="F518" s="191" t="s">
        <v>824</v>
      </c>
      <c r="G518" s="833" t="s">
        <v>804</v>
      </c>
      <c r="H518" s="253"/>
      <c r="I518" s="253">
        <v>37611</v>
      </c>
      <c r="J518" s="874">
        <f t="shared" si="33"/>
        <v>37611.000000000058</v>
      </c>
    </row>
    <row r="519" spans="2:10">
      <c r="B519" s="191" t="s">
        <v>704</v>
      </c>
      <c r="C519" s="253">
        <v>20</v>
      </c>
      <c r="D519" s="429">
        <v>36418</v>
      </c>
      <c r="E519" s="190">
        <v>42551</v>
      </c>
      <c r="F519" s="191" t="s">
        <v>704</v>
      </c>
      <c r="G519" s="833" t="s">
        <v>804</v>
      </c>
      <c r="H519" s="253"/>
      <c r="I519" s="253">
        <v>37935</v>
      </c>
      <c r="J519" s="874">
        <f t="shared" si="33"/>
        <v>30340</v>
      </c>
    </row>
    <row r="520" spans="2:10">
      <c r="B520" s="191" t="s">
        <v>825</v>
      </c>
      <c r="C520" s="253">
        <v>36</v>
      </c>
      <c r="D520" s="429">
        <v>36695.65</v>
      </c>
      <c r="E520" s="190">
        <v>42551</v>
      </c>
      <c r="F520" s="191" t="s">
        <v>825</v>
      </c>
      <c r="G520" s="833" t="s">
        <v>804</v>
      </c>
      <c r="H520" s="253"/>
      <c r="I520" s="253">
        <v>38627</v>
      </c>
      <c r="J520" s="874">
        <f t="shared" si="33"/>
        <v>69528.599999999948</v>
      </c>
    </row>
    <row r="521" spans="2:10">
      <c r="B521" s="191" t="s">
        <v>825</v>
      </c>
      <c r="C521" s="253">
        <v>50</v>
      </c>
      <c r="D521" s="429">
        <v>36980</v>
      </c>
      <c r="E521" s="190">
        <v>42551</v>
      </c>
      <c r="F521" s="191" t="s">
        <v>825</v>
      </c>
      <c r="G521" s="833" t="s">
        <v>804</v>
      </c>
      <c r="H521" s="253"/>
      <c r="I521" s="253">
        <v>38521</v>
      </c>
      <c r="J521" s="874">
        <f t="shared" si="33"/>
        <v>77050</v>
      </c>
    </row>
    <row r="522" spans="2:10">
      <c r="B522" s="188" t="s">
        <v>809</v>
      </c>
      <c r="C522" s="246">
        <v>416</v>
      </c>
      <c r="D522" s="429">
        <v>39723.508298755187</v>
      </c>
      <c r="E522" s="190">
        <v>42551</v>
      </c>
      <c r="F522" s="188" t="s">
        <v>809</v>
      </c>
      <c r="G522" s="833" t="s">
        <v>804</v>
      </c>
      <c r="H522" s="253">
        <v>112</v>
      </c>
      <c r="I522" s="253">
        <v>40546</v>
      </c>
      <c r="J522" s="874">
        <f t="shared" si="33"/>
        <v>342156.54771784227</v>
      </c>
    </row>
    <row r="523" spans="2:10">
      <c r="B523" s="188" t="s">
        <v>809</v>
      </c>
      <c r="C523" s="246">
        <v>18</v>
      </c>
      <c r="D523" s="429">
        <v>39723.508298755187</v>
      </c>
      <c r="E523" s="190">
        <v>42551</v>
      </c>
      <c r="F523" s="188" t="s">
        <v>809</v>
      </c>
      <c r="G523" s="833" t="s">
        <v>804</v>
      </c>
      <c r="H523" s="253"/>
      <c r="I523" s="253">
        <v>44814</v>
      </c>
      <c r="J523" s="874">
        <f t="shared" si="33"/>
        <v>91628.850622406637</v>
      </c>
    </row>
    <row r="524" spans="2:10">
      <c r="B524" s="188" t="s">
        <v>809</v>
      </c>
      <c r="C524" s="246">
        <v>48</v>
      </c>
      <c r="D524" s="429">
        <v>39723.508298755187</v>
      </c>
      <c r="E524" s="190">
        <v>42551</v>
      </c>
      <c r="F524" s="188" t="s">
        <v>809</v>
      </c>
      <c r="G524" s="833" t="s">
        <v>804</v>
      </c>
      <c r="H524" s="253"/>
      <c r="I524" s="253">
        <v>42669</v>
      </c>
      <c r="J524" s="874">
        <f t="shared" si="33"/>
        <v>141383.60165975103</v>
      </c>
    </row>
    <row r="525" spans="2:10">
      <c r="B525" s="188" t="s">
        <v>553</v>
      </c>
      <c r="C525" s="253">
        <v>48</v>
      </c>
      <c r="D525" s="429">
        <v>37168.75</v>
      </c>
      <c r="E525" s="190">
        <v>42551</v>
      </c>
      <c r="F525" s="188" t="s">
        <v>553</v>
      </c>
      <c r="G525" s="833" t="s">
        <v>804</v>
      </c>
      <c r="H525" s="253"/>
      <c r="I525" s="253">
        <v>39125</v>
      </c>
      <c r="J525" s="874">
        <f t="shared" si="33"/>
        <v>93900</v>
      </c>
    </row>
    <row r="526" spans="2:10">
      <c r="B526" s="188" t="s">
        <v>815</v>
      </c>
      <c r="C526" s="246">
        <v>24</v>
      </c>
      <c r="D526" s="429">
        <v>43434.958333333336</v>
      </c>
      <c r="E526" s="190">
        <v>42551</v>
      </c>
      <c r="F526" s="188" t="s">
        <v>815</v>
      </c>
      <c r="G526" s="833" t="s">
        <v>804</v>
      </c>
      <c r="H526" s="253"/>
      <c r="I526" s="253">
        <v>45309</v>
      </c>
      <c r="J526" s="874">
        <f t="shared" si="33"/>
        <v>44976.999999999942</v>
      </c>
    </row>
    <row r="527" spans="2:10">
      <c r="B527" s="188" t="s">
        <v>821</v>
      </c>
      <c r="C527" s="246">
        <v>36</v>
      </c>
      <c r="D527" s="429">
        <v>45997.055555555555</v>
      </c>
      <c r="E527" s="190">
        <v>42551</v>
      </c>
      <c r="F527" s="188" t="s">
        <v>821</v>
      </c>
      <c r="G527" s="833" t="s">
        <v>804</v>
      </c>
      <c r="H527" s="253"/>
      <c r="I527" s="253">
        <v>47028</v>
      </c>
      <c r="J527" s="874">
        <f t="shared" si="33"/>
        <v>37114.000000000029</v>
      </c>
    </row>
    <row r="528" spans="2:10">
      <c r="B528" s="191" t="s">
        <v>832</v>
      </c>
      <c r="C528" s="246">
        <v>40</v>
      </c>
      <c r="D528" s="429">
        <v>21594</v>
      </c>
      <c r="E528" s="190">
        <v>42551</v>
      </c>
      <c r="F528" s="191" t="s">
        <v>832</v>
      </c>
      <c r="G528" s="833" t="s">
        <v>804</v>
      </c>
      <c r="H528" s="253"/>
      <c r="I528" s="253">
        <v>22494</v>
      </c>
      <c r="J528" s="874">
        <f t="shared" si="33"/>
        <v>36000</v>
      </c>
    </row>
    <row r="529" spans="2:10">
      <c r="B529" s="191" t="s">
        <v>503</v>
      </c>
      <c r="C529" s="246">
        <v>10</v>
      </c>
      <c r="D529" s="429">
        <v>40027.300000000003</v>
      </c>
      <c r="E529" s="190">
        <v>42551</v>
      </c>
      <c r="F529" s="188" t="s">
        <v>503</v>
      </c>
      <c r="G529" s="833" t="s">
        <v>804</v>
      </c>
      <c r="H529" s="253"/>
      <c r="I529" s="253">
        <v>42134</v>
      </c>
      <c r="J529" s="874">
        <f t="shared" si="33"/>
        <v>21066.999999999971</v>
      </c>
    </row>
    <row r="530" spans="2:10">
      <c r="B530" s="188" t="s">
        <v>826</v>
      </c>
      <c r="C530" s="246">
        <v>24</v>
      </c>
      <c r="D530" s="429">
        <v>44464.75</v>
      </c>
      <c r="E530" s="190">
        <v>42551</v>
      </c>
      <c r="F530" s="188" t="s">
        <v>826</v>
      </c>
      <c r="G530" s="833" t="s">
        <v>804</v>
      </c>
      <c r="H530" s="253"/>
      <c r="I530" s="253">
        <v>46805</v>
      </c>
      <c r="J530" s="874">
        <f t="shared" si="33"/>
        <v>56166</v>
      </c>
    </row>
    <row r="531" spans="2:10">
      <c r="B531" s="191" t="s">
        <v>559</v>
      </c>
      <c r="C531" s="246">
        <v>24</v>
      </c>
      <c r="D531" s="429">
        <v>44421.05</v>
      </c>
      <c r="E531" s="190">
        <v>42551</v>
      </c>
      <c r="F531" s="188" t="s">
        <v>559</v>
      </c>
      <c r="G531" s="833" t="s">
        <v>804</v>
      </c>
      <c r="H531" s="253"/>
      <c r="I531" s="253">
        <v>46759</v>
      </c>
      <c r="J531" s="874">
        <f t="shared" si="33"/>
        <v>56110.79999999993</v>
      </c>
    </row>
    <row r="532" spans="2:10">
      <c r="B532" s="191" t="s">
        <v>535</v>
      </c>
      <c r="C532" s="246">
        <v>20</v>
      </c>
      <c r="D532" s="429">
        <v>46747.6</v>
      </c>
      <c r="E532" s="190">
        <v>42551</v>
      </c>
      <c r="F532" s="40" t="s">
        <v>535</v>
      </c>
      <c r="G532" s="833" t="s">
        <v>804</v>
      </c>
      <c r="H532" s="253"/>
      <c r="I532" s="253">
        <v>49208</v>
      </c>
      <c r="J532" s="874">
        <f t="shared" si="33"/>
        <v>49208.000000000029</v>
      </c>
    </row>
    <row r="533" spans="2:10">
      <c r="B533" s="188" t="s">
        <v>813</v>
      </c>
      <c r="C533" s="246">
        <v>70</v>
      </c>
      <c r="D533" s="429">
        <v>46496.800000000003</v>
      </c>
      <c r="E533" s="190">
        <v>42551</v>
      </c>
      <c r="F533" s="188" t="s">
        <v>813</v>
      </c>
      <c r="G533" s="833" t="s">
        <v>804</v>
      </c>
      <c r="H533" s="253"/>
      <c r="I533" s="253">
        <v>48944</v>
      </c>
      <c r="J533" s="874">
        <f t="shared" si="33"/>
        <v>171303.9999999998</v>
      </c>
    </row>
    <row r="534" spans="2:10">
      <c r="B534" s="188" t="s">
        <v>813</v>
      </c>
      <c r="C534" s="246">
        <v>100</v>
      </c>
      <c r="D534" s="429">
        <v>47825</v>
      </c>
      <c r="E534" s="190">
        <v>42551</v>
      </c>
      <c r="F534" s="191" t="s">
        <v>813</v>
      </c>
      <c r="G534" s="833" t="s">
        <v>804</v>
      </c>
      <c r="H534" s="253"/>
      <c r="I534" s="253">
        <v>49818</v>
      </c>
      <c r="J534" s="874">
        <f t="shared" si="33"/>
        <v>199300</v>
      </c>
    </row>
    <row r="535" spans="2:10">
      <c r="B535" s="191" t="s">
        <v>708</v>
      </c>
      <c r="C535" s="246">
        <v>46</v>
      </c>
      <c r="D535" s="429">
        <v>48572.55</v>
      </c>
      <c r="E535" s="190">
        <v>42551</v>
      </c>
      <c r="F535" s="191" t="s">
        <v>708</v>
      </c>
      <c r="G535" s="833" t="s">
        <v>804</v>
      </c>
      <c r="H535" s="253"/>
      <c r="I535" s="253">
        <v>51129</v>
      </c>
      <c r="J535" s="874">
        <f t="shared" si="33"/>
        <v>117596.69999999987</v>
      </c>
    </row>
    <row r="536" spans="2:10">
      <c r="B536" s="191" t="s">
        <v>705</v>
      </c>
      <c r="C536" s="246">
        <v>12</v>
      </c>
      <c r="D536" s="429">
        <v>61944.75</v>
      </c>
      <c r="E536" s="190">
        <v>42551</v>
      </c>
      <c r="F536" s="292" t="s">
        <v>705</v>
      </c>
      <c r="G536" s="833" t="s">
        <v>804</v>
      </c>
      <c r="H536" s="253"/>
      <c r="I536" s="253">
        <v>65205</v>
      </c>
      <c r="J536" s="874">
        <f t="shared" si="33"/>
        <v>39123</v>
      </c>
    </row>
    <row r="537" spans="2:10">
      <c r="B537" s="191" t="s">
        <v>705</v>
      </c>
      <c r="C537" s="246">
        <v>20</v>
      </c>
      <c r="D537" s="429">
        <v>60484</v>
      </c>
      <c r="E537" s="190">
        <v>42551</v>
      </c>
      <c r="F537" s="191" t="s">
        <v>705</v>
      </c>
      <c r="G537" s="833" t="s">
        <v>804</v>
      </c>
      <c r="H537" s="253"/>
      <c r="I537" s="253">
        <v>63004</v>
      </c>
      <c r="J537" s="874">
        <f t="shared" si="33"/>
        <v>50400</v>
      </c>
    </row>
    <row r="538" spans="2:10">
      <c r="B538" s="191" t="s">
        <v>537</v>
      </c>
      <c r="C538" s="246">
        <v>48</v>
      </c>
      <c r="D538" s="429">
        <v>30042.799999999999</v>
      </c>
      <c r="E538" s="190">
        <v>42551</v>
      </c>
      <c r="F538" s="191" t="s">
        <v>537</v>
      </c>
      <c r="G538" s="833" t="s">
        <v>804</v>
      </c>
      <c r="H538" s="253"/>
      <c r="I538" s="253">
        <v>31624</v>
      </c>
      <c r="J538" s="874">
        <f t="shared" si="33"/>
        <v>75897.600000000035</v>
      </c>
    </row>
    <row r="539" spans="2:10">
      <c r="B539" s="188" t="s">
        <v>493</v>
      </c>
      <c r="C539" s="253">
        <v>32</v>
      </c>
      <c r="D539" s="429">
        <v>48056.7</v>
      </c>
      <c r="E539" s="190">
        <v>42551</v>
      </c>
      <c r="F539" s="188" t="s">
        <v>493</v>
      </c>
      <c r="G539" s="833" t="s">
        <v>804</v>
      </c>
      <c r="H539" s="253"/>
      <c r="I539" s="253">
        <v>50190</v>
      </c>
      <c r="J539" s="874">
        <f t="shared" si="33"/>
        <v>68265.600000000093</v>
      </c>
    </row>
    <row r="540" spans="2:10">
      <c r="B540" s="188" t="s">
        <v>493</v>
      </c>
      <c r="C540" s="253">
        <v>4</v>
      </c>
      <c r="D540" s="429">
        <v>53114.5</v>
      </c>
      <c r="E540" s="190">
        <v>42551</v>
      </c>
      <c r="F540" s="188" t="s">
        <v>493</v>
      </c>
      <c r="G540" s="833" t="s">
        <v>804</v>
      </c>
      <c r="H540" s="253"/>
      <c r="I540" s="253">
        <v>55474</v>
      </c>
      <c r="J540" s="874">
        <f t="shared" si="33"/>
        <v>9438</v>
      </c>
    </row>
    <row r="541" spans="2:10">
      <c r="B541" s="292" t="s">
        <v>515</v>
      </c>
      <c r="C541" s="246">
        <v>4</v>
      </c>
      <c r="D541" s="429">
        <v>78526.032258064515</v>
      </c>
      <c r="E541" s="190">
        <v>42551</v>
      </c>
      <c r="F541" s="188" t="s">
        <v>515</v>
      </c>
      <c r="G541" s="833" t="s">
        <v>804</v>
      </c>
      <c r="H541" s="253"/>
      <c r="I541" s="253">
        <v>82354</v>
      </c>
      <c r="J541" s="874">
        <f t="shared" si="33"/>
        <v>15311.870967741939</v>
      </c>
    </row>
    <row r="542" spans="2:10">
      <c r="B542" s="292" t="s">
        <v>515</v>
      </c>
      <c r="C542" s="246">
        <v>4</v>
      </c>
      <c r="D542" s="429">
        <v>78526.032258064515</v>
      </c>
      <c r="E542" s="190">
        <v>42551</v>
      </c>
      <c r="F542" s="188" t="s">
        <v>515</v>
      </c>
      <c r="G542" s="833" t="s">
        <v>804</v>
      </c>
      <c r="H542" s="254"/>
      <c r="I542" s="253">
        <v>82354</v>
      </c>
      <c r="J542" s="874">
        <f t="shared" si="33"/>
        <v>15311.870967741939</v>
      </c>
    </row>
    <row r="543" spans="2:10">
      <c r="B543" s="191" t="s">
        <v>484</v>
      </c>
      <c r="C543" s="246">
        <v>10</v>
      </c>
      <c r="D543" s="429">
        <v>37679</v>
      </c>
      <c r="E543" s="190">
        <v>42551</v>
      </c>
      <c r="F543" s="191" t="s">
        <v>484</v>
      </c>
      <c r="G543" s="833" t="s">
        <v>804</v>
      </c>
      <c r="H543" s="254"/>
      <c r="I543" s="254">
        <v>39249</v>
      </c>
      <c r="J543" s="874">
        <f t="shared" si="33"/>
        <v>15700</v>
      </c>
    </row>
    <row r="544" spans="2:10">
      <c r="B544" s="188" t="s">
        <v>818</v>
      </c>
      <c r="C544" s="253">
        <v>4</v>
      </c>
      <c r="D544" s="429">
        <v>76535.8</v>
      </c>
      <c r="E544" s="190">
        <v>42551</v>
      </c>
      <c r="F544" s="188" t="s">
        <v>818</v>
      </c>
      <c r="G544" s="833" t="s">
        <v>804</v>
      </c>
      <c r="H544" s="253"/>
      <c r="I544" s="253">
        <v>79981</v>
      </c>
      <c r="J544" s="874">
        <f t="shared" si="33"/>
        <v>13780.799999999988</v>
      </c>
    </row>
    <row r="545" spans="1:16">
      <c r="B545" s="188" t="s">
        <v>883</v>
      </c>
      <c r="C545" s="253">
        <v>7</v>
      </c>
      <c r="D545" s="429">
        <v>47006</v>
      </c>
      <c r="E545" s="190">
        <v>42551</v>
      </c>
      <c r="F545" s="188" t="s">
        <v>883</v>
      </c>
      <c r="G545" s="833" t="s">
        <v>804</v>
      </c>
      <c r="H545" s="253"/>
      <c r="I545" s="253">
        <v>49480</v>
      </c>
      <c r="J545" s="874">
        <f t="shared" si="33"/>
        <v>17318</v>
      </c>
    </row>
    <row r="546" spans="1:16">
      <c r="B546" s="188" t="s">
        <v>494</v>
      </c>
      <c r="C546" s="253">
        <v>10</v>
      </c>
      <c r="D546" s="429">
        <v>68276.5</v>
      </c>
      <c r="E546" s="190">
        <v>42551</v>
      </c>
      <c r="F546" s="188" t="s">
        <v>494</v>
      </c>
      <c r="G546" s="833" t="s">
        <v>804</v>
      </c>
      <c r="H546" s="253"/>
      <c r="I546" s="253">
        <v>71350</v>
      </c>
      <c r="J546" s="874">
        <f t="shared" si="33"/>
        <v>30735</v>
      </c>
    </row>
    <row r="547" spans="1:16">
      <c r="B547" s="191" t="s">
        <v>477</v>
      </c>
      <c r="C547" s="246">
        <v>180</v>
      </c>
      <c r="D547" s="429">
        <v>64140</v>
      </c>
      <c r="E547" s="190">
        <v>42551</v>
      </c>
      <c r="F547" s="188" t="s">
        <v>477</v>
      </c>
      <c r="G547" s="833" t="s">
        <v>804</v>
      </c>
      <c r="H547" s="253"/>
      <c r="I547" s="253">
        <v>66812</v>
      </c>
      <c r="J547" s="874">
        <f t="shared" si="33"/>
        <v>480960</v>
      </c>
      <c r="K547" s="246">
        <v>2</v>
      </c>
      <c r="L547" s="191" t="s">
        <v>1215</v>
      </c>
      <c r="M547" s="25">
        <v>25</v>
      </c>
      <c r="N547" s="289">
        <v>11405</v>
      </c>
      <c r="O547" s="429">
        <f>ROUND(C547*D547,0)</f>
        <v>11545200</v>
      </c>
    </row>
    <row r="548" spans="1:16">
      <c r="B548" s="191" t="s">
        <v>830</v>
      </c>
      <c r="C548" s="246">
        <v>25</v>
      </c>
      <c r="D548" s="429">
        <v>31090</v>
      </c>
      <c r="E548" s="190">
        <v>42551</v>
      </c>
      <c r="F548" s="191" t="s">
        <v>830</v>
      </c>
      <c r="G548" s="833" t="s">
        <v>804</v>
      </c>
      <c r="H548" s="253"/>
      <c r="I548" s="253">
        <v>32385</v>
      </c>
      <c r="J548" s="874">
        <f t="shared" si="33"/>
        <v>32375</v>
      </c>
    </row>
    <row r="549" spans="1:16">
      <c r="B549" s="191" t="s">
        <v>827</v>
      </c>
      <c r="C549" s="246">
        <v>10</v>
      </c>
      <c r="D549" s="429">
        <v>98119</v>
      </c>
      <c r="E549" s="190">
        <v>42551</v>
      </c>
      <c r="F549" s="191" t="s">
        <v>827</v>
      </c>
      <c r="G549" s="833" t="s">
        <v>804</v>
      </c>
      <c r="H549" s="253"/>
      <c r="I549" s="253">
        <v>102207</v>
      </c>
      <c r="J549" s="874">
        <f t="shared" si="33"/>
        <v>40880</v>
      </c>
    </row>
    <row r="550" spans="1:16">
      <c r="B550" s="188" t="s">
        <v>833</v>
      </c>
      <c r="C550" s="246">
        <v>30</v>
      </c>
      <c r="D550" s="429">
        <v>45177</v>
      </c>
      <c r="E550" s="190">
        <v>42551</v>
      </c>
      <c r="F550" s="188" t="s">
        <v>833</v>
      </c>
      <c r="G550" s="833" t="s">
        <v>804</v>
      </c>
      <c r="H550" s="256"/>
      <c r="I550" s="256">
        <v>47059</v>
      </c>
      <c r="J550" s="874">
        <f t="shared" si="33"/>
        <v>56460</v>
      </c>
    </row>
    <row r="551" spans="1:16">
      <c r="B551" s="191" t="s">
        <v>829</v>
      </c>
      <c r="C551" s="246">
        <v>20</v>
      </c>
      <c r="D551" s="429">
        <v>44917</v>
      </c>
      <c r="E551" s="190">
        <v>42551</v>
      </c>
      <c r="F551" s="191" t="s">
        <v>829</v>
      </c>
      <c r="G551" s="833" t="s">
        <v>804</v>
      </c>
      <c r="H551" s="253"/>
      <c r="I551" s="253">
        <v>46789</v>
      </c>
      <c r="J551" s="874">
        <f t="shared" si="33"/>
        <v>37440</v>
      </c>
    </row>
    <row r="552" spans="1:16">
      <c r="B552" s="188" t="s">
        <v>819</v>
      </c>
      <c r="C552" s="253">
        <v>4</v>
      </c>
      <c r="D552" s="429">
        <v>116655.25</v>
      </c>
      <c r="E552" s="190">
        <v>42551</v>
      </c>
      <c r="F552" s="188" t="s">
        <v>819</v>
      </c>
      <c r="G552" s="833" t="s">
        <v>804</v>
      </c>
      <c r="H552" s="253"/>
      <c r="I552" s="253">
        <v>122086</v>
      </c>
      <c r="J552" s="874">
        <f t="shared" si="33"/>
        <v>21723</v>
      </c>
    </row>
    <row r="553" spans="1:16">
      <c r="B553" s="292" t="s">
        <v>538</v>
      </c>
      <c r="C553" s="253">
        <v>36</v>
      </c>
      <c r="D553" s="429">
        <v>67731</v>
      </c>
      <c r="E553" s="190">
        <v>42551</v>
      </c>
      <c r="F553" s="292" t="s">
        <v>538</v>
      </c>
      <c r="G553" s="833" t="s">
        <v>804</v>
      </c>
      <c r="H553" s="253"/>
      <c r="I553" s="253">
        <v>71296</v>
      </c>
      <c r="J553" s="874">
        <f t="shared" si="33"/>
        <v>128340</v>
      </c>
    </row>
    <row r="554" spans="1:16">
      <c r="B554" s="191" t="s">
        <v>538</v>
      </c>
      <c r="C554" s="253">
        <v>30</v>
      </c>
      <c r="D554" s="429">
        <v>69735</v>
      </c>
      <c r="E554" s="190">
        <v>42551</v>
      </c>
      <c r="F554" s="191" t="s">
        <v>538</v>
      </c>
      <c r="G554" s="833" t="s">
        <v>804</v>
      </c>
      <c r="H554" s="253"/>
      <c r="I554" s="253">
        <v>72641</v>
      </c>
      <c r="J554" s="874">
        <f t="shared" si="33"/>
        <v>87180</v>
      </c>
    </row>
    <row r="555" spans="1:16">
      <c r="B555" s="191" t="s">
        <v>831</v>
      </c>
      <c r="C555" s="246">
        <v>25</v>
      </c>
      <c r="D555" s="429">
        <v>40497</v>
      </c>
      <c r="E555" s="190">
        <v>42551</v>
      </c>
      <c r="F555" s="191" t="s">
        <v>831</v>
      </c>
      <c r="G555" s="833" t="s">
        <v>804</v>
      </c>
      <c r="H555" s="253"/>
      <c r="I555" s="253">
        <v>42184</v>
      </c>
      <c r="J555" s="874">
        <f t="shared" si="33"/>
        <v>42175</v>
      </c>
    </row>
    <row r="556" spans="1:16">
      <c r="B556" s="40" t="s">
        <v>702</v>
      </c>
      <c r="C556" s="253">
        <v>6</v>
      </c>
      <c r="D556" s="429">
        <v>64744</v>
      </c>
      <c r="E556" s="190">
        <v>42551</v>
      </c>
      <c r="F556" s="40" t="s">
        <v>702</v>
      </c>
      <c r="G556" s="833" t="s">
        <v>804</v>
      </c>
      <c r="H556" s="253"/>
      <c r="I556" s="253">
        <v>67473</v>
      </c>
      <c r="J556" s="874">
        <f t="shared" si="33"/>
        <v>16374</v>
      </c>
    </row>
    <row r="557" spans="1:16">
      <c r="B557" s="292" t="s">
        <v>709</v>
      </c>
      <c r="C557" s="253">
        <v>12</v>
      </c>
      <c r="D557" s="429">
        <v>114373.35</v>
      </c>
      <c r="E557" s="190">
        <v>42551</v>
      </c>
      <c r="F557" s="292" t="s">
        <v>709</v>
      </c>
      <c r="G557" s="833" t="s">
        <v>804</v>
      </c>
      <c r="H557" s="253"/>
      <c r="I557" s="253">
        <v>120393</v>
      </c>
      <c r="J557" s="874">
        <f t="shared" si="33"/>
        <v>72235.79999999993</v>
      </c>
    </row>
    <row r="559" spans="1:16">
      <c r="C559" s="429"/>
    </row>
    <row r="560" spans="1:16">
      <c r="A560" s="246">
        <v>3</v>
      </c>
      <c r="B560" s="246">
        <v>3</v>
      </c>
      <c r="C560" s="246">
        <v>3</v>
      </c>
      <c r="D560" s="246">
        <v>3</v>
      </c>
      <c r="E560" s="246">
        <v>3</v>
      </c>
      <c r="F560" s="246">
        <v>3</v>
      </c>
      <c r="G560" s="246">
        <v>3</v>
      </c>
      <c r="H560" s="246">
        <v>3</v>
      </c>
      <c r="I560" s="246">
        <v>3</v>
      </c>
      <c r="J560" s="246">
        <v>3</v>
      </c>
      <c r="K560" s="246">
        <v>3</v>
      </c>
      <c r="L560" s="246">
        <v>3</v>
      </c>
      <c r="M560" s="246">
        <v>3</v>
      </c>
      <c r="N560" s="246">
        <v>3</v>
      </c>
      <c r="O560" s="246">
        <v>3</v>
      </c>
      <c r="P560" s="246">
        <v>3</v>
      </c>
    </row>
    <row r="561" spans="2:15" hidden="1">
      <c r="B561" s="246" t="s">
        <v>479</v>
      </c>
      <c r="C561" s="429">
        <v>300</v>
      </c>
      <c r="D561" s="429">
        <v>7628</v>
      </c>
      <c r="E561" s="190">
        <v>42562</v>
      </c>
      <c r="F561" s="292" t="s">
        <v>479</v>
      </c>
      <c r="G561" s="833" t="s">
        <v>1431</v>
      </c>
      <c r="H561" s="253"/>
      <c r="I561" s="253">
        <v>8030</v>
      </c>
      <c r="J561" s="874">
        <f t="shared" ref="J561:J626" si="34">(I561-D561)*C561</f>
        <v>120600</v>
      </c>
    </row>
    <row r="562" spans="2:15" hidden="1">
      <c r="B562" s="246" t="s">
        <v>1433</v>
      </c>
      <c r="C562" s="246">
        <v>60</v>
      </c>
      <c r="D562" s="429">
        <v>36917</v>
      </c>
      <c r="E562" s="190">
        <v>42565</v>
      </c>
      <c r="F562" s="292" t="s">
        <v>1433</v>
      </c>
      <c r="G562" s="833" t="s">
        <v>1432</v>
      </c>
      <c r="H562" s="253"/>
      <c r="I562" s="253">
        <v>38860</v>
      </c>
      <c r="J562" s="874">
        <f t="shared" si="34"/>
        <v>116580</v>
      </c>
    </row>
    <row r="563" spans="2:15" hidden="1">
      <c r="B563" s="246" t="s">
        <v>1434</v>
      </c>
      <c r="C563" s="246">
        <v>80</v>
      </c>
      <c r="D563" s="429">
        <v>32566</v>
      </c>
      <c r="E563" s="190">
        <v>42565</v>
      </c>
      <c r="F563" s="292" t="s">
        <v>1434</v>
      </c>
      <c r="G563" s="833" t="s">
        <v>1432</v>
      </c>
      <c r="H563" s="253"/>
      <c r="I563" s="253">
        <v>34280</v>
      </c>
      <c r="J563" s="874">
        <f t="shared" si="34"/>
        <v>137120</v>
      </c>
    </row>
    <row r="564" spans="2:15" hidden="1">
      <c r="B564" s="246" t="s">
        <v>867</v>
      </c>
      <c r="C564" s="246">
        <v>64</v>
      </c>
      <c r="D564" s="429">
        <v>26526.6</v>
      </c>
      <c r="E564" s="190">
        <v>42565</v>
      </c>
      <c r="F564" s="292" t="s">
        <v>867</v>
      </c>
      <c r="G564" s="833" t="s">
        <v>1432</v>
      </c>
      <c r="H564" s="253"/>
      <c r="I564" s="253">
        <v>27350</v>
      </c>
      <c r="J564" s="874">
        <f t="shared" si="34"/>
        <v>52697.600000000093</v>
      </c>
    </row>
    <row r="565" spans="2:15" hidden="1">
      <c r="B565" s="246" t="s">
        <v>1435</v>
      </c>
      <c r="C565" s="246">
        <v>55</v>
      </c>
      <c r="D565" s="429">
        <v>43827</v>
      </c>
      <c r="E565" s="190">
        <v>42565</v>
      </c>
      <c r="F565" s="292" t="s">
        <v>1435</v>
      </c>
      <c r="G565" s="833" t="s">
        <v>1432</v>
      </c>
      <c r="H565" s="253"/>
      <c r="I565" s="253">
        <v>46134</v>
      </c>
      <c r="J565" s="874">
        <f t="shared" si="34"/>
        <v>126885</v>
      </c>
    </row>
    <row r="566" spans="2:15" hidden="1">
      <c r="B566" s="246" t="s">
        <v>1438</v>
      </c>
      <c r="C566" s="246">
        <v>12</v>
      </c>
      <c r="D566" s="429">
        <v>58264</v>
      </c>
      <c r="E566" s="190">
        <v>42566</v>
      </c>
      <c r="F566" s="292" t="s">
        <v>1438</v>
      </c>
      <c r="G566" s="833" t="s">
        <v>1436</v>
      </c>
      <c r="H566" s="253"/>
      <c r="I566" s="253">
        <v>61328</v>
      </c>
      <c r="J566" s="874">
        <f t="shared" si="34"/>
        <v>36768</v>
      </c>
    </row>
    <row r="567" spans="2:15" hidden="1">
      <c r="B567" s="246" t="s">
        <v>1439</v>
      </c>
      <c r="C567" s="246">
        <v>12</v>
      </c>
      <c r="D567" s="429">
        <v>39561</v>
      </c>
      <c r="E567" s="190">
        <v>42566</v>
      </c>
      <c r="F567" s="292" t="s">
        <v>1439</v>
      </c>
      <c r="G567" s="833" t="s">
        <v>1436</v>
      </c>
      <c r="H567" s="253"/>
      <c r="I567" s="253">
        <v>41644</v>
      </c>
      <c r="J567" s="874">
        <f t="shared" si="34"/>
        <v>24996</v>
      </c>
    </row>
    <row r="568" spans="2:15" hidden="1">
      <c r="B568" s="246" t="s">
        <v>1440</v>
      </c>
      <c r="C568" s="246">
        <v>81</v>
      </c>
      <c r="D568" s="429">
        <v>110065</v>
      </c>
      <c r="E568" s="190">
        <v>42566</v>
      </c>
      <c r="F568" s="292" t="s">
        <v>1440</v>
      </c>
      <c r="G568" s="833" t="s">
        <v>1436</v>
      </c>
      <c r="H568" s="253"/>
      <c r="I568" s="253">
        <v>115858</v>
      </c>
      <c r="J568" s="874">
        <f t="shared" si="34"/>
        <v>469233</v>
      </c>
      <c r="K568" s="246">
        <v>1</v>
      </c>
      <c r="L568" s="188" t="s">
        <v>1276</v>
      </c>
      <c r="M568" s="25">
        <v>15</v>
      </c>
      <c r="N568" s="289">
        <v>23517</v>
      </c>
      <c r="O568" s="429">
        <f>ROUND(C568*D568,0)</f>
        <v>8915265</v>
      </c>
    </row>
    <row r="569" spans="2:15" hidden="1">
      <c r="B569" s="246" t="s">
        <v>1441</v>
      </c>
      <c r="C569" s="246">
        <v>81</v>
      </c>
      <c r="D569" s="429">
        <v>7851</v>
      </c>
      <c r="E569" s="190">
        <v>42566</v>
      </c>
      <c r="F569" s="292" t="s">
        <v>1441</v>
      </c>
      <c r="G569" s="833" t="s">
        <v>1436</v>
      </c>
      <c r="H569" s="253"/>
      <c r="I569" s="253">
        <v>8265</v>
      </c>
      <c r="J569" s="874">
        <f t="shared" si="34"/>
        <v>33534</v>
      </c>
    </row>
    <row r="570" spans="2:15" hidden="1">
      <c r="B570" s="246" t="s">
        <v>1444</v>
      </c>
      <c r="C570" s="246">
        <v>200</v>
      </c>
      <c r="D570" s="429">
        <v>12330</v>
      </c>
      <c r="E570" s="190">
        <v>42569</v>
      </c>
      <c r="F570" s="292" t="s">
        <v>1444</v>
      </c>
      <c r="G570" s="833" t="s">
        <v>1442</v>
      </c>
      <c r="H570" s="253"/>
      <c r="I570" s="253">
        <v>12979</v>
      </c>
      <c r="J570" s="874">
        <f t="shared" si="34"/>
        <v>129800</v>
      </c>
    </row>
    <row r="571" spans="2:15" hidden="1">
      <c r="B571" s="246" t="s">
        <v>921</v>
      </c>
      <c r="C571" s="246">
        <v>5000</v>
      </c>
      <c r="D571" s="429">
        <v>8550</v>
      </c>
      <c r="E571" s="190">
        <v>42576</v>
      </c>
      <c r="F571" s="292" t="s">
        <v>921</v>
      </c>
      <c r="G571" s="833" t="s">
        <v>1445</v>
      </c>
      <c r="H571" s="253"/>
      <c r="I571" s="253">
        <v>9000</v>
      </c>
      <c r="J571" s="874">
        <f t="shared" si="34"/>
        <v>2250000</v>
      </c>
      <c r="K571" s="246">
        <v>1</v>
      </c>
      <c r="L571" s="292" t="s">
        <v>1115</v>
      </c>
      <c r="M571" s="25">
        <v>180</v>
      </c>
      <c r="N571" s="289">
        <v>10597</v>
      </c>
      <c r="O571" s="429">
        <f t="shared" ref="O571:O575" si="35">ROUND(C571*D571,0)</f>
        <v>42750000</v>
      </c>
    </row>
    <row r="572" spans="2:15" hidden="1">
      <c r="B572" s="246" t="s">
        <v>1447</v>
      </c>
      <c r="C572" s="246">
        <v>500</v>
      </c>
      <c r="D572" s="429">
        <v>19494</v>
      </c>
      <c r="E572" s="190">
        <v>42576</v>
      </c>
      <c r="F572" s="292" t="s">
        <v>1447</v>
      </c>
      <c r="G572" s="833" t="s">
        <v>1446</v>
      </c>
      <c r="H572" s="253"/>
      <c r="I572" s="253">
        <v>20520</v>
      </c>
      <c r="J572" s="874">
        <f t="shared" si="34"/>
        <v>513000</v>
      </c>
      <c r="K572" s="246">
        <v>1</v>
      </c>
      <c r="L572" s="191" t="s">
        <v>1220</v>
      </c>
      <c r="M572" s="25">
        <v>40</v>
      </c>
      <c r="N572" s="289">
        <v>7623</v>
      </c>
      <c r="O572" s="429">
        <f t="shared" si="35"/>
        <v>9747000</v>
      </c>
    </row>
    <row r="573" spans="2:15" hidden="1">
      <c r="B573" s="246" t="s">
        <v>1450</v>
      </c>
      <c r="C573" s="246">
        <v>500</v>
      </c>
      <c r="D573" s="429">
        <v>28433</v>
      </c>
      <c r="E573" s="190">
        <v>42579</v>
      </c>
      <c r="F573" s="292" t="s">
        <v>1450</v>
      </c>
      <c r="G573" s="833" t="s">
        <v>1448</v>
      </c>
      <c r="H573" s="253"/>
      <c r="I573" s="253">
        <v>29930</v>
      </c>
      <c r="J573" s="874">
        <f t="shared" si="34"/>
        <v>748500</v>
      </c>
      <c r="L573" s="191"/>
      <c r="M573" s="25"/>
      <c r="N573" s="289"/>
    </row>
    <row r="574" spans="2:15" hidden="1">
      <c r="B574" s="292" t="s">
        <v>1178</v>
      </c>
      <c r="C574" s="246">
        <v>1450</v>
      </c>
      <c r="D574" s="429">
        <v>33491.379310344826</v>
      </c>
      <c r="E574" s="190">
        <v>42580</v>
      </c>
      <c r="F574" s="292" t="s">
        <v>1178</v>
      </c>
      <c r="G574" s="833" t="s">
        <v>1452</v>
      </c>
      <c r="H574" s="253"/>
      <c r="I574" s="253">
        <v>35000</v>
      </c>
      <c r="J574" s="874">
        <f t="shared" si="34"/>
        <v>2187500.0000000023</v>
      </c>
      <c r="K574" s="246">
        <v>1</v>
      </c>
      <c r="L574" s="292" t="s">
        <v>1114</v>
      </c>
      <c r="M574" s="25">
        <v>200</v>
      </c>
      <c r="N574" s="289">
        <v>9916</v>
      </c>
      <c r="O574" s="429">
        <f t="shared" si="35"/>
        <v>48562500</v>
      </c>
    </row>
    <row r="575" spans="2:15" hidden="1">
      <c r="B575" s="292" t="s">
        <v>1179</v>
      </c>
      <c r="C575" s="246">
        <v>1500</v>
      </c>
      <c r="D575" s="429">
        <v>31070</v>
      </c>
      <c r="E575" s="190">
        <v>42580</v>
      </c>
      <c r="F575" s="292" t="s">
        <v>1179</v>
      </c>
      <c r="G575" s="833" t="s">
        <v>1452</v>
      </c>
      <c r="H575" s="253"/>
      <c r="I575" s="253">
        <v>32500</v>
      </c>
      <c r="J575" s="874">
        <f t="shared" si="34"/>
        <v>2145000</v>
      </c>
      <c r="K575" s="246">
        <v>1</v>
      </c>
      <c r="L575" s="188" t="s">
        <v>1272</v>
      </c>
      <c r="M575" s="25">
        <v>100</v>
      </c>
      <c r="N575" s="289">
        <v>19735.599999999999</v>
      </c>
      <c r="O575" s="429">
        <f t="shared" si="35"/>
        <v>46605000</v>
      </c>
    </row>
    <row r="576" spans="2:15" hidden="1">
      <c r="B576" s="290" t="s">
        <v>451</v>
      </c>
      <c r="C576" s="429">
        <v>1400</v>
      </c>
      <c r="D576" s="429">
        <v>17760</v>
      </c>
      <c r="E576" s="190">
        <v>42580</v>
      </c>
      <c r="F576" s="290" t="s">
        <v>451</v>
      </c>
      <c r="G576" s="833" t="s">
        <v>1452</v>
      </c>
      <c r="H576" s="253"/>
      <c r="I576" s="253">
        <v>18500</v>
      </c>
      <c r="J576" s="874">
        <f t="shared" si="34"/>
        <v>1036000</v>
      </c>
    </row>
    <row r="577" spans="2:10" hidden="1">
      <c r="B577" s="290" t="s">
        <v>451</v>
      </c>
      <c r="C577" s="429">
        <v>2900</v>
      </c>
      <c r="D577" s="429">
        <v>17575</v>
      </c>
      <c r="E577" s="190">
        <v>42580</v>
      </c>
      <c r="F577" s="290"/>
      <c r="G577" s="833" t="s">
        <v>1452</v>
      </c>
      <c r="H577" s="253"/>
      <c r="I577" s="253"/>
      <c r="J577" s="874"/>
    </row>
    <row r="578" spans="2:10" hidden="1">
      <c r="B578" s="290" t="s">
        <v>450</v>
      </c>
      <c r="C578" s="429">
        <v>1150</v>
      </c>
      <c r="D578" s="429">
        <v>17760</v>
      </c>
      <c r="E578" s="190">
        <v>42580</v>
      </c>
      <c r="F578" s="290" t="s">
        <v>450</v>
      </c>
      <c r="G578" s="833" t="s">
        <v>1452</v>
      </c>
      <c r="H578" s="253"/>
      <c r="I578" s="253">
        <v>18500</v>
      </c>
      <c r="J578" s="874">
        <f t="shared" si="34"/>
        <v>851000</v>
      </c>
    </row>
    <row r="579" spans="2:10" hidden="1">
      <c r="B579" s="290" t="s">
        <v>450</v>
      </c>
      <c r="C579" s="429">
        <v>2850</v>
      </c>
      <c r="D579" s="429">
        <v>17575</v>
      </c>
      <c r="E579" s="190">
        <v>42580</v>
      </c>
      <c r="F579" s="290"/>
      <c r="G579" s="833" t="s">
        <v>1452</v>
      </c>
      <c r="H579" s="253"/>
      <c r="I579" s="253"/>
      <c r="J579" s="874"/>
    </row>
    <row r="580" spans="2:10" hidden="1">
      <c r="B580" s="292" t="s">
        <v>1455</v>
      </c>
      <c r="C580" s="246">
        <v>2100</v>
      </c>
      <c r="D580" s="429">
        <v>8160</v>
      </c>
      <c r="E580" s="190">
        <v>42580</v>
      </c>
      <c r="F580" s="292" t="s">
        <v>1455</v>
      </c>
      <c r="G580" s="833" t="s">
        <v>1453</v>
      </c>
      <c r="H580" s="253"/>
      <c r="I580" s="253">
        <v>8500</v>
      </c>
      <c r="J580" s="874">
        <f t="shared" si="34"/>
        <v>714000</v>
      </c>
    </row>
    <row r="581" spans="2:10" hidden="1">
      <c r="B581" s="246" t="s">
        <v>809</v>
      </c>
      <c r="C581" s="246">
        <v>12</v>
      </c>
      <c r="D581" s="429">
        <v>42400</v>
      </c>
      <c r="E581" s="190">
        <v>42581</v>
      </c>
      <c r="F581" s="292" t="s">
        <v>809</v>
      </c>
      <c r="G581" s="833" t="s">
        <v>1470</v>
      </c>
      <c r="H581" s="253"/>
      <c r="I581" s="253">
        <v>44814</v>
      </c>
      <c r="J581" s="874">
        <f t="shared" si="34"/>
        <v>28968</v>
      </c>
    </row>
    <row r="582" spans="2:10" hidden="1">
      <c r="B582" s="246" t="s">
        <v>1456</v>
      </c>
      <c r="C582" s="246">
        <v>12</v>
      </c>
      <c r="D582" s="429">
        <v>45300</v>
      </c>
      <c r="E582" s="190">
        <v>42581</v>
      </c>
      <c r="F582" s="292" t="s">
        <v>1456</v>
      </c>
      <c r="G582" s="833" t="s">
        <v>1470</v>
      </c>
      <c r="H582" s="253"/>
      <c r="I582" s="253">
        <v>45738</v>
      </c>
      <c r="J582" s="874">
        <f t="shared" si="34"/>
        <v>5256</v>
      </c>
    </row>
    <row r="583" spans="2:10" hidden="1">
      <c r="B583" s="246" t="s">
        <v>821</v>
      </c>
      <c r="C583" s="246">
        <v>12</v>
      </c>
      <c r="D583" s="429">
        <v>49500</v>
      </c>
      <c r="E583" s="190">
        <v>42581</v>
      </c>
      <c r="F583" s="292" t="s">
        <v>821</v>
      </c>
      <c r="G583" s="833" t="s">
        <v>1470</v>
      </c>
      <c r="H583" s="253"/>
      <c r="I583" s="253">
        <v>49833</v>
      </c>
      <c r="J583" s="874">
        <f t="shared" si="34"/>
        <v>3996</v>
      </c>
    </row>
    <row r="584" spans="2:10" hidden="1">
      <c r="B584" s="292" t="s">
        <v>818</v>
      </c>
      <c r="C584" s="246">
        <v>9</v>
      </c>
      <c r="D584" s="429">
        <v>77341</v>
      </c>
      <c r="E584" s="190">
        <v>42581</v>
      </c>
      <c r="F584" s="292" t="s">
        <v>818</v>
      </c>
      <c r="G584" s="833" t="s">
        <v>1470</v>
      </c>
      <c r="H584" s="253"/>
      <c r="I584" s="253">
        <v>80546</v>
      </c>
      <c r="J584" s="874">
        <f t="shared" si="34"/>
        <v>28845</v>
      </c>
    </row>
    <row r="585" spans="2:10" hidden="1">
      <c r="B585" s="246" t="s">
        <v>878</v>
      </c>
      <c r="C585" s="246">
        <v>14</v>
      </c>
      <c r="D585" s="429">
        <v>43357</v>
      </c>
      <c r="E585" s="190">
        <v>42581</v>
      </c>
      <c r="F585" s="292" t="s">
        <v>878</v>
      </c>
      <c r="G585" s="833" t="s">
        <v>1470</v>
      </c>
      <c r="H585" s="253"/>
      <c r="I585" s="253">
        <v>45864</v>
      </c>
      <c r="J585" s="874">
        <f t="shared" si="34"/>
        <v>35098</v>
      </c>
    </row>
    <row r="586" spans="2:10" hidden="1">
      <c r="B586" s="246" t="s">
        <v>494</v>
      </c>
      <c r="C586" s="246">
        <v>12</v>
      </c>
      <c r="D586" s="429">
        <v>71747.5</v>
      </c>
      <c r="E586" s="190">
        <v>42581</v>
      </c>
      <c r="F586" s="292" t="s">
        <v>494</v>
      </c>
      <c r="G586" s="833" t="s">
        <v>1470</v>
      </c>
      <c r="H586" s="253"/>
      <c r="I586" s="253">
        <v>71870</v>
      </c>
      <c r="J586" s="874">
        <f t="shared" si="34"/>
        <v>1470</v>
      </c>
    </row>
    <row r="587" spans="2:10" hidden="1">
      <c r="B587" s="246" t="s">
        <v>809</v>
      </c>
      <c r="C587" s="246">
        <v>24</v>
      </c>
      <c r="D587" s="429">
        <v>42400</v>
      </c>
      <c r="E587" s="190">
        <v>42581</v>
      </c>
      <c r="F587" s="292" t="s">
        <v>809</v>
      </c>
      <c r="G587" s="833" t="s">
        <v>1470</v>
      </c>
      <c r="H587" s="253"/>
      <c r="I587" s="253">
        <v>42669</v>
      </c>
      <c r="J587" s="874">
        <f t="shared" si="34"/>
        <v>6456</v>
      </c>
    </row>
    <row r="588" spans="2:10" hidden="1">
      <c r="B588" s="292" t="s">
        <v>820</v>
      </c>
      <c r="C588" s="246">
        <v>8</v>
      </c>
      <c r="D588" s="429">
        <v>99348</v>
      </c>
      <c r="E588" s="190">
        <v>42581</v>
      </c>
      <c r="F588" s="292" t="s">
        <v>820</v>
      </c>
      <c r="G588" s="833" t="s">
        <v>1470</v>
      </c>
      <c r="H588" s="253"/>
      <c r="I588" s="253">
        <v>103488</v>
      </c>
      <c r="J588" s="874">
        <f t="shared" si="34"/>
        <v>33120</v>
      </c>
    </row>
    <row r="589" spans="2:10" hidden="1">
      <c r="B589" s="246" t="s">
        <v>809</v>
      </c>
      <c r="C589" s="246">
        <v>12</v>
      </c>
      <c r="D589" s="429">
        <v>42400</v>
      </c>
      <c r="E589" s="190">
        <v>42581</v>
      </c>
      <c r="F589" s="292" t="s">
        <v>809</v>
      </c>
      <c r="G589" s="833" t="s">
        <v>1470</v>
      </c>
      <c r="H589" s="253"/>
      <c r="I589" s="253">
        <v>44814</v>
      </c>
      <c r="J589" s="874">
        <f t="shared" si="34"/>
        <v>28968</v>
      </c>
    </row>
    <row r="590" spans="2:10" hidden="1">
      <c r="B590" s="246" t="s">
        <v>822</v>
      </c>
      <c r="C590" s="246">
        <v>12</v>
      </c>
      <c r="D590" s="429">
        <v>108192</v>
      </c>
      <c r="E590" s="190">
        <v>42581</v>
      </c>
      <c r="F590" s="292" t="s">
        <v>822</v>
      </c>
      <c r="G590" s="833" t="s">
        <v>1470</v>
      </c>
      <c r="H590" s="253"/>
      <c r="I590" s="253">
        <v>112728</v>
      </c>
      <c r="J590" s="874">
        <f t="shared" si="34"/>
        <v>54432</v>
      </c>
    </row>
    <row r="591" spans="2:10" hidden="1">
      <c r="B591" s="246" t="s">
        <v>882</v>
      </c>
      <c r="C591" s="246">
        <v>16</v>
      </c>
      <c r="D591" s="429">
        <v>66576</v>
      </c>
      <c r="E591" s="190">
        <v>42581</v>
      </c>
      <c r="F591" s="292" t="s">
        <v>882</v>
      </c>
      <c r="G591" s="833" t="s">
        <v>1470</v>
      </c>
      <c r="H591" s="253"/>
      <c r="I591" s="253">
        <v>69350</v>
      </c>
      <c r="J591" s="874">
        <f t="shared" si="34"/>
        <v>44384</v>
      </c>
    </row>
    <row r="592" spans="2:10" hidden="1">
      <c r="B592" s="246" t="s">
        <v>883</v>
      </c>
      <c r="C592" s="246">
        <v>7</v>
      </c>
      <c r="D592" s="429">
        <v>45501</v>
      </c>
      <c r="E592" s="190">
        <v>42581</v>
      </c>
      <c r="F592" s="292" t="s">
        <v>883</v>
      </c>
      <c r="G592" s="833" t="s">
        <v>1470</v>
      </c>
      <c r="H592" s="253"/>
      <c r="I592" s="253">
        <v>49480</v>
      </c>
      <c r="J592" s="874">
        <f t="shared" si="34"/>
        <v>27853</v>
      </c>
    </row>
    <row r="593" spans="2:10" hidden="1">
      <c r="B593" s="292" t="s">
        <v>818</v>
      </c>
      <c r="C593" s="246">
        <v>4</v>
      </c>
      <c r="D593" s="429">
        <v>77341</v>
      </c>
      <c r="E593" s="190">
        <v>42581</v>
      </c>
      <c r="F593" s="292" t="s">
        <v>818</v>
      </c>
      <c r="G593" s="833" t="s">
        <v>1470</v>
      </c>
      <c r="H593" s="253"/>
      <c r="I593" s="253">
        <v>80546</v>
      </c>
      <c r="J593" s="874">
        <f t="shared" si="34"/>
        <v>12820</v>
      </c>
    </row>
    <row r="594" spans="2:10" hidden="1">
      <c r="B594" s="246" t="s">
        <v>873</v>
      </c>
      <c r="C594" s="246">
        <v>12</v>
      </c>
      <c r="D594" s="429">
        <v>43183</v>
      </c>
      <c r="E594" s="190">
        <v>42581</v>
      </c>
      <c r="F594" s="292" t="s">
        <v>873</v>
      </c>
      <c r="G594" s="833" t="s">
        <v>1470</v>
      </c>
      <c r="H594" s="253"/>
      <c r="I594" s="253">
        <v>44982</v>
      </c>
      <c r="J594" s="874">
        <f t="shared" si="34"/>
        <v>21588</v>
      </c>
    </row>
    <row r="595" spans="2:10" hidden="1">
      <c r="B595" s="246" t="s">
        <v>874</v>
      </c>
      <c r="C595" s="246">
        <v>6</v>
      </c>
      <c r="D595" s="429">
        <v>34428</v>
      </c>
      <c r="E595" s="190">
        <v>42581</v>
      </c>
      <c r="F595" s="292" t="s">
        <v>874</v>
      </c>
      <c r="G595" s="833" t="s">
        <v>1470</v>
      </c>
      <c r="H595" s="253"/>
      <c r="I595" s="253">
        <v>34507</v>
      </c>
      <c r="J595" s="874">
        <f t="shared" si="34"/>
        <v>474</v>
      </c>
    </row>
    <row r="596" spans="2:10" hidden="1">
      <c r="B596" s="292" t="s">
        <v>875</v>
      </c>
      <c r="C596" s="246">
        <v>8</v>
      </c>
      <c r="D596" s="429">
        <v>53255</v>
      </c>
      <c r="E596" s="190">
        <v>42581</v>
      </c>
      <c r="F596" s="292" t="s">
        <v>875</v>
      </c>
      <c r="G596" s="833" t="s">
        <v>1470</v>
      </c>
      <c r="H596" s="253"/>
      <c r="I596" s="253">
        <v>55474</v>
      </c>
      <c r="J596" s="874">
        <f t="shared" si="34"/>
        <v>17752</v>
      </c>
    </row>
    <row r="597" spans="2:10" hidden="1">
      <c r="B597" s="246" t="s">
        <v>809</v>
      </c>
      <c r="C597" s="246">
        <v>8</v>
      </c>
      <c r="D597" s="429">
        <v>42400</v>
      </c>
      <c r="E597" s="190">
        <v>42581</v>
      </c>
      <c r="F597" s="292" t="s">
        <v>809</v>
      </c>
      <c r="G597" s="833" t="s">
        <v>1470</v>
      </c>
      <c r="H597" s="253"/>
      <c r="I597" s="253">
        <v>44814</v>
      </c>
      <c r="J597" s="874">
        <f t="shared" si="34"/>
        <v>19312</v>
      </c>
    </row>
    <row r="598" spans="2:10" hidden="1">
      <c r="B598" s="246" t="s">
        <v>864</v>
      </c>
      <c r="C598" s="246">
        <v>15</v>
      </c>
      <c r="D598" s="429">
        <v>113827</v>
      </c>
      <c r="E598" s="190">
        <v>42581</v>
      </c>
      <c r="F598" s="292" t="s">
        <v>864</v>
      </c>
      <c r="G598" s="833" t="s">
        <v>1470</v>
      </c>
      <c r="H598" s="253"/>
      <c r="I598" s="253">
        <v>118570</v>
      </c>
      <c r="J598" s="874">
        <f t="shared" si="34"/>
        <v>71145</v>
      </c>
    </row>
    <row r="599" spans="2:10" hidden="1">
      <c r="B599" s="290" t="s">
        <v>451</v>
      </c>
      <c r="C599" s="874">
        <v>150</v>
      </c>
      <c r="D599" s="429">
        <v>10500</v>
      </c>
      <c r="E599" s="190">
        <v>42581</v>
      </c>
      <c r="F599" s="292" t="s">
        <v>451</v>
      </c>
      <c r="G599" s="833" t="s">
        <v>1470</v>
      </c>
      <c r="H599" s="253"/>
      <c r="I599" s="253">
        <v>10500</v>
      </c>
      <c r="J599" s="874">
        <f t="shared" si="34"/>
        <v>0</v>
      </c>
    </row>
    <row r="600" spans="2:10" hidden="1">
      <c r="B600" s="290" t="s">
        <v>451</v>
      </c>
      <c r="C600" s="874">
        <v>1147</v>
      </c>
      <c r="D600" s="429">
        <v>10500</v>
      </c>
      <c r="E600" s="190">
        <v>42581</v>
      </c>
      <c r="F600" s="292" t="s">
        <v>451</v>
      </c>
      <c r="G600" s="833" t="s">
        <v>1470</v>
      </c>
      <c r="H600" s="253"/>
      <c r="I600" s="253">
        <v>10500</v>
      </c>
      <c r="J600" s="874">
        <f t="shared" si="34"/>
        <v>0</v>
      </c>
    </row>
    <row r="601" spans="2:10" hidden="1">
      <c r="B601" s="246" t="s">
        <v>490</v>
      </c>
      <c r="C601" s="246">
        <v>4</v>
      </c>
      <c r="D601" s="429">
        <v>156966</v>
      </c>
      <c r="E601" s="190">
        <v>42581</v>
      </c>
      <c r="F601" s="292" t="s">
        <v>490</v>
      </c>
      <c r="G601" s="833" t="s">
        <v>1470</v>
      </c>
      <c r="H601" s="253"/>
      <c r="I601" s="253">
        <v>163506</v>
      </c>
      <c r="J601" s="874">
        <f t="shared" si="34"/>
        <v>26160</v>
      </c>
    </row>
    <row r="602" spans="2:10" hidden="1">
      <c r="B602" s="292" t="s">
        <v>817</v>
      </c>
      <c r="C602" s="246">
        <v>4</v>
      </c>
      <c r="D602" s="429">
        <v>144547</v>
      </c>
      <c r="E602" s="190">
        <v>42581</v>
      </c>
      <c r="F602" s="292" t="s">
        <v>817</v>
      </c>
      <c r="G602" s="833" t="s">
        <v>1470</v>
      </c>
      <c r="H602" s="253"/>
      <c r="I602" s="253">
        <v>150570</v>
      </c>
      <c r="J602" s="874">
        <f t="shared" si="34"/>
        <v>24092</v>
      </c>
    </row>
    <row r="603" spans="2:10" hidden="1">
      <c r="B603" s="246" t="s">
        <v>823</v>
      </c>
      <c r="C603" s="246">
        <v>2</v>
      </c>
      <c r="D603" s="429">
        <v>186785.2</v>
      </c>
      <c r="E603" s="190">
        <v>42581</v>
      </c>
      <c r="F603" s="292" t="s">
        <v>823</v>
      </c>
      <c r="G603" s="833" t="s">
        <v>1470</v>
      </c>
      <c r="H603" s="253"/>
      <c r="I603" s="253">
        <v>186837</v>
      </c>
      <c r="J603" s="874">
        <f t="shared" si="34"/>
        <v>103.59999999997672</v>
      </c>
    </row>
    <row r="604" spans="2:10" hidden="1">
      <c r="B604" s="246" t="s">
        <v>869</v>
      </c>
      <c r="C604" s="246">
        <v>16</v>
      </c>
      <c r="D604" s="429">
        <v>18619</v>
      </c>
      <c r="E604" s="190">
        <v>42581</v>
      </c>
      <c r="F604" s="292" t="s">
        <v>869</v>
      </c>
      <c r="G604" s="833" t="s">
        <v>1470</v>
      </c>
      <c r="H604" s="253"/>
      <c r="I604" s="253">
        <v>19395</v>
      </c>
      <c r="J604" s="874">
        <f t="shared" si="34"/>
        <v>12416</v>
      </c>
    </row>
    <row r="605" spans="2:10" hidden="1">
      <c r="B605" s="292" t="s">
        <v>468</v>
      </c>
      <c r="C605" s="246">
        <v>6</v>
      </c>
      <c r="D605" s="429">
        <v>73907</v>
      </c>
      <c r="E605" s="190">
        <v>42581</v>
      </c>
      <c r="F605" s="292" t="s">
        <v>468</v>
      </c>
      <c r="G605" s="833" t="s">
        <v>1470</v>
      </c>
      <c r="H605" s="253"/>
      <c r="I605" s="253">
        <v>76986</v>
      </c>
      <c r="J605" s="874">
        <f t="shared" si="34"/>
        <v>18474</v>
      </c>
    </row>
    <row r="606" spans="2:10" hidden="1">
      <c r="B606" s="292" t="s">
        <v>705</v>
      </c>
      <c r="C606" s="246">
        <v>6</v>
      </c>
      <c r="D606" s="429">
        <v>38417</v>
      </c>
      <c r="E606" s="190">
        <v>42581</v>
      </c>
      <c r="F606" s="292" t="s">
        <v>705</v>
      </c>
      <c r="G606" s="833" t="s">
        <v>1470</v>
      </c>
      <c r="H606" s="253"/>
      <c r="I606" s="253">
        <v>40018</v>
      </c>
      <c r="J606" s="874">
        <f t="shared" si="34"/>
        <v>9606</v>
      </c>
    </row>
    <row r="607" spans="2:10" hidden="1">
      <c r="B607" s="246" t="s">
        <v>511</v>
      </c>
      <c r="C607" s="246">
        <v>8</v>
      </c>
      <c r="D607" s="429">
        <v>32127</v>
      </c>
      <c r="E607" s="190">
        <v>42581</v>
      </c>
      <c r="F607" s="292" t="s">
        <v>511</v>
      </c>
      <c r="G607" s="833" t="s">
        <v>1470</v>
      </c>
      <c r="H607" s="253"/>
      <c r="I607" s="253">
        <v>33466</v>
      </c>
      <c r="J607" s="874">
        <f t="shared" si="34"/>
        <v>10712</v>
      </c>
    </row>
    <row r="608" spans="2:10" hidden="1">
      <c r="B608" s="292" t="s">
        <v>469</v>
      </c>
      <c r="C608" s="246">
        <v>5</v>
      </c>
      <c r="D608" s="429">
        <v>59912</v>
      </c>
      <c r="E608" s="190">
        <v>42581</v>
      </c>
      <c r="F608" s="292" t="s">
        <v>469</v>
      </c>
      <c r="G608" s="833" t="s">
        <v>1470</v>
      </c>
      <c r="H608" s="253"/>
      <c r="I608" s="253">
        <v>62408</v>
      </c>
      <c r="J608" s="874">
        <f t="shared" si="34"/>
        <v>12480</v>
      </c>
    </row>
    <row r="609" spans="2:10" hidden="1">
      <c r="B609" s="246" t="s">
        <v>514</v>
      </c>
      <c r="C609" s="246">
        <v>8</v>
      </c>
      <c r="D609" s="429">
        <v>28620</v>
      </c>
      <c r="E609" s="190">
        <v>42581</v>
      </c>
      <c r="F609" s="292" t="s">
        <v>514</v>
      </c>
      <c r="G609" s="833" t="s">
        <v>1470</v>
      </c>
      <c r="H609" s="253"/>
      <c r="I609" s="253">
        <v>29812</v>
      </c>
      <c r="J609" s="874">
        <f t="shared" si="34"/>
        <v>9536</v>
      </c>
    </row>
    <row r="610" spans="2:10" hidden="1">
      <c r="B610" s="246" t="s">
        <v>464</v>
      </c>
      <c r="C610" s="246">
        <v>6</v>
      </c>
      <c r="D610" s="429">
        <v>141180</v>
      </c>
      <c r="E610" s="190">
        <v>42581</v>
      </c>
      <c r="F610" s="292" t="s">
        <v>464</v>
      </c>
      <c r="G610" s="833" t="s">
        <v>1470</v>
      </c>
      <c r="H610" s="253"/>
      <c r="I610" s="253">
        <v>147063</v>
      </c>
      <c r="J610" s="874">
        <f t="shared" si="34"/>
        <v>35298</v>
      </c>
    </row>
    <row r="611" spans="2:10" hidden="1">
      <c r="B611" s="246" t="s">
        <v>485</v>
      </c>
      <c r="C611" s="246">
        <v>6</v>
      </c>
      <c r="D611" s="429">
        <v>43255.333333333336</v>
      </c>
      <c r="E611" s="190">
        <v>42581</v>
      </c>
      <c r="F611" s="292" t="s">
        <v>485</v>
      </c>
      <c r="G611" s="833" t="s">
        <v>1470</v>
      </c>
      <c r="H611" s="253"/>
      <c r="I611" s="253">
        <v>46851</v>
      </c>
      <c r="J611" s="874">
        <f t="shared" si="34"/>
        <v>21573.999999999985</v>
      </c>
    </row>
    <row r="612" spans="2:10" hidden="1">
      <c r="B612" s="292" t="s">
        <v>720</v>
      </c>
      <c r="C612" s="246">
        <v>6</v>
      </c>
      <c r="D612" s="429">
        <v>81285</v>
      </c>
      <c r="E612" s="190">
        <v>42581</v>
      </c>
      <c r="F612" s="292" t="s">
        <v>720</v>
      </c>
      <c r="G612" s="833" t="s">
        <v>1470</v>
      </c>
      <c r="H612" s="253"/>
      <c r="I612" s="253">
        <v>84672</v>
      </c>
      <c r="J612" s="874">
        <f t="shared" si="34"/>
        <v>20322</v>
      </c>
    </row>
    <row r="613" spans="2:10" hidden="1">
      <c r="B613" s="246" t="s">
        <v>870</v>
      </c>
      <c r="C613" s="246">
        <v>5</v>
      </c>
      <c r="D613" s="429">
        <v>85339</v>
      </c>
      <c r="E613" s="190">
        <v>42581</v>
      </c>
      <c r="F613" s="292" t="s">
        <v>870</v>
      </c>
      <c r="G613" s="833" t="s">
        <v>1470</v>
      </c>
      <c r="H613" s="253"/>
      <c r="I613" s="253">
        <v>88895</v>
      </c>
      <c r="J613" s="874">
        <f t="shared" si="34"/>
        <v>17780</v>
      </c>
    </row>
    <row r="614" spans="2:10" hidden="1">
      <c r="B614" s="292" t="s">
        <v>817</v>
      </c>
      <c r="C614" s="246">
        <v>8</v>
      </c>
      <c r="D614" s="429">
        <v>173960</v>
      </c>
      <c r="E614" s="190">
        <v>42581</v>
      </c>
      <c r="F614" s="292" t="s">
        <v>817</v>
      </c>
      <c r="G614" s="833" t="s">
        <v>1470</v>
      </c>
      <c r="H614" s="253"/>
      <c r="I614" s="253">
        <v>163506</v>
      </c>
      <c r="J614" s="874">
        <f t="shared" si="34"/>
        <v>-83632</v>
      </c>
    </row>
    <row r="615" spans="2:10" hidden="1">
      <c r="B615" s="292" t="s">
        <v>817</v>
      </c>
      <c r="C615" s="246">
        <v>10</v>
      </c>
      <c r="D615" s="429">
        <v>144547</v>
      </c>
      <c r="E615" s="190">
        <v>42581</v>
      </c>
      <c r="F615" s="292" t="s">
        <v>817</v>
      </c>
      <c r="G615" s="833" t="s">
        <v>1470</v>
      </c>
      <c r="H615" s="253"/>
      <c r="I615" s="253">
        <v>150570</v>
      </c>
      <c r="J615" s="874">
        <f t="shared" si="34"/>
        <v>60230</v>
      </c>
    </row>
    <row r="616" spans="2:10" hidden="1">
      <c r="B616" s="246" t="s">
        <v>490</v>
      </c>
      <c r="C616" s="246">
        <v>4</v>
      </c>
      <c r="D616" s="429">
        <v>156966</v>
      </c>
      <c r="E616" s="190">
        <v>42581</v>
      </c>
      <c r="F616" s="292" t="s">
        <v>490</v>
      </c>
      <c r="G616" s="833" t="s">
        <v>1470</v>
      </c>
      <c r="H616" s="253"/>
      <c r="I616" s="253">
        <v>163506</v>
      </c>
      <c r="J616" s="874">
        <f t="shared" si="34"/>
        <v>26160</v>
      </c>
    </row>
    <row r="617" spans="2:10" hidden="1">
      <c r="B617" s="246" t="s">
        <v>515</v>
      </c>
      <c r="C617" s="246">
        <v>4</v>
      </c>
      <c r="D617" s="429">
        <v>82500</v>
      </c>
      <c r="E617" s="190">
        <v>42581</v>
      </c>
      <c r="F617" s="292" t="s">
        <v>515</v>
      </c>
      <c r="G617" s="833" t="s">
        <v>1470</v>
      </c>
      <c r="H617" s="253"/>
      <c r="I617" s="253">
        <v>82895</v>
      </c>
      <c r="J617" s="874">
        <f t="shared" si="34"/>
        <v>1580</v>
      </c>
    </row>
    <row r="618" spans="2:10" hidden="1">
      <c r="B618" s="246" t="s">
        <v>877</v>
      </c>
      <c r="C618" s="246">
        <v>6</v>
      </c>
      <c r="D618" s="429">
        <v>214079</v>
      </c>
      <c r="E618" s="190">
        <v>42581</v>
      </c>
      <c r="F618" s="292" t="s">
        <v>877</v>
      </c>
      <c r="G618" s="833" t="s">
        <v>1470</v>
      </c>
      <c r="H618" s="253"/>
      <c r="I618" s="253">
        <v>222999</v>
      </c>
      <c r="J618" s="874">
        <f t="shared" si="34"/>
        <v>53520</v>
      </c>
    </row>
    <row r="619" spans="2:10" hidden="1">
      <c r="B619" s="246" t="s">
        <v>879</v>
      </c>
      <c r="C619" s="246">
        <v>5</v>
      </c>
      <c r="D619" s="429">
        <v>93593</v>
      </c>
      <c r="E619" s="190">
        <v>42581</v>
      </c>
      <c r="F619" s="292" t="s">
        <v>879</v>
      </c>
      <c r="G619" s="833" t="s">
        <v>1470</v>
      </c>
      <c r="H619" s="253"/>
      <c r="I619" s="253">
        <v>97868</v>
      </c>
      <c r="J619" s="874">
        <f t="shared" si="34"/>
        <v>21375</v>
      </c>
    </row>
    <row r="620" spans="2:10" hidden="1">
      <c r="B620" s="246" t="s">
        <v>881</v>
      </c>
      <c r="C620" s="246">
        <v>5</v>
      </c>
      <c r="D620" s="429">
        <v>157889</v>
      </c>
      <c r="E620" s="190">
        <v>42581</v>
      </c>
      <c r="F620" s="292" t="s">
        <v>881</v>
      </c>
      <c r="G620" s="833" t="s">
        <v>1470</v>
      </c>
      <c r="H620" s="253"/>
      <c r="I620" s="253">
        <v>164468</v>
      </c>
      <c r="J620" s="874">
        <f t="shared" si="34"/>
        <v>32895</v>
      </c>
    </row>
    <row r="621" spans="2:10" hidden="1">
      <c r="B621" s="246" t="s">
        <v>515</v>
      </c>
      <c r="C621" s="246">
        <v>5</v>
      </c>
      <c r="D621" s="429">
        <v>82500</v>
      </c>
      <c r="E621" s="190">
        <v>42581</v>
      </c>
      <c r="F621" s="292" t="s">
        <v>515</v>
      </c>
      <c r="G621" s="833" t="s">
        <v>1470</v>
      </c>
      <c r="H621" s="253"/>
      <c r="I621" s="253">
        <v>82895</v>
      </c>
      <c r="J621" s="874">
        <f t="shared" si="34"/>
        <v>1975</v>
      </c>
    </row>
    <row r="622" spans="2:10" hidden="1">
      <c r="B622" s="246" t="s">
        <v>860</v>
      </c>
      <c r="C622" s="246">
        <v>100</v>
      </c>
      <c r="D622" s="429">
        <v>13292</v>
      </c>
      <c r="E622" s="190">
        <v>42581</v>
      </c>
      <c r="F622" s="292" t="s">
        <v>860</v>
      </c>
      <c r="G622" s="833" t="s">
        <v>1470</v>
      </c>
      <c r="H622" s="253"/>
      <c r="I622" s="253">
        <v>13846</v>
      </c>
      <c r="J622" s="874">
        <f t="shared" si="34"/>
        <v>55400</v>
      </c>
    </row>
    <row r="623" spans="2:10" hidden="1">
      <c r="B623" s="246" t="s">
        <v>861</v>
      </c>
      <c r="C623" s="246">
        <v>100</v>
      </c>
      <c r="D623" s="429">
        <v>8120</v>
      </c>
      <c r="E623" s="190">
        <v>42581</v>
      </c>
      <c r="F623" s="292" t="s">
        <v>861</v>
      </c>
      <c r="G623" s="833" t="s">
        <v>1470</v>
      </c>
      <c r="H623" s="253"/>
      <c r="I623" s="253">
        <v>8458</v>
      </c>
      <c r="J623" s="874">
        <f t="shared" si="34"/>
        <v>33800</v>
      </c>
    </row>
    <row r="624" spans="2:10" hidden="1">
      <c r="B624" s="246" t="s">
        <v>862</v>
      </c>
      <c r="C624" s="246">
        <v>100</v>
      </c>
      <c r="D624" s="429">
        <v>9439</v>
      </c>
      <c r="E624" s="190">
        <v>42581</v>
      </c>
      <c r="F624" s="292" t="s">
        <v>862</v>
      </c>
      <c r="G624" s="833" t="s">
        <v>1470</v>
      </c>
      <c r="H624" s="253"/>
      <c r="I624" s="253">
        <v>9832</v>
      </c>
      <c r="J624" s="874">
        <f t="shared" si="34"/>
        <v>39300</v>
      </c>
    </row>
    <row r="625" spans="2:10" hidden="1">
      <c r="B625" s="246" t="s">
        <v>493</v>
      </c>
      <c r="C625" s="246">
        <v>14</v>
      </c>
      <c r="D625" s="429">
        <v>53674</v>
      </c>
      <c r="E625" s="190">
        <v>42581</v>
      </c>
      <c r="F625" s="292" t="s">
        <v>493</v>
      </c>
      <c r="G625" s="833" t="s">
        <v>1470</v>
      </c>
      <c r="H625" s="253"/>
      <c r="I625" s="253">
        <v>55910</v>
      </c>
      <c r="J625" s="874">
        <f t="shared" si="34"/>
        <v>31304</v>
      </c>
    </row>
    <row r="626" spans="2:10" hidden="1">
      <c r="B626" s="246" t="s">
        <v>819</v>
      </c>
      <c r="C626" s="246">
        <v>4</v>
      </c>
      <c r="D626" s="429">
        <v>122700</v>
      </c>
      <c r="E626" s="190">
        <v>42581</v>
      </c>
      <c r="F626" s="292" t="s">
        <v>819</v>
      </c>
      <c r="G626" s="833" t="s">
        <v>1470</v>
      </c>
      <c r="H626" s="253"/>
      <c r="I626" s="253">
        <v>122795</v>
      </c>
      <c r="J626" s="874">
        <f t="shared" si="34"/>
        <v>380</v>
      </c>
    </row>
    <row r="627" spans="2:10" hidden="1">
      <c r="B627" s="246" t="s">
        <v>880</v>
      </c>
      <c r="C627" s="246">
        <v>10</v>
      </c>
      <c r="D627" s="429">
        <v>138100</v>
      </c>
      <c r="E627" s="190">
        <v>42581</v>
      </c>
      <c r="F627" s="292" t="s">
        <v>880</v>
      </c>
      <c r="G627" s="833" t="s">
        <v>1470</v>
      </c>
      <c r="H627" s="253"/>
      <c r="I627" s="253">
        <v>143854</v>
      </c>
      <c r="J627" s="874">
        <f t="shared" ref="J627:J690" si="36">(I627-D627)*C627</f>
        <v>57540</v>
      </c>
    </row>
    <row r="628" spans="2:10" hidden="1">
      <c r="B628" s="246" t="s">
        <v>884</v>
      </c>
      <c r="C628" s="246">
        <v>7</v>
      </c>
      <c r="D628" s="429">
        <v>61895</v>
      </c>
      <c r="E628" s="190">
        <v>42581</v>
      </c>
      <c r="F628" s="292" t="s">
        <v>884</v>
      </c>
      <c r="G628" s="833" t="s">
        <v>1470</v>
      </c>
      <c r="H628" s="253"/>
      <c r="I628" s="253">
        <v>64474</v>
      </c>
      <c r="J628" s="874">
        <f t="shared" si="36"/>
        <v>18053</v>
      </c>
    </row>
    <row r="629" spans="2:10" hidden="1">
      <c r="B629" s="246" t="s">
        <v>525</v>
      </c>
      <c r="C629" s="246">
        <v>144</v>
      </c>
      <c r="D629" s="429">
        <v>17462.514880952382</v>
      </c>
      <c r="E629" s="190">
        <v>42581</v>
      </c>
      <c r="F629" s="292" t="s">
        <v>525</v>
      </c>
      <c r="G629" s="833" t="s">
        <v>1470</v>
      </c>
      <c r="H629" s="253"/>
      <c r="I629" s="253">
        <v>17602</v>
      </c>
      <c r="J629" s="874">
        <f t="shared" si="36"/>
        <v>20085.857142857043</v>
      </c>
    </row>
    <row r="630" spans="2:10" hidden="1">
      <c r="B630" s="246" t="s">
        <v>808</v>
      </c>
      <c r="C630" s="246">
        <v>72</v>
      </c>
      <c r="D630" s="429">
        <v>11537.2</v>
      </c>
      <c r="E630" s="190">
        <v>42581</v>
      </c>
      <c r="F630" s="292" t="s">
        <v>808</v>
      </c>
      <c r="G630" s="833" t="s">
        <v>1470</v>
      </c>
      <c r="H630" s="253"/>
      <c r="I630" s="253">
        <v>11572</v>
      </c>
      <c r="J630" s="874">
        <f t="shared" si="36"/>
        <v>2505.5999999999476</v>
      </c>
    </row>
    <row r="631" spans="2:10" hidden="1">
      <c r="B631" s="246" t="s">
        <v>865</v>
      </c>
      <c r="C631" s="246">
        <v>30</v>
      </c>
      <c r="D631" s="429">
        <v>22136</v>
      </c>
      <c r="E631" s="190">
        <v>42581</v>
      </c>
      <c r="F631" s="292" t="s">
        <v>865</v>
      </c>
      <c r="G631" s="833" t="s">
        <v>1470</v>
      </c>
      <c r="H631" s="253"/>
      <c r="I631" s="253">
        <v>23058</v>
      </c>
      <c r="J631" s="874">
        <f t="shared" si="36"/>
        <v>27660</v>
      </c>
    </row>
    <row r="632" spans="2:10" hidden="1">
      <c r="B632" s="246" t="s">
        <v>700</v>
      </c>
      <c r="C632" s="246">
        <v>30</v>
      </c>
      <c r="D632" s="429">
        <v>19941</v>
      </c>
      <c r="E632" s="190">
        <v>42581</v>
      </c>
      <c r="F632" s="292" t="s">
        <v>700</v>
      </c>
      <c r="G632" s="833" t="s">
        <v>1470</v>
      </c>
      <c r="H632" s="253"/>
      <c r="I632" s="253">
        <v>20772</v>
      </c>
      <c r="J632" s="874">
        <f t="shared" si="36"/>
        <v>24930</v>
      </c>
    </row>
    <row r="633" spans="2:10" hidden="1">
      <c r="B633" s="246" t="s">
        <v>866</v>
      </c>
      <c r="C633" s="246">
        <v>25</v>
      </c>
      <c r="D633" s="429">
        <v>31397</v>
      </c>
      <c r="E633" s="190">
        <v>42581</v>
      </c>
      <c r="F633" s="292" t="s">
        <v>866</v>
      </c>
      <c r="G633" s="833" t="s">
        <v>1470</v>
      </c>
      <c r="H633" s="253"/>
      <c r="I633" s="253">
        <v>32705</v>
      </c>
      <c r="J633" s="874">
        <f t="shared" si="36"/>
        <v>32700</v>
      </c>
    </row>
    <row r="634" spans="2:10" hidden="1">
      <c r="B634" s="246" t="s">
        <v>867</v>
      </c>
      <c r="C634" s="246">
        <v>16</v>
      </c>
      <c r="D634" s="429">
        <v>26526.6</v>
      </c>
      <c r="E634" s="190">
        <v>42581</v>
      </c>
      <c r="F634" s="292" t="s">
        <v>867</v>
      </c>
      <c r="G634" s="833" t="s">
        <v>1470</v>
      </c>
      <c r="H634" s="253"/>
      <c r="I634" s="253">
        <v>29901</v>
      </c>
      <c r="J634" s="874">
        <f t="shared" si="36"/>
        <v>53990.400000000023</v>
      </c>
    </row>
    <row r="635" spans="2:10" hidden="1">
      <c r="B635" s="246" t="s">
        <v>868</v>
      </c>
      <c r="C635" s="246">
        <v>15</v>
      </c>
      <c r="D635" s="429">
        <v>25882</v>
      </c>
      <c r="E635" s="190">
        <v>42581</v>
      </c>
      <c r="F635" s="292" t="s">
        <v>868</v>
      </c>
      <c r="G635" s="833" t="s">
        <v>1470</v>
      </c>
      <c r="H635" s="253"/>
      <c r="I635" s="253">
        <v>26960</v>
      </c>
      <c r="J635" s="874">
        <f t="shared" si="36"/>
        <v>16170</v>
      </c>
    </row>
    <row r="636" spans="2:10" hidden="1">
      <c r="B636" s="246" t="s">
        <v>1457</v>
      </c>
      <c r="C636" s="246">
        <v>30</v>
      </c>
      <c r="D636" s="429">
        <v>48010</v>
      </c>
      <c r="E636" s="190">
        <v>42581</v>
      </c>
      <c r="F636" s="292" t="s">
        <v>1457</v>
      </c>
      <c r="G636" s="833" t="s">
        <v>1470</v>
      </c>
      <c r="H636" s="253"/>
      <c r="I636" s="253">
        <v>48214</v>
      </c>
      <c r="J636" s="874">
        <f t="shared" si="36"/>
        <v>6120</v>
      </c>
    </row>
    <row r="637" spans="2:10" hidden="1">
      <c r="B637" s="246" t="s">
        <v>1458</v>
      </c>
      <c r="C637" s="246">
        <v>40</v>
      </c>
      <c r="D637" s="429">
        <v>41400</v>
      </c>
      <c r="E637" s="190">
        <v>42581</v>
      </c>
      <c r="F637" s="292" t="s">
        <v>1458</v>
      </c>
      <c r="G637" s="833" t="s">
        <v>1470</v>
      </c>
      <c r="H637" s="253"/>
      <c r="I637" s="253">
        <v>41648</v>
      </c>
      <c r="J637" s="874">
        <f t="shared" si="36"/>
        <v>9920</v>
      </c>
    </row>
    <row r="638" spans="2:10" hidden="1">
      <c r="B638" s="246" t="s">
        <v>1459</v>
      </c>
      <c r="C638" s="246">
        <v>30</v>
      </c>
      <c r="D638" s="429">
        <v>83000</v>
      </c>
      <c r="E638" s="190">
        <v>42581</v>
      </c>
      <c r="F638" s="292" t="s">
        <v>1459</v>
      </c>
      <c r="G638" s="833" t="s">
        <v>1470</v>
      </c>
      <c r="H638" s="253"/>
      <c r="I638" s="253">
        <v>83140</v>
      </c>
      <c r="J638" s="874">
        <f t="shared" si="36"/>
        <v>4200</v>
      </c>
    </row>
    <row r="639" spans="2:10" hidden="1">
      <c r="B639" s="246" t="s">
        <v>1460</v>
      </c>
      <c r="C639" s="246">
        <v>50</v>
      </c>
      <c r="D639" s="429">
        <v>39700</v>
      </c>
      <c r="E639" s="190">
        <v>42581</v>
      </c>
      <c r="F639" s="292" t="s">
        <v>1460</v>
      </c>
      <c r="G639" s="833" t="s">
        <v>1470</v>
      </c>
      <c r="H639" s="253"/>
      <c r="I639" s="253">
        <v>40060</v>
      </c>
      <c r="J639" s="874">
        <f t="shared" si="36"/>
        <v>18000</v>
      </c>
    </row>
    <row r="640" spans="2:10" hidden="1">
      <c r="B640" s="246" t="s">
        <v>1461</v>
      </c>
      <c r="C640" s="246">
        <v>30</v>
      </c>
      <c r="D640" s="429">
        <v>61500</v>
      </c>
      <c r="E640" s="190">
        <v>42581</v>
      </c>
      <c r="F640" s="292" t="s">
        <v>1461</v>
      </c>
      <c r="G640" s="833" t="s">
        <v>1470</v>
      </c>
      <c r="H640" s="253"/>
      <c r="I640" s="253">
        <v>61803</v>
      </c>
      <c r="J640" s="874">
        <f t="shared" si="36"/>
        <v>9090</v>
      </c>
    </row>
    <row r="641" spans="2:10" hidden="1">
      <c r="B641" s="246" t="s">
        <v>1462</v>
      </c>
      <c r="C641" s="246">
        <v>30</v>
      </c>
      <c r="D641" s="429">
        <v>67500</v>
      </c>
      <c r="E641" s="190">
        <v>42581</v>
      </c>
      <c r="F641" s="292" t="s">
        <v>1462</v>
      </c>
      <c r="G641" s="833" t="s">
        <v>1470</v>
      </c>
      <c r="H641" s="253"/>
      <c r="I641" s="253">
        <v>67902</v>
      </c>
      <c r="J641" s="874">
        <f t="shared" si="36"/>
        <v>12060</v>
      </c>
    </row>
    <row r="642" spans="2:10" hidden="1">
      <c r="B642" s="246" t="s">
        <v>534</v>
      </c>
      <c r="C642" s="246">
        <v>40</v>
      </c>
      <c r="D642" s="429">
        <v>82354</v>
      </c>
      <c r="E642" s="190">
        <v>42581</v>
      </c>
      <c r="F642" s="292" t="s">
        <v>534</v>
      </c>
      <c r="G642" s="833" t="s">
        <v>1470</v>
      </c>
      <c r="H642" s="253"/>
      <c r="I642" s="253">
        <v>85785</v>
      </c>
      <c r="J642" s="874">
        <f t="shared" si="36"/>
        <v>137240</v>
      </c>
    </row>
    <row r="643" spans="2:10" hidden="1">
      <c r="B643" s="246" t="s">
        <v>484</v>
      </c>
      <c r="C643" s="246">
        <v>20</v>
      </c>
      <c r="D643" s="429">
        <v>34090.96875</v>
      </c>
      <c r="E643" s="190">
        <v>42581</v>
      </c>
      <c r="F643" s="292" t="s">
        <v>484</v>
      </c>
      <c r="G643" s="833" t="s">
        <v>1470</v>
      </c>
      <c r="H643" s="253"/>
      <c r="I643" s="253">
        <v>35511</v>
      </c>
      <c r="J643" s="874">
        <f t="shared" si="36"/>
        <v>28400.625</v>
      </c>
    </row>
    <row r="644" spans="2:10" hidden="1">
      <c r="B644" s="246" t="s">
        <v>703</v>
      </c>
      <c r="C644" s="246">
        <v>12</v>
      </c>
      <c r="D644" s="429">
        <v>48372</v>
      </c>
      <c r="E644" s="190">
        <v>42581</v>
      </c>
      <c r="F644" s="292" t="s">
        <v>703</v>
      </c>
      <c r="G644" s="833" t="s">
        <v>1470</v>
      </c>
      <c r="H644" s="253"/>
      <c r="I644" s="253">
        <v>50387</v>
      </c>
      <c r="J644" s="874">
        <f t="shared" si="36"/>
        <v>24180</v>
      </c>
    </row>
    <row r="645" spans="2:10" hidden="1">
      <c r="B645" s="246" t="s">
        <v>871</v>
      </c>
      <c r="C645" s="246">
        <v>12</v>
      </c>
      <c r="D645" s="429">
        <v>64452</v>
      </c>
      <c r="E645" s="190">
        <v>42581</v>
      </c>
      <c r="F645" s="292" t="s">
        <v>871</v>
      </c>
      <c r="G645" s="833" t="s">
        <v>1470</v>
      </c>
      <c r="H645" s="253"/>
      <c r="I645" s="253">
        <v>67137</v>
      </c>
      <c r="J645" s="874">
        <f t="shared" si="36"/>
        <v>32220</v>
      </c>
    </row>
    <row r="646" spans="2:10" hidden="1">
      <c r="B646" s="246" t="s">
        <v>813</v>
      </c>
      <c r="C646" s="246">
        <v>75</v>
      </c>
      <c r="D646" s="429">
        <v>47825</v>
      </c>
      <c r="E646" s="190">
        <v>42581</v>
      </c>
      <c r="F646" s="292" t="s">
        <v>813</v>
      </c>
      <c r="G646" s="833" t="s">
        <v>1470</v>
      </c>
      <c r="H646" s="253"/>
      <c r="I646" s="253">
        <v>49818</v>
      </c>
      <c r="J646" s="874">
        <f t="shared" si="36"/>
        <v>149475</v>
      </c>
    </row>
    <row r="647" spans="2:10" hidden="1">
      <c r="B647" s="246" t="s">
        <v>709</v>
      </c>
      <c r="C647" s="246">
        <v>12</v>
      </c>
      <c r="D647" s="429">
        <v>111543</v>
      </c>
      <c r="E647" s="190">
        <v>42581</v>
      </c>
      <c r="F647" s="292" t="s">
        <v>709</v>
      </c>
      <c r="G647" s="833" t="s">
        <v>1470</v>
      </c>
      <c r="H647" s="253"/>
      <c r="I647" s="253">
        <v>116191</v>
      </c>
      <c r="J647" s="874">
        <f t="shared" si="36"/>
        <v>55776</v>
      </c>
    </row>
    <row r="648" spans="2:10" hidden="1">
      <c r="B648" s="246" t="s">
        <v>539</v>
      </c>
      <c r="C648" s="246">
        <v>20</v>
      </c>
      <c r="D648" s="429">
        <v>137834</v>
      </c>
      <c r="E648" s="190">
        <v>42581</v>
      </c>
      <c r="F648" s="292" t="s">
        <v>539</v>
      </c>
      <c r="G648" s="833" t="s">
        <v>1470</v>
      </c>
      <c r="H648" s="253"/>
      <c r="I648" s="253">
        <v>143577</v>
      </c>
      <c r="J648" s="874">
        <f t="shared" si="36"/>
        <v>114860</v>
      </c>
    </row>
    <row r="649" spans="2:10" hidden="1">
      <c r="B649" s="246" t="s">
        <v>813</v>
      </c>
      <c r="C649" s="246">
        <v>12</v>
      </c>
      <c r="D649" s="429">
        <v>52860</v>
      </c>
      <c r="E649" s="190">
        <v>42581</v>
      </c>
      <c r="F649" s="292" t="s">
        <v>813</v>
      </c>
      <c r="G649" s="833" t="s">
        <v>1470</v>
      </c>
      <c r="H649" s="253"/>
      <c r="I649" s="253">
        <v>55062</v>
      </c>
      <c r="J649" s="874">
        <f t="shared" si="36"/>
        <v>26424</v>
      </c>
    </row>
    <row r="650" spans="2:10" hidden="1">
      <c r="B650" s="246" t="s">
        <v>824</v>
      </c>
      <c r="C650" s="246">
        <v>24</v>
      </c>
      <c r="D650" s="429">
        <v>36060</v>
      </c>
      <c r="E650" s="190">
        <v>42581</v>
      </c>
      <c r="F650" s="292" t="s">
        <v>824</v>
      </c>
      <c r="G650" s="833" t="s">
        <v>1470</v>
      </c>
      <c r="H650" s="253"/>
      <c r="I650" s="253">
        <v>37563</v>
      </c>
      <c r="J650" s="874">
        <f t="shared" si="36"/>
        <v>36072</v>
      </c>
    </row>
    <row r="651" spans="2:10" hidden="1">
      <c r="B651" s="246" t="s">
        <v>540</v>
      </c>
      <c r="C651" s="246">
        <v>12</v>
      </c>
      <c r="D651" s="429">
        <v>71266</v>
      </c>
      <c r="E651" s="190">
        <v>42581</v>
      </c>
      <c r="F651" s="292" t="s">
        <v>540</v>
      </c>
      <c r="G651" s="833" t="s">
        <v>1470</v>
      </c>
      <c r="H651" s="253"/>
      <c r="I651" s="253">
        <v>74235</v>
      </c>
      <c r="J651" s="874">
        <f t="shared" si="36"/>
        <v>35628</v>
      </c>
    </row>
    <row r="652" spans="2:10" hidden="1">
      <c r="B652" s="246" t="s">
        <v>709</v>
      </c>
      <c r="C652" s="246">
        <v>12</v>
      </c>
      <c r="D652" s="429">
        <v>111543</v>
      </c>
      <c r="E652" s="190">
        <v>42581</v>
      </c>
      <c r="F652" s="292" t="s">
        <v>709</v>
      </c>
      <c r="G652" s="833" t="s">
        <v>1470</v>
      </c>
      <c r="H652" s="253"/>
      <c r="I652" s="253">
        <v>116191</v>
      </c>
      <c r="J652" s="874">
        <f t="shared" si="36"/>
        <v>55776</v>
      </c>
    </row>
    <row r="653" spans="2:10" hidden="1">
      <c r="B653" s="292" t="s">
        <v>705</v>
      </c>
      <c r="C653" s="246">
        <v>12</v>
      </c>
      <c r="D653" s="429">
        <v>63524</v>
      </c>
      <c r="E653" s="190">
        <v>42581</v>
      </c>
      <c r="F653" s="292" t="s">
        <v>705</v>
      </c>
      <c r="G653" s="833" t="s">
        <v>1470</v>
      </c>
      <c r="H653" s="253"/>
      <c r="I653" s="253">
        <v>66171</v>
      </c>
      <c r="J653" s="874">
        <f t="shared" si="36"/>
        <v>31764</v>
      </c>
    </row>
    <row r="654" spans="2:10" hidden="1">
      <c r="B654" s="246" t="s">
        <v>484</v>
      </c>
      <c r="C654" s="246">
        <v>12</v>
      </c>
      <c r="D654" s="429">
        <v>34090.96875</v>
      </c>
      <c r="E654" s="190">
        <v>42581</v>
      </c>
      <c r="F654" s="292" t="s">
        <v>484</v>
      </c>
      <c r="G654" s="833" t="s">
        <v>1470</v>
      </c>
      <c r="H654" s="253"/>
      <c r="I654" s="253">
        <v>35511</v>
      </c>
      <c r="J654" s="874">
        <f t="shared" si="36"/>
        <v>17040.375</v>
      </c>
    </row>
    <row r="655" spans="2:10" hidden="1">
      <c r="B655" s="246" t="s">
        <v>702</v>
      </c>
      <c r="C655" s="246">
        <v>30</v>
      </c>
      <c r="D655" s="429">
        <v>58605</v>
      </c>
      <c r="E655" s="190">
        <v>42581</v>
      </c>
      <c r="F655" s="292" t="s">
        <v>702</v>
      </c>
      <c r="G655" s="833" t="s">
        <v>1470</v>
      </c>
      <c r="H655" s="253"/>
      <c r="I655" s="253">
        <v>61047</v>
      </c>
      <c r="J655" s="874">
        <f t="shared" si="36"/>
        <v>73260</v>
      </c>
    </row>
    <row r="656" spans="2:10" hidden="1">
      <c r="B656" s="246" t="s">
        <v>536</v>
      </c>
      <c r="C656" s="246">
        <v>18</v>
      </c>
      <c r="D656" s="429">
        <v>64996.222222222219</v>
      </c>
      <c r="E656" s="190">
        <v>42581</v>
      </c>
      <c r="F656" s="292" t="s">
        <v>536</v>
      </c>
      <c r="G656" s="833" t="s">
        <v>1470</v>
      </c>
      <c r="H656" s="253"/>
      <c r="I656" s="253">
        <v>67704</v>
      </c>
      <c r="J656" s="874">
        <f t="shared" si="36"/>
        <v>48740.000000000058</v>
      </c>
    </row>
    <row r="657" spans="2:15" hidden="1">
      <c r="B657" s="246" t="s">
        <v>537</v>
      </c>
      <c r="C657" s="246">
        <v>24</v>
      </c>
      <c r="D657" s="429">
        <v>31190</v>
      </c>
      <c r="E657" s="190">
        <v>42581</v>
      </c>
      <c r="F657" s="292" t="s">
        <v>537</v>
      </c>
      <c r="G657" s="833" t="s">
        <v>1470</v>
      </c>
      <c r="H657" s="253"/>
      <c r="I657" s="253">
        <v>32490</v>
      </c>
      <c r="J657" s="874">
        <f t="shared" si="36"/>
        <v>31200</v>
      </c>
    </row>
    <row r="658" spans="2:15" hidden="1">
      <c r="B658" s="246" t="s">
        <v>816</v>
      </c>
      <c r="C658" s="246">
        <v>2</v>
      </c>
      <c r="D658" s="429">
        <v>206076</v>
      </c>
      <c r="E658" s="190">
        <v>42581</v>
      </c>
      <c r="F658" s="292" t="s">
        <v>816</v>
      </c>
      <c r="G658" s="833" t="s">
        <v>1470</v>
      </c>
      <c r="H658" s="253"/>
      <c r="I658" s="253">
        <v>214662</v>
      </c>
      <c r="J658" s="874">
        <f t="shared" si="36"/>
        <v>17172</v>
      </c>
    </row>
    <row r="659" spans="2:15" hidden="1">
      <c r="B659" s="246" t="s">
        <v>490</v>
      </c>
      <c r="C659" s="246">
        <v>2</v>
      </c>
      <c r="D659" s="429">
        <v>156966</v>
      </c>
      <c r="E659" s="190">
        <v>42581</v>
      </c>
      <c r="F659" s="292" t="s">
        <v>490</v>
      </c>
      <c r="G659" s="833" t="s">
        <v>1470</v>
      </c>
      <c r="H659" s="253"/>
      <c r="I659" s="253">
        <v>163506</v>
      </c>
      <c r="J659" s="874">
        <f t="shared" si="36"/>
        <v>13080</v>
      </c>
    </row>
    <row r="660" spans="2:15" hidden="1">
      <c r="B660" s="246" t="s">
        <v>885</v>
      </c>
      <c r="C660" s="246">
        <v>6</v>
      </c>
      <c r="D660" s="429">
        <v>68496</v>
      </c>
      <c r="E660" s="190">
        <v>42581</v>
      </c>
      <c r="F660" s="292" t="s">
        <v>885</v>
      </c>
      <c r="G660" s="833" t="s">
        <v>1470</v>
      </c>
      <c r="H660" s="253"/>
      <c r="I660" s="253">
        <v>71350</v>
      </c>
      <c r="J660" s="874">
        <f t="shared" si="36"/>
        <v>17124</v>
      </c>
    </row>
    <row r="661" spans="2:15" hidden="1">
      <c r="B661" s="246" t="s">
        <v>809</v>
      </c>
      <c r="C661" s="246">
        <v>24</v>
      </c>
      <c r="D661" s="429">
        <v>42400</v>
      </c>
      <c r="E661" s="190">
        <v>42581</v>
      </c>
      <c r="F661" s="292" t="s">
        <v>809</v>
      </c>
      <c r="G661" s="833" t="s">
        <v>1470</v>
      </c>
      <c r="H661" s="253"/>
      <c r="I661" s="253">
        <v>42669</v>
      </c>
      <c r="J661" s="874">
        <f t="shared" si="36"/>
        <v>6456</v>
      </c>
    </row>
    <row r="662" spans="2:15" hidden="1">
      <c r="B662" s="292" t="s">
        <v>820</v>
      </c>
      <c r="C662" s="246">
        <v>6</v>
      </c>
      <c r="D662" s="429">
        <v>10068</v>
      </c>
      <c r="E662" s="190">
        <v>42581</v>
      </c>
      <c r="F662" s="292" t="s">
        <v>820</v>
      </c>
      <c r="G662" s="833" t="s">
        <v>1470</v>
      </c>
      <c r="H662" s="253"/>
      <c r="I662" s="253">
        <v>103488</v>
      </c>
      <c r="J662" s="874">
        <f t="shared" si="36"/>
        <v>560520</v>
      </c>
      <c r="K662" s="246">
        <v>1</v>
      </c>
      <c r="L662" s="191" t="s">
        <v>1264</v>
      </c>
      <c r="M662" s="25">
        <v>22</v>
      </c>
      <c r="N662" s="289">
        <v>21657</v>
      </c>
      <c r="O662" s="429">
        <f>ROUND(C662*D662,0)</f>
        <v>60408</v>
      </c>
    </row>
    <row r="663" spans="2:15" hidden="1">
      <c r="B663" s="246" t="s">
        <v>1463</v>
      </c>
      <c r="C663" s="246">
        <v>11</v>
      </c>
      <c r="D663" s="429">
        <v>75000</v>
      </c>
      <c r="E663" s="190">
        <v>42581</v>
      </c>
      <c r="F663" s="292" t="s">
        <v>1463</v>
      </c>
      <c r="G663" s="833" t="s">
        <v>1470</v>
      </c>
      <c r="H663" s="253"/>
      <c r="I663" s="253">
        <v>75214</v>
      </c>
      <c r="J663" s="874">
        <f t="shared" si="36"/>
        <v>2354</v>
      </c>
    </row>
    <row r="664" spans="2:15" hidden="1">
      <c r="B664" s="246" t="s">
        <v>490</v>
      </c>
      <c r="C664" s="246">
        <v>4</v>
      </c>
      <c r="D664" s="429">
        <v>156966</v>
      </c>
      <c r="E664" s="190">
        <v>42581</v>
      </c>
      <c r="F664" s="292" t="s">
        <v>490</v>
      </c>
      <c r="G664" s="833" t="s">
        <v>1470</v>
      </c>
      <c r="H664" s="253"/>
      <c r="I664" s="253">
        <v>163506</v>
      </c>
      <c r="J664" s="874">
        <f t="shared" si="36"/>
        <v>26160</v>
      </c>
    </row>
    <row r="665" spans="2:15" hidden="1">
      <c r="B665" s="246" t="s">
        <v>494</v>
      </c>
      <c r="C665" s="246">
        <v>12</v>
      </c>
      <c r="D665" s="429">
        <v>71747.5</v>
      </c>
      <c r="E665" s="190">
        <v>42581</v>
      </c>
      <c r="F665" s="292" t="s">
        <v>494</v>
      </c>
      <c r="G665" s="833" t="s">
        <v>1470</v>
      </c>
      <c r="H665" s="253"/>
      <c r="I665" s="253">
        <v>71870</v>
      </c>
      <c r="J665" s="874">
        <f t="shared" si="36"/>
        <v>1470</v>
      </c>
    </row>
    <row r="666" spans="2:15" hidden="1">
      <c r="B666" s="246" t="s">
        <v>809</v>
      </c>
      <c r="C666" s="246">
        <v>48</v>
      </c>
      <c r="D666" s="429">
        <v>42400</v>
      </c>
      <c r="E666" s="190">
        <v>42581</v>
      </c>
      <c r="F666" s="292" t="s">
        <v>809</v>
      </c>
      <c r="G666" s="833" t="s">
        <v>1470</v>
      </c>
      <c r="H666" s="253"/>
      <c r="I666" s="253">
        <v>40546</v>
      </c>
      <c r="J666" s="874">
        <f t="shared" si="36"/>
        <v>-88992</v>
      </c>
    </row>
    <row r="667" spans="2:15" hidden="1">
      <c r="B667" s="290" t="s">
        <v>451</v>
      </c>
      <c r="C667" s="874">
        <v>580</v>
      </c>
      <c r="D667" s="429">
        <v>10500</v>
      </c>
      <c r="E667" s="190">
        <v>42581</v>
      </c>
      <c r="F667" s="292" t="s">
        <v>451</v>
      </c>
      <c r="G667" s="833" t="s">
        <v>1470</v>
      </c>
      <c r="H667" s="253"/>
      <c r="I667" s="253">
        <v>10500</v>
      </c>
      <c r="J667" s="874">
        <f t="shared" si="36"/>
        <v>0</v>
      </c>
    </row>
    <row r="668" spans="2:15" hidden="1">
      <c r="B668" s="246" t="s">
        <v>886</v>
      </c>
      <c r="C668" s="246">
        <v>4</v>
      </c>
      <c r="D668" s="429">
        <v>95800</v>
      </c>
      <c r="E668" s="190">
        <v>42581</v>
      </c>
      <c r="F668" s="292" t="s">
        <v>886</v>
      </c>
      <c r="G668" s="833" t="s">
        <v>1470</v>
      </c>
      <c r="H668" s="253"/>
      <c r="I668" s="253">
        <v>99792</v>
      </c>
      <c r="J668" s="874">
        <f t="shared" si="36"/>
        <v>15968</v>
      </c>
    </row>
    <row r="669" spans="2:15" hidden="1">
      <c r="B669" s="246" t="s">
        <v>882</v>
      </c>
      <c r="C669" s="246">
        <v>12</v>
      </c>
      <c r="D669" s="429">
        <v>66576</v>
      </c>
      <c r="E669" s="190">
        <v>42581</v>
      </c>
      <c r="F669" s="292" t="s">
        <v>882</v>
      </c>
      <c r="G669" s="833" t="s">
        <v>1470</v>
      </c>
      <c r="H669" s="253"/>
      <c r="I669" s="253">
        <v>69350</v>
      </c>
      <c r="J669" s="874">
        <f t="shared" si="36"/>
        <v>33288</v>
      </c>
    </row>
    <row r="670" spans="2:15" hidden="1">
      <c r="B670" s="246" t="s">
        <v>883</v>
      </c>
      <c r="C670" s="246">
        <v>14</v>
      </c>
      <c r="D670" s="429">
        <v>45501</v>
      </c>
      <c r="E670" s="190">
        <v>42581</v>
      </c>
      <c r="F670" s="292" t="s">
        <v>883</v>
      </c>
      <c r="G670" s="833" t="s">
        <v>1470</v>
      </c>
      <c r="H670" s="253"/>
      <c r="I670" s="253">
        <v>49480</v>
      </c>
      <c r="J670" s="874">
        <f t="shared" si="36"/>
        <v>55706</v>
      </c>
    </row>
    <row r="671" spans="2:15" hidden="1">
      <c r="B671" s="246" t="s">
        <v>884</v>
      </c>
      <c r="C671" s="246">
        <v>14</v>
      </c>
      <c r="D671" s="429">
        <v>61895</v>
      </c>
      <c r="E671" s="190">
        <v>42581</v>
      </c>
      <c r="F671" s="292" t="s">
        <v>884</v>
      </c>
      <c r="G671" s="833" t="s">
        <v>1470</v>
      </c>
      <c r="H671" s="253"/>
      <c r="I671" s="253">
        <v>64474</v>
      </c>
      <c r="J671" s="874">
        <f t="shared" si="36"/>
        <v>36106</v>
      </c>
    </row>
    <row r="672" spans="2:15" hidden="1">
      <c r="B672" s="246" t="s">
        <v>1464</v>
      </c>
      <c r="C672" s="246">
        <v>5</v>
      </c>
      <c r="D672" s="429">
        <v>103000</v>
      </c>
      <c r="E672" s="190">
        <v>42581</v>
      </c>
      <c r="F672" s="292" t="s">
        <v>1464</v>
      </c>
      <c r="G672" s="833" t="s">
        <v>1470</v>
      </c>
      <c r="H672" s="253"/>
      <c r="I672" s="253">
        <v>103194</v>
      </c>
      <c r="J672" s="874">
        <f t="shared" si="36"/>
        <v>970</v>
      </c>
    </row>
    <row r="673" spans="2:10" hidden="1">
      <c r="B673" s="246" t="s">
        <v>882</v>
      </c>
      <c r="C673" s="246">
        <v>16</v>
      </c>
      <c r="D673" s="429">
        <v>74000</v>
      </c>
      <c r="E673" s="190">
        <v>42581</v>
      </c>
      <c r="F673" s="292" t="s">
        <v>882</v>
      </c>
      <c r="G673" s="833" t="s">
        <v>1470</v>
      </c>
      <c r="H673" s="253"/>
      <c r="I673" s="253">
        <v>69350</v>
      </c>
      <c r="J673" s="874">
        <f t="shared" si="36"/>
        <v>-74400</v>
      </c>
    </row>
    <row r="674" spans="2:10" hidden="1">
      <c r="B674" s="246" t="s">
        <v>547</v>
      </c>
      <c r="C674" s="246">
        <v>36</v>
      </c>
      <c r="D674" s="429">
        <v>17060</v>
      </c>
      <c r="E674" s="190">
        <v>42581</v>
      </c>
      <c r="F674" s="292" t="s">
        <v>547</v>
      </c>
      <c r="G674" s="833" t="s">
        <v>1470</v>
      </c>
      <c r="H674" s="253"/>
      <c r="I674" s="253">
        <v>17406</v>
      </c>
      <c r="J674" s="874">
        <f t="shared" si="36"/>
        <v>12456</v>
      </c>
    </row>
    <row r="675" spans="2:10" hidden="1">
      <c r="B675" s="246" t="s">
        <v>525</v>
      </c>
      <c r="C675" s="246">
        <v>24</v>
      </c>
      <c r="D675" s="429">
        <v>17462.514880952382</v>
      </c>
      <c r="E675" s="190">
        <v>42581</v>
      </c>
      <c r="F675" s="292" t="s">
        <v>525</v>
      </c>
      <c r="G675" s="833" t="s">
        <v>1470</v>
      </c>
      <c r="H675" s="253"/>
      <c r="I675" s="253">
        <v>17602</v>
      </c>
      <c r="J675" s="874">
        <f t="shared" si="36"/>
        <v>3347.6428571428405</v>
      </c>
    </row>
    <row r="676" spans="2:10" hidden="1">
      <c r="B676" s="246" t="s">
        <v>525</v>
      </c>
      <c r="C676" s="246">
        <v>54</v>
      </c>
      <c r="D676" s="429">
        <v>17462.514880952382</v>
      </c>
      <c r="E676" s="190">
        <v>42581</v>
      </c>
      <c r="F676" s="292" t="s">
        <v>525</v>
      </c>
      <c r="G676" s="833" t="s">
        <v>1470</v>
      </c>
      <c r="H676" s="253"/>
      <c r="I676" s="253">
        <v>17602</v>
      </c>
      <c r="J676" s="874">
        <f t="shared" si="36"/>
        <v>7532.1964285713912</v>
      </c>
    </row>
    <row r="677" spans="2:10" hidden="1">
      <c r="B677" s="246" t="s">
        <v>525</v>
      </c>
      <c r="C677" s="246">
        <v>48</v>
      </c>
      <c r="D677" s="429">
        <v>17462.514880952382</v>
      </c>
      <c r="E677" s="190">
        <v>42581</v>
      </c>
      <c r="F677" s="292" t="s">
        <v>525</v>
      </c>
      <c r="G677" s="833" t="s">
        <v>1470</v>
      </c>
      <c r="H677" s="253"/>
      <c r="I677" s="253">
        <v>17602</v>
      </c>
      <c r="J677" s="874">
        <f t="shared" si="36"/>
        <v>6695.285714285681</v>
      </c>
    </row>
    <row r="678" spans="2:10" hidden="1">
      <c r="B678" s="246" t="s">
        <v>712</v>
      </c>
      <c r="C678" s="246">
        <v>12</v>
      </c>
      <c r="D678" s="429">
        <v>21500</v>
      </c>
      <c r="E678" s="190">
        <v>42581</v>
      </c>
      <c r="F678" s="292" t="s">
        <v>712</v>
      </c>
      <c r="G678" s="833" t="s">
        <v>1470</v>
      </c>
      <c r="H678" s="253"/>
      <c r="I678" s="253">
        <v>21702</v>
      </c>
      <c r="J678" s="874">
        <f t="shared" si="36"/>
        <v>2424</v>
      </c>
    </row>
    <row r="679" spans="2:10" hidden="1">
      <c r="B679" s="246" t="s">
        <v>549</v>
      </c>
      <c r="C679" s="246">
        <v>12</v>
      </c>
      <c r="D679" s="429">
        <v>47300</v>
      </c>
      <c r="E679" s="190">
        <v>42581</v>
      </c>
      <c r="F679" s="292" t="s">
        <v>549</v>
      </c>
      <c r="G679" s="833" t="s">
        <v>1470</v>
      </c>
      <c r="H679" s="253"/>
      <c r="I679" s="253">
        <v>47628</v>
      </c>
      <c r="J679" s="874">
        <f t="shared" si="36"/>
        <v>3936</v>
      </c>
    </row>
    <row r="680" spans="2:10" hidden="1">
      <c r="B680" s="246" t="s">
        <v>511</v>
      </c>
      <c r="C680" s="246">
        <v>36</v>
      </c>
      <c r="D680" s="429">
        <v>31250</v>
      </c>
      <c r="E680" s="190">
        <v>42581</v>
      </c>
      <c r="F680" s="292" t="s">
        <v>511</v>
      </c>
      <c r="G680" s="833" t="s">
        <v>1470</v>
      </c>
      <c r="H680" s="253"/>
      <c r="I680" s="253">
        <v>30278</v>
      </c>
      <c r="J680" s="874">
        <f t="shared" si="36"/>
        <v>-34992</v>
      </c>
    </row>
    <row r="681" spans="2:10" hidden="1">
      <c r="B681" s="246" t="s">
        <v>699</v>
      </c>
      <c r="C681" s="246">
        <v>24</v>
      </c>
      <c r="D681" s="429">
        <v>14380.15</v>
      </c>
      <c r="E681" s="190">
        <v>42581</v>
      </c>
      <c r="F681" s="292" t="s">
        <v>699</v>
      </c>
      <c r="G681" s="833" t="s">
        <v>1470</v>
      </c>
      <c r="H681" s="253"/>
      <c r="I681" s="253">
        <v>14722</v>
      </c>
      <c r="J681" s="874">
        <f t="shared" si="36"/>
        <v>8204.4000000000087</v>
      </c>
    </row>
    <row r="682" spans="2:10" hidden="1">
      <c r="B682" s="246" t="s">
        <v>525</v>
      </c>
      <c r="C682" s="246">
        <v>54</v>
      </c>
      <c r="D682" s="429">
        <v>17462.514880952382</v>
      </c>
      <c r="E682" s="190">
        <v>42581</v>
      </c>
      <c r="F682" s="292" t="s">
        <v>525</v>
      </c>
      <c r="G682" s="833" t="s">
        <v>1470</v>
      </c>
      <c r="H682" s="253"/>
      <c r="I682" s="253">
        <v>17602</v>
      </c>
      <c r="J682" s="874">
        <f t="shared" si="36"/>
        <v>7532.1964285713912</v>
      </c>
    </row>
    <row r="683" spans="2:10" hidden="1">
      <c r="B683" s="246" t="s">
        <v>525</v>
      </c>
      <c r="C683" s="246">
        <v>12</v>
      </c>
      <c r="D683" s="429">
        <v>17462.514880952382</v>
      </c>
      <c r="E683" s="190">
        <v>42581</v>
      </c>
      <c r="F683" s="292" t="s">
        <v>525</v>
      </c>
      <c r="G683" s="833" t="s">
        <v>1470</v>
      </c>
      <c r="H683" s="253"/>
      <c r="I683" s="253">
        <v>17602</v>
      </c>
      <c r="J683" s="874">
        <f t="shared" si="36"/>
        <v>1673.8214285714203</v>
      </c>
    </row>
    <row r="684" spans="2:10" hidden="1">
      <c r="B684" s="246" t="s">
        <v>826</v>
      </c>
      <c r="C684" s="246">
        <v>24</v>
      </c>
      <c r="D684" s="429">
        <v>49000</v>
      </c>
      <c r="E684" s="190">
        <v>42581</v>
      </c>
      <c r="F684" s="292" t="s">
        <v>826</v>
      </c>
      <c r="G684" s="833" t="s">
        <v>1470</v>
      </c>
      <c r="H684" s="253"/>
      <c r="I684" s="253">
        <v>49256</v>
      </c>
      <c r="J684" s="874">
        <f t="shared" si="36"/>
        <v>6144</v>
      </c>
    </row>
    <row r="685" spans="2:10" hidden="1">
      <c r="B685" s="246" t="s">
        <v>559</v>
      </c>
      <c r="C685" s="246">
        <v>24</v>
      </c>
      <c r="D685" s="429">
        <v>49100</v>
      </c>
      <c r="E685" s="190">
        <v>42581</v>
      </c>
      <c r="F685" s="292" t="s">
        <v>559</v>
      </c>
      <c r="G685" s="833" t="s">
        <v>1470</v>
      </c>
      <c r="H685" s="253"/>
      <c r="I685" s="253">
        <v>49208</v>
      </c>
      <c r="J685" s="874">
        <f t="shared" si="36"/>
        <v>2592</v>
      </c>
    </row>
    <row r="686" spans="2:10" hidden="1">
      <c r="B686" s="246" t="s">
        <v>1465</v>
      </c>
      <c r="C686" s="246">
        <v>20</v>
      </c>
      <c r="D686" s="429">
        <v>71399</v>
      </c>
      <c r="E686" s="190">
        <v>42581</v>
      </c>
      <c r="F686" s="292" t="s">
        <v>1465</v>
      </c>
      <c r="G686" s="833" t="s">
        <v>1470</v>
      </c>
      <c r="H686" s="253"/>
      <c r="I686" s="253">
        <v>71982</v>
      </c>
      <c r="J686" s="874">
        <f t="shared" si="36"/>
        <v>11660</v>
      </c>
    </row>
    <row r="687" spans="2:10" hidden="1">
      <c r="B687" s="246" t="s">
        <v>1466</v>
      </c>
      <c r="C687" s="246">
        <v>50</v>
      </c>
      <c r="D687" s="429">
        <v>33000</v>
      </c>
      <c r="E687" s="190">
        <v>42581</v>
      </c>
      <c r="F687" s="292" t="s">
        <v>1466</v>
      </c>
      <c r="G687" s="833" t="s">
        <v>1470</v>
      </c>
      <c r="H687" s="253"/>
      <c r="I687" s="253">
        <v>33220</v>
      </c>
      <c r="J687" s="874">
        <f t="shared" si="36"/>
        <v>11000</v>
      </c>
    </row>
    <row r="688" spans="2:10" hidden="1">
      <c r="B688" s="246" t="s">
        <v>813</v>
      </c>
      <c r="C688" s="246">
        <v>10</v>
      </c>
      <c r="D688" s="429">
        <v>72400</v>
      </c>
      <c r="E688" s="190">
        <v>42581</v>
      </c>
      <c r="F688" s="292" t="s">
        <v>813</v>
      </c>
      <c r="G688" s="833" t="s">
        <v>1470</v>
      </c>
      <c r="H688" s="253"/>
      <c r="I688" s="253">
        <v>55062</v>
      </c>
      <c r="J688" s="874">
        <f t="shared" si="36"/>
        <v>-173380</v>
      </c>
    </row>
    <row r="689" spans="2:10" hidden="1">
      <c r="B689" s="246" t="s">
        <v>822</v>
      </c>
      <c r="C689" s="246">
        <v>6</v>
      </c>
      <c r="D689" s="429">
        <v>108192</v>
      </c>
      <c r="E689" s="190">
        <v>42581</v>
      </c>
      <c r="F689" s="292" t="s">
        <v>822</v>
      </c>
      <c r="G689" s="833" t="s">
        <v>1470</v>
      </c>
      <c r="H689" s="253"/>
      <c r="I689" s="253">
        <v>112728</v>
      </c>
      <c r="J689" s="874">
        <f t="shared" si="36"/>
        <v>27216</v>
      </c>
    </row>
    <row r="690" spans="2:10" hidden="1">
      <c r="B690" s="246" t="s">
        <v>491</v>
      </c>
      <c r="C690" s="246">
        <v>5</v>
      </c>
      <c r="D690" s="429">
        <v>105200</v>
      </c>
      <c r="E690" s="190">
        <v>42581</v>
      </c>
      <c r="F690" s="292" t="s">
        <v>491</v>
      </c>
      <c r="G690" s="833" t="s">
        <v>1470</v>
      </c>
      <c r="H690" s="253"/>
      <c r="I690" s="253">
        <v>105525</v>
      </c>
      <c r="J690" s="874">
        <f t="shared" si="36"/>
        <v>1625</v>
      </c>
    </row>
    <row r="691" spans="2:10" hidden="1">
      <c r="B691" s="246" t="s">
        <v>819</v>
      </c>
      <c r="C691" s="246">
        <v>4</v>
      </c>
      <c r="D691" s="429">
        <v>122700</v>
      </c>
      <c r="E691" s="190">
        <v>42581</v>
      </c>
      <c r="F691" s="292" t="s">
        <v>819</v>
      </c>
      <c r="G691" s="833" t="s">
        <v>1470</v>
      </c>
      <c r="H691" s="253"/>
      <c r="I691" s="253">
        <v>122795</v>
      </c>
      <c r="J691" s="874">
        <f t="shared" ref="J691:J754" si="37">(I691-D691)*C691</f>
        <v>380</v>
      </c>
    </row>
    <row r="692" spans="2:10" hidden="1">
      <c r="B692" s="246" t="s">
        <v>809</v>
      </c>
      <c r="C692" s="246">
        <v>12</v>
      </c>
      <c r="D692" s="429">
        <v>42400</v>
      </c>
      <c r="E692" s="190">
        <v>42581</v>
      </c>
      <c r="F692" s="292" t="s">
        <v>809</v>
      </c>
      <c r="G692" s="833" t="s">
        <v>1470</v>
      </c>
      <c r="H692" s="253"/>
      <c r="I692" s="253">
        <v>44814</v>
      </c>
      <c r="J692" s="874">
        <f t="shared" si="37"/>
        <v>28968</v>
      </c>
    </row>
    <row r="693" spans="2:10" hidden="1">
      <c r="B693" s="246" t="s">
        <v>874</v>
      </c>
      <c r="C693" s="246">
        <v>12</v>
      </c>
      <c r="D693" s="429">
        <v>34428</v>
      </c>
      <c r="E693" s="190">
        <v>42581</v>
      </c>
      <c r="F693" s="292" t="s">
        <v>874</v>
      </c>
      <c r="G693" s="833" t="s">
        <v>1470</v>
      </c>
      <c r="H693" s="253"/>
      <c r="I693" s="253">
        <v>34507</v>
      </c>
      <c r="J693" s="874">
        <f t="shared" si="37"/>
        <v>948</v>
      </c>
    </row>
    <row r="694" spans="2:10" hidden="1">
      <c r="B694" s="246" t="s">
        <v>823</v>
      </c>
      <c r="C694" s="246">
        <v>3</v>
      </c>
      <c r="D694" s="429">
        <v>186785.2</v>
      </c>
      <c r="E694" s="190">
        <v>42581</v>
      </c>
      <c r="F694" s="292" t="s">
        <v>823</v>
      </c>
      <c r="G694" s="833" t="s">
        <v>1470</v>
      </c>
      <c r="H694" s="253"/>
      <c r="I694" s="253">
        <v>186837</v>
      </c>
      <c r="J694" s="874">
        <f t="shared" si="37"/>
        <v>155.39999999996508</v>
      </c>
    </row>
    <row r="695" spans="2:10" hidden="1">
      <c r="B695" s="246" t="s">
        <v>1467</v>
      </c>
      <c r="C695" s="246">
        <v>20</v>
      </c>
      <c r="D695" s="429">
        <v>38500</v>
      </c>
      <c r="E695" s="190">
        <v>42581</v>
      </c>
      <c r="F695" s="292" t="s">
        <v>1467</v>
      </c>
      <c r="G695" s="833" t="s">
        <v>1470</v>
      </c>
      <c r="H695" s="253"/>
      <c r="I695" s="253">
        <v>38790</v>
      </c>
      <c r="J695" s="874">
        <f t="shared" si="37"/>
        <v>5800</v>
      </c>
    </row>
    <row r="696" spans="2:10" hidden="1">
      <c r="B696" s="246" t="s">
        <v>504</v>
      </c>
      <c r="C696" s="246">
        <v>6</v>
      </c>
      <c r="D696" s="429">
        <v>107200</v>
      </c>
      <c r="E696" s="190">
        <v>42581</v>
      </c>
      <c r="F696" s="292" t="s">
        <v>504</v>
      </c>
      <c r="G696" s="833" t="s">
        <v>1470</v>
      </c>
      <c r="H696" s="253"/>
      <c r="I696" s="253">
        <v>107419</v>
      </c>
      <c r="J696" s="874">
        <f t="shared" si="37"/>
        <v>1314</v>
      </c>
    </row>
    <row r="697" spans="2:10" hidden="1">
      <c r="B697" s="246" t="s">
        <v>511</v>
      </c>
      <c r="C697" s="246">
        <v>25</v>
      </c>
      <c r="D697" s="429">
        <v>30589</v>
      </c>
      <c r="E697" s="190">
        <v>42581</v>
      </c>
      <c r="F697" s="292" t="s">
        <v>511</v>
      </c>
      <c r="G697" s="833" t="s">
        <v>1470</v>
      </c>
      <c r="H697" s="253"/>
      <c r="I697" s="253">
        <v>31867</v>
      </c>
      <c r="J697" s="874">
        <f t="shared" si="37"/>
        <v>31950</v>
      </c>
    </row>
    <row r="698" spans="2:10" hidden="1">
      <c r="B698" s="246" t="s">
        <v>485</v>
      </c>
      <c r="C698" s="246">
        <v>24</v>
      </c>
      <c r="D698" s="429">
        <v>43255.333333333336</v>
      </c>
      <c r="E698" s="190">
        <v>42581</v>
      </c>
      <c r="F698" s="292" t="s">
        <v>485</v>
      </c>
      <c r="G698" s="833" t="s">
        <v>1470</v>
      </c>
      <c r="H698" s="253"/>
      <c r="I698" s="253">
        <v>44609</v>
      </c>
      <c r="J698" s="874">
        <f t="shared" si="37"/>
        <v>32487.999999999942</v>
      </c>
    </row>
    <row r="699" spans="2:10" hidden="1">
      <c r="B699" s="292" t="s">
        <v>720</v>
      </c>
      <c r="C699" s="246">
        <v>6</v>
      </c>
      <c r="D699" s="429">
        <v>81285</v>
      </c>
      <c r="E699" s="190">
        <v>42581</v>
      </c>
      <c r="F699" s="292" t="s">
        <v>720</v>
      </c>
      <c r="G699" s="833" t="s">
        <v>1470</v>
      </c>
      <c r="H699" s="253"/>
      <c r="I699" s="253">
        <v>84672</v>
      </c>
      <c r="J699" s="874">
        <f t="shared" si="37"/>
        <v>20322</v>
      </c>
    </row>
    <row r="700" spans="2:10" hidden="1">
      <c r="B700" s="292" t="s">
        <v>469</v>
      </c>
      <c r="C700" s="246">
        <v>4</v>
      </c>
      <c r="D700" s="429">
        <v>59912</v>
      </c>
      <c r="E700" s="190">
        <v>42581</v>
      </c>
      <c r="F700" s="292" t="s">
        <v>469</v>
      </c>
      <c r="G700" s="833" t="s">
        <v>1470</v>
      </c>
      <c r="H700" s="253"/>
      <c r="I700" s="253">
        <v>62408</v>
      </c>
      <c r="J700" s="874">
        <f t="shared" si="37"/>
        <v>9984</v>
      </c>
    </row>
    <row r="701" spans="2:10" hidden="1">
      <c r="B701" s="246" t="s">
        <v>471</v>
      </c>
      <c r="C701" s="246">
        <v>12</v>
      </c>
      <c r="D701" s="429">
        <v>53767</v>
      </c>
      <c r="E701" s="190">
        <v>42581</v>
      </c>
      <c r="F701" s="292" t="s">
        <v>471</v>
      </c>
      <c r="G701" s="833" t="s">
        <v>1470</v>
      </c>
      <c r="H701" s="253"/>
      <c r="I701" s="253">
        <v>56007</v>
      </c>
      <c r="J701" s="874">
        <f t="shared" si="37"/>
        <v>26880</v>
      </c>
    </row>
    <row r="702" spans="2:10" hidden="1">
      <c r="B702" s="246" t="s">
        <v>470</v>
      </c>
      <c r="C702" s="246">
        <v>12</v>
      </c>
      <c r="D702" s="429">
        <v>95076</v>
      </c>
      <c r="E702" s="190">
        <v>42581</v>
      </c>
      <c r="F702" s="292" t="s">
        <v>470</v>
      </c>
      <c r="G702" s="833" t="s">
        <v>1470</v>
      </c>
      <c r="H702" s="253"/>
      <c r="I702" s="253">
        <v>99037</v>
      </c>
      <c r="J702" s="874">
        <f t="shared" si="37"/>
        <v>47532</v>
      </c>
    </row>
    <row r="703" spans="2:10" hidden="1">
      <c r="B703" s="246" t="s">
        <v>725</v>
      </c>
      <c r="C703" s="246">
        <v>40</v>
      </c>
      <c r="D703" s="429">
        <v>18825</v>
      </c>
      <c r="E703" s="190">
        <v>42581</v>
      </c>
      <c r="F703" s="292" t="s">
        <v>725</v>
      </c>
      <c r="G703" s="833" t="s">
        <v>1470</v>
      </c>
      <c r="H703" s="253"/>
      <c r="I703" s="253">
        <v>19606</v>
      </c>
      <c r="J703" s="874">
        <f t="shared" si="37"/>
        <v>31240</v>
      </c>
    </row>
    <row r="704" spans="2:10" hidden="1">
      <c r="B704" s="246" t="s">
        <v>863</v>
      </c>
      <c r="C704" s="246">
        <v>40</v>
      </c>
      <c r="D704" s="429">
        <v>19483</v>
      </c>
      <c r="E704" s="190">
        <v>42581</v>
      </c>
      <c r="F704" s="292" t="s">
        <v>863</v>
      </c>
      <c r="G704" s="833" t="s">
        <v>1470</v>
      </c>
      <c r="H704" s="253"/>
      <c r="I704" s="253">
        <v>20295</v>
      </c>
      <c r="J704" s="874">
        <f t="shared" si="37"/>
        <v>32480</v>
      </c>
    </row>
    <row r="705" spans="2:15" hidden="1">
      <c r="B705" s="246" t="s">
        <v>474</v>
      </c>
      <c r="C705" s="246">
        <v>12</v>
      </c>
      <c r="D705" s="429">
        <v>28383</v>
      </c>
      <c r="E705" s="190">
        <v>42581</v>
      </c>
      <c r="F705" s="292" t="s">
        <v>474</v>
      </c>
      <c r="G705" s="833" t="s">
        <v>1470</v>
      </c>
      <c r="H705" s="253"/>
      <c r="I705" s="253">
        <v>29566</v>
      </c>
      <c r="J705" s="874">
        <f t="shared" si="37"/>
        <v>14196</v>
      </c>
    </row>
    <row r="706" spans="2:15" hidden="1">
      <c r="B706" s="246" t="s">
        <v>552</v>
      </c>
      <c r="C706" s="246">
        <v>24</v>
      </c>
      <c r="D706" s="429">
        <v>36200</v>
      </c>
      <c r="E706" s="190">
        <v>42581</v>
      </c>
      <c r="F706" s="292" t="s">
        <v>552</v>
      </c>
      <c r="G706" s="833" t="s">
        <v>1470</v>
      </c>
      <c r="H706" s="253"/>
      <c r="I706" s="253">
        <v>36391</v>
      </c>
      <c r="J706" s="874">
        <f t="shared" si="37"/>
        <v>4584</v>
      </c>
    </row>
    <row r="707" spans="2:15" hidden="1">
      <c r="B707" s="246" t="s">
        <v>1468</v>
      </c>
      <c r="C707" s="246">
        <v>12</v>
      </c>
      <c r="D707" s="429">
        <v>21200</v>
      </c>
      <c r="E707" s="190">
        <v>42581</v>
      </c>
      <c r="F707" s="292" t="s">
        <v>1468</v>
      </c>
      <c r="G707" s="833" t="s">
        <v>1470</v>
      </c>
      <c r="H707" s="253"/>
      <c r="I707" s="253">
        <v>21496</v>
      </c>
      <c r="J707" s="874">
        <f t="shared" si="37"/>
        <v>3552</v>
      </c>
    </row>
    <row r="708" spans="2:15" hidden="1">
      <c r="B708" s="246" t="s">
        <v>562</v>
      </c>
      <c r="C708" s="246">
        <v>48</v>
      </c>
      <c r="D708" s="429">
        <v>12200</v>
      </c>
      <c r="E708" s="190">
        <v>42581</v>
      </c>
      <c r="F708" s="292" t="s">
        <v>562</v>
      </c>
      <c r="G708" s="833" t="s">
        <v>1470</v>
      </c>
      <c r="H708" s="253"/>
      <c r="I708" s="253">
        <v>13487</v>
      </c>
      <c r="J708" s="874">
        <f t="shared" si="37"/>
        <v>61776</v>
      </c>
    </row>
    <row r="709" spans="2:15" hidden="1">
      <c r="B709" s="246" t="s">
        <v>564</v>
      </c>
      <c r="C709" s="246">
        <v>48</v>
      </c>
      <c r="D709" s="429">
        <v>8250</v>
      </c>
      <c r="E709" s="190">
        <v>42581</v>
      </c>
      <c r="F709" s="292" t="s">
        <v>564</v>
      </c>
      <c r="G709" s="833" t="s">
        <v>1470</v>
      </c>
      <c r="H709" s="253"/>
      <c r="I709" s="253">
        <v>8397</v>
      </c>
      <c r="J709" s="874">
        <f t="shared" si="37"/>
        <v>7056</v>
      </c>
    </row>
    <row r="710" spans="2:15" hidden="1">
      <c r="B710" s="246" t="s">
        <v>808</v>
      </c>
      <c r="C710" s="246">
        <v>18</v>
      </c>
      <c r="D710" s="429">
        <v>11537.2</v>
      </c>
      <c r="E710" s="190">
        <v>42581</v>
      </c>
      <c r="F710" s="292" t="s">
        <v>808</v>
      </c>
      <c r="G710" s="833" t="s">
        <v>1470</v>
      </c>
      <c r="H710" s="253"/>
      <c r="I710" s="253">
        <v>11572</v>
      </c>
      <c r="J710" s="874">
        <f t="shared" si="37"/>
        <v>626.3999999999869</v>
      </c>
    </row>
    <row r="711" spans="2:15" hidden="1">
      <c r="B711" s="246" t="s">
        <v>1469</v>
      </c>
      <c r="C711" s="246">
        <v>9</v>
      </c>
      <c r="D711" s="429">
        <v>12040</v>
      </c>
      <c r="E711" s="190">
        <v>42581</v>
      </c>
      <c r="F711" s="292" t="s">
        <v>1469</v>
      </c>
      <c r="G711" s="833" t="s">
        <v>1470</v>
      </c>
      <c r="H711" s="253"/>
      <c r="I711" s="253">
        <v>12192</v>
      </c>
      <c r="J711" s="874">
        <f t="shared" si="37"/>
        <v>1368</v>
      </c>
    </row>
    <row r="712" spans="2:15" hidden="1">
      <c r="B712" s="246" t="s">
        <v>538</v>
      </c>
      <c r="C712" s="246">
        <v>24</v>
      </c>
      <c r="D712" s="429">
        <v>69735.291666666672</v>
      </c>
      <c r="E712" s="190">
        <v>42581</v>
      </c>
      <c r="F712" s="292" t="s">
        <v>538</v>
      </c>
      <c r="G712" s="833" t="s">
        <v>1470</v>
      </c>
      <c r="H712" s="253"/>
      <c r="I712" s="253">
        <v>72641</v>
      </c>
      <c r="J712" s="874">
        <f t="shared" si="37"/>
        <v>69736.999999999884</v>
      </c>
    </row>
    <row r="713" spans="2:15" hidden="1">
      <c r="B713" s="292" t="s">
        <v>1455</v>
      </c>
      <c r="C713" s="246">
        <v>2000</v>
      </c>
      <c r="D713" s="429">
        <v>8160</v>
      </c>
      <c r="E713" s="190">
        <v>42581</v>
      </c>
      <c r="F713" s="292" t="s">
        <v>1455</v>
      </c>
      <c r="G713" s="833" t="s">
        <v>1474</v>
      </c>
      <c r="H713" s="253"/>
      <c r="I713" s="253">
        <v>8500</v>
      </c>
      <c r="J713" s="874">
        <f t="shared" si="37"/>
        <v>680000</v>
      </c>
    </row>
    <row r="714" spans="2:15" hidden="1">
      <c r="B714" s="246" t="s">
        <v>1475</v>
      </c>
      <c r="C714" s="246">
        <v>200</v>
      </c>
      <c r="D714" s="429">
        <v>6800</v>
      </c>
      <c r="E714" s="190">
        <v>42584</v>
      </c>
      <c r="F714" s="292" t="s">
        <v>1475</v>
      </c>
      <c r="G714" s="833" t="s">
        <v>1487</v>
      </c>
      <c r="H714" s="253"/>
      <c r="I714" s="253">
        <v>6950</v>
      </c>
      <c r="J714" s="874">
        <f t="shared" si="37"/>
        <v>30000</v>
      </c>
    </row>
    <row r="715" spans="2:15" hidden="1">
      <c r="B715" s="246" t="s">
        <v>1476</v>
      </c>
      <c r="C715" s="246">
        <v>300</v>
      </c>
      <c r="D715" s="429">
        <v>7200</v>
      </c>
      <c r="E715" s="190">
        <v>42584</v>
      </c>
      <c r="F715" s="292" t="s">
        <v>1476</v>
      </c>
      <c r="G715" s="833" t="s">
        <v>1487</v>
      </c>
      <c r="H715" s="253"/>
      <c r="I715" s="253">
        <v>7300</v>
      </c>
      <c r="J715" s="874">
        <f t="shared" si="37"/>
        <v>30000</v>
      </c>
    </row>
    <row r="716" spans="2:15" hidden="1">
      <c r="B716" s="246" t="s">
        <v>1479</v>
      </c>
      <c r="C716" s="246">
        <v>200</v>
      </c>
      <c r="D716" s="429">
        <v>10976</v>
      </c>
      <c r="E716" s="190">
        <v>42587</v>
      </c>
      <c r="F716" s="292" t="s">
        <v>1479</v>
      </c>
      <c r="G716" s="833" t="s">
        <v>1488</v>
      </c>
      <c r="H716" s="253"/>
      <c r="I716" s="253">
        <v>12825</v>
      </c>
      <c r="J716" s="874">
        <f t="shared" si="37"/>
        <v>369800</v>
      </c>
      <c r="K716" s="246">
        <v>1</v>
      </c>
      <c r="L716" s="191" t="s">
        <v>1201</v>
      </c>
      <c r="M716" s="25">
        <v>10</v>
      </c>
      <c r="N716" s="289">
        <v>26703</v>
      </c>
      <c r="O716" s="429">
        <f>ROUND(C716*D716,0)</f>
        <v>2195200</v>
      </c>
    </row>
    <row r="717" spans="2:15" hidden="1">
      <c r="B717" s="246" t="s">
        <v>1477</v>
      </c>
      <c r="C717" s="246">
        <v>300</v>
      </c>
      <c r="D717" s="429">
        <v>13500</v>
      </c>
      <c r="E717" s="190">
        <v>42588</v>
      </c>
      <c r="F717" s="292" t="s">
        <v>1477</v>
      </c>
      <c r="G717" s="833" t="s">
        <v>1489</v>
      </c>
      <c r="H717" s="253"/>
      <c r="I717" s="253">
        <v>13900</v>
      </c>
      <c r="J717" s="874">
        <f t="shared" si="37"/>
        <v>120000</v>
      </c>
    </row>
    <row r="718" spans="2:15" hidden="1">
      <c r="B718" s="246" t="s">
        <v>1478</v>
      </c>
      <c r="C718" s="246">
        <v>400</v>
      </c>
      <c r="D718" s="429">
        <v>14050</v>
      </c>
      <c r="E718" s="190">
        <v>42588</v>
      </c>
      <c r="F718" s="292" t="s">
        <v>1478</v>
      </c>
      <c r="G718" s="833" t="s">
        <v>1489</v>
      </c>
      <c r="H718" s="253"/>
      <c r="I718" s="253">
        <v>14266</v>
      </c>
      <c r="J718" s="874">
        <f t="shared" si="37"/>
        <v>86400</v>
      </c>
    </row>
    <row r="719" spans="2:15" hidden="1">
      <c r="B719" s="292" t="s">
        <v>1491</v>
      </c>
      <c r="C719" s="25">
        <v>20</v>
      </c>
      <c r="D719" s="289">
        <v>71000</v>
      </c>
      <c r="E719" s="190">
        <v>42588</v>
      </c>
      <c r="F719" s="292" t="s">
        <v>1491</v>
      </c>
      <c r="G719" s="833" t="s">
        <v>1490</v>
      </c>
      <c r="H719" s="253"/>
      <c r="I719" s="253">
        <v>71612</v>
      </c>
      <c r="J719" s="874">
        <f t="shared" si="37"/>
        <v>12240</v>
      </c>
    </row>
    <row r="720" spans="2:15" hidden="1">
      <c r="B720" s="292" t="s">
        <v>1492</v>
      </c>
      <c r="C720" s="25">
        <v>8</v>
      </c>
      <c r="D720" s="289">
        <v>82000</v>
      </c>
      <c r="E720" s="190">
        <v>42588</v>
      </c>
      <c r="F720" s="292" t="s">
        <v>1492</v>
      </c>
      <c r="G720" s="833" t="s">
        <v>1490</v>
      </c>
      <c r="H720" s="253"/>
      <c r="I720" s="253">
        <v>82765</v>
      </c>
      <c r="J720" s="874">
        <f t="shared" si="37"/>
        <v>6120</v>
      </c>
    </row>
    <row r="721" spans="2:10" hidden="1">
      <c r="B721" s="292" t="s">
        <v>1493</v>
      </c>
      <c r="C721" s="25">
        <v>9</v>
      </c>
      <c r="D721" s="289">
        <v>79200</v>
      </c>
      <c r="E721" s="190">
        <v>42588</v>
      </c>
      <c r="F721" s="292" t="s">
        <v>1493</v>
      </c>
      <c r="G721" s="833" t="s">
        <v>1490</v>
      </c>
      <c r="H721" s="253"/>
      <c r="I721" s="253">
        <v>79944</v>
      </c>
      <c r="J721" s="874">
        <f t="shared" si="37"/>
        <v>6696</v>
      </c>
    </row>
    <row r="722" spans="2:10" hidden="1">
      <c r="B722" s="292" t="s">
        <v>1496</v>
      </c>
      <c r="C722" s="246">
        <v>172</v>
      </c>
      <c r="D722" s="429">
        <v>9200</v>
      </c>
      <c r="E722" s="190">
        <v>42589</v>
      </c>
      <c r="F722" s="292" t="s">
        <v>1496</v>
      </c>
      <c r="G722" s="833" t="s">
        <v>1494</v>
      </c>
      <c r="H722" s="253"/>
      <c r="I722" s="253">
        <v>9490</v>
      </c>
      <c r="J722" s="874">
        <f t="shared" si="37"/>
        <v>49880</v>
      </c>
    </row>
    <row r="723" spans="2:10" hidden="1">
      <c r="B723" s="292" t="s">
        <v>1497</v>
      </c>
      <c r="C723" s="246">
        <v>172</v>
      </c>
      <c r="D723" s="429">
        <v>5400</v>
      </c>
      <c r="E723" s="190">
        <v>42589</v>
      </c>
      <c r="F723" s="292" t="s">
        <v>1497</v>
      </c>
      <c r="G723" s="833" t="s">
        <v>1494</v>
      </c>
      <c r="H723" s="253"/>
      <c r="I723" s="253">
        <v>5670</v>
      </c>
      <c r="J723" s="874">
        <f t="shared" si="37"/>
        <v>46440</v>
      </c>
    </row>
    <row r="724" spans="2:10" hidden="1">
      <c r="B724" s="292" t="s">
        <v>1498</v>
      </c>
      <c r="C724" s="246">
        <v>172</v>
      </c>
      <c r="D724" s="429">
        <v>8000</v>
      </c>
      <c r="E724" s="190">
        <v>42589</v>
      </c>
      <c r="F724" s="292" t="s">
        <v>1498</v>
      </c>
      <c r="G724" s="833" t="s">
        <v>1494</v>
      </c>
      <c r="H724" s="253"/>
      <c r="I724" s="253">
        <v>8250</v>
      </c>
      <c r="J724" s="874">
        <f t="shared" si="37"/>
        <v>43000</v>
      </c>
    </row>
    <row r="725" spans="2:10" hidden="1">
      <c r="B725" s="292" t="s">
        <v>1499</v>
      </c>
      <c r="C725" s="246">
        <v>172</v>
      </c>
      <c r="D725" s="429">
        <v>6200</v>
      </c>
      <c r="E725" s="190">
        <v>42589</v>
      </c>
      <c r="F725" s="292" t="s">
        <v>1499</v>
      </c>
      <c r="G725" s="833" t="s">
        <v>1494</v>
      </c>
      <c r="H725" s="253"/>
      <c r="I725" s="253">
        <v>6500</v>
      </c>
      <c r="J725" s="874">
        <f t="shared" si="37"/>
        <v>51600</v>
      </c>
    </row>
    <row r="726" spans="2:10" hidden="1">
      <c r="B726" s="292" t="s">
        <v>1500</v>
      </c>
      <c r="C726" s="246">
        <v>200</v>
      </c>
      <c r="D726" s="429">
        <v>7900</v>
      </c>
      <c r="E726" s="190">
        <v>42589</v>
      </c>
      <c r="F726" s="292" t="s">
        <v>1500</v>
      </c>
      <c r="G726" s="833" t="s">
        <v>1494</v>
      </c>
      <c r="H726" s="253"/>
      <c r="I726" s="253">
        <v>8150</v>
      </c>
      <c r="J726" s="874">
        <f t="shared" si="37"/>
        <v>50000</v>
      </c>
    </row>
    <row r="727" spans="2:10" hidden="1">
      <c r="B727" s="292" t="s">
        <v>1501</v>
      </c>
      <c r="C727" s="246">
        <v>200</v>
      </c>
      <c r="D727" s="429">
        <v>5600</v>
      </c>
      <c r="E727" s="190">
        <v>42589</v>
      </c>
      <c r="F727" s="292" t="s">
        <v>1501</v>
      </c>
      <c r="G727" s="833" t="s">
        <v>1494</v>
      </c>
      <c r="H727" s="253"/>
      <c r="I727" s="253">
        <v>5880</v>
      </c>
      <c r="J727" s="874">
        <f t="shared" si="37"/>
        <v>56000</v>
      </c>
    </row>
    <row r="728" spans="2:10" hidden="1">
      <c r="B728" s="191" t="s">
        <v>696</v>
      </c>
      <c r="C728" s="25">
        <v>1100</v>
      </c>
      <c r="D728" s="289">
        <v>11500</v>
      </c>
      <c r="E728" s="190">
        <v>42595</v>
      </c>
      <c r="F728" s="292" t="s">
        <v>696</v>
      </c>
      <c r="G728" s="833" t="s">
        <v>1502</v>
      </c>
      <c r="H728" s="253"/>
      <c r="I728" s="253">
        <v>11700</v>
      </c>
      <c r="J728" s="874">
        <f t="shared" si="37"/>
        <v>220000</v>
      </c>
    </row>
    <row r="729" spans="2:10" hidden="1">
      <c r="B729" s="191" t="s">
        <v>1301</v>
      </c>
      <c r="C729" s="246">
        <v>1100</v>
      </c>
      <c r="D729" s="429">
        <v>520</v>
      </c>
      <c r="E729" s="190">
        <v>42595</v>
      </c>
      <c r="F729" s="191" t="s">
        <v>1301</v>
      </c>
      <c r="G729" s="833" t="s">
        <v>1502</v>
      </c>
      <c r="H729" s="253"/>
      <c r="I729" s="253">
        <v>534</v>
      </c>
      <c r="J729" s="874">
        <f t="shared" si="37"/>
        <v>15400</v>
      </c>
    </row>
    <row r="730" spans="2:10" hidden="1">
      <c r="B730" s="292" t="s">
        <v>1504</v>
      </c>
      <c r="C730" s="246">
        <v>172</v>
      </c>
      <c r="D730" s="429">
        <v>10300</v>
      </c>
      <c r="E730" s="190">
        <v>42597</v>
      </c>
      <c r="F730" s="292" t="s">
        <v>1504</v>
      </c>
      <c r="G730" s="833" t="s">
        <v>1503</v>
      </c>
      <c r="H730" s="253"/>
      <c r="I730" s="253">
        <v>10500</v>
      </c>
      <c r="J730" s="874">
        <f t="shared" si="37"/>
        <v>34400</v>
      </c>
    </row>
    <row r="731" spans="2:10" hidden="1">
      <c r="B731" s="292" t="s">
        <v>1505</v>
      </c>
      <c r="C731" s="246">
        <v>172</v>
      </c>
      <c r="D731" s="429">
        <v>12500</v>
      </c>
      <c r="E731" s="190">
        <v>42597</v>
      </c>
      <c r="F731" s="292" t="s">
        <v>1505</v>
      </c>
      <c r="G731" s="833" t="s">
        <v>1503</v>
      </c>
      <c r="H731" s="253"/>
      <c r="I731" s="253">
        <v>12700</v>
      </c>
      <c r="J731" s="874">
        <f t="shared" si="37"/>
        <v>34400</v>
      </c>
    </row>
    <row r="732" spans="2:10" hidden="1">
      <c r="B732" s="292" t="s">
        <v>1507</v>
      </c>
      <c r="C732" s="246">
        <v>172</v>
      </c>
      <c r="D732" s="429">
        <v>5800</v>
      </c>
      <c r="E732" s="190">
        <v>42597</v>
      </c>
      <c r="F732" s="292" t="s">
        <v>1507</v>
      </c>
      <c r="G732" s="833" t="s">
        <v>1503</v>
      </c>
      <c r="H732" s="253"/>
      <c r="I732" s="253">
        <v>6090</v>
      </c>
      <c r="J732" s="874">
        <f t="shared" si="37"/>
        <v>49880</v>
      </c>
    </row>
    <row r="733" spans="2:10" hidden="1">
      <c r="B733" s="292" t="s">
        <v>1506</v>
      </c>
      <c r="C733" s="246">
        <v>172</v>
      </c>
      <c r="D733" s="429">
        <v>10250</v>
      </c>
      <c r="E733" s="190">
        <v>42597</v>
      </c>
      <c r="F733" s="292" t="s">
        <v>1506</v>
      </c>
      <c r="G733" s="833" t="s">
        <v>1503</v>
      </c>
      <c r="H733" s="253"/>
      <c r="I733" s="253">
        <v>10400</v>
      </c>
      <c r="J733" s="874">
        <f t="shared" si="37"/>
        <v>25800</v>
      </c>
    </row>
    <row r="734" spans="2:10" hidden="1">
      <c r="B734" s="292" t="s">
        <v>1508</v>
      </c>
      <c r="C734" s="246">
        <v>172</v>
      </c>
      <c r="D734" s="429">
        <v>11150</v>
      </c>
      <c r="E734" s="190">
        <v>42597</v>
      </c>
      <c r="F734" s="292" t="s">
        <v>1508</v>
      </c>
      <c r="G734" s="833" t="s">
        <v>1503</v>
      </c>
      <c r="H734" s="253"/>
      <c r="I734" s="253">
        <v>11390</v>
      </c>
      <c r="J734" s="874">
        <f t="shared" si="37"/>
        <v>41280</v>
      </c>
    </row>
    <row r="735" spans="2:10" hidden="1">
      <c r="B735" s="292" t="s">
        <v>1509</v>
      </c>
      <c r="C735" s="246">
        <v>172</v>
      </c>
      <c r="D735" s="429">
        <v>6700</v>
      </c>
      <c r="E735" s="190">
        <v>42597</v>
      </c>
      <c r="F735" s="292" t="s">
        <v>1509</v>
      </c>
      <c r="G735" s="833" t="s">
        <v>1503</v>
      </c>
      <c r="H735" s="253"/>
      <c r="I735" s="253">
        <v>6990</v>
      </c>
      <c r="J735" s="874">
        <f t="shared" si="37"/>
        <v>49880</v>
      </c>
    </row>
    <row r="736" spans="2:10" hidden="1">
      <c r="B736" s="292" t="s">
        <v>1510</v>
      </c>
      <c r="C736" s="246">
        <v>200</v>
      </c>
      <c r="D736" s="429">
        <v>9350</v>
      </c>
      <c r="E736" s="190">
        <v>42597</v>
      </c>
      <c r="F736" s="292" t="s">
        <v>1510</v>
      </c>
      <c r="G736" s="833" t="s">
        <v>1503</v>
      </c>
      <c r="H736" s="253"/>
      <c r="I736" s="253">
        <v>9570</v>
      </c>
      <c r="J736" s="874">
        <f t="shared" si="37"/>
        <v>44000</v>
      </c>
    </row>
    <row r="737" spans="2:15" hidden="1">
      <c r="B737" s="292" t="s">
        <v>1511</v>
      </c>
      <c r="C737" s="246">
        <v>200</v>
      </c>
      <c r="D737" s="429">
        <v>11080</v>
      </c>
      <c r="E737" s="190">
        <v>42597</v>
      </c>
      <c r="F737" s="292" t="s">
        <v>1511</v>
      </c>
      <c r="G737" s="833" t="s">
        <v>1503</v>
      </c>
      <c r="H737" s="253"/>
      <c r="I737" s="253">
        <v>11280</v>
      </c>
      <c r="J737" s="874">
        <f t="shared" si="37"/>
        <v>40000</v>
      </c>
    </row>
    <row r="738" spans="2:15" hidden="1">
      <c r="B738" s="292" t="s">
        <v>1512</v>
      </c>
      <c r="C738" s="246">
        <v>200</v>
      </c>
      <c r="D738" s="429">
        <v>6145</v>
      </c>
      <c r="E738" s="190">
        <v>42597</v>
      </c>
      <c r="F738" s="292" t="s">
        <v>1512</v>
      </c>
      <c r="G738" s="833" t="s">
        <v>1503</v>
      </c>
      <c r="H738" s="253"/>
      <c r="I738" s="253">
        <v>6310</v>
      </c>
      <c r="J738" s="874">
        <f t="shared" si="37"/>
        <v>33000</v>
      </c>
    </row>
    <row r="739" spans="2:15" hidden="1">
      <c r="B739" s="290" t="s">
        <v>451</v>
      </c>
      <c r="C739" s="874">
        <v>460</v>
      </c>
      <c r="D739" s="429">
        <v>10500</v>
      </c>
      <c r="E739" s="190">
        <v>42598</v>
      </c>
      <c r="F739" s="290" t="s">
        <v>451</v>
      </c>
      <c r="G739" s="833" t="s">
        <v>1513</v>
      </c>
      <c r="H739" s="253"/>
      <c r="I739" s="253">
        <v>11000</v>
      </c>
      <c r="J739" s="874">
        <f t="shared" si="37"/>
        <v>230000</v>
      </c>
    </row>
    <row r="740" spans="2:15" hidden="1">
      <c r="B740" s="40" t="s">
        <v>1482</v>
      </c>
      <c r="C740" s="25">
        <v>70</v>
      </c>
      <c r="D740" s="289">
        <v>26700</v>
      </c>
      <c r="E740" s="190">
        <v>42598</v>
      </c>
      <c r="F740" s="292" t="s">
        <v>1482</v>
      </c>
      <c r="G740" s="833" t="s">
        <v>1514</v>
      </c>
      <c r="H740" s="253"/>
      <c r="I740" s="253">
        <v>28118</v>
      </c>
      <c r="J740" s="874">
        <f t="shared" si="37"/>
        <v>99260</v>
      </c>
    </row>
    <row r="741" spans="2:15" hidden="1">
      <c r="B741" s="40" t="s">
        <v>1483</v>
      </c>
      <c r="C741" s="25">
        <v>90</v>
      </c>
      <c r="D741" s="289">
        <v>33000</v>
      </c>
      <c r="E741" s="190">
        <v>42598</v>
      </c>
      <c r="F741" s="292" t="s">
        <v>1483</v>
      </c>
      <c r="G741" s="833" t="s">
        <v>1514</v>
      </c>
      <c r="H741" s="253"/>
      <c r="I741" s="253">
        <v>34280</v>
      </c>
      <c r="J741" s="874">
        <f t="shared" si="37"/>
        <v>115200</v>
      </c>
    </row>
    <row r="742" spans="2:15" hidden="1">
      <c r="B742" s="246" t="s">
        <v>1484</v>
      </c>
      <c r="C742" s="246">
        <v>150</v>
      </c>
      <c r="D742" s="429">
        <v>47500</v>
      </c>
      <c r="E742" s="190">
        <v>42598</v>
      </c>
      <c r="F742" s="292" t="s">
        <v>1484</v>
      </c>
      <c r="G742" s="833" t="s">
        <v>1514</v>
      </c>
      <c r="H742" s="253"/>
      <c r="I742" s="253">
        <v>50000</v>
      </c>
      <c r="J742" s="874">
        <f t="shared" si="37"/>
        <v>375000</v>
      </c>
      <c r="K742" s="246">
        <v>1</v>
      </c>
      <c r="L742" s="191" t="s">
        <v>1246</v>
      </c>
      <c r="M742" s="25">
        <v>10</v>
      </c>
      <c r="N742" s="289">
        <v>29435</v>
      </c>
      <c r="O742" s="429">
        <f t="shared" ref="O742:O744" si="38">ROUND(C742*D742,0)</f>
        <v>7125000</v>
      </c>
    </row>
    <row r="743" spans="2:15" hidden="1">
      <c r="B743" s="40" t="s">
        <v>1485</v>
      </c>
      <c r="C743" s="25">
        <v>210</v>
      </c>
      <c r="D743" s="289">
        <v>38000</v>
      </c>
      <c r="E743" s="190">
        <v>42598</v>
      </c>
      <c r="F743" s="292" t="s">
        <v>1485</v>
      </c>
      <c r="G743" s="833" t="s">
        <v>1514</v>
      </c>
      <c r="H743" s="253"/>
      <c r="I743" s="253">
        <v>40000</v>
      </c>
      <c r="J743" s="874">
        <f t="shared" si="37"/>
        <v>420000</v>
      </c>
      <c r="K743" s="246">
        <v>1</v>
      </c>
      <c r="L743" s="191" t="s">
        <v>1168</v>
      </c>
      <c r="M743" s="25">
        <v>10</v>
      </c>
      <c r="N743" s="289">
        <v>25999</v>
      </c>
      <c r="O743" s="429">
        <f t="shared" si="38"/>
        <v>7980000</v>
      </c>
    </row>
    <row r="744" spans="2:15" hidden="1">
      <c r="B744" s="292" t="s">
        <v>1517</v>
      </c>
      <c r="C744" s="25">
        <v>700</v>
      </c>
      <c r="D744" s="289">
        <v>4100</v>
      </c>
      <c r="E744" s="190">
        <v>42598</v>
      </c>
      <c r="F744" s="292" t="s">
        <v>1517</v>
      </c>
      <c r="G744" s="833" t="s">
        <v>1516</v>
      </c>
      <c r="H744" s="253"/>
      <c r="I744" s="253">
        <v>4655</v>
      </c>
      <c r="J744" s="874">
        <f t="shared" si="37"/>
        <v>388500</v>
      </c>
      <c r="K744" s="246">
        <v>1</v>
      </c>
      <c r="L744" s="191" t="s">
        <v>1168</v>
      </c>
      <c r="M744" s="25">
        <v>10</v>
      </c>
      <c r="N744" s="289">
        <v>25999</v>
      </c>
      <c r="O744" s="429">
        <f t="shared" si="38"/>
        <v>2870000</v>
      </c>
    </row>
    <row r="745" spans="2:15" hidden="1">
      <c r="B745" s="292" t="s">
        <v>1518</v>
      </c>
      <c r="C745" s="246">
        <v>700</v>
      </c>
      <c r="D745" s="429">
        <v>360</v>
      </c>
      <c r="E745" s="190">
        <v>42598</v>
      </c>
      <c r="F745" s="292" t="s">
        <v>1518</v>
      </c>
      <c r="G745" s="833" t="s">
        <v>1516</v>
      </c>
      <c r="H745" s="253"/>
      <c r="I745" s="253">
        <v>405</v>
      </c>
      <c r="J745" s="874">
        <f t="shared" si="37"/>
        <v>31500</v>
      </c>
    </row>
    <row r="746" spans="2:15" hidden="1">
      <c r="B746" s="292" t="s">
        <v>1519</v>
      </c>
      <c r="C746" s="246">
        <v>3500</v>
      </c>
      <c r="D746" s="429">
        <v>300</v>
      </c>
      <c r="E746" s="190">
        <v>42598</v>
      </c>
      <c r="F746" s="292" t="s">
        <v>1519</v>
      </c>
      <c r="G746" s="833" t="s">
        <v>1516</v>
      </c>
      <c r="H746" s="253"/>
      <c r="I746" s="253">
        <v>321</v>
      </c>
      <c r="J746" s="874">
        <f t="shared" si="37"/>
        <v>73500</v>
      </c>
    </row>
    <row r="747" spans="2:15" hidden="1">
      <c r="B747" s="292" t="s">
        <v>1521</v>
      </c>
      <c r="C747" s="25">
        <v>400</v>
      </c>
      <c r="D747" s="289">
        <v>9400</v>
      </c>
      <c r="E747" s="190">
        <v>42601</v>
      </c>
      <c r="F747" s="292" t="s">
        <v>1521</v>
      </c>
      <c r="G747" s="833" t="s">
        <v>1520</v>
      </c>
      <c r="H747" s="253"/>
      <c r="I747" s="253">
        <v>9800</v>
      </c>
      <c r="J747" s="874">
        <f t="shared" si="37"/>
        <v>160000</v>
      </c>
    </row>
    <row r="748" spans="2:15" hidden="1">
      <c r="B748" s="40" t="s">
        <v>812</v>
      </c>
      <c r="C748" s="25">
        <v>1990</v>
      </c>
      <c r="D748" s="289">
        <v>24875.537688442211</v>
      </c>
      <c r="E748" s="190">
        <v>42601</v>
      </c>
      <c r="F748" s="292" t="s">
        <v>812</v>
      </c>
      <c r="G748" s="833" t="s">
        <v>1522</v>
      </c>
      <c r="H748" s="253"/>
      <c r="I748" s="253">
        <v>25000</v>
      </c>
      <c r="J748" s="874">
        <f t="shared" si="37"/>
        <v>247679.99999999968</v>
      </c>
      <c r="K748" s="246">
        <v>1</v>
      </c>
      <c r="L748" s="191" t="s">
        <v>1168</v>
      </c>
      <c r="M748" s="25">
        <v>10</v>
      </c>
      <c r="N748" s="289">
        <v>25999</v>
      </c>
      <c r="O748" s="429">
        <f>ROUND(C748*D748,0)</f>
        <v>49502320</v>
      </c>
    </row>
    <row r="749" spans="2:15" hidden="1">
      <c r="B749" s="188" t="s">
        <v>479</v>
      </c>
      <c r="C749" s="25">
        <v>210</v>
      </c>
      <c r="D749" s="289">
        <v>8500</v>
      </c>
      <c r="E749" s="190">
        <v>42601</v>
      </c>
      <c r="F749" s="292" t="s">
        <v>479</v>
      </c>
      <c r="G749" s="833" t="s">
        <v>1524</v>
      </c>
      <c r="H749" s="253"/>
      <c r="I749" s="253">
        <v>8030</v>
      </c>
      <c r="J749" s="874">
        <f t="shared" si="37"/>
        <v>-98700</v>
      </c>
    </row>
    <row r="750" spans="2:15" hidden="1">
      <c r="B750" s="40" t="s">
        <v>1481</v>
      </c>
      <c r="C750" s="25">
        <v>5000</v>
      </c>
      <c r="D750" s="289">
        <v>8550</v>
      </c>
      <c r="E750" s="190">
        <v>42602</v>
      </c>
      <c r="F750" s="292" t="s">
        <v>1481</v>
      </c>
      <c r="G750" s="833" t="s">
        <v>1525</v>
      </c>
      <c r="H750" s="253"/>
      <c r="I750" s="253">
        <v>9000</v>
      </c>
      <c r="J750" s="874">
        <f t="shared" si="37"/>
        <v>2250000</v>
      </c>
      <c r="K750" s="246">
        <v>1</v>
      </c>
      <c r="L750" s="191" t="s">
        <v>1213</v>
      </c>
      <c r="M750" s="25">
        <v>50</v>
      </c>
      <c r="N750" s="289">
        <v>22429</v>
      </c>
      <c r="O750" s="429">
        <f t="shared" ref="O750:O752" si="39">ROUND(C750*D750,0)</f>
        <v>42750000</v>
      </c>
    </row>
    <row r="751" spans="2:15" hidden="1">
      <c r="B751" s="292" t="s">
        <v>1178</v>
      </c>
      <c r="C751" s="253">
        <v>1500</v>
      </c>
      <c r="D751" s="429">
        <v>33250</v>
      </c>
      <c r="E751" s="190">
        <v>42604</v>
      </c>
      <c r="F751" s="292" t="s">
        <v>1178</v>
      </c>
      <c r="G751" s="833" t="s">
        <v>1526</v>
      </c>
      <c r="H751" s="253"/>
      <c r="I751" s="253">
        <v>35000</v>
      </c>
      <c r="J751" s="874">
        <f t="shared" si="37"/>
        <v>2625000</v>
      </c>
      <c r="K751" s="246">
        <v>1</v>
      </c>
      <c r="L751" s="191" t="s">
        <v>1191</v>
      </c>
      <c r="M751" s="25">
        <v>61</v>
      </c>
      <c r="N751" s="289">
        <v>27141</v>
      </c>
      <c r="O751" s="429">
        <f t="shared" si="39"/>
        <v>49875000</v>
      </c>
    </row>
    <row r="752" spans="2:15" hidden="1">
      <c r="B752" s="292" t="s">
        <v>1179</v>
      </c>
      <c r="C752" s="253">
        <v>1500</v>
      </c>
      <c r="D752" s="429">
        <v>30875</v>
      </c>
      <c r="E752" s="190">
        <v>42604</v>
      </c>
      <c r="F752" s="292" t="s">
        <v>1179</v>
      </c>
      <c r="G752" s="833" t="s">
        <v>1526</v>
      </c>
      <c r="H752" s="253"/>
      <c r="I752" s="253">
        <v>32500</v>
      </c>
      <c r="J752" s="874">
        <f t="shared" si="37"/>
        <v>2437500</v>
      </c>
      <c r="K752" s="246">
        <v>1</v>
      </c>
      <c r="L752" s="188" t="s">
        <v>1198</v>
      </c>
      <c r="M752" s="25">
        <v>68</v>
      </c>
      <c r="N752" s="289">
        <v>18870</v>
      </c>
      <c r="O752" s="429">
        <f t="shared" si="39"/>
        <v>46312500</v>
      </c>
    </row>
    <row r="753" spans="2:12" hidden="1">
      <c r="B753" s="290" t="s">
        <v>451</v>
      </c>
      <c r="C753" s="874">
        <v>4400</v>
      </c>
      <c r="D753" s="429">
        <v>17575</v>
      </c>
      <c r="E753" s="190">
        <v>42604</v>
      </c>
      <c r="F753" s="290" t="s">
        <v>451</v>
      </c>
      <c r="G753" s="833" t="s">
        <v>1526</v>
      </c>
      <c r="H753" s="253"/>
      <c r="I753" s="253">
        <v>18500</v>
      </c>
      <c r="J753" s="874">
        <f t="shared" si="37"/>
        <v>4070000</v>
      </c>
    </row>
    <row r="754" spans="2:12" hidden="1">
      <c r="B754" s="290" t="s">
        <v>450</v>
      </c>
      <c r="C754" s="253">
        <v>4100</v>
      </c>
      <c r="D754" s="253">
        <v>17575</v>
      </c>
      <c r="E754" s="190">
        <v>42604</v>
      </c>
      <c r="F754" s="290" t="s">
        <v>450</v>
      </c>
      <c r="G754" s="833" t="s">
        <v>1526</v>
      </c>
      <c r="H754" s="253"/>
      <c r="I754" s="253">
        <v>18500</v>
      </c>
      <c r="J754" s="874">
        <f t="shared" si="37"/>
        <v>3792500</v>
      </c>
    </row>
    <row r="755" spans="2:12" hidden="1">
      <c r="B755" s="292" t="s">
        <v>1529</v>
      </c>
      <c r="C755" s="25">
        <v>300</v>
      </c>
      <c r="D755" s="289">
        <v>10500</v>
      </c>
      <c r="E755" s="190">
        <v>42605</v>
      </c>
      <c r="F755" s="292" t="s">
        <v>1529</v>
      </c>
      <c r="G755" s="833" t="s">
        <v>1527</v>
      </c>
      <c r="H755" s="253"/>
      <c r="I755" s="253">
        <v>11000</v>
      </c>
      <c r="J755" s="874">
        <f t="shared" ref="J755:J778" si="40">(I755-D755)*C755</f>
        <v>150000</v>
      </c>
    </row>
    <row r="756" spans="2:12" hidden="1">
      <c r="B756" s="290" t="s">
        <v>1532</v>
      </c>
      <c r="C756" s="25">
        <v>60</v>
      </c>
      <c r="D756" s="289">
        <v>8100</v>
      </c>
      <c r="E756" s="190">
        <v>42607</v>
      </c>
      <c r="F756" s="292" t="s">
        <v>1532</v>
      </c>
      <c r="G756" s="833" t="s">
        <v>1530</v>
      </c>
      <c r="H756" s="253"/>
      <c r="I756" s="253">
        <v>8623</v>
      </c>
      <c r="J756" s="874">
        <f t="shared" si="40"/>
        <v>31380</v>
      </c>
    </row>
    <row r="757" spans="2:12" hidden="1">
      <c r="B757" s="290" t="s">
        <v>1535</v>
      </c>
      <c r="C757" s="25">
        <v>10</v>
      </c>
      <c r="D757" s="289">
        <v>18100</v>
      </c>
      <c r="E757" s="190">
        <v>42609</v>
      </c>
      <c r="F757" s="292" t="s">
        <v>1535</v>
      </c>
      <c r="G757" s="833" t="s">
        <v>1534</v>
      </c>
      <c r="H757" s="253"/>
      <c r="I757" s="253">
        <v>18630</v>
      </c>
      <c r="J757" s="874">
        <f t="shared" si="40"/>
        <v>5300</v>
      </c>
    </row>
    <row r="758" spans="2:12" hidden="1">
      <c r="B758" s="292" t="s">
        <v>1539</v>
      </c>
      <c r="C758" s="25">
        <v>26</v>
      </c>
      <c r="D758" s="289">
        <v>115100</v>
      </c>
      <c r="E758" s="190">
        <v>42611</v>
      </c>
      <c r="F758" s="292" t="s">
        <v>1539</v>
      </c>
      <c r="G758" s="833" t="s">
        <v>1536</v>
      </c>
      <c r="H758" s="253"/>
      <c r="I758" s="253">
        <v>115858</v>
      </c>
      <c r="J758" s="874">
        <f t="shared" si="40"/>
        <v>19708</v>
      </c>
      <c r="L758" s="874"/>
    </row>
    <row r="759" spans="2:12" hidden="1">
      <c r="B759" s="292" t="s">
        <v>1538</v>
      </c>
      <c r="C759" s="246">
        <v>26</v>
      </c>
      <c r="D759" s="429">
        <v>8000</v>
      </c>
      <c r="E759" s="190">
        <v>42611</v>
      </c>
      <c r="F759" s="292" t="s">
        <v>1538</v>
      </c>
      <c r="G759" s="833" t="s">
        <v>1537</v>
      </c>
      <c r="H759" s="253"/>
      <c r="I759" s="253">
        <v>8265</v>
      </c>
      <c r="J759" s="874">
        <f t="shared" si="40"/>
        <v>6890</v>
      </c>
    </row>
    <row r="760" spans="2:12" hidden="1">
      <c r="B760" s="292" t="s">
        <v>1540</v>
      </c>
      <c r="C760" s="25">
        <v>35</v>
      </c>
      <c r="D760" s="289">
        <v>51100</v>
      </c>
      <c r="E760" s="190">
        <v>42611</v>
      </c>
      <c r="F760" s="292" t="s">
        <v>1540</v>
      </c>
      <c r="G760" s="833" t="s">
        <v>1537</v>
      </c>
      <c r="H760" s="253"/>
      <c r="I760" s="253">
        <v>51433</v>
      </c>
      <c r="J760" s="874">
        <f t="shared" si="40"/>
        <v>11655</v>
      </c>
      <c r="L760" s="874"/>
    </row>
    <row r="761" spans="2:12" hidden="1">
      <c r="B761" s="292" t="s">
        <v>1541</v>
      </c>
      <c r="C761" s="25">
        <v>5</v>
      </c>
      <c r="D761" s="289">
        <v>107000</v>
      </c>
      <c r="E761" s="190">
        <v>42611</v>
      </c>
      <c r="F761" s="292" t="s">
        <v>1541</v>
      </c>
      <c r="G761" s="833" t="s">
        <v>1537</v>
      </c>
      <c r="H761" s="253"/>
      <c r="I761" s="253">
        <v>107276</v>
      </c>
      <c r="J761" s="874">
        <f t="shared" si="40"/>
        <v>1380</v>
      </c>
      <c r="L761" s="874"/>
    </row>
    <row r="762" spans="2:12" hidden="1">
      <c r="B762" s="292" t="s">
        <v>1542</v>
      </c>
      <c r="C762" s="25">
        <v>26</v>
      </c>
      <c r="D762" s="289">
        <v>60000</v>
      </c>
      <c r="E762" s="190">
        <v>42611</v>
      </c>
      <c r="F762" s="292" t="s">
        <v>1542</v>
      </c>
      <c r="G762" s="833" t="s">
        <v>1537</v>
      </c>
      <c r="H762" s="253"/>
      <c r="I762" s="253">
        <v>60452</v>
      </c>
      <c r="J762" s="874">
        <f t="shared" si="40"/>
        <v>11752</v>
      </c>
      <c r="L762" s="874"/>
    </row>
    <row r="763" spans="2:12" hidden="1">
      <c r="B763" s="292" t="s">
        <v>1543</v>
      </c>
      <c r="C763" s="25">
        <v>20</v>
      </c>
      <c r="D763" s="289">
        <v>46200</v>
      </c>
      <c r="E763" s="190">
        <v>42611</v>
      </c>
      <c r="F763" s="292" t="s">
        <v>1543</v>
      </c>
      <c r="G763" s="833" t="s">
        <v>1537</v>
      </c>
      <c r="H763" s="253"/>
      <c r="I763" s="253">
        <v>31752</v>
      </c>
      <c r="J763" s="874">
        <f t="shared" si="40"/>
        <v>-288960</v>
      </c>
      <c r="L763" s="874"/>
    </row>
    <row r="764" spans="2:12" hidden="1">
      <c r="B764" s="292" t="s">
        <v>1544</v>
      </c>
      <c r="C764" s="25">
        <v>2</v>
      </c>
      <c r="D764" s="289">
        <v>39300</v>
      </c>
      <c r="E764" s="190">
        <v>42611</v>
      </c>
      <c r="F764" s="292" t="s">
        <v>1544</v>
      </c>
      <c r="G764" s="833" t="s">
        <v>1537</v>
      </c>
      <c r="H764" s="253"/>
      <c r="I764" s="253">
        <v>39866</v>
      </c>
      <c r="J764" s="874">
        <f t="shared" si="40"/>
        <v>1132</v>
      </c>
      <c r="L764" s="874"/>
    </row>
    <row r="765" spans="2:12" hidden="1">
      <c r="B765" s="292" t="s">
        <v>1545</v>
      </c>
      <c r="C765" s="25">
        <v>1</v>
      </c>
      <c r="D765" s="289">
        <v>36000</v>
      </c>
      <c r="E765" s="190">
        <v>42611</v>
      </c>
      <c r="F765" s="292" t="s">
        <v>1545</v>
      </c>
      <c r="G765" s="833" t="s">
        <v>1537</v>
      </c>
      <c r="H765" s="253"/>
      <c r="I765" s="253">
        <v>36702</v>
      </c>
      <c r="J765" s="874">
        <f t="shared" si="40"/>
        <v>702</v>
      </c>
      <c r="L765" s="874"/>
    </row>
    <row r="766" spans="2:12" hidden="1">
      <c r="B766" s="292" t="s">
        <v>1546</v>
      </c>
      <c r="C766" s="25">
        <v>3</v>
      </c>
      <c r="D766" s="289">
        <v>50556.666666666664</v>
      </c>
      <c r="E766" s="190">
        <v>42611</v>
      </c>
      <c r="F766" s="292" t="s">
        <v>1546</v>
      </c>
      <c r="G766" s="833" t="s">
        <v>1537</v>
      </c>
      <c r="H766" s="253"/>
      <c r="I766" s="253">
        <v>75272</v>
      </c>
      <c r="J766" s="874">
        <f t="shared" si="40"/>
        <v>74146</v>
      </c>
      <c r="L766" s="874"/>
    </row>
    <row r="767" spans="2:12" hidden="1">
      <c r="B767" s="292" t="s">
        <v>1547</v>
      </c>
      <c r="C767" s="25">
        <v>2</v>
      </c>
      <c r="D767" s="289">
        <v>92500</v>
      </c>
      <c r="E767" s="190">
        <v>42611</v>
      </c>
      <c r="F767" s="292" t="s">
        <v>1547</v>
      </c>
      <c r="G767" s="833" t="s">
        <v>1537</v>
      </c>
      <c r="H767" s="253"/>
      <c r="I767" s="253">
        <v>93018</v>
      </c>
      <c r="J767" s="874">
        <f t="shared" si="40"/>
        <v>1036</v>
      </c>
      <c r="L767" s="874"/>
    </row>
    <row r="768" spans="2:12" hidden="1">
      <c r="B768" s="292" t="s">
        <v>1548</v>
      </c>
      <c r="C768" s="25">
        <v>5</v>
      </c>
      <c r="D768" s="289">
        <v>60000</v>
      </c>
      <c r="E768" s="190">
        <v>42611</v>
      </c>
      <c r="F768" s="292" t="s">
        <v>1548</v>
      </c>
      <c r="G768" s="833" t="s">
        <v>1537</v>
      </c>
      <c r="H768" s="253"/>
      <c r="I768" s="253">
        <v>60569</v>
      </c>
      <c r="J768" s="874">
        <f t="shared" si="40"/>
        <v>2845</v>
      </c>
      <c r="L768" s="874"/>
    </row>
    <row r="769" spans="2:12" hidden="1">
      <c r="B769" s="292" t="s">
        <v>1549</v>
      </c>
      <c r="C769" s="25">
        <v>6</v>
      </c>
      <c r="D769" s="289">
        <v>58500</v>
      </c>
      <c r="E769" s="190">
        <v>42611</v>
      </c>
      <c r="F769" s="292" t="s">
        <v>1549</v>
      </c>
      <c r="G769" s="833" t="s">
        <v>1537</v>
      </c>
      <c r="H769" s="253"/>
      <c r="I769" s="253">
        <v>59158</v>
      </c>
      <c r="J769" s="874">
        <f t="shared" si="40"/>
        <v>3948</v>
      </c>
      <c r="L769" s="874"/>
    </row>
    <row r="770" spans="2:12" hidden="1">
      <c r="B770" s="292" t="s">
        <v>1550</v>
      </c>
      <c r="C770" s="25">
        <v>2</v>
      </c>
      <c r="D770" s="289">
        <v>111000</v>
      </c>
      <c r="E770" s="190">
        <v>42611</v>
      </c>
      <c r="F770" s="292" t="s">
        <v>1550</v>
      </c>
      <c r="G770" s="833" t="s">
        <v>1537</v>
      </c>
      <c r="H770" s="253"/>
      <c r="I770" s="253">
        <v>111328</v>
      </c>
      <c r="J770" s="874">
        <f t="shared" si="40"/>
        <v>656</v>
      </c>
      <c r="L770" s="874"/>
    </row>
    <row r="771" spans="2:12" hidden="1">
      <c r="B771" s="292" t="s">
        <v>1551</v>
      </c>
      <c r="C771" s="25">
        <v>50</v>
      </c>
      <c r="D771" s="289">
        <v>46000</v>
      </c>
      <c r="E771" s="190">
        <v>42611</v>
      </c>
      <c r="F771" s="292" t="s">
        <v>1551</v>
      </c>
      <c r="G771" s="833" t="s">
        <v>1537</v>
      </c>
      <c r="H771" s="253"/>
      <c r="I771" s="253">
        <v>46446</v>
      </c>
      <c r="J771" s="874">
        <f t="shared" si="40"/>
        <v>22300</v>
      </c>
      <c r="L771" s="874"/>
    </row>
    <row r="772" spans="2:12" hidden="1">
      <c r="B772" s="292" t="s">
        <v>1552</v>
      </c>
      <c r="C772" s="25">
        <v>3</v>
      </c>
      <c r="D772" s="289">
        <v>17200</v>
      </c>
      <c r="E772" s="190">
        <v>42611</v>
      </c>
      <c r="F772" s="292" t="s">
        <v>1552</v>
      </c>
      <c r="G772" s="833" t="s">
        <v>1536</v>
      </c>
      <c r="H772" s="253"/>
      <c r="I772" s="253">
        <v>17922</v>
      </c>
      <c r="J772" s="874">
        <f t="shared" si="40"/>
        <v>2166</v>
      </c>
      <c r="L772" s="874"/>
    </row>
    <row r="773" spans="2:12" hidden="1">
      <c r="B773" s="292" t="s">
        <v>1553</v>
      </c>
      <c r="C773" s="25">
        <v>3</v>
      </c>
      <c r="D773" s="289">
        <v>86000</v>
      </c>
      <c r="E773" s="190">
        <v>42611</v>
      </c>
      <c r="F773" s="292" t="s">
        <v>1553</v>
      </c>
      <c r="G773" s="833" t="s">
        <v>1537</v>
      </c>
      <c r="H773" s="253"/>
      <c r="I773" s="253">
        <v>86360</v>
      </c>
      <c r="J773" s="874">
        <f t="shared" si="40"/>
        <v>1080</v>
      </c>
      <c r="L773" s="874"/>
    </row>
    <row r="774" spans="2:12" hidden="1">
      <c r="B774" s="292" t="s">
        <v>1554</v>
      </c>
      <c r="C774" s="25">
        <v>4</v>
      </c>
      <c r="D774" s="289">
        <v>35000</v>
      </c>
      <c r="E774" s="190">
        <v>42611</v>
      </c>
      <c r="F774" s="292" t="s">
        <v>1554</v>
      </c>
      <c r="G774" s="833" t="s">
        <v>1537</v>
      </c>
      <c r="H774" s="253"/>
      <c r="I774" s="253">
        <v>35123</v>
      </c>
      <c r="J774" s="874">
        <f t="shared" si="40"/>
        <v>492</v>
      </c>
      <c r="L774" s="874"/>
    </row>
    <row r="775" spans="2:12" hidden="1">
      <c r="B775" s="292" t="s">
        <v>1555</v>
      </c>
      <c r="C775" s="25">
        <v>4</v>
      </c>
      <c r="D775" s="289">
        <v>47000</v>
      </c>
      <c r="E775" s="190">
        <v>42611</v>
      </c>
      <c r="F775" s="292" t="s">
        <v>1555</v>
      </c>
      <c r="G775" s="833" t="s">
        <v>1537</v>
      </c>
      <c r="H775" s="253"/>
      <c r="I775" s="253">
        <v>47432</v>
      </c>
      <c r="J775" s="874">
        <f t="shared" si="40"/>
        <v>1728</v>
      </c>
      <c r="L775" s="874"/>
    </row>
    <row r="776" spans="2:12" hidden="1">
      <c r="B776" s="292" t="s">
        <v>1556</v>
      </c>
      <c r="C776" s="25">
        <v>20</v>
      </c>
      <c r="D776" s="289">
        <v>47500</v>
      </c>
      <c r="E776" s="190">
        <v>42611</v>
      </c>
      <c r="F776" s="292" t="s">
        <v>1556</v>
      </c>
      <c r="G776" s="833" t="s">
        <v>1537</v>
      </c>
      <c r="H776" s="253"/>
      <c r="I776" s="253">
        <v>48081</v>
      </c>
      <c r="J776" s="874">
        <f t="shared" si="40"/>
        <v>11620</v>
      </c>
      <c r="L776" s="874"/>
    </row>
    <row r="777" spans="2:12" hidden="1">
      <c r="B777" s="292" t="s">
        <v>1543</v>
      </c>
      <c r="C777" s="25">
        <v>1</v>
      </c>
      <c r="D777" s="289">
        <v>46200</v>
      </c>
      <c r="E777" s="190">
        <v>42611</v>
      </c>
      <c r="F777" s="292" t="s">
        <v>1543</v>
      </c>
      <c r="G777" s="833" t="s">
        <v>1537</v>
      </c>
      <c r="H777" s="253"/>
      <c r="I777" s="253">
        <v>31752</v>
      </c>
      <c r="J777" s="874">
        <f t="shared" si="40"/>
        <v>-14448</v>
      </c>
      <c r="L777" s="874"/>
    </row>
    <row r="778" spans="2:12" hidden="1">
      <c r="B778" s="292" t="s">
        <v>1551</v>
      </c>
      <c r="C778" s="25">
        <v>2</v>
      </c>
      <c r="D778" s="289">
        <v>46000</v>
      </c>
      <c r="E778" s="190">
        <v>42611</v>
      </c>
      <c r="F778" s="292" t="s">
        <v>1551</v>
      </c>
      <c r="G778" s="833" t="s">
        <v>1537</v>
      </c>
      <c r="H778" s="253"/>
      <c r="I778" s="253">
        <v>46446</v>
      </c>
      <c r="J778" s="874">
        <f t="shared" si="40"/>
        <v>892</v>
      </c>
      <c r="L778" s="874"/>
    </row>
    <row r="779" spans="2:12" hidden="1">
      <c r="B779" s="292" t="s">
        <v>1557</v>
      </c>
      <c r="C779" s="25">
        <v>10</v>
      </c>
      <c r="D779" s="289">
        <v>162000</v>
      </c>
      <c r="E779" s="190">
        <v>42611</v>
      </c>
      <c r="F779" s="292" t="s">
        <v>1557</v>
      </c>
      <c r="G779" s="833" t="s">
        <v>1537</v>
      </c>
      <c r="H779" s="253"/>
      <c r="I779" s="253">
        <v>162435</v>
      </c>
      <c r="J779" s="874">
        <f t="shared" ref="J779:J818" si="41">(I779-D779)*C779</f>
        <v>4350</v>
      </c>
      <c r="L779" s="874"/>
    </row>
    <row r="780" spans="2:12" hidden="1">
      <c r="B780" s="292" t="s">
        <v>1558</v>
      </c>
      <c r="C780" s="25">
        <v>10</v>
      </c>
      <c r="D780" s="289">
        <v>27000</v>
      </c>
      <c r="E780" s="190">
        <v>42611</v>
      </c>
      <c r="F780" s="292" t="s">
        <v>1558</v>
      </c>
      <c r="G780" s="833" t="s">
        <v>1537</v>
      </c>
      <c r="H780" s="253"/>
      <c r="I780" s="253">
        <v>27300</v>
      </c>
      <c r="J780" s="874">
        <f t="shared" si="41"/>
        <v>3000</v>
      </c>
      <c r="L780" s="874"/>
    </row>
    <row r="781" spans="2:12" hidden="1">
      <c r="B781" s="292" t="s">
        <v>1559</v>
      </c>
      <c r="C781" s="25">
        <v>1</v>
      </c>
      <c r="D781" s="289">
        <v>60000</v>
      </c>
      <c r="E781" s="190">
        <v>42611</v>
      </c>
      <c r="F781" s="292" t="s">
        <v>1559</v>
      </c>
      <c r="G781" s="833" t="s">
        <v>1537</v>
      </c>
      <c r="H781" s="253"/>
      <c r="I781" s="253">
        <v>60100</v>
      </c>
      <c r="J781" s="874">
        <f t="shared" si="41"/>
        <v>100</v>
      </c>
      <c r="L781" s="874"/>
    </row>
    <row r="782" spans="2:12" hidden="1">
      <c r="B782" s="851" t="s">
        <v>875</v>
      </c>
      <c r="C782" s="25">
        <v>12</v>
      </c>
      <c r="D782" s="289">
        <v>48182</v>
      </c>
      <c r="E782" s="190">
        <v>42612</v>
      </c>
      <c r="F782" s="292" t="s">
        <v>875</v>
      </c>
      <c r="G782" s="833" t="s">
        <v>1537</v>
      </c>
      <c r="H782" s="253"/>
      <c r="I782" s="253">
        <v>50190</v>
      </c>
      <c r="J782" s="874">
        <f t="shared" si="41"/>
        <v>24096</v>
      </c>
    </row>
    <row r="783" spans="2:12" hidden="1">
      <c r="B783" s="783" t="s">
        <v>493</v>
      </c>
      <c r="C783" s="25">
        <v>28</v>
      </c>
      <c r="D783" s="289">
        <v>51000</v>
      </c>
      <c r="E783" s="190">
        <v>42612</v>
      </c>
      <c r="F783" s="292" t="s">
        <v>493</v>
      </c>
      <c r="G783" s="833" t="s">
        <v>1537</v>
      </c>
      <c r="H783" s="253"/>
      <c r="I783" s="253">
        <v>50190</v>
      </c>
      <c r="J783" s="874">
        <f t="shared" si="41"/>
        <v>-22680</v>
      </c>
    </row>
    <row r="784" spans="2:12" hidden="1">
      <c r="B784" s="188" t="s">
        <v>468</v>
      </c>
      <c r="C784" s="25">
        <v>75</v>
      </c>
      <c r="D784" s="289">
        <v>66868</v>
      </c>
      <c r="E784" s="190">
        <v>42612</v>
      </c>
      <c r="F784" s="292" t="s">
        <v>468</v>
      </c>
      <c r="G784" s="833" t="s">
        <v>1537</v>
      </c>
      <c r="H784" s="253"/>
      <c r="I784" s="253">
        <v>69654</v>
      </c>
      <c r="J784" s="874">
        <f t="shared" si="41"/>
        <v>208950</v>
      </c>
    </row>
    <row r="785" spans="2:15" hidden="1">
      <c r="B785" s="40" t="s">
        <v>705</v>
      </c>
      <c r="C785" s="25">
        <v>56</v>
      </c>
      <c r="D785" s="289">
        <v>38417</v>
      </c>
      <c r="E785" s="190">
        <v>42612</v>
      </c>
      <c r="F785" s="292" t="s">
        <v>705</v>
      </c>
      <c r="G785" s="833" t="s">
        <v>1537</v>
      </c>
      <c r="H785" s="253"/>
      <c r="I785" s="253">
        <v>40018</v>
      </c>
      <c r="J785" s="874">
        <f t="shared" si="41"/>
        <v>89656</v>
      </c>
    </row>
    <row r="786" spans="2:15" hidden="1">
      <c r="B786" s="188" t="s">
        <v>470</v>
      </c>
      <c r="C786" s="25">
        <v>12</v>
      </c>
      <c r="D786" s="289">
        <v>91500</v>
      </c>
      <c r="E786" s="190">
        <v>42612</v>
      </c>
      <c r="F786" s="292" t="s">
        <v>470</v>
      </c>
      <c r="G786" s="833" t="s">
        <v>1537</v>
      </c>
      <c r="H786" s="253"/>
      <c r="I786" s="253">
        <v>88115</v>
      </c>
      <c r="J786" s="874">
        <f t="shared" si="41"/>
        <v>-40620</v>
      </c>
    </row>
    <row r="787" spans="2:15" hidden="1">
      <c r="B787" s="246" t="s">
        <v>464</v>
      </c>
      <c r="C787" s="246">
        <v>24</v>
      </c>
      <c r="D787" s="429">
        <v>130943</v>
      </c>
      <c r="E787" s="190">
        <v>42612</v>
      </c>
      <c r="F787" s="292" t="s">
        <v>464</v>
      </c>
      <c r="G787" s="833" t="s">
        <v>1537</v>
      </c>
      <c r="H787" s="253"/>
      <c r="I787" s="253">
        <v>140025</v>
      </c>
      <c r="J787" s="874">
        <f t="shared" si="41"/>
        <v>217968</v>
      </c>
    </row>
    <row r="788" spans="2:15" hidden="1">
      <c r="B788" s="292" t="s">
        <v>1560</v>
      </c>
      <c r="C788" s="25">
        <v>40</v>
      </c>
      <c r="D788" s="289">
        <v>54000</v>
      </c>
      <c r="E788" s="190">
        <v>42612</v>
      </c>
      <c r="F788" s="292" t="s">
        <v>1560</v>
      </c>
      <c r="G788" s="833" t="s">
        <v>1537</v>
      </c>
      <c r="H788" s="253"/>
      <c r="I788" s="253">
        <v>54424</v>
      </c>
      <c r="J788" s="874">
        <f t="shared" si="41"/>
        <v>16960</v>
      </c>
    </row>
    <row r="789" spans="2:15" hidden="1">
      <c r="B789" s="191" t="s">
        <v>552</v>
      </c>
      <c r="C789" s="25">
        <v>24</v>
      </c>
      <c r="D789" s="289">
        <v>26000</v>
      </c>
      <c r="E789" s="190">
        <v>42612</v>
      </c>
      <c r="F789" s="292" t="s">
        <v>552</v>
      </c>
      <c r="G789" s="833" t="s">
        <v>1537</v>
      </c>
      <c r="H789" s="253"/>
      <c r="I789" s="253">
        <v>36391</v>
      </c>
      <c r="J789" s="874">
        <f t="shared" si="41"/>
        <v>249384</v>
      </c>
      <c r="K789" s="246">
        <v>1</v>
      </c>
      <c r="L789" s="188" t="s">
        <v>1193</v>
      </c>
      <c r="M789" s="25">
        <v>20</v>
      </c>
      <c r="N789" s="289">
        <v>12110</v>
      </c>
      <c r="O789" s="429">
        <f>ROUND(C789*D789,0)</f>
        <v>624000</v>
      </c>
    </row>
    <row r="790" spans="2:15" hidden="1">
      <c r="B790" s="191" t="s">
        <v>553</v>
      </c>
      <c r="C790" s="25">
        <v>24</v>
      </c>
      <c r="D790" s="289">
        <v>40500</v>
      </c>
      <c r="E790" s="190">
        <v>42612</v>
      </c>
      <c r="F790" s="292" t="s">
        <v>553</v>
      </c>
      <c r="G790" s="833" t="s">
        <v>1537</v>
      </c>
      <c r="H790" s="253"/>
      <c r="I790" s="253">
        <v>41174</v>
      </c>
      <c r="J790" s="874">
        <f t="shared" si="41"/>
        <v>16176</v>
      </c>
    </row>
    <row r="791" spans="2:15" hidden="1">
      <c r="B791" s="191" t="s">
        <v>700</v>
      </c>
      <c r="C791" s="25">
        <v>36</v>
      </c>
      <c r="D791" s="289">
        <v>21000</v>
      </c>
      <c r="E791" s="190">
        <v>42612</v>
      </c>
      <c r="F791" s="292" t="s">
        <v>700</v>
      </c>
      <c r="G791" s="833" t="s">
        <v>1537</v>
      </c>
      <c r="H791" s="253"/>
      <c r="I791" s="253">
        <v>20772</v>
      </c>
      <c r="J791" s="874">
        <f t="shared" si="41"/>
        <v>-8208</v>
      </c>
    </row>
    <row r="792" spans="2:15" hidden="1">
      <c r="B792" s="292" t="s">
        <v>1561</v>
      </c>
      <c r="C792" s="25">
        <v>18</v>
      </c>
      <c r="D792" s="289">
        <v>20400</v>
      </c>
      <c r="E792" s="190">
        <v>42612</v>
      </c>
      <c r="F792" s="292" t="s">
        <v>1561</v>
      </c>
      <c r="G792" s="833" t="s">
        <v>1537</v>
      </c>
      <c r="H792" s="253"/>
      <c r="I792" s="253">
        <v>20993</v>
      </c>
      <c r="J792" s="874">
        <f t="shared" si="41"/>
        <v>10674</v>
      </c>
    </row>
    <row r="793" spans="2:15" hidden="1">
      <c r="B793" s="191" t="s">
        <v>565</v>
      </c>
      <c r="C793" s="25">
        <v>24</v>
      </c>
      <c r="D793" s="289">
        <v>9500</v>
      </c>
      <c r="E793" s="190">
        <v>42612</v>
      </c>
      <c r="F793" s="292" t="s">
        <v>565</v>
      </c>
      <c r="G793" s="833" t="s">
        <v>1537</v>
      </c>
      <c r="H793" s="253"/>
      <c r="I793" s="253">
        <v>9919</v>
      </c>
      <c r="J793" s="874">
        <f t="shared" si="41"/>
        <v>10056</v>
      </c>
    </row>
    <row r="794" spans="2:15" hidden="1">
      <c r="B794" s="40" t="s">
        <v>807</v>
      </c>
      <c r="C794" s="25">
        <v>12</v>
      </c>
      <c r="D794" s="289">
        <v>7500</v>
      </c>
      <c r="E794" s="190">
        <v>42612</v>
      </c>
      <c r="F794" s="292" t="s">
        <v>807</v>
      </c>
      <c r="G794" s="833" t="s">
        <v>1537</v>
      </c>
      <c r="H794" s="253"/>
      <c r="I794" s="253">
        <v>7963</v>
      </c>
      <c r="J794" s="874">
        <f t="shared" si="41"/>
        <v>5556</v>
      </c>
    </row>
    <row r="795" spans="2:15" hidden="1">
      <c r="B795" s="292" t="s">
        <v>1562</v>
      </c>
      <c r="C795" s="25">
        <v>12</v>
      </c>
      <c r="D795" s="289">
        <v>10200</v>
      </c>
      <c r="E795" s="190">
        <v>42612</v>
      </c>
      <c r="F795" s="292" t="s">
        <v>1562</v>
      </c>
      <c r="G795" s="833" t="s">
        <v>1537</v>
      </c>
      <c r="H795" s="253"/>
      <c r="I795" s="253">
        <v>10721</v>
      </c>
      <c r="J795" s="874">
        <f t="shared" si="41"/>
        <v>6252</v>
      </c>
    </row>
    <row r="796" spans="2:15" hidden="1">
      <c r="B796" s="292" t="s">
        <v>1563</v>
      </c>
      <c r="C796" s="25">
        <v>18</v>
      </c>
      <c r="D796" s="289">
        <v>7500</v>
      </c>
      <c r="E796" s="190">
        <v>42612</v>
      </c>
      <c r="F796" s="292" t="s">
        <v>1563</v>
      </c>
      <c r="G796" s="833" t="s">
        <v>1537</v>
      </c>
      <c r="H796" s="253"/>
      <c r="I796" s="253">
        <v>7998</v>
      </c>
      <c r="J796" s="874">
        <f t="shared" si="41"/>
        <v>8964</v>
      </c>
    </row>
    <row r="797" spans="2:15" hidden="1">
      <c r="B797" s="292" t="s">
        <v>1564</v>
      </c>
      <c r="C797" s="25">
        <v>25</v>
      </c>
      <c r="D797" s="289">
        <v>8100</v>
      </c>
      <c r="E797" s="190">
        <v>42612</v>
      </c>
      <c r="F797" s="292" t="s">
        <v>1564</v>
      </c>
      <c r="G797" s="833" t="s">
        <v>1537</v>
      </c>
      <c r="H797" s="253"/>
      <c r="I797" s="253">
        <v>8656</v>
      </c>
      <c r="J797" s="874">
        <f t="shared" si="41"/>
        <v>13900</v>
      </c>
    </row>
    <row r="798" spans="2:15" hidden="1">
      <c r="B798" s="292" t="s">
        <v>1565</v>
      </c>
      <c r="C798" s="25">
        <v>10</v>
      </c>
      <c r="D798" s="289">
        <v>75000</v>
      </c>
      <c r="E798" s="190">
        <v>42612</v>
      </c>
      <c r="F798" s="292" t="s">
        <v>1565</v>
      </c>
      <c r="G798" s="833" t="s">
        <v>1537</v>
      </c>
      <c r="H798" s="253"/>
      <c r="I798" s="253">
        <v>75286</v>
      </c>
      <c r="J798" s="874">
        <f t="shared" si="41"/>
        <v>2860</v>
      </c>
    </row>
    <row r="799" spans="2:15" hidden="1">
      <c r="B799" s="191" t="s">
        <v>503</v>
      </c>
      <c r="C799" s="25">
        <v>30</v>
      </c>
      <c r="D799" s="289">
        <v>25000</v>
      </c>
      <c r="E799" s="190">
        <v>42612</v>
      </c>
      <c r="F799" s="292" t="s">
        <v>503</v>
      </c>
      <c r="G799" s="833" t="s">
        <v>1537</v>
      </c>
      <c r="H799" s="253"/>
      <c r="I799" s="253">
        <v>25481</v>
      </c>
      <c r="J799" s="874">
        <f t="shared" si="41"/>
        <v>14430</v>
      </c>
    </row>
    <row r="800" spans="2:15" hidden="1">
      <c r="B800" s="191" t="s">
        <v>511</v>
      </c>
      <c r="C800" s="25">
        <v>64</v>
      </c>
      <c r="D800" s="289">
        <v>25000</v>
      </c>
      <c r="E800" s="190">
        <v>42612</v>
      </c>
      <c r="F800" s="292" t="s">
        <v>511</v>
      </c>
      <c r="G800" s="833" t="s">
        <v>1537</v>
      </c>
      <c r="H800" s="253"/>
      <c r="I800" s="253">
        <v>20239</v>
      </c>
      <c r="J800" s="874">
        <f t="shared" si="41"/>
        <v>-304704</v>
      </c>
    </row>
    <row r="801" spans="2:10" hidden="1">
      <c r="B801" s="292" t="s">
        <v>1566</v>
      </c>
      <c r="C801" s="25">
        <v>20</v>
      </c>
      <c r="D801" s="289">
        <v>51000</v>
      </c>
      <c r="E801" s="190">
        <v>42612</v>
      </c>
      <c r="F801" s="292" t="s">
        <v>1566</v>
      </c>
      <c r="G801" s="833" t="s">
        <v>1537</v>
      </c>
      <c r="H801" s="253"/>
      <c r="I801" s="253">
        <v>51595</v>
      </c>
      <c r="J801" s="874">
        <f t="shared" si="41"/>
        <v>11900</v>
      </c>
    </row>
    <row r="802" spans="2:10" hidden="1">
      <c r="B802" s="292" t="s">
        <v>1567</v>
      </c>
      <c r="C802" s="25">
        <v>53</v>
      </c>
      <c r="D802" s="289">
        <v>26300</v>
      </c>
      <c r="E802" s="190">
        <v>42612</v>
      </c>
      <c r="F802" s="292" t="s">
        <v>1567</v>
      </c>
      <c r="G802" s="833" t="s">
        <v>1537</v>
      </c>
      <c r="H802" s="253"/>
      <c r="I802" s="253">
        <v>26873</v>
      </c>
      <c r="J802" s="874">
        <f t="shared" si="41"/>
        <v>30369</v>
      </c>
    </row>
    <row r="803" spans="2:10" hidden="1">
      <c r="B803" s="191" t="s">
        <v>489</v>
      </c>
      <c r="C803" s="25">
        <v>18</v>
      </c>
      <c r="D803" s="289">
        <v>37500</v>
      </c>
      <c r="E803" s="190">
        <v>42612</v>
      </c>
      <c r="F803" s="292" t="s">
        <v>489</v>
      </c>
      <c r="G803" s="833" t="s">
        <v>1537</v>
      </c>
      <c r="H803" s="253"/>
      <c r="I803" s="253">
        <v>38130</v>
      </c>
      <c r="J803" s="874">
        <f t="shared" si="41"/>
        <v>11340</v>
      </c>
    </row>
    <row r="804" spans="2:10" hidden="1">
      <c r="B804" s="40" t="s">
        <v>871</v>
      </c>
      <c r="C804" s="25">
        <v>10</v>
      </c>
      <c r="D804" s="289">
        <v>43000</v>
      </c>
      <c r="E804" s="190">
        <v>42612</v>
      </c>
      <c r="F804" s="292" t="s">
        <v>871</v>
      </c>
      <c r="G804" s="833" t="s">
        <v>1537</v>
      </c>
      <c r="H804" s="253"/>
      <c r="I804" s="253">
        <v>40602</v>
      </c>
      <c r="J804" s="874">
        <f t="shared" si="41"/>
        <v>-23980</v>
      </c>
    </row>
    <row r="805" spans="2:10" hidden="1">
      <c r="B805" s="191" t="s">
        <v>1004</v>
      </c>
      <c r="C805" s="25">
        <v>50</v>
      </c>
      <c r="D805" s="289">
        <v>41000</v>
      </c>
      <c r="E805" s="190">
        <v>42612</v>
      </c>
      <c r="F805" s="292" t="s">
        <v>1004</v>
      </c>
      <c r="G805" s="833" t="s">
        <v>1537</v>
      </c>
      <c r="H805" s="253"/>
      <c r="I805" s="253">
        <v>41758</v>
      </c>
      <c r="J805" s="874">
        <f t="shared" si="41"/>
        <v>37900</v>
      </c>
    </row>
    <row r="806" spans="2:10" hidden="1">
      <c r="B806" s="191" t="s">
        <v>1004</v>
      </c>
      <c r="C806" s="25">
        <v>24</v>
      </c>
      <c r="D806" s="289">
        <v>41000</v>
      </c>
      <c r="E806" s="190">
        <v>42612</v>
      </c>
      <c r="F806" s="292" t="s">
        <v>1004</v>
      </c>
      <c r="G806" s="833" t="s">
        <v>1537</v>
      </c>
      <c r="H806" s="253"/>
      <c r="I806" s="253">
        <v>41758</v>
      </c>
      <c r="J806" s="874">
        <f t="shared" si="41"/>
        <v>18192</v>
      </c>
    </row>
    <row r="807" spans="2:10" hidden="1">
      <c r="B807" s="292" t="s">
        <v>1568</v>
      </c>
      <c r="C807" s="25">
        <v>18</v>
      </c>
      <c r="D807" s="289">
        <v>74200</v>
      </c>
      <c r="E807" s="190">
        <v>42612</v>
      </c>
      <c r="F807" s="292" t="s">
        <v>1568</v>
      </c>
      <c r="G807" s="833" t="s">
        <v>1537</v>
      </c>
      <c r="H807" s="253"/>
      <c r="I807" s="253">
        <v>74012</v>
      </c>
      <c r="J807" s="874">
        <f t="shared" si="41"/>
        <v>-3384</v>
      </c>
    </row>
    <row r="808" spans="2:10" hidden="1">
      <c r="B808" s="292" t="s">
        <v>1568</v>
      </c>
      <c r="C808" s="25">
        <v>20</v>
      </c>
      <c r="D808" s="289">
        <v>74200</v>
      </c>
      <c r="E808" s="190">
        <v>42612</v>
      </c>
      <c r="F808" s="292" t="s">
        <v>1568</v>
      </c>
      <c r="G808" s="833" t="s">
        <v>1537</v>
      </c>
      <c r="H808" s="253"/>
      <c r="I808" s="253">
        <v>75012</v>
      </c>
      <c r="J808" s="874">
        <f t="shared" si="41"/>
        <v>16240</v>
      </c>
    </row>
    <row r="809" spans="2:10" hidden="1">
      <c r="B809" s="292" t="s">
        <v>1569</v>
      </c>
      <c r="C809" s="25">
        <v>10</v>
      </c>
      <c r="D809" s="289">
        <v>55800</v>
      </c>
      <c r="E809" s="190">
        <v>42612</v>
      </c>
      <c r="F809" s="292" t="s">
        <v>1569</v>
      </c>
      <c r="G809" s="833" t="s">
        <v>1537</v>
      </c>
      <c r="H809" s="253"/>
      <c r="I809" s="253">
        <v>56003</v>
      </c>
      <c r="J809" s="874">
        <f t="shared" si="41"/>
        <v>2030</v>
      </c>
    </row>
    <row r="810" spans="2:10" hidden="1">
      <c r="B810" s="191" t="s">
        <v>542</v>
      </c>
      <c r="C810" s="25">
        <v>8</v>
      </c>
      <c r="D810" s="289">
        <v>46000</v>
      </c>
      <c r="E810" s="190">
        <v>42612</v>
      </c>
      <c r="F810" s="292" t="s">
        <v>542</v>
      </c>
      <c r="G810" s="833" t="s">
        <v>1537</v>
      </c>
      <c r="H810" s="253"/>
      <c r="I810" s="253">
        <v>46570</v>
      </c>
      <c r="J810" s="874">
        <f t="shared" si="41"/>
        <v>4560</v>
      </c>
    </row>
    <row r="811" spans="2:10" hidden="1">
      <c r="B811" s="292" t="s">
        <v>1570</v>
      </c>
      <c r="C811" s="25">
        <v>8</v>
      </c>
      <c r="D811" s="289">
        <v>43200</v>
      </c>
      <c r="E811" s="190">
        <v>42612</v>
      </c>
      <c r="F811" s="292" t="s">
        <v>1570</v>
      </c>
      <c r="G811" s="833" t="s">
        <v>1537</v>
      </c>
      <c r="H811" s="253"/>
      <c r="I811" s="253">
        <v>43924</v>
      </c>
      <c r="J811" s="874">
        <f t="shared" si="41"/>
        <v>5792</v>
      </c>
    </row>
    <row r="812" spans="2:10" hidden="1">
      <c r="B812" s="292" t="s">
        <v>1571</v>
      </c>
      <c r="C812" s="25">
        <v>14</v>
      </c>
      <c r="D812" s="289">
        <v>43000</v>
      </c>
      <c r="E812" s="190">
        <v>42612</v>
      </c>
      <c r="F812" s="292" t="s">
        <v>1571</v>
      </c>
      <c r="G812" s="833" t="s">
        <v>1537</v>
      </c>
      <c r="H812" s="253"/>
      <c r="I812" s="253">
        <v>43472</v>
      </c>
      <c r="J812" s="874">
        <f t="shared" si="41"/>
        <v>6608</v>
      </c>
    </row>
    <row r="813" spans="2:10" hidden="1">
      <c r="B813" s="292" t="s">
        <v>1571</v>
      </c>
      <c r="C813" s="25">
        <v>40</v>
      </c>
      <c r="D813" s="289">
        <v>43000</v>
      </c>
      <c r="E813" s="190">
        <v>42612</v>
      </c>
      <c r="F813" s="292" t="s">
        <v>1571</v>
      </c>
      <c r="G813" s="833" t="s">
        <v>1537</v>
      </c>
      <c r="H813" s="253"/>
      <c r="I813" s="253">
        <v>43472</v>
      </c>
      <c r="J813" s="874">
        <f t="shared" si="41"/>
        <v>18880</v>
      </c>
    </row>
    <row r="814" spans="2:10" hidden="1">
      <c r="B814" s="290" t="s">
        <v>1572</v>
      </c>
      <c r="C814" s="25">
        <v>4</v>
      </c>
      <c r="D814" s="289">
        <v>71500</v>
      </c>
      <c r="E814" s="190">
        <v>42612</v>
      </c>
      <c r="F814" s="292" t="s">
        <v>1572</v>
      </c>
      <c r="G814" s="833" t="s">
        <v>1537</v>
      </c>
      <c r="H814" s="253"/>
      <c r="I814" s="253">
        <v>72059</v>
      </c>
      <c r="J814" s="874">
        <f t="shared" si="41"/>
        <v>2236</v>
      </c>
    </row>
    <row r="815" spans="2:10" hidden="1">
      <c r="B815" s="290" t="s">
        <v>1573</v>
      </c>
      <c r="C815" s="25">
        <v>6</v>
      </c>
      <c r="D815" s="289">
        <v>94300</v>
      </c>
      <c r="E815" s="190">
        <v>42612</v>
      </c>
      <c r="F815" s="292" t="s">
        <v>1573</v>
      </c>
      <c r="G815" s="833" t="s">
        <v>1537</v>
      </c>
      <c r="H815" s="253"/>
      <c r="I815" s="253">
        <v>94815</v>
      </c>
      <c r="J815" s="874">
        <f t="shared" si="41"/>
        <v>3090</v>
      </c>
    </row>
    <row r="816" spans="2:10" hidden="1">
      <c r="B816" s="292" t="s">
        <v>1574</v>
      </c>
      <c r="C816" s="25">
        <v>8</v>
      </c>
      <c r="D816" s="289">
        <v>24700</v>
      </c>
      <c r="E816" s="190">
        <v>42612</v>
      </c>
      <c r="F816" s="292" t="s">
        <v>1574</v>
      </c>
      <c r="G816" s="833" t="s">
        <v>1537</v>
      </c>
      <c r="H816" s="253"/>
      <c r="I816" s="253">
        <v>25194</v>
      </c>
      <c r="J816" s="874">
        <f t="shared" si="41"/>
        <v>3952</v>
      </c>
    </row>
    <row r="817" spans="2:10" hidden="1">
      <c r="B817" s="191" t="s">
        <v>725</v>
      </c>
      <c r="C817" s="25">
        <v>16</v>
      </c>
      <c r="D817" s="289">
        <v>21200</v>
      </c>
      <c r="E817" s="190">
        <v>42612</v>
      </c>
      <c r="F817" s="292" t="s">
        <v>725</v>
      </c>
      <c r="G817" s="833" t="s">
        <v>1537</v>
      </c>
      <c r="H817" s="253"/>
      <c r="I817" s="253">
        <v>19606</v>
      </c>
      <c r="J817" s="874">
        <f t="shared" si="41"/>
        <v>-25504</v>
      </c>
    </row>
    <row r="818" spans="2:10" hidden="1">
      <c r="B818" s="188" t="s">
        <v>476</v>
      </c>
      <c r="C818" s="25">
        <v>13</v>
      </c>
      <c r="D818" s="289">
        <v>40000</v>
      </c>
      <c r="E818" s="190">
        <v>42612</v>
      </c>
      <c r="F818" s="292" t="s">
        <v>476</v>
      </c>
      <c r="G818" s="833" t="s">
        <v>1537</v>
      </c>
      <c r="H818" s="253"/>
      <c r="I818" s="253">
        <v>40310</v>
      </c>
      <c r="J818" s="874">
        <f t="shared" si="41"/>
        <v>4030</v>
      </c>
    </row>
    <row r="819" spans="2:10" hidden="1">
      <c r="B819" s="246" t="s">
        <v>464</v>
      </c>
      <c r="C819" s="246">
        <v>10</v>
      </c>
      <c r="D819" s="429">
        <v>137835</v>
      </c>
      <c r="E819" s="190">
        <v>42612</v>
      </c>
      <c r="F819" s="292" t="s">
        <v>464</v>
      </c>
      <c r="G819" s="833" t="s">
        <v>1537</v>
      </c>
      <c r="H819" s="253"/>
      <c r="I819" s="253">
        <v>147063</v>
      </c>
      <c r="J819" s="874">
        <f t="shared" ref="J819:J884" si="42">(I819-D819)*C819</f>
        <v>92280</v>
      </c>
    </row>
    <row r="820" spans="2:10" hidden="1">
      <c r="B820" s="191" t="s">
        <v>485</v>
      </c>
      <c r="C820" s="25">
        <v>10</v>
      </c>
      <c r="D820" s="289">
        <v>51500</v>
      </c>
      <c r="E820" s="190">
        <v>42612</v>
      </c>
      <c r="F820" s="292" t="s">
        <v>485</v>
      </c>
      <c r="G820" s="833" t="s">
        <v>1537</v>
      </c>
      <c r="H820" s="253"/>
      <c r="I820" s="253">
        <v>46851</v>
      </c>
      <c r="J820" s="874">
        <f t="shared" si="42"/>
        <v>-46490</v>
      </c>
    </row>
    <row r="821" spans="2:10" hidden="1">
      <c r="B821" s="40" t="s">
        <v>720</v>
      </c>
      <c r="C821" s="25">
        <v>16</v>
      </c>
      <c r="D821" s="289">
        <v>87000</v>
      </c>
      <c r="E821" s="190">
        <v>42612</v>
      </c>
      <c r="F821" s="292" t="s">
        <v>720</v>
      </c>
      <c r="G821" s="833" t="s">
        <v>1537</v>
      </c>
      <c r="H821" s="253"/>
      <c r="I821" s="253">
        <v>84672</v>
      </c>
      <c r="J821" s="874">
        <f t="shared" si="42"/>
        <v>-37248</v>
      </c>
    </row>
    <row r="822" spans="2:10" hidden="1">
      <c r="B822" s="191" t="s">
        <v>511</v>
      </c>
      <c r="C822" s="25">
        <v>60</v>
      </c>
      <c r="D822" s="289">
        <v>25000</v>
      </c>
      <c r="E822" s="190">
        <v>42612</v>
      </c>
      <c r="F822" s="292" t="s">
        <v>511</v>
      </c>
      <c r="G822" s="833" t="s">
        <v>1537</v>
      </c>
      <c r="H822" s="253"/>
      <c r="I822" s="253">
        <v>30278</v>
      </c>
      <c r="J822" s="874">
        <f t="shared" si="42"/>
        <v>316680</v>
      </c>
    </row>
    <row r="823" spans="2:10" hidden="1">
      <c r="B823" s="188" t="s">
        <v>468</v>
      </c>
      <c r="C823" s="25">
        <v>25</v>
      </c>
      <c r="D823" s="289">
        <v>82100</v>
      </c>
      <c r="E823" s="190">
        <v>42612</v>
      </c>
      <c r="F823" s="292" t="s">
        <v>468</v>
      </c>
      <c r="G823" s="833" t="s">
        <v>1537</v>
      </c>
      <c r="H823" s="253"/>
      <c r="I823" s="253">
        <v>73302</v>
      </c>
      <c r="J823" s="874">
        <f t="shared" si="42"/>
        <v>-219950</v>
      </c>
    </row>
    <row r="824" spans="2:10" hidden="1">
      <c r="B824" s="188" t="s">
        <v>475</v>
      </c>
      <c r="C824" s="25">
        <v>8</v>
      </c>
      <c r="D824" s="289">
        <v>84590</v>
      </c>
      <c r="E824" s="190">
        <v>42612</v>
      </c>
      <c r="F824" s="292" t="s">
        <v>475</v>
      </c>
      <c r="G824" s="833" t="s">
        <v>1537</v>
      </c>
      <c r="H824" s="253"/>
      <c r="I824" s="253">
        <v>88115</v>
      </c>
      <c r="J824" s="874">
        <f t="shared" si="42"/>
        <v>28200</v>
      </c>
    </row>
    <row r="825" spans="2:10" hidden="1">
      <c r="B825" s="191" t="s">
        <v>869</v>
      </c>
      <c r="C825" s="25">
        <v>40</v>
      </c>
      <c r="D825" s="289">
        <v>19400</v>
      </c>
      <c r="E825" s="190">
        <v>42612</v>
      </c>
      <c r="F825" s="292" t="s">
        <v>869</v>
      </c>
      <c r="G825" s="833" t="s">
        <v>1537</v>
      </c>
      <c r="H825" s="253"/>
      <c r="I825" s="253">
        <v>19395</v>
      </c>
      <c r="J825" s="874">
        <f t="shared" si="42"/>
        <v>-200</v>
      </c>
    </row>
    <row r="826" spans="2:10" hidden="1">
      <c r="B826" s="191" t="s">
        <v>863</v>
      </c>
      <c r="C826" s="25">
        <v>40</v>
      </c>
      <c r="D826" s="289">
        <v>20200</v>
      </c>
      <c r="E826" s="190">
        <v>42612</v>
      </c>
      <c r="F826" s="292" t="s">
        <v>863</v>
      </c>
      <c r="G826" s="833" t="s">
        <v>1537</v>
      </c>
      <c r="H826" s="253"/>
      <c r="I826" s="253">
        <v>20295</v>
      </c>
      <c r="J826" s="874">
        <f t="shared" si="42"/>
        <v>3800</v>
      </c>
    </row>
    <row r="827" spans="2:10" hidden="1">
      <c r="B827" s="191" t="s">
        <v>514</v>
      </c>
      <c r="C827" s="25">
        <v>30</v>
      </c>
      <c r="D827" s="289">
        <v>29000</v>
      </c>
      <c r="E827" s="190">
        <v>42612</v>
      </c>
      <c r="F827" s="292" t="s">
        <v>514</v>
      </c>
      <c r="G827" s="833" t="s">
        <v>1537</v>
      </c>
      <c r="H827" s="253"/>
      <c r="I827" s="253">
        <v>29812</v>
      </c>
      <c r="J827" s="874">
        <f t="shared" si="42"/>
        <v>24360</v>
      </c>
    </row>
    <row r="828" spans="2:10" hidden="1">
      <c r="B828" s="191" t="s">
        <v>813</v>
      </c>
      <c r="C828" s="25">
        <v>50</v>
      </c>
      <c r="D828" s="289">
        <v>49100</v>
      </c>
      <c r="E828" s="190">
        <v>42612</v>
      </c>
      <c r="F828" s="292" t="s">
        <v>813</v>
      </c>
      <c r="G828" s="833" t="s">
        <v>1537</v>
      </c>
      <c r="H828" s="253"/>
      <c r="I828" s="253">
        <v>49818</v>
      </c>
      <c r="J828" s="874">
        <f t="shared" si="42"/>
        <v>35900</v>
      </c>
    </row>
    <row r="829" spans="2:10" hidden="1">
      <c r="B829" s="292" t="s">
        <v>1575</v>
      </c>
      <c r="C829" s="25">
        <v>8</v>
      </c>
      <c r="D829" s="289">
        <v>51300</v>
      </c>
      <c r="E829" s="190">
        <v>42612</v>
      </c>
      <c r="F829" s="292" t="s">
        <v>1575</v>
      </c>
      <c r="G829" s="833" t="s">
        <v>1537</v>
      </c>
      <c r="H829" s="253"/>
      <c r="I829" s="253">
        <v>51773</v>
      </c>
      <c r="J829" s="874">
        <f t="shared" si="42"/>
        <v>3784</v>
      </c>
    </row>
    <row r="830" spans="2:10" hidden="1">
      <c r="B830" s="290" t="s">
        <v>1576</v>
      </c>
      <c r="C830" s="25">
        <v>8</v>
      </c>
      <c r="D830" s="289">
        <v>47300</v>
      </c>
      <c r="E830" s="190">
        <v>42612</v>
      </c>
      <c r="F830" s="292" t="s">
        <v>1576</v>
      </c>
      <c r="G830" s="833" t="s">
        <v>1537</v>
      </c>
      <c r="H830" s="253"/>
      <c r="I830" s="253">
        <v>49721</v>
      </c>
      <c r="J830" s="874">
        <f t="shared" si="42"/>
        <v>19368</v>
      </c>
    </row>
    <row r="831" spans="2:10" hidden="1">
      <c r="B831" s="292" t="s">
        <v>1577</v>
      </c>
      <c r="C831" s="25">
        <v>8</v>
      </c>
      <c r="D831" s="289">
        <v>131100</v>
      </c>
      <c r="E831" s="190">
        <v>42612</v>
      </c>
      <c r="F831" s="292" t="s">
        <v>1577</v>
      </c>
      <c r="G831" s="833" t="s">
        <v>1537</v>
      </c>
      <c r="H831" s="253"/>
      <c r="I831" s="253">
        <v>131580</v>
      </c>
      <c r="J831" s="874">
        <f t="shared" si="42"/>
        <v>3840</v>
      </c>
    </row>
    <row r="832" spans="2:10" hidden="1">
      <c r="B832" s="191" t="s">
        <v>863</v>
      </c>
      <c r="C832" s="25">
        <v>16</v>
      </c>
      <c r="D832" s="289">
        <v>20200</v>
      </c>
      <c r="E832" s="190">
        <v>42612</v>
      </c>
      <c r="F832" s="292" t="s">
        <v>863</v>
      </c>
      <c r="G832" s="833" t="s">
        <v>1537</v>
      </c>
      <c r="H832" s="253"/>
      <c r="I832" s="253">
        <v>20295</v>
      </c>
      <c r="J832" s="874">
        <f t="shared" si="42"/>
        <v>1520</v>
      </c>
    </row>
    <row r="833" spans="2:16" hidden="1">
      <c r="B833" s="292" t="s">
        <v>1565</v>
      </c>
      <c r="C833" s="25">
        <v>10</v>
      </c>
      <c r="D833" s="289">
        <v>75000</v>
      </c>
      <c r="E833" s="190">
        <v>42612</v>
      </c>
      <c r="F833" s="292" t="s">
        <v>1565</v>
      </c>
      <c r="G833" s="833" t="s">
        <v>1537</v>
      </c>
      <c r="H833" s="253"/>
      <c r="I833" s="253">
        <v>75286</v>
      </c>
      <c r="J833" s="874">
        <f t="shared" si="42"/>
        <v>2860</v>
      </c>
    </row>
    <row r="834" spans="2:16" hidden="1">
      <c r="B834" s="783" t="s">
        <v>499</v>
      </c>
      <c r="C834" s="25">
        <v>24</v>
      </c>
      <c r="D834" s="289">
        <v>35000</v>
      </c>
      <c r="E834" s="190">
        <v>42612</v>
      </c>
      <c r="F834" s="292" t="s">
        <v>499</v>
      </c>
      <c r="G834" s="833" t="s">
        <v>1537</v>
      </c>
      <c r="H834" s="253"/>
      <c r="I834" s="253">
        <v>35387</v>
      </c>
      <c r="J834" s="874">
        <f t="shared" si="42"/>
        <v>9288</v>
      </c>
    </row>
    <row r="835" spans="2:16" hidden="1">
      <c r="B835" s="191" t="s">
        <v>534</v>
      </c>
      <c r="C835" s="25">
        <v>16</v>
      </c>
      <c r="D835" s="289">
        <v>98560</v>
      </c>
      <c r="E835" s="190">
        <v>42612</v>
      </c>
      <c r="F835" s="292" t="s">
        <v>534</v>
      </c>
      <c r="G835" s="833" t="s">
        <v>1537</v>
      </c>
      <c r="H835" s="253"/>
      <c r="I835" s="253">
        <v>90277</v>
      </c>
      <c r="J835" s="874">
        <f t="shared" si="42"/>
        <v>-132528</v>
      </c>
    </row>
    <row r="836" spans="2:16" hidden="1">
      <c r="B836" s="292" t="s">
        <v>1669</v>
      </c>
      <c r="C836" s="25">
        <v>500</v>
      </c>
      <c r="D836" s="289">
        <v>16102</v>
      </c>
      <c r="E836" s="190">
        <v>42619</v>
      </c>
      <c r="F836" s="292" t="s">
        <v>1669</v>
      </c>
      <c r="G836" s="833" t="s">
        <v>1668</v>
      </c>
      <c r="H836" s="253"/>
      <c r="I836" s="253">
        <v>12960</v>
      </c>
      <c r="J836" s="874">
        <f t="shared" si="42"/>
        <v>-1571000</v>
      </c>
    </row>
    <row r="837" spans="2:16" hidden="1">
      <c r="B837" s="855" t="s">
        <v>451</v>
      </c>
      <c r="C837" s="842">
        <v>1000</v>
      </c>
      <c r="D837" s="842">
        <v>9975</v>
      </c>
      <c r="E837" s="190">
        <v>42622</v>
      </c>
      <c r="F837" s="292" t="s">
        <v>451</v>
      </c>
      <c r="G837" s="833" t="s">
        <v>1671</v>
      </c>
      <c r="H837" s="253"/>
      <c r="I837" s="253">
        <v>10500</v>
      </c>
      <c r="J837" s="874">
        <f t="shared" si="42"/>
        <v>525000</v>
      </c>
    </row>
    <row r="838" spans="2:16" hidden="1">
      <c r="B838" s="292" t="s">
        <v>1675</v>
      </c>
      <c r="C838" s="25">
        <v>980</v>
      </c>
      <c r="D838" s="289">
        <v>11827</v>
      </c>
      <c r="E838" s="190">
        <v>42623</v>
      </c>
      <c r="F838" s="292" t="s">
        <v>1675</v>
      </c>
      <c r="G838" s="833" t="s">
        <v>1674</v>
      </c>
      <c r="H838" s="253"/>
      <c r="I838" s="253">
        <v>12450</v>
      </c>
      <c r="J838" s="874">
        <f t="shared" si="42"/>
        <v>610540</v>
      </c>
      <c r="K838" s="246">
        <v>1</v>
      </c>
      <c r="L838" s="188" t="s">
        <v>1200</v>
      </c>
      <c r="M838" s="25">
        <v>25</v>
      </c>
      <c r="N838" s="289">
        <v>21023</v>
      </c>
      <c r="P838" s="246">
        <f>ROUND(C838*D838,0)</f>
        <v>11590460</v>
      </c>
    </row>
    <row r="839" spans="2:16" hidden="1">
      <c r="B839" s="292" t="s">
        <v>1677</v>
      </c>
      <c r="C839" s="25">
        <v>1000</v>
      </c>
      <c r="D839" s="289">
        <v>16806</v>
      </c>
      <c r="E839" s="190">
        <v>42625</v>
      </c>
      <c r="F839" s="292" t="s">
        <v>1677</v>
      </c>
      <c r="G839" s="833" t="s">
        <v>1676</v>
      </c>
      <c r="H839" s="253"/>
      <c r="I839" s="253">
        <v>16950</v>
      </c>
      <c r="J839" s="874">
        <f t="shared" si="42"/>
        <v>144000</v>
      </c>
    </row>
    <row r="840" spans="2:16" hidden="1">
      <c r="B840" s="855" t="s">
        <v>451</v>
      </c>
      <c r="C840" s="842">
        <v>490</v>
      </c>
      <c r="D840" s="842">
        <v>9975</v>
      </c>
      <c r="E840" s="190">
        <v>42626</v>
      </c>
      <c r="F840" s="292" t="s">
        <v>451</v>
      </c>
      <c r="G840" s="833" t="s">
        <v>1678</v>
      </c>
      <c r="H840" s="253"/>
      <c r="I840" s="253">
        <v>11000</v>
      </c>
      <c r="J840" s="874">
        <f t="shared" si="42"/>
        <v>502250</v>
      </c>
    </row>
    <row r="841" spans="2:16" hidden="1">
      <c r="B841" s="292" t="s">
        <v>1682</v>
      </c>
      <c r="C841" s="25">
        <v>6</v>
      </c>
      <c r="D841" s="289">
        <v>42719</v>
      </c>
      <c r="E841" s="190">
        <v>42629</v>
      </c>
      <c r="F841" s="292" t="s">
        <v>1682</v>
      </c>
      <c r="G841" s="833" t="s">
        <v>1679</v>
      </c>
      <c r="H841" s="253"/>
      <c r="I841" s="253">
        <v>44968</v>
      </c>
      <c r="J841" s="874">
        <f t="shared" si="42"/>
        <v>13494</v>
      </c>
    </row>
    <row r="842" spans="2:16" hidden="1">
      <c r="B842" s="292" t="s">
        <v>1683</v>
      </c>
      <c r="C842" s="25">
        <v>1</v>
      </c>
      <c r="D842" s="289">
        <v>61456</v>
      </c>
      <c r="E842" s="190">
        <v>42629</v>
      </c>
      <c r="F842" s="292" t="s">
        <v>1683</v>
      </c>
      <c r="G842" s="833" t="s">
        <v>1679</v>
      </c>
      <c r="H842" s="253"/>
      <c r="I842" s="253">
        <v>64691</v>
      </c>
      <c r="J842" s="874">
        <f t="shared" si="42"/>
        <v>3235</v>
      </c>
    </row>
    <row r="843" spans="2:16" hidden="1">
      <c r="B843" s="292" t="s">
        <v>1684</v>
      </c>
      <c r="C843" s="25">
        <v>1</v>
      </c>
      <c r="D843" s="289">
        <v>92950</v>
      </c>
      <c r="E843" s="190">
        <v>42629</v>
      </c>
      <c r="F843" s="292" t="s">
        <v>1684</v>
      </c>
      <c r="G843" s="833" t="s">
        <v>1679</v>
      </c>
      <c r="H843" s="253"/>
      <c r="I843" s="253">
        <v>97843</v>
      </c>
      <c r="J843" s="874">
        <f t="shared" si="42"/>
        <v>4893</v>
      </c>
    </row>
    <row r="844" spans="2:16" hidden="1">
      <c r="B844" s="40" t="s">
        <v>719</v>
      </c>
      <c r="C844" s="25">
        <v>4</v>
      </c>
      <c r="D844" s="289">
        <v>26468</v>
      </c>
      <c r="E844" s="190">
        <v>42629</v>
      </c>
      <c r="F844" s="292" t="s">
        <v>719</v>
      </c>
      <c r="G844" s="833" t="s">
        <v>1679</v>
      </c>
      <c r="H844" s="253"/>
      <c r="I844" s="253">
        <v>27862</v>
      </c>
      <c r="J844" s="874">
        <f t="shared" si="42"/>
        <v>5576</v>
      </c>
    </row>
    <row r="845" spans="2:16" hidden="1">
      <c r="B845" s="292" t="s">
        <v>1685</v>
      </c>
      <c r="C845" s="25">
        <v>1</v>
      </c>
      <c r="D845" s="289">
        <v>74374</v>
      </c>
      <c r="E845" s="190">
        <v>42629</v>
      </c>
      <c r="F845" s="292" t="s">
        <v>1685</v>
      </c>
      <c r="G845" s="833" t="s">
        <v>1679</v>
      </c>
      <c r="H845" s="253"/>
      <c r="I845" s="253">
        <v>78260</v>
      </c>
      <c r="J845" s="874">
        <f t="shared" si="42"/>
        <v>3886</v>
      </c>
    </row>
    <row r="846" spans="2:16" hidden="1">
      <c r="B846" s="292" t="s">
        <v>1681</v>
      </c>
      <c r="C846" s="25">
        <v>570</v>
      </c>
      <c r="D846" s="289">
        <v>10500</v>
      </c>
      <c r="E846" s="190">
        <v>42630</v>
      </c>
      <c r="F846" s="292" t="s">
        <v>1681</v>
      </c>
      <c r="G846" s="833" t="s">
        <v>1680</v>
      </c>
      <c r="H846" s="253"/>
      <c r="I846" s="253">
        <v>20500</v>
      </c>
      <c r="J846" s="874">
        <f t="shared" si="42"/>
        <v>5700000</v>
      </c>
      <c r="K846" s="246">
        <v>1</v>
      </c>
      <c r="L846" s="188" t="s">
        <v>1273</v>
      </c>
      <c r="M846" s="25">
        <v>181</v>
      </c>
      <c r="N846" s="289">
        <v>28932</v>
      </c>
      <c r="P846" s="246">
        <f t="shared" ref="P846:P849" si="43">ROUND(C846*D846,0)</f>
        <v>5985000</v>
      </c>
    </row>
    <row r="847" spans="2:16" hidden="1">
      <c r="B847" s="292" t="s">
        <v>1687</v>
      </c>
      <c r="C847" s="25">
        <v>4950</v>
      </c>
      <c r="D847" s="289">
        <v>8550</v>
      </c>
      <c r="E847" s="190">
        <v>42633</v>
      </c>
      <c r="F847" s="292" t="s">
        <v>1687</v>
      </c>
      <c r="G847" s="833" t="s">
        <v>1686</v>
      </c>
      <c r="H847" s="253"/>
      <c r="I847" s="253">
        <v>9000</v>
      </c>
      <c r="J847" s="874">
        <f t="shared" si="42"/>
        <v>2227500</v>
      </c>
      <c r="K847" s="246">
        <v>1</v>
      </c>
      <c r="L847" s="40" t="s">
        <v>1256</v>
      </c>
      <c r="M847" s="25">
        <v>70</v>
      </c>
      <c r="N847" s="289">
        <v>20636.5</v>
      </c>
      <c r="P847" s="246">
        <f t="shared" si="43"/>
        <v>42322500</v>
      </c>
    </row>
    <row r="848" spans="2:16" hidden="1">
      <c r="B848" s="191" t="s">
        <v>1178</v>
      </c>
      <c r="C848" s="25">
        <v>1550</v>
      </c>
      <c r="D848" s="289">
        <v>33756.345177664974</v>
      </c>
      <c r="E848" s="190">
        <v>42634</v>
      </c>
      <c r="F848" s="292" t="s">
        <v>1178</v>
      </c>
      <c r="G848" s="833" t="s">
        <v>1688</v>
      </c>
      <c r="H848" s="253"/>
      <c r="I848" s="253">
        <v>35000</v>
      </c>
      <c r="J848" s="874">
        <f t="shared" si="42"/>
        <v>1927664.9746192896</v>
      </c>
      <c r="K848" s="246">
        <v>1</v>
      </c>
      <c r="L848" s="188" t="s">
        <v>1197</v>
      </c>
      <c r="M848" s="25">
        <v>68</v>
      </c>
      <c r="N848" s="289">
        <v>19380</v>
      </c>
      <c r="P848" s="246">
        <f t="shared" si="43"/>
        <v>52322335</v>
      </c>
    </row>
    <row r="849" spans="2:16" hidden="1">
      <c r="B849" s="191" t="s">
        <v>1179</v>
      </c>
      <c r="C849" s="25">
        <v>1500</v>
      </c>
      <c r="D849" s="289">
        <v>30875</v>
      </c>
      <c r="E849" s="190">
        <v>42634</v>
      </c>
      <c r="F849" s="292" t="s">
        <v>1179</v>
      </c>
      <c r="G849" s="833" t="s">
        <v>1688</v>
      </c>
      <c r="H849" s="253"/>
      <c r="I849" s="253">
        <v>32500</v>
      </c>
      <c r="J849" s="874">
        <f t="shared" si="42"/>
        <v>2437500</v>
      </c>
      <c r="K849" s="246">
        <v>1</v>
      </c>
      <c r="L849" s="191" t="s">
        <v>1205</v>
      </c>
      <c r="M849" s="25">
        <v>244</v>
      </c>
      <c r="N849" s="289">
        <v>9031</v>
      </c>
      <c r="P849" s="246">
        <f t="shared" si="43"/>
        <v>46312500</v>
      </c>
    </row>
    <row r="850" spans="2:16" hidden="1">
      <c r="B850" s="855" t="s">
        <v>451</v>
      </c>
      <c r="C850" s="842">
        <v>4400</v>
      </c>
      <c r="D850" s="842">
        <v>17575</v>
      </c>
      <c r="E850" s="190">
        <v>42634</v>
      </c>
      <c r="F850" s="290" t="s">
        <v>451</v>
      </c>
      <c r="G850" s="833" t="s">
        <v>1688</v>
      </c>
      <c r="H850" s="253"/>
      <c r="I850" s="253">
        <v>18500</v>
      </c>
      <c r="J850" s="874">
        <f t="shared" si="42"/>
        <v>4070000</v>
      </c>
    </row>
    <row r="851" spans="2:16" hidden="1">
      <c r="B851" s="290" t="s">
        <v>450</v>
      </c>
      <c r="C851" s="842">
        <v>4200</v>
      </c>
      <c r="D851" s="842">
        <v>17575</v>
      </c>
      <c r="E851" s="190">
        <v>42634</v>
      </c>
      <c r="F851" s="290" t="s">
        <v>450</v>
      </c>
      <c r="G851" s="833" t="s">
        <v>1688</v>
      </c>
      <c r="H851" s="253"/>
      <c r="I851" s="253">
        <v>18500</v>
      </c>
      <c r="J851" s="874">
        <f t="shared" si="42"/>
        <v>3885000</v>
      </c>
    </row>
    <row r="852" spans="2:16" hidden="1">
      <c r="B852" s="292" t="s">
        <v>1690</v>
      </c>
      <c r="C852" s="25">
        <v>4100</v>
      </c>
      <c r="D852" s="289">
        <v>7300</v>
      </c>
      <c r="E852" s="190">
        <v>42636</v>
      </c>
      <c r="F852" s="292" t="s">
        <v>1690</v>
      </c>
      <c r="G852" s="833" t="s">
        <v>1689</v>
      </c>
      <c r="H852" s="253"/>
      <c r="I852" s="253">
        <v>7300</v>
      </c>
      <c r="J852" s="874">
        <f t="shared" si="42"/>
        <v>0</v>
      </c>
    </row>
    <row r="853" spans="2:16" hidden="1">
      <c r="B853" s="292" t="s">
        <v>1693</v>
      </c>
      <c r="C853" s="25">
        <v>300</v>
      </c>
      <c r="D853" s="289">
        <v>7900</v>
      </c>
      <c r="E853" s="190">
        <v>42642</v>
      </c>
      <c r="F853" s="292" t="s">
        <v>1693</v>
      </c>
      <c r="G853" s="833" t="s">
        <v>1691</v>
      </c>
      <c r="H853" s="253"/>
      <c r="I853" s="253">
        <v>8030</v>
      </c>
      <c r="J853" s="874">
        <f t="shared" si="42"/>
        <v>39000</v>
      </c>
    </row>
    <row r="854" spans="2:16" hidden="1">
      <c r="B854" s="191" t="s">
        <v>1178</v>
      </c>
      <c r="C854" s="25">
        <v>420</v>
      </c>
      <c r="D854" s="289">
        <v>33756.345177664974</v>
      </c>
      <c r="E854" s="190">
        <v>42642</v>
      </c>
      <c r="F854" s="292" t="s">
        <v>1178</v>
      </c>
      <c r="G854" s="833" t="s">
        <v>1692</v>
      </c>
      <c r="H854" s="253"/>
      <c r="I854" s="253">
        <v>37500</v>
      </c>
      <c r="J854" s="874">
        <f t="shared" si="42"/>
        <v>1572335.0253807106</v>
      </c>
      <c r="K854" s="246">
        <v>1</v>
      </c>
      <c r="L854" s="191" t="s">
        <v>1263</v>
      </c>
      <c r="M854" s="25">
        <v>54</v>
      </c>
      <c r="N854" s="289">
        <v>24075</v>
      </c>
      <c r="P854" s="246">
        <f>ROUND(C854*D854,0)</f>
        <v>14177665</v>
      </c>
    </row>
    <row r="855" spans="2:16" hidden="1">
      <c r="B855" s="855" t="s">
        <v>451</v>
      </c>
      <c r="C855" s="842">
        <v>120</v>
      </c>
      <c r="D855" s="842">
        <v>17575</v>
      </c>
      <c r="E855" s="190">
        <v>42642</v>
      </c>
      <c r="F855" s="290" t="s">
        <v>451</v>
      </c>
      <c r="G855" s="833" t="s">
        <v>1692</v>
      </c>
      <c r="H855" s="253"/>
      <c r="I855" s="253">
        <v>18500</v>
      </c>
      <c r="J855" s="874">
        <f t="shared" si="42"/>
        <v>111000</v>
      </c>
    </row>
    <row r="856" spans="2:16" hidden="1">
      <c r="B856" s="292" t="s">
        <v>1696</v>
      </c>
      <c r="C856" s="25">
        <v>5000</v>
      </c>
      <c r="D856" s="289">
        <v>7220</v>
      </c>
      <c r="E856" s="190">
        <v>42642</v>
      </c>
      <c r="F856" s="292" t="s">
        <v>1696</v>
      </c>
      <c r="G856" s="833" t="s">
        <v>1695</v>
      </c>
      <c r="H856" s="253"/>
      <c r="I856" s="253">
        <v>7600</v>
      </c>
      <c r="J856" s="874">
        <f t="shared" si="42"/>
        <v>1900000</v>
      </c>
      <c r="K856" s="246">
        <v>1</v>
      </c>
      <c r="L856" s="188" t="s">
        <v>1291</v>
      </c>
      <c r="M856" s="25">
        <v>128</v>
      </c>
      <c r="N856" s="289">
        <v>13185</v>
      </c>
      <c r="P856" s="246">
        <f>ROUND(C856*D856,0)</f>
        <v>36100000</v>
      </c>
    </row>
    <row r="857" spans="2:16" hidden="1">
      <c r="B857" s="292" t="s">
        <v>1697</v>
      </c>
      <c r="C857" s="25">
        <v>2300</v>
      </c>
      <c r="D857" s="289">
        <v>5700</v>
      </c>
      <c r="E857" s="190">
        <v>42642</v>
      </c>
      <c r="F857" s="292" t="s">
        <v>1697</v>
      </c>
      <c r="G857" s="833" t="s">
        <v>1695</v>
      </c>
      <c r="H857" s="253"/>
      <c r="I857" s="253">
        <v>5800</v>
      </c>
      <c r="J857" s="874">
        <f t="shared" si="42"/>
        <v>230000</v>
      </c>
    </row>
    <row r="858" spans="2:16" hidden="1">
      <c r="B858" s="292" t="s">
        <v>1698</v>
      </c>
      <c r="C858" s="25">
        <v>3000</v>
      </c>
      <c r="D858" s="289">
        <v>12400</v>
      </c>
      <c r="E858" s="190">
        <v>42642</v>
      </c>
      <c r="F858" s="292" t="s">
        <v>1698</v>
      </c>
      <c r="G858" s="833" t="s">
        <v>1695</v>
      </c>
      <c r="H858" s="253"/>
      <c r="I858" s="253">
        <v>12500</v>
      </c>
      <c r="J858" s="874">
        <f t="shared" si="42"/>
        <v>300000</v>
      </c>
      <c r="K858" s="246">
        <v>1</v>
      </c>
      <c r="L858" s="191" t="s">
        <v>1271</v>
      </c>
      <c r="M858" s="25">
        <v>10</v>
      </c>
      <c r="N858" s="289">
        <v>21632</v>
      </c>
      <c r="P858" s="246">
        <f>ROUND(C858*D858,0)</f>
        <v>37200000</v>
      </c>
    </row>
    <row r="859" spans="2:16" hidden="1">
      <c r="B859" s="292" t="s">
        <v>1699</v>
      </c>
      <c r="C859" s="25">
        <v>2500</v>
      </c>
      <c r="D859" s="289">
        <v>8400</v>
      </c>
      <c r="E859" s="190">
        <v>42642</v>
      </c>
      <c r="F859" s="292" t="s">
        <v>1699</v>
      </c>
      <c r="G859" s="833" t="s">
        <v>1695</v>
      </c>
      <c r="H859" s="253"/>
      <c r="I859" s="253">
        <v>8500</v>
      </c>
      <c r="J859" s="874">
        <f t="shared" si="42"/>
        <v>250000</v>
      </c>
    </row>
    <row r="860" spans="2:16" hidden="1">
      <c r="B860" s="292" t="s">
        <v>1701</v>
      </c>
      <c r="C860" s="25">
        <v>1600</v>
      </c>
      <c r="D860" s="289">
        <v>5150</v>
      </c>
      <c r="E860" s="190">
        <v>42642</v>
      </c>
      <c r="F860" s="292" t="s">
        <v>1701</v>
      </c>
      <c r="G860" s="833" t="s">
        <v>1700</v>
      </c>
      <c r="H860" s="253"/>
      <c r="I860" s="253">
        <v>5200</v>
      </c>
      <c r="J860" s="874">
        <f t="shared" si="42"/>
        <v>80000</v>
      </c>
    </row>
    <row r="861" spans="2:16" hidden="1">
      <c r="B861" s="292" t="s">
        <v>1698</v>
      </c>
      <c r="C861" s="25">
        <v>3200</v>
      </c>
      <c r="D861" s="289">
        <v>12400</v>
      </c>
      <c r="E861" s="190">
        <v>42643</v>
      </c>
      <c r="F861" s="292" t="s">
        <v>1698</v>
      </c>
      <c r="G861" s="833" t="s">
        <v>1704</v>
      </c>
      <c r="H861" s="253"/>
      <c r="I861" s="253">
        <v>12500</v>
      </c>
      <c r="J861" s="874">
        <f t="shared" si="42"/>
        <v>320000</v>
      </c>
      <c r="K861" s="246">
        <v>1</v>
      </c>
      <c r="L861" s="191" t="s">
        <v>1271</v>
      </c>
      <c r="M861" s="25">
        <v>10</v>
      </c>
      <c r="N861" s="289">
        <v>21632</v>
      </c>
      <c r="P861" s="246">
        <f>ROUND(C861*D861,0)</f>
        <v>39680000</v>
      </c>
    </row>
    <row r="862" spans="2:16" hidden="1">
      <c r="B862" s="191" t="s">
        <v>1728</v>
      </c>
      <c r="C862" s="25">
        <v>38250</v>
      </c>
      <c r="D862" s="289">
        <v>7250</v>
      </c>
      <c r="E862" s="190">
        <v>42643</v>
      </c>
      <c r="F862" s="292" t="s">
        <v>1728</v>
      </c>
      <c r="G862" s="833" t="s">
        <v>1704</v>
      </c>
      <c r="H862" s="253"/>
      <c r="I862" s="253">
        <v>7300</v>
      </c>
      <c r="J862" s="874">
        <f t="shared" si="42"/>
        <v>1912500</v>
      </c>
    </row>
    <row r="863" spans="2:16" hidden="1">
      <c r="B863" s="855" t="s">
        <v>496</v>
      </c>
      <c r="C863" s="842">
        <v>140</v>
      </c>
      <c r="D863" s="842">
        <v>17100</v>
      </c>
      <c r="E863" s="190">
        <v>42643</v>
      </c>
      <c r="F863" s="292" t="s">
        <v>1776</v>
      </c>
      <c r="G863" s="833" t="s">
        <v>1775</v>
      </c>
      <c r="H863" s="253">
        <v>10</v>
      </c>
      <c r="I863" s="253">
        <v>5250</v>
      </c>
      <c r="J863" s="874">
        <f t="shared" si="42"/>
        <v>-1659000</v>
      </c>
    </row>
    <row r="864" spans="2:16" hidden="1">
      <c r="B864" s="855" t="s">
        <v>1729</v>
      </c>
      <c r="C864" s="842">
        <v>54</v>
      </c>
      <c r="D864" s="842">
        <v>19000</v>
      </c>
      <c r="E864" s="190">
        <v>42643</v>
      </c>
      <c r="F864" s="292" t="s">
        <v>1777</v>
      </c>
      <c r="G864" s="833" t="s">
        <v>1775</v>
      </c>
      <c r="H864" s="253">
        <v>6</v>
      </c>
      <c r="I864" s="253">
        <v>6614</v>
      </c>
      <c r="J864" s="874">
        <f t="shared" si="42"/>
        <v>-668844</v>
      </c>
    </row>
    <row r="865" spans="2:16" hidden="1">
      <c r="B865" s="855" t="s">
        <v>1730</v>
      </c>
      <c r="C865" s="842">
        <v>14</v>
      </c>
      <c r="D865" s="842">
        <v>19100</v>
      </c>
      <c r="E865" s="190">
        <v>42643</v>
      </c>
      <c r="F865" s="292" t="s">
        <v>1563</v>
      </c>
      <c r="G865" s="833" t="s">
        <v>1775</v>
      </c>
      <c r="H865" s="253">
        <v>24</v>
      </c>
      <c r="I865" s="253">
        <v>7998</v>
      </c>
      <c r="J865" s="874">
        <f t="shared" si="42"/>
        <v>-155428</v>
      </c>
    </row>
    <row r="866" spans="2:16" hidden="1">
      <c r="B866" s="855" t="s">
        <v>1731</v>
      </c>
      <c r="C866" s="842">
        <v>280</v>
      </c>
      <c r="D866" s="842">
        <v>20000</v>
      </c>
      <c r="E866" s="190">
        <v>42643</v>
      </c>
      <c r="F866" s="292" t="s">
        <v>495</v>
      </c>
      <c r="G866" s="833" t="s">
        <v>1775</v>
      </c>
      <c r="H866" s="253">
        <v>110</v>
      </c>
      <c r="I866" s="253">
        <v>8242</v>
      </c>
      <c r="J866" s="874">
        <f t="shared" si="42"/>
        <v>-3292240</v>
      </c>
    </row>
    <row r="867" spans="2:16" hidden="1">
      <c r="B867" s="855" t="s">
        <v>511</v>
      </c>
      <c r="C867" s="842">
        <v>115</v>
      </c>
      <c r="D867" s="842">
        <v>20000</v>
      </c>
      <c r="E867" s="190">
        <v>42643</v>
      </c>
      <c r="F867" s="292" t="s">
        <v>1778</v>
      </c>
      <c r="G867" s="833" t="s">
        <v>1775</v>
      </c>
      <c r="H867" s="253">
        <v>4</v>
      </c>
      <c r="I867" s="253">
        <v>9558</v>
      </c>
      <c r="J867" s="874">
        <f t="shared" si="42"/>
        <v>-1200830</v>
      </c>
    </row>
    <row r="868" spans="2:16">
      <c r="E868" s="190">
        <v>42643</v>
      </c>
      <c r="F868" s="292" t="s">
        <v>1779</v>
      </c>
      <c r="G868" s="833" t="s">
        <v>1775</v>
      </c>
      <c r="H868" s="253">
        <v>4</v>
      </c>
      <c r="I868" s="253">
        <v>9581</v>
      </c>
      <c r="J868" s="874">
        <f t="shared" si="42"/>
        <v>0</v>
      </c>
      <c r="P868" s="429">
        <f>H868*I868</f>
        <v>38324</v>
      </c>
    </row>
    <row r="869" spans="2:16" hidden="1">
      <c r="B869" s="855" t="s">
        <v>700</v>
      </c>
      <c r="C869" s="842">
        <v>48</v>
      </c>
      <c r="D869" s="842">
        <v>20200</v>
      </c>
      <c r="E869" s="190">
        <v>42643</v>
      </c>
      <c r="F869" s="292" t="s">
        <v>1780</v>
      </c>
      <c r="G869" s="833" t="s">
        <v>1775</v>
      </c>
      <c r="H869" s="253">
        <v>17</v>
      </c>
      <c r="I869" s="253">
        <v>10198</v>
      </c>
      <c r="J869" s="874">
        <f t="shared" si="42"/>
        <v>-480096</v>
      </c>
    </row>
    <row r="870" spans="2:16">
      <c r="E870" s="190">
        <v>42643</v>
      </c>
      <c r="F870" s="292" t="s">
        <v>1781</v>
      </c>
      <c r="G870" s="833" t="s">
        <v>1775</v>
      </c>
      <c r="H870" s="253">
        <v>22</v>
      </c>
      <c r="I870" s="253">
        <v>10241</v>
      </c>
      <c r="J870" s="874">
        <f t="shared" si="42"/>
        <v>0</v>
      </c>
      <c r="P870" s="429">
        <f t="shared" ref="P870:P887" si="44">H870*I870</f>
        <v>225302</v>
      </c>
    </row>
    <row r="871" spans="2:16">
      <c r="E871" s="190">
        <v>42643</v>
      </c>
      <c r="F871" s="292" t="s">
        <v>1782</v>
      </c>
      <c r="G871" s="833" t="s">
        <v>1775</v>
      </c>
      <c r="H871" s="253">
        <v>42</v>
      </c>
      <c r="I871" s="253">
        <v>10434</v>
      </c>
      <c r="J871" s="874">
        <f t="shared" si="42"/>
        <v>0</v>
      </c>
      <c r="P871" s="429">
        <f t="shared" si="44"/>
        <v>438228</v>
      </c>
    </row>
    <row r="872" spans="2:16">
      <c r="E872" s="190">
        <v>42643</v>
      </c>
      <c r="F872" s="292" t="s">
        <v>1783</v>
      </c>
      <c r="G872" s="833" t="s">
        <v>1775</v>
      </c>
      <c r="H872" s="253">
        <v>9</v>
      </c>
      <c r="I872" s="253">
        <v>10569</v>
      </c>
      <c r="J872" s="874">
        <f t="shared" si="42"/>
        <v>0</v>
      </c>
      <c r="P872" s="429">
        <f t="shared" si="44"/>
        <v>95121</v>
      </c>
    </row>
    <row r="873" spans="2:16">
      <c r="E873" s="190">
        <v>42643</v>
      </c>
      <c r="F873" s="292" t="s">
        <v>808</v>
      </c>
      <c r="G873" s="833" t="s">
        <v>1775</v>
      </c>
      <c r="H873" s="253">
        <v>16</v>
      </c>
      <c r="I873" s="253">
        <v>11572</v>
      </c>
      <c r="J873" s="874">
        <f t="shared" si="42"/>
        <v>0</v>
      </c>
      <c r="P873" s="429">
        <f t="shared" si="44"/>
        <v>185152</v>
      </c>
    </row>
    <row r="874" spans="2:16">
      <c r="E874" s="190">
        <v>42643</v>
      </c>
      <c r="F874" s="292" t="s">
        <v>486</v>
      </c>
      <c r="G874" s="833" t="s">
        <v>1775</v>
      </c>
      <c r="H874" s="253">
        <v>45</v>
      </c>
      <c r="I874" s="253">
        <v>12002</v>
      </c>
      <c r="J874" s="874">
        <f t="shared" si="42"/>
        <v>0</v>
      </c>
      <c r="P874" s="429">
        <f t="shared" si="44"/>
        <v>540090</v>
      </c>
    </row>
    <row r="875" spans="2:16">
      <c r="E875" s="190">
        <v>42643</v>
      </c>
      <c r="F875" s="292" t="s">
        <v>1784</v>
      </c>
      <c r="G875" s="833" t="s">
        <v>1775</v>
      </c>
      <c r="H875" s="253">
        <v>4</v>
      </c>
      <c r="I875" s="253">
        <v>12934</v>
      </c>
      <c r="J875" s="874">
        <f t="shared" si="42"/>
        <v>0</v>
      </c>
      <c r="P875" s="429">
        <f t="shared" si="44"/>
        <v>51736</v>
      </c>
    </row>
    <row r="876" spans="2:16">
      <c r="E876" s="190">
        <v>42643</v>
      </c>
      <c r="F876" s="292" t="s">
        <v>1785</v>
      </c>
      <c r="G876" s="833" t="s">
        <v>1775</v>
      </c>
      <c r="H876" s="253">
        <v>6</v>
      </c>
      <c r="I876" s="253">
        <v>13259</v>
      </c>
      <c r="J876" s="874">
        <f t="shared" si="42"/>
        <v>0</v>
      </c>
      <c r="P876" s="429">
        <f t="shared" si="44"/>
        <v>79554</v>
      </c>
    </row>
    <row r="877" spans="2:16">
      <c r="E877" s="190">
        <v>42643</v>
      </c>
      <c r="F877" s="292" t="s">
        <v>1786</v>
      </c>
      <c r="G877" s="833" t="s">
        <v>1775</v>
      </c>
      <c r="H877" s="253">
        <v>14</v>
      </c>
      <c r="I877" s="253">
        <v>13922</v>
      </c>
      <c r="J877" s="874">
        <f t="shared" si="42"/>
        <v>0</v>
      </c>
      <c r="P877" s="429">
        <f t="shared" si="44"/>
        <v>194908</v>
      </c>
    </row>
    <row r="878" spans="2:16">
      <c r="E878" s="190">
        <v>42643</v>
      </c>
      <c r="F878" s="292" t="s">
        <v>1787</v>
      </c>
      <c r="G878" s="833" t="s">
        <v>1775</v>
      </c>
      <c r="H878" s="253">
        <v>4</v>
      </c>
      <c r="I878" s="253">
        <v>14224</v>
      </c>
      <c r="J878" s="874">
        <f t="shared" si="42"/>
        <v>0</v>
      </c>
      <c r="L878" s="874"/>
      <c r="P878" s="429">
        <f t="shared" si="44"/>
        <v>56896</v>
      </c>
    </row>
    <row r="879" spans="2:16">
      <c r="E879" s="190">
        <v>42643</v>
      </c>
      <c r="F879" s="292" t="s">
        <v>699</v>
      </c>
      <c r="G879" s="833" t="s">
        <v>1775</v>
      </c>
      <c r="H879" s="253">
        <v>86</v>
      </c>
      <c r="I879" s="253">
        <v>14722</v>
      </c>
      <c r="J879" s="874">
        <f t="shared" si="42"/>
        <v>0</v>
      </c>
      <c r="L879" s="874"/>
      <c r="P879" s="429">
        <f t="shared" si="44"/>
        <v>1266092</v>
      </c>
    </row>
    <row r="880" spans="2:16">
      <c r="E880" s="190">
        <v>42643</v>
      </c>
      <c r="F880" s="292" t="s">
        <v>1788</v>
      </c>
      <c r="G880" s="833" t="s">
        <v>1775</v>
      </c>
      <c r="H880" s="253">
        <v>12</v>
      </c>
      <c r="I880" s="253">
        <v>15504</v>
      </c>
      <c r="J880" s="874">
        <f t="shared" si="42"/>
        <v>0</v>
      </c>
      <c r="L880" s="874"/>
      <c r="P880" s="429">
        <f t="shared" si="44"/>
        <v>186048</v>
      </c>
    </row>
    <row r="881" spans="2:16">
      <c r="E881" s="190">
        <v>42643</v>
      </c>
      <c r="F881" s="292" t="s">
        <v>524</v>
      </c>
      <c r="G881" s="833" t="s">
        <v>1775</v>
      </c>
      <c r="H881" s="253">
        <v>4</v>
      </c>
      <c r="I881" s="253">
        <v>15504</v>
      </c>
      <c r="J881" s="874">
        <f t="shared" si="42"/>
        <v>0</v>
      </c>
      <c r="L881" s="874"/>
      <c r="P881" s="429">
        <f t="shared" si="44"/>
        <v>62016</v>
      </c>
    </row>
    <row r="882" spans="2:16">
      <c r="E882" s="190">
        <v>42643</v>
      </c>
      <c r="F882" s="292" t="s">
        <v>1789</v>
      </c>
      <c r="G882" s="833" t="s">
        <v>1775</v>
      </c>
      <c r="H882" s="253">
        <v>3</v>
      </c>
      <c r="I882" s="253">
        <v>15598</v>
      </c>
      <c r="J882" s="874">
        <f t="shared" si="42"/>
        <v>0</v>
      </c>
      <c r="L882" s="874"/>
      <c r="P882" s="429">
        <f t="shared" si="44"/>
        <v>46794</v>
      </c>
    </row>
    <row r="883" spans="2:16">
      <c r="E883" s="190">
        <v>42643</v>
      </c>
      <c r="F883" s="292" t="s">
        <v>1790</v>
      </c>
      <c r="G883" s="833" t="s">
        <v>1775</v>
      </c>
      <c r="H883" s="253">
        <v>9</v>
      </c>
      <c r="I883" s="253">
        <v>17217</v>
      </c>
      <c r="J883" s="874">
        <f t="shared" si="42"/>
        <v>0</v>
      </c>
      <c r="L883" s="874"/>
      <c r="P883" s="429">
        <f t="shared" si="44"/>
        <v>154953</v>
      </c>
    </row>
    <row r="884" spans="2:16">
      <c r="E884" s="190">
        <v>42643</v>
      </c>
      <c r="F884" s="292" t="s">
        <v>1791</v>
      </c>
      <c r="G884" s="833" t="s">
        <v>1775</v>
      </c>
      <c r="H884" s="253">
        <v>6</v>
      </c>
      <c r="I884" s="253">
        <v>17526</v>
      </c>
      <c r="J884" s="874">
        <f t="shared" si="42"/>
        <v>0</v>
      </c>
      <c r="L884" s="874"/>
      <c r="P884" s="429">
        <f t="shared" si="44"/>
        <v>105156</v>
      </c>
    </row>
    <row r="885" spans="2:16">
      <c r="E885" s="190">
        <v>42643</v>
      </c>
      <c r="F885" s="292" t="s">
        <v>525</v>
      </c>
      <c r="G885" s="833" t="s">
        <v>1775</v>
      </c>
      <c r="H885" s="253">
        <v>239</v>
      </c>
      <c r="I885" s="253">
        <v>17602</v>
      </c>
      <c r="J885" s="874">
        <f t="shared" ref="J885:J900" si="45">(I885-D885)*C885</f>
        <v>0</v>
      </c>
      <c r="L885" s="874"/>
      <c r="P885" s="429">
        <f t="shared" si="44"/>
        <v>4206878</v>
      </c>
    </row>
    <row r="886" spans="2:16">
      <c r="E886" s="190">
        <v>42643</v>
      </c>
      <c r="F886" s="292" t="s">
        <v>496</v>
      </c>
      <c r="G886" s="833" t="s">
        <v>1775</v>
      </c>
      <c r="H886" s="253">
        <v>140</v>
      </c>
      <c r="I886" s="253">
        <v>17678</v>
      </c>
      <c r="J886" s="874">
        <f t="shared" si="45"/>
        <v>0</v>
      </c>
      <c r="L886" s="874"/>
      <c r="P886" s="429">
        <f t="shared" si="44"/>
        <v>2474920</v>
      </c>
    </row>
    <row r="887" spans="2:16">
      <c r="E887" s="190">
        <v>42643</v>
      </c>
      <c r="F887" s="292" t="s">
        <v>1729</v>
      </c>
      <c r="G887" s="833" t="s">
        <v>1775</v>
      </c>
      <c r="H887" s="253">
        <v>54</v>
      </c>
      <c r="I887" s="253">
        <v>19284</v>
      </c>
      <c r="J887" s="874">
        <f t="shared" si="45"/>
        <v>0</v>
      </c>
      <c r="L887" s="874"/>
      <c r="P887" s="429">
        <f t="shared" si="44"/>
        <v>1041336</v>
      </c>
    </row>
    <row r="888" spans="2:16" hidden="1">
      <c r="B888" s="855" t="s">
        <v>1730</v>
      </c>
      <c r="C888" s="842">
        <v>14</v>
      </c>
      <c r="D888" s="842">
        <v>19100</v>
      </c>
      <c r="E888" s="190">
        <v>42643</v>
      </c>
      <c r="F888" s="292" t="s">
        <v>1730</v>
      </c>
      <c r="G888" s="833" t="s">
        <v>1775</v>
      </c>
      <c r="H888" s="253">
        <v>14</v>
      </c>
      <c r="I888" s="253">
        <v>19446</v>
      </c>
      <c r="J888" s="874">
        <f t="shared" si="45"/>
        <v>4844</v>
      </c>
      <c r="L888" s="874">
        <f t="shared" ref="L888:L896" si="46">C888-H888</f>
        <v>0</v>
      </c>
    </row>
    <row r="889" spans="2:16" hidden="1">
      <c r="B889" s="855" t="s">
        <v>1731</v>
      </c>
      <c r="C889" s="842">
        <v>280</v>
      </c>
      <c r="D889" s="842">
        <v>20000</v>
      </c>
      <c r="E889" s="190">
        <v>42643</v>
      </c>
      <c r="F889" s="292" t="s">
        <v>1731</v>
      </c>
      <c r="G889" s="833" t="s">
        <v>1775</v>
      </c>
      <c r="H889" s="253">
        <v>280</v>
      </c>
      <c r="I889" s="253">
        <v>20239</v>
      </c>
      <c r="J889" s="874">
        <f t="shared" si="45"/>
        <v>66920</v>
      </c>
      <c r="L889" s="874">
        <f t="shared" si="46"/>
        <v>0</v>
      </c>
    </row>
    <row r="890" spans="2:16" hidden="1">
      <c r="B890" s="855" t="s">
        <v>511</v>
      </c>
      <c r="C890" s="842">
        <v>115</v>
      </c>
      <c r="D890" s="842">
        <v>20000</v>
      </c>
      <c r="E890" s="190">
        <v>42643</v>
      </c>
      <c r="F890" s="292" t="s">
        <v>511</v>
      </c>
      <c r="G890" s="833" t="s">
        <v>1775</v>
      </c>
      <c r="H890" s="253">
        <v>115</v>
      </c>
      <c r="I890" s="253">
        <v>20239</v>
      </c>
      <c r="J890" s="874">
        <f t="shared" si="45"/>
        <v>27485</v>
      </c>
      <c r="L890" s="874">
        <f t="shared" si="46"/>
        <v>0</v>
      </c>
    </row>
    <row r="891" spans="2:16">
      <c r="E891" s="190">
        <v>42643</v>
      </c>
      <c r="F891" s="292" t="s">
        <v>863</v>
      </c>
      <c r="G891" s="833" t="s">
        <v>1775</v>
      </c>
      <c r="H891" s="253">
        <v>72</v>
      </c>
      <c r="I891" s="253">
        <v>20295</v>
      </c>
      <c r="J891" s="874">
        <f t="shared" si="45"/>
        <v>0</v>
      </c>
      <c r="L891" s="874"/>
      <c r="P891" s="429">
        <f>H891*I891</f>
        <v>1461240</v>
      </c>
    </row>
    <row r="892" spans="2:16" hidden="1">
      <c r="B892" s="855" t="s">
        <v>1732</v>
      </c>
      <c r="C892" s="842">
        <v>4</v>
      </c>
      <c r="D892" s="842">
        <v>20100</v>
      </c>
      <c r="E892" s="190">
        <v>42643</v>
      </c>
      <c r="F892" s="292" t="s">
        <v>1732</v>
      </c>
      <c r="G892" s="833" t="s">
        <v>1775</v>
      </c>
      <c r="H892" s="253">
        <v>4</v>
      </c>
      <c r="I892" s="253">
        <v>20559</v>
      </c>
      <c r="J892" s="874">
        <f t="shared" si="45"/>
        <v>1836</v>
      </c>
      <c r="L892" s="874">
        <f t="shared" si="46"/>
        <v>0</v>
      </c>
    </row>
    <row r="893" spans="2:16" hidden="1">
      <c r="B893" s="855" t="s">
        <v>700</v>
      </c>
      <c r="C893" s="842">
        <v>48</v>
      </c>
      <c r="D893" s="842">
        <v>20200</v>
      </c>
      <c r="E893" s="190">
        <v>42643</v>
      </c>
      <c r="F893" s="292" t="s">
        <v>700</v>
      </c>
      <c r="G893" s="833" t="s">
        <v>1775</v>
      </c>
      <c r="H893" s="253">
        <v>48</v>
      </c>
      <c r="I893" s="253">
        <v>20772</v>
      </c>
      <c r="J893" s="874">
        <f t="shared" si="45"/>
        <v>27456</v>
      </c>
      <c r="L893" s="874">
        <f t="shared" si="46"/>
        <v>0</v>
      </c>
    </row>
    <row r="894" spans="2:16" hidden="1">
      <c r="B894" s="855" t="s">
        <v>1733</v>
      </c>
      <c r="C894" s="842">
        <v>30</v>
      </c>
      <c r="D894" s="842">
        <v>20300</v>
      </c>
      <c r="E894" s="190">
        <v>42643</v>
      </c>
      <c r="F894" s="292" t="s">
        <v>1733</v>
      </c>
      <c r="G894" s="833" t="s">
        <v>1775</v>
      </c>
      <c r="H894" s="253">
        <v>30</v>
      </c>
      <c r="I894" s="253">
        <v>20798</v>
      </c>
      <c r="J894" s="874">
        <f t="shared" si="45"/>
        <v>14940</v>
      </c>
      <c r="L894" s="874">
        <f t="shared" si="46"/>
        <v>0</v>
      </c>
    </row>
    <row r="895" spans="2:16" hidden="1">
      <c r="B895" s="855" t="s">
        <v>1734</v>
      </c>
      <c r="C895" s="842">
        <v>12</v>
      </c>
      <c r="D895" s="842">
        <v>20500</v>
      </c>
      <c r="E895" s="190">
        <v>42643</v>
      </c>
      <c r="F895" s="292" t="s">
        <v>1734</v>
      </c>
      <c r="G895" s="833" t="s">
        <v>1775</v>
      </c>
      <c r="H895" s="253">
        <v>12</v>
      </c>
      <c r="I895" s="253">
        <v>21031</v>
      </c>
      <c r="J895" s="874">
        <f t="shared" si="45"/>
        <v>6372</v>
      </c>
      <c r="L895" s="874">
        <f t="shared" si="46"/>
        <v>0</v>
      </c>
    </row>
    <row r="896" spans="2:16" hidden="1">
      <c r="B896" s="855" t="s">
        <v>1735</v>
      </c>
      <c r="C896" s="842">
        <v>14</v>
      </c>
      <c r="D896" s="842">
        <v>20700</v>
      </c>
      <c r="E896" s="190">
        <v>42643</v>
      </c>
      <c r="F896" s="292" t="s">
        <v>1735</v>
      </c>
      <c r="G896" s="833" t="s">
        <v>1775</v>
      </c>
      <c r="H896" s="253">
        <v>14</v>
      </c>
      <c r="I896" s="253">
        <v>21146</v>
      </c>
      <c r="J896" s="874">
        <f t="shared" si="45"/>
        <v>6244</v>
      </c>
      <c r="L896" s="874">
        <f t="shared" si="46"/>
        <v>0</v>
      </c>
    </row>
    <row r="897" spans="2:12" hidden="1">
      <c r="B897" s="855" t="s">
        <v>1736</v>
      </c>
      <c r="C897" s="842">
        <v>14</v>
      </c>
      <c r="D897" s="842">
        <v>21000</v>
      </c>
      <c r="E897" s="190">
        <v>42643</v>
      </c>
      <c r="F897" s="292" t="s">
        <v>1736</v>
      </c>
      <c r="G897" s="833" t="s">
        <v>1775</v>
      </c>
      <c r="H897" s="253">
        <v>14</v>
      </c>
      <c r="I897" s="253">
        <v>21458</v>
      </c>
      <c r="J897" s="874">
        <f t="shared" si="45"/>
        <v>6412</v>
      </c>
      <c r="L897" s="874">
        <f t="shared" ref="L897:L954" si="47">C897-H897</f>
        <v>0</v>
      </c>
    </row>
    <row r="898" spans="2:12" hidden="1">
      <c r="B898" s="855" t="s">
        <v>1737</v>
      </c>
      <c r="C898" s="842">
        <v>12</v>
      </c>
      <c r="D898" s="842">
        <v>21000</v>
      </c>
      <c r="E898" s="190">
        <v>42643</v>
      </c>
      <c r="F898" s="292" t="s">
        <v>1737</v>
      </c>
      <c r="G898" s="833" t="s">
        <v>1775</v>
      </c>
      <c r="H898" s="253">
        <v>12</v>
      </c>
      <c r="I898" s="253">
        <v>21476</v>
      </c>
      <c r="J898" s="874">
        <f t="shared" si="45"/>
        <v>5712</v>
      </c>
      <c r="L898" s="874">
        <f t="shared" si="47"/>
        <v>0</v>
      </c>
    </row>
    <row r="899" spans="2:12" hidden="1">
      <c r="B899" s="855" t="s">
        <v>1737</v>
      </c>
      <c r="C899" s="842">
        <v>60</v>
      </c>
      <c r="D899" s="842">
        <v>21000</v>
      </c>
      <c r="E899" s="190">
        <v>42643</v>
      </c>
      <c r="F899" s="292" t="s">
        <v>1737</v>
      </c>
      <c r="G899" s="833" t="s">
        <v>1775</v>
      </c>
      <c r="H899" s="253">
        <v>60</v>
      </c>
      <c r="I899" s="253">
        <v>21486</v>
      </c>
      <c r="J899" s="874">
        <f t="shared" si="45"/>
        <v>29160</v>
      </c>
      <c r="L899" s="874">
        <f t="shared" si="47"/>
        <v>0</v>
      </c>
    </row>
    <row r="900" spans="2:12" hidden="1">
      <c r="B900" s="855" t="s">
        <v>1738</v>
      </c>
      <c r="C900" s="842">
        <v>60</v>
      </c>
      <c r="D900" s="842">
        <v>22000</v>
      </c>
      <c r="E900" s="190">
        <v>42643</v>
      </c>
      <c r="F900" s="292" t="s">
        <v>1738</v>
      </c>
      <c r="G900" s="833" t="s">
        <v>1775</v>
      </c>
      <c r="H900" s="253">
        <v>60</v>
      </c>
      <c r="I900" s="253">
        <v>22150</v>
      </c>
      <c r="J900" s="874">
        <f t="shared" si="45"/>
        <v>9000</v>
      </c>
      <c r="L900" s="874">
        <f t="shared" si="47"/>
        <v>0</v>
      </c>
    </row>
    <row r="901" spans="2:12" hidden="1">
      <c r="B901" s="855" t="s">
        <v>1738</v>
      </c>
      <c r="C901" s="842">
        <v>60</v>
      </c>
      <c r="D901" s="842">
        <v>22000</v>
      </c>
      <c r="E901" s="190">
        <v>42643</v>
      </c>
      <c r="F901" s="292" t="s">
        <v>1738</v>
      </c>
      <c r="G901" s="833" t="s">
        <v>1775</v>
      </c>
      <c r="H901" s="253">
        <v>60</v>
      </c>
      <c r="I901" s="253">
        <v>22287</v>
      </c>
      <c r="J901" s="874">
        <f t="shared" ref="J901:J947" si="48">(I901-D901)*C901</f>
        <v>17220</v>
      </c>
      <c r="L901" s="874">
        <f t="shared" si="47"/>
        <v>0</v>
      </c>
    </row>
    <row r="902" spans="2:12" hidden="1">
      <c r="B902" s="855" t="s">
        <v>498</v>
      </c>
      <c r="C902" s="842">
        <v>85</v>
      </c>
      <c r="D902" s="842">
        <v>22100</v>
      </c>
      <c r="E902" s="190">
        <v>42643</v>
      </c>
      <c r="F902" s="292" t="s">
        <v>498</v>
      </c>
      <c r="G902" s="833" t="s">
        <v>1775</v>
      </c>
      <c r="H902" s="253">
        <v>85</v>
      </c>
      <c r="I902" s="253">
        <v>22540</v>
      </c>
      <c r="J902" s="874">
        <f t="shared" si="48"/>
        <v>37400</v>
      </c>
      <c r="L902" s="874">
        <f t="shared" si="47"/>
        <v>0</v>
      </c>
    </row>
    <row r="903" spans="2:12" hidden="1">
      <c r="B903" s="855" t="s">
        <v>552</v>
      </c>
      <c r="C903" s="842">
        <v>40</v>
      </c>
      <c r="D903" s="842">
        <v>22700</v>
      </c>
      <c r="E903" s="190">
        <v>42643</v>
      </c>
      <c r="F903" s="292" t="s">
        <v>552</v>
      </c>
      <c r="G903" s="833" t="s">
        <v>1775</v>
      </c>
      <c r="H903" s="253">
        <v>40</v>
      </c>
      <c r="I903" s="253">
        <v>23114</v>
      </c>
      <c r="J903" s="874">
        <f t="shared" si="48"/>
        <v>16560</v>
      </c>
      <c r="L903" s="874">
        <f t="shared" si="47"/>
        <v>0</v>
      </c>
    </row>
    <row r="904" spans="2:12" hidden="1">
      <c r="B904" s="855" t="s">
        <v>1739</v>
      </c>
      <c r="C904" s="842">
        <v>46</v>
      </c>
      <c r="D904" s="842">
        <v>22800</v>
      </c>
      <c r="E904" s="190">
        <v>42643</v>
      </c>
      <c r="F904" s="292" t="s">
        <v>1739</v>
      </c>
      <c r="G904" s="833" t="s">
        <v>1775</v>
      </c>
      <c r="H904" s="253">
        <v>46</v>
      </c>
      <c r="I904" s="253">
        <v>23150</v>
      </c>
      <c r="J904" s="874">
        <f t="shared" si="48"/>
        <v>16100</v>
      </c>
      <c r="L904" s="874">
        <f t="shared" si="47"/>
        <v>0</v>
      </c>
    </row>
    <row r="905" spans="2:12" hidden="1">
      <c r="B905" s="855" t="s">
        <v>1740</v>
      </c>
      <c r="C905" s="842">
        <v>6</v>
      </c>
      <c r="D905" s="842">
        <v>22900</v>
      </c>
      <c r="E905" s="190">
        <v>42643</v>
      </c>
      <c r="F905" s="292" t="s">
        <v>1740</v>
      </c>
      <c r="G905" s="833" t="s">
        <v>1775</v>
      </c>
      <c r="H905" s="253">
        <v>6</v>
      </c>
      <c r="I905" s="253">
        <v>23256</v>
      </c>
      <c r="J905" s="874">
        <f t="shared" si="48"/>
        <v>2136</v>
      </c>
      <c r="L905" s="874">
        <f t="shared" si="47"/>
        <v>0</v>
      </c>
    </row>
    <row r="906" spans="2:12" hidden="1">
      <c r="B906" s="855" t="s">
        <v>484</v>
      </c>
      <c r="C906" s="842">
        <v>6</v>
      </c>
      <c r="D906" s="842">
        <v>23100</v>
      </c>
      <c r="E906" s="190">
        <v>42643</v>
      </c>
      <c r="F906" s="292" t="s">
        <v>484</v>
      </c>
      <c r="G906" s="833" t="s">
        <v>1775</v>
      </c>
      <c r="H906" s="253">
        <v>6</v>
      </c>
      <c r="I906" s="253">
        <v>23736</v>
      </c>
      <c r="J906" s="874">
        <f t="shared" si="48"/>
        <v>3816</v>
      </c>
      <c r="L906" s="874">
        <f t="shared" si="47"/>
        <v>0</v>
      </c>
    </row>
    <row r="907" spans="2:12" hidden="1">
      <c r="B907" s="855" t="s">
        <v>1741</v>
      </c>
      <c r="C907" s="842">
        <v>12</v>
      </c>
      <c r="D907" s="842">
        <v>24500</v>
      </c>
      <c r="E907" s="190">
        <v>42643</v>
      </c>
      <c r="F907" s="292" t="s">
        <v>1741</v>
      </c>
      <c r="G907" s="833" t="s">
        <v>1775</v>
      </c>
      <c r="H907" s="253">
        <v>12</v>
      </c>
      <c r="I907" s="253">
        <v>24902</v>
      </c>
      <c r="J907" s="874">
        <f t="shared" si="48"/>
        <v>4824</v>
      </c>
      <c r="L907" s="874">
        <f t="shared" si="47"/>
        <v>0</v>
      </c>
    </row>
    <row r="908" spans="2:12" hidden="1">
      <c r="B908" s="855" t="s">
        <v>503</v>
      </c>
      <c r="C908" s="842">
        <v>50</v>
      </c>
      <c r="D908" s="842">
        <v>25000</v>
      </c>
      <c r="E908" s="190">
        <v>42643</v>
      </c>
      <c r="F908" s="292" t="s">
        <v>503</v>
      </c>
      <c r="G908" s="833" t="s">
        <v>1775</v>
      </c>
      <c r="H908" s="253">
        <v>50</v>
      </c>
      <c r="I908" s="253">
        <v>25481</v>
      </c>
      <c r="J908" s="874">
        <f t="shared" si="48"/>
        <v>24050</v>
      </c>
      <c r="L908" s="874">
        <f t="shared" si="47"/>
        <v>0</v>
      </c>
    </row>
    <row r="909" spans="2:12" hidden="1">
      <c r="B909" s="855" t="s">
        <v>1742</v>
      </c>
      <c r="C909" s="842">
        <v>4</v>
      </c>
      <c r="D909" s="842">
        <v>25300</v>
      </c>
      <c r="E909" s="190">
        <v>42643</v>
      </c>
      <c r="F909" s="292" t="s">
        <v>1742</v>
      </c>
      <c r="G909" s="833" t="s">
        <v>1775</v>
      </c>
      <c r="H909" s="253">
        <v>4</v>
      </c>
      <c r="I909" s="253">
        <v>25885</v>
      </c>
      <c r="J909" s="874">
        <f t="shared" si="48"/>
        <v>2340</v>
      </c>
      <c r="L909" s="874">
        <f t="shared" si="47"/>
        <v>0</v>
      </c>
    </row>
    <row r="910" spans="2:12" hidden="1">
      <c r="B910" s="855" t="s">
        <v>485</v>
      </c>
      <c r="C910" s="842">
        <v>12</v>
      </c>
      <c r="D910" s="842">
        <v>27300</v>
      </c>
      <c r="E910" s="190">
        <v>42643</v>
      </c>
      <c r="F910" s="292" t="s">
        <v>485</v>
      </c>
      <c r="G910" s="833" t="s">
        <v>1775</v>
      </c>
      <c r="H910" s="253">
        <v>12</v>
      </c>
      <c r="I910" s="253">
        <v>27750</v>
      </c>
      <c r="J910" s="874">
        <f t="shared" si="48"/>
        <v>5400</v>
      </c>
      <c r="L910" s="874">
        <f t="shared" si="47"/>
        <v>0</v>
      </c>
    </row>
    <row r="911" spans="2:12" hidden="1">
      <c r="B911" s="855" t="s">
        <v>1743</v>
      </c>
      <c r="C911" s="842">
        <v>24</v>
      </c>
      <c r="D911" s="842">
        <v>29400</v>
      </c>
      <c r="E911" s="190">
        <v>42643</v>
      </c>
      <c r="F911" s="292" t="s">
        <v>1743</v>
      </c>
      <c r="G911" s="833" t="s">
        <v>1775</v>
      </c>
      <c r="H911" s="253">
        <v>24</v>
      </c>
      <c r="I911" s="253">
        <v>29845</v>
      </c>
      <c r="J911" s="874">
        <f t="shared" si="48"/>
        <v>10680</v>
      </c>
      <c r="L911" s="874">
        <f t="shared" si="47"/>
        <v>0</v>
      </c>
    </row>
    <row r="912" spans="2:12" hidden="1">
      <c r="B912" s="855" t="s">
        <v>1744</v>
      </c>
      <c r="C912" s="842">
        <v>40</v>
      </c>
      <c r="D912" s="842">
        <v>31100</v>
      </c>
      <c r="E912" s="190">
        <v>42643</v>
      </c>
      <c r="F912" s="292" t="s">
        <v>1744</v>
      </c>
      <c r="G912" s="833" t="s">
        <v>1775</v>
      </c>
      <c r="H912" s="253">
        <v>40</v>
      </c>
      <c r="I912" s="253">
        <v>31653</v>
      </c>
      <c r="J912" s="874">
        <f t="shared" si="48"/>
        <v>22120</v>
      </c>
      <c r="L912" s="874">
        <f t="shared" si="47"/>
        <v>0</v>
      </c>
    </row>
    <row r="913" spans="2:12" hidden="1">
      <c r="B913" s="855" t="s">
        <v>1745</v>
      </c>
      <c r="C913" s="842">
        <v>24</v>
      </c>
      <c r="D913" s="842">
        <v>32000</v>
      </c>
      <c r="E913" s="190">
        <v>42643</v>
      </c>
      <c r="F913" s="292" t="s">
        <v>1745</v>
      </c>
      <c r="G913" s="833" t="s">
        <v>1775</v>
      </c>
      <c r="H913" s="253">
        <v>24</v>
      </c>
      <c r="I913" s="253">
        <v>32111</v>
      </c>
      <c r="J913" s="874">
        <f t="shared" si="48"/>
        <v>2664</v>
      </c>
      <c r="L913" s="874">
        <f t="shared" si="47"/>
        <v>0</v>
      </c>
    </row>
    <row r="914" spans="2:12" hidden="1">
      <c r="B914" s="855" t="s">
        <v>1746</v>
      </c>
      <c r="C914" s="842">
        <v>40</v>
      </c>
      <c r="D914" s="842">
        <v>31980</v>
      </c>
      <c r="E914" s="190">
        <v>42643</v>
      </c>
      <c r="F914" s="292" t="s">
        <v>1746</v>
      </c>
      <c r="G914" s="833" t="s">
        <v>1775</v>
      </c>
      <c r="H914" s="253">
        <v>40</v>
      </c>
      <c r="I914" s="253">
        <v>32131</v>
      </c>
      <c r="J914" s="874">
        <f t="shared" si="48"/>
        <v>6040</v>
      </c>
      <c r="L914" s="874">
        <f t="shared" si="47"/>
        <v>0</v>
      </c>
    </row>
    <row r="915" spans="2:12" hidden="1">
      <c r="B915" s="855" t="s">
        <v>1747</v>
      </c>
      <c r="C915" s="842">
        <v>8</v>
      </c>
      <c r="D915" s="842">
        <v>34300</v>
      </c>
      <c r="E915" s="190">
        <v>42643</v>
      </c>
      <c r="F915" s="292" t="s">
        <v>1747</v>
      </c>
      <c r="G915" s="833" t="s">
        <v>1775</v>
      </c>
      <c r="H915" s="253">
        <v>8</v>
      </c>
      <c r="I915" s="253">
        <v>34769</v>
      </c>
      <c r="J915" s="874">
        <f t="shared" si="48"/>
        <v>3752</v>
      </c>
      <c r="L915" s="874">
        <f t="shared" si="47"/>
        <v>0</v>
      </c>
    </row>
    <row r="916" spans="2:12" hidden="1">
      <c r="B916" s="855" t="s">
        <v>499</v>
      </c>
      <c r="C916" s="842">
        <v>26</v>
      </c>
      <c r="D916" s="842">
        <v>35000</v>
      </c>
      <c r="E916" s="190">
        <v>42643</v>
      </c>
      <c r="F916" s="292" t="s">
        <v>499</v>
      </c>
      <c r="G916" s="833" t="s">
        <v>1775</v>
      </c>
      <c r="H916" s="253">
        <v>26</v>
      </c>
      <c r="I916" s="253">
        <v>35387</v>
      </c>
      <c r="J916" s="874">
        <f t="shared" si="48"/>
        <v>10062</v>
      </c>
      <c r="L916" s="874">
        <f t="shared" si="47"/>
        <v>0</v>
      </c>
    </row>
    <row r="917" spans="2:12" hidden="1">
      <c r="B917" s="855" t="s">
        <v>1747</v>
      </c>
      <c r="C917" s="842">
        <v>40</v>
      </c>
      <c r="D917" s="842">
        <v>35100</v>
      </c>
      <c r="E917" s="190">
        <v>42643</v>
      </c>
      <c r="F917" s="292" t="s">
        <v>1747</v>
      </c>
      <c r="G917" s="833" t="s">
        <v>1775</v>
      </c>
      <c r="H917" s="253">
        <v>40</v>
      </c>
      <c r="I917" s="253">
        <v>35662</v>
      </c>
      <c r="J917" s="874">
        <f t="shared" si="48"/>
        <v>22480</v>
      </c>
      <c r="L917" s="874">
        <f t="shared" si="47"/>
        <v>0</v>
      </c>
    </row>
    <row r="918" spans="2:12" hidden="1">
      <c r="B918" s="855" t="s">
        <v>497</v>
      </c>
      <c r="C918" s="842">
        <v>80</v>
      </c>
      <c r="D918" s="842">
        <v>35300</v>
      </c>
      <c r="E918" s="190">
        <v>42643</v>
      </c>
      <c r="F918" s="292" t="s">
        <v>497</v>
      </c>
      <c r="G918" s="833" t="s">
        <v>1775</v>
      </c>
      <c r="H918" s="253">
        <v>80</v>
      </c>
      <c r="I918" s="253">
        <v>35806</v>
      </c>
      <c r="J918" s="874">
        <f t="shared" si="48"/>
        <v>40480</v>
      </c>
      <c r="L918" s="874">
        <f t="shared" si="47"/>
        <v>0</v>
      </c>
    </row>
    <row r="919" spans="2:12" hidden="1">
      <c r="B919" s="855" t="s">
        <v>1748</v>
      </c>
      <c r="C919" s="842">
        <v>75</v>
      </c>
      <c r="D919" s="842">
        <v>37500</v>
      </c>
      <c r="E919" s="190">
        <v>42643</v>
      </c>
      <c r="F919" s="292" t="s">
        <v>1748</v>
      </c>
      <c r="G919" s="833" t="s">
        <v>1775</v>
      </c>
      <c r="H919" s="253">
        <v>75</v>
      </c>
      <c r="I919" s="253">
        <v>38019</v>
      </c>
      <c r="J919" s="874">
        <f t="shared" si="48"/>
        <v>38925</v>
      </c>
      <c r="L919" s="874">
        <f t="shared" si="47"/>
        <v>0</v>
      </c>
    </row>
    <row r="920" spans="2:12" hidden="1">
      <c r="B920" s="855" t="s">
        <v>489</v>
      </c>
      <c r="C920" s="842">
        <v>50</v>
      </c>
      <c r="D920" s="842">
        <v>37900</v>
      </c>
      <c r="E920" s="190">
        <v>42643</v>
      </c>
      <c r="F920" s="292" t="s">
        <v>489</v>
      </c>
      <c r="G920" s="833" t="s">
        <v>1775</v>
      </c>
      <c r="H920" s="253">
        <v>50</v>
      </c>
      <c r="I920" s="253">
        <v>38130</v>
      </c>
      <c r="J920" s="874">
        <f t="shared" si="48"/>
        <v>11500</v>
      </c>
      <c r="L920" s="874">
        <f t="shared" si="47"/>
        <v>0</v>
      </c>
    </row>
    <row r="921" spans="2:12" hidden="1">
      <c r="B921" s="855" t="s">
        <v>489</v>
      </c>
      <c r="C921" s="842">
        <v>24</v>
      </c>
      <c r="D921" s="842">
        <v>37900</v>
      </c>
      <c r="E921" s="190">
        <v>42643</v>
      </c>
      <c r="F921" s="292" t="s">
        <v>489</v>
      </c>
      <c r="G921" s="833" t="s">
        <v>1775</v>
      </c>
      <c r="H921" s="253">
        <v>24</v>
      </c>
      <c r="I921" s="253">
        <v>38139</v>
      </c>
      <c r="J921" s="874">
        <f t="shared" si="48"/>
        <v>5736</v>
      </c>
      <c r="L921" s="874">
        <f t="shared" si="47"/>
        <v>0</v>
      </c>
    </row>
    <row r="922" spans="2:12" hidden="1">
      <c r="B922" s="855" t="s">
        <v>1749</v>
      </c>
      <c r="C922" s="842">
        <v>40</v>
      </c>
      <c r="D922" s="842">
        <v>38000</v>
      </c>
      <c r="E922" s="190">
        <v>42643</v>
      </c>
      <c r="F922" s="292" t="s">
        <v>1749</v>
      </c>
      <c r="G922" s="833" t="s">
        <v>1775</v>
      </c>
      <c r="H922" s="253">
        <v>40</v>
      </c>
      <c r="I922" s="253">
        <v>38456</v>
      </c>
      <c r="J922" s="874">
        <f t="shared" si="48"/>
        <v>18240</v>
      </c>
      <c r="L922" s="874">
        <f t="shared" si="47"/>
        <v>0</v>
      </c>
    </row>
    <row r="923" spans="2:12" hidden="1">
      <c r="B923" s="855" t="s">
        <v>871</v>
      </c>
      <c r="C923" s="842">
        <v>7</v>
      </c>
      <c r="D923" s="842">
        <v>40000</v>
      </c>
      <c r="E923" s="190">
        <v>42643</v>
      </c>
      <c r="F923" s="292" t="s">
        <v>871</v>
      </c>
      <c r="G923" s="833" t="s">
        <v>1775</v>
      </c>
      <c r="H923" s="253">
        <v>7</v>
      </c>
      <c r="I923" s="253">
        <v>40602</v>
      </c>
      <c r="J923" s="874">
        <f t="shared" si="48"/>
        <v>4214</v>
      </c>
      <c r="L923" s="874">
        <f t="shared" si="47"/>
        <v>0</v>
      </c>
    </row>
    <row r="924" spans="2:12" hidden="1">
      <c r="B924" s="855" t="s">
        <v>1750</v>
      </c>
      <c r="C924" s="842">
        <v>12</v>
      </c>
      <c r="D924" s="842">
        <v>40100</v>
      </c>
      <c r="E924" s="190">
        <v>42643</v>
      </c>
      <c r="F924" s="292" t="s">
        <v>1750</v>
      </c>
      <c r="G924" s="833" t="s">
        <v>1775</v>
      </c>
      <c r="H924" s="253">
        <v>12</v>
      </c>
      <c r="I924" s="253">
        <v>40780</v>
      </c>
      <c r="J924" s="874">
        <f t="shared" si="48"/>
        <v>8160</v>
      </c>
      <c r="L924" s="874">
        <f t="shared" si="47"/>
        <v>0</v>
      </c>
    </row>
    <row r="925" spans="2:12" hidden="1">
      <c r="B925" s="855" t="s">
        <v>1751</v>
      </c>
      <c r="C925" s="842">
        <v>6</v>
      </c>
      <c r="D925" s="842">
        <v>43000</v>
      </c>
      <c r="E925" s="190">
        <v>42643</v>
      </c>
      <c r="F925" s="292" t="s">
        <v>1751</v>
      </c>
      <c r="G925" s="833" t="s">
        <v>1775</v>
      </c>
      <c r="H925" s="253">
        <v>6</v>
      </c>
      <c r="I925" s="253">
        <v>43205</v>
      </c>
      <c r="J925" s="874">
        <f t="shared" si="48"/>
        <v>1230</v>
      </c>
      <c r="L925" s="874">
        <f t="shared" si="47"/>
        <v>0</v>
      </c>
    </row>
    <row r="926" spans="2:12" hidden="1">
      <c r="B926" s="855" t="s">
        <v>1751</v>
      </c>
      <c r="C926" s="842">
        <v>24</v>
      </c>
      <c r="D926" s="842">
        <v>43400</v>
      </c>
      <c r="E926" s="190">
        <v>42643</v>
      </c>
      <c r="F926" s="292" t="s">
        <v>1751</v>
      </c>
      <c r="G926" s="833" t="s">
        <v>1775</v>
      </c>
      <c r="H926" s="253">
        <v>24</v>
      </c>
      <c r="I926" s="253">
        <v>43891</v>
      </c>
      <c r="J926" s="874">
        <f t="shared" si="48"/>
        <v>11784</v>
      </c>
      <c r="L926" s="874">
        <f t="shared" si="47"/>
        <v>0</v>
      </c>
    </row>
    <row r="927" spans="2:12" hidden="1">
      <c r="B927" s="855" t="s">
        <v>487</v>
      </c>
      <c r="C927" s="842">
        <v>92</v>
      </c>
      <c r="D927" s="842">
        <v>43500</v>
      </c>
      <c r="E927" s="190">
        <v>42643</v>
      </c>
      <c r="F927" s="292" t="s">
        <v>487</v>
      </c>
      <c r="G927" s="833" t="s">
        <v>1775</v>
      </c>
      <c r="H927" s="253">
        <v>92</v>
      </c>
      <c r="I927" s="253">
        <v>44193</v>
      </c>
      <c r="J927" s="874">
        <f t="shared" si="48"/>
        <v>63756</v>
      </c>
      <c r="L927" s="874">
        <f t="shared" si="47"/>
        <v>0</v>
      </c>
    </row>
    <row r="928" spans="2:12" hidden="1">
      <c r="B928" s="855" t="s">
        <v>524</v>
      </c>
      <c r="C928" s="842">
        <v>6</v>
      </c>
      <c r="D928" s="842">
        <v>46000</v>
      </c>
      <c r="E928" s="190">
        <v>42643</v>
      </c>
      <c r="F928" s="292" t="s">
        <v>524</v>
      </c>
      <c r="G928" s="833" t="s">
        <v>1775</v>
      </c>
      <c r="H928" s="253">
        <v>6</v>
      </c>
      <c r="I928" s="253">
        <v>46360</v>
      </c>
      <c r="J928" s="874">
        <f t="shared" si="48"/>
        <v>2160</v>
      </c>
      <c r="L928" s="874">
        <f t="shared" si="47"/>
        <v>0</v>
      </c>
    </row>
    <row r="929" spans="2:12" hidden="1">
      <c r="B929" s="855" t="s">
        <v>511</v>
      </c>
      <c r="C929" s="842">
        <v>8</v>
      </c>
      <c r="D929" s="842">
        <v>47000</v>
      </c>
      <c r="E929" s="190">
        <v>42643</v>
      </c>
      <c r="F929" s="292" t="s">
        <v>511</v>
      </c>
      <c r="G929" s="833" t="s">
        <v>1775</v>
      </c>
      <c r="H929" s="253">
        <v>8</v>
      </c>
      <c r="I929" s="253">
        <v>47320</v>
      </c>
      <c r="J929" s="874">
        <f t="shared" si="48"/>
        <v>2560</v>
      </c>
      <c r="L929" s="874">
        <f t="shared" si="47"/>
        <v>0</v>
      </c>
    </row>
    <row r="930" spans="2:12" hidden="1">
      <c r="B930" s="855" t="s">
        <v>1752</v>
      </c>
      <c r="C930" s="842">
        <v>4</v>
      </c>
      <c r="D930" s="842">
        <v>47200</v>
      </c>
      <c r="E930" s="190">
        <v>42643</v>
      </c>
      <c r="F930" s="292" t="s">
        <v>1752</v>
      </c>
      <c r="G930" s="833" t="s">
        <v>1775</v>
      </c>
      <c r="H930" s="253">
        <v>4</v>
      </c>
      <c r="I930" s="253">
        <v>47648</v>
      </c>
      <c r="J930" s="874">
        <f t="shared" si="48"/>
        <v>1792</v>
      </c>
      <c r="L930" s="874">
        <f t="shared" si="47"/>
        <v>0</v>
      </c>
    </row>
    <row r="931" spans="2:12" hidden="1">
      <c r="B931" s="855" t="s">
        <v>1753</v>
      </c>
      <c r="C931" s="842">
        <v>24</v>
      </c>
      <c r="D931" s="842">
        <v>47500</v>
      </c>
      <c r="E931" s="190">
        <v>42643</v>
      </c>
      <c r="F931" s="292" t="s">
        <v>1753</v>
      </c>
      <c r="G931" s="833" t="s">
        <v>1775</v>
      </c>
      <c r="H931" s="253">
        <v>24</v>
      </c>
      <c r="I931" s="253">
        <v>47904</v>
      </c>
      <c r="J931" s="874">
        <f t="shared" si="48"/>
        <v>9696</v>
      </c>
      <c r="L931" s="874">
        <f t="shared" si="47"/>
        <v>0</v>
      </c>
    </row>
    <row r="932" spans="2:12" hidden="1">
      <c r="B932" s="855" t="s">
        <v>1754</v>
      </c>
      <c r="C932" s="842">
        <v>12</v>
      </c>
      <c r="D932" s="842">
        <v>48500</v>
      </c>
      <c r="E932" s="190">
        <v>42643</v>
      </c>
      <c r="F932" s="292" t="s">
        <v>1754</v>
      </c>
      <c r="G932" s="833" t="s">
        <v>1775</v>
      </c>
      <c r="H932" s="253">
        <v>12</v>
      </c>
      <c r="I932" s="253">
        <v>49103</v>
      </c>
      <c r="J932" s="874">
        <f t="shared" si="48"/>
        <v>7236</v>
      </c>
      <c r="L932" s="874">
        <f t="shared" si="47"/>
        <v>0</v>
      </c>
    </row>
    <row r="933" spans="2:12" hidden="1">
      <c r="B933" s="855" t="s">
        <v>1755</v>
      </c>
      <c r="C933" s="842">
        <v>50</v>
      </c>
      <c r="D933" s="842">
        <v>51300</v>
      </c>
      <c r="E933" s="190">
        <v>42643</v>
      </c>
      <c r="F933" s="292" t="s">
        <v>1755</v>
      </c>
      <c r="G933" s="833" t="s">
        <v>1775</v>
      </c>
      <c r="H933" s="253">
        <v>50</v>
      </c>
      <c r="I933" s="253">
        <v>51566</v>
      </c>
      <c r="J933" s="874">
        <f t="shared" si="48"/>
        <v>13300</v>
      </c>
      <c r="L933" s="874">
        <f t="shared" si="47"/>
        <v>0</v>
      </c>
    </row>
    <row r="934" spans="2:12" hidden="1">
      <c r="B934" s="855" t="s">
        <v>1756</v>
      </c>
      <c r="C934" s="842">
        <v>16</v>
      </c>
      <c r="D934" s="842">
        <v>52000</v>
      </c>
      <c r="E934" s="190">
        <v>42643</v>
      </c>
      <c r="F934" s="292" t="s">
        <v>1756</v>
      </c>
      <c r="G934" s="833" t="s">
        <v>1775</v>
      </c>
      <c r="H934" s="253">
        <v>16</v>
      </c>
      <c r="I934" s="253">
        <v>52159</v>
      </c>
      <c r="J934" s="874">
        <f t="shared" si="48"/>
        <v>2544</v>
      </c>
      <c r="L934" s="874">
        <f t="shared" si="47"/>
        <v>0</v>
      </c>
    </row>
    <row r="935" spans="2:12" hidden="1">
      <c r="B935" s="855" t="s">
        <v>483</v>
      </c>
      <c r="C935" s="842">
        <v>10</v>
      </c>
      <c r="D935" s="842">
        <v>53500</v>
      </c>
      <c r="E935" s="190">
        <v>42643</v>
      </c>
      <c r="F935" s="292" t="s">
        <v>483</v>
      </c>
      <c r="G935" s="833" t="s">
        <v>1775</v>
      </c>
      <c r="H935" s="253">
        <v>10</v>
      </c>
      <c r="I935" s="253">
        <v>53873</v>
      </c>
      <c r="J935" s="874">
        <f t="shared" si="48"/>
        <v>3730</v>
      </c>
      <c r="L935" s="874">
        <f t="shared" si="47"/>
        <v>0</v>
      </c>
    </row>
    <row r="936" spans="2:12" hidden="1">
      <c r="B936" s="855" t="s">
        <v>1757</v>
      </c>
      <c r="C936" s="842">
        <v>20</v>
      </c>
      <c r="D936" s="842">
        <v>55001</v>
      </c>
      <c r="E936" s="190">
        <v>42643</v>
      </c>
      <c r="F936" s="292" t="s">
        <v>1757</v>
      </c>
      <c r="G936" s="833" t="s">
        <v>1775</v>
      </c>
      <c r="H936" s="253">
        <v>20</v>
      </c>
      <c r="I936" s="253">
        <v>55358</v>
      </c>
      <c r="J936" s="874">
        <f t="shared" si="48"/>
        <v>7140</v>
      </c>
      <c r="L936" s="874">
        <f t="shared" si="47"/>
        <v>0</v>
      </c>
    </row>
    <row r="937" spans="2:12" hidden="1">
      <c r="B937" s="855" t="s">
        <v>488</v>
      </c>
      <c r="C937" s="842">
        <v>24</v>
      </c>
      <c r="D937" s="842">
        <v>55500</v>
      </c>
      <c r="E937" s="190">
        <v>42643</v>
      </c>
      <c r="F937" s="292" t="s">
        <v>488</v>
      </c>
      <c r="G937" s="833" t="s">
        <v>1775</v>
      </c>
      <c r="H937" s="253">
        <v>24</v>
      </c>
      <c r="I937" s="253">
        <v>56030</v>
      </c>
      <c r="J937" s="874">
        <f t="shared" si="48"/>
        <v>12720</v>
      </c>
      <c r="L937" s="874">
        <f t="shared" si="47"/>
        <v>0</v>
      </c>
    </row>
    <row r="938" spans="2:12" hidden="1">
      <c r="B938" s="855" t="s">
        <v>1758</v>
      </c>
      <c r="C938" s="842">
        <v>6</v>
      </c>
      <c r="D938" s="842">
        <v>56000</v>
      </c>
      <c r="E938" s="190">
        <v>42643</v>
      </c>
      <c r="F938" s="292" t="s">
        <v>1758</v>
      </c>
      <c r="G938" s="833" t="s">
        <v>1775</v>
      </c>
      <c r="H938" s="253">
        <v>6</v>
      </c>
      <c r="I938" s="253">
        <v>56391</v>
      </c>
      <c r="J938" s="874">
        <f t="shared" si="48"/>
        <v>2346</v>
      </c>
      <c r="L938" s="874">
        <f t="shared" si="47"/>
        <v>0</v>
      </c>
    </row>
    <row r="939" spans="2:12" hidden="1">
      <c r="B939" s="855" t="s">
        <v>1759</v>
      </c>
      <c r="C939" s="842">
        <v>6</v>
      </c>
      <c r="D939" s="842">
        <v>56400</v>
      </c>
      <c r="E939" s="190">
        <v>42643</v>
      </c>
      <c r="F939" s="292" t="s">
        <v>1759</v>
      </c>
      <c r="G939" s="833" t="s">
        <v>1775</v>
      </c>
      <c r="H939" s="253">
        <v>6</v>
      </c>
      <c r="I939" s="253">
        <v>56794</v>
      </c>
      <c r="J939" s="874">
        <f t="shared" si="48"/>
        <v>2364</v>
      </c>
      <c r="L939" s="874">
        <f t="shared" si="47"/>
        <v>0</v>
      </c>
    </row>
    <row r="940" spans="2:12" hidden="1">
      <c r="B940" s="855" t="s">
        <v>1760</v>
      </c>
      <c r="C940" s="842">
        <v>20</v>
      </c>
      <c r="D940" s="842">
        <v>62700</v>
      </c>
      <c r="E940" s="190">
        <v>42643</v>
      </c>
      <c r="F940" s="292" t="s">
        <v>1760</v>
      </c>
      <c r="G940" s="833" t="s">
        <v>1775</v>
      </c>
      <c r="H940" s="253">
        <v>20</v>
      </c>
      <c r="I940" s="253">
        <v>63032</v>
      </c>
      <c r="J940" s="874">
        <f t="shared" si="48"/>
        <v>6640</v>
      </c>
      <c r="L940" s="874">
        <f t="shared" si="47"/>
        <v>0</v>
      </c>
    </row>
    <row r="941" spans="2:12" hidden="1">
      <c r="B941" s="855" t="s">
        <v>1761</v>
      </c>
      <c r="C941" s="842">
        <v>58</v>
      </c>
      <c r="D941" s="842">
        <v>63000</v>
      </c>
      <c r="E941" s="190">
        <v>42643</v>
      </c>
      <c r="F941" s="292" t="s">
        <v>1761</v>
      </c>
      <c r="G941" s="833" t="s">
        <v>1775</v>
      </c>
      <c r="H941" s="253">
        <v>58</v>
      </c>
      <c r="I941" s="253">
        <v>63122</v>
      </c>
      <c r="J941" s="874">
        <f t="shared" si="48"/>
        <v>7076</v>
      </c>
      <c r="L941" s="874">
        <f t="shared" si="47"/>
        <v>0</v>
      </c>
    </row>
    <row r="942" spans="2:12" hidden="1">
      <c r="B942" s="855" t="s">
        <v>1762</v>
      </c>
      <c r="C942" s="842">
        <v>23</v>
      </c>
      <c r="D942" s="842">
        <v>63860</v>
      </c>
      <c r="E942" s="190">
        <v>42643</v>
      </c>
      <c r="F942" s="292" t="s">
        <v>1762</v>
      </c>
      <c r="G942" s="833" t="s">
        <v>1775</v>
      </c>
      <c r="H942" s="253">
        <v>23</v>
      </c>
      <c r="I942" s="253">
        <v>64512</v>
      </c>
      <c r="J942" s="874">
        <f t="shared" si="48"/>
        <v>14996</v>
      </c>
      <c r="L942" s="874">
        <f t="shared" si="47"/>
        <v>0</v>
      </c>
    </row>
    <row r="943" spans="2:12" hidden="1">
      <c r="B943" s="855" t="s">
        <v>1763</v>
      </c>
      <c r="C943" s="842">
        <v>20</v>
      </c>
      <c r="D943" s="842">
        <v>68000</v>
      </c>
      <c r="E943" s="190">
        <v>42643</v>
      </c>
      <c r="F943" s="292" t="s">
        <v>1763</v>
      </c>
      <c r="G943" s="833" t="s">
        <v>1775</v>
      </c>
      <c r="H943" s="253">
        <v>20</v>
      </c>
      <c r="I943" s="253">
        <v>68271</v>
      </c>
      <c r="J943" s="874">
        <f t="shared" si="48"/>
        <v>5420</v>
      </c>
      <c r="L943" s="874">
        <f t="shared" si="47"/>
        <v>0</v>
      </c>
    </row>
    <row r="944" spans="2:12" hidden="1">
      <c r="B944" s="855" t="s">
        <v>1764</v>
      </c>
      <c r="C944" s="842">
        <v>4</v>
      </c>
      <c r="D944" s="842">
        <v>70000</v>
      </c>
      <c r="E944" s="190">
        <v>42643</v>
      </c>
      <c r="F944" s="292" t="s">
        <v>1764</v>
      </c>
      <c r="G944" s="833" t="s">
        <v>1775</v>
      </c>
      <c r="H944" s="253">
        <v>4</v>
      </c>
      <c r="I944" s="253">
        <v>70391</v>
      </c>
      <c r="J944" s="874">
        <f t="shared" si="48"/>
        <v>1564</v>
      </c>
      <c r="L944" s="874">
        <f t="shared" si="47"/>
        <v>0</v>
      </c>
    </row>
    <row r="945" spans="2:12" hidden="1">
      <c r="B945" s="855" t="s">
        <v>1765</v>
      </c>
      <c r="C945" s="842">
        <v>6</v>
      </c>
      <c r="D945" s="842">
        <v>71800</v>
      </c>
      <c r="E945" s="190">
        <v>42643</v>
      </c>
      <c r="F945" s="292" t="s">
        <v>1765</v>
      </c>
      <c r="G945" s="833" t="s">
        <v>1775</v>
      </c>
      <c r="H945" s="253">
        <v>6</v>
      </c>
      <c r="I945" s="253">
        <v>72126</v>
      </c>
      <c r="J945" s="874">
        <f t="shared" si="48"/>
        <v>1956</v>
      </c>
      <c r="L945" s="874">
        <f t="shared" si="47"/>
        <v>0</v>
      </c>
    </row>
    <row r="946" spans="2:12" hidden="1">
      <c r="B946" s="855" t="s">
        <v>1766</v>
      </c>
      <c r="C946" s="842">
        <v>20</v>
      </c>
      <c r="D946" s="842">
        <v>71901</v>
      </c>
      <c r="E946" s="190">
        <v>42643</v>
      </c>
      <c r="F946" s="292" t="s">
        <v>1766</v>
      </c>
      <c r="G946" s="833" t="s">
        <v>1775</v>
      </c>
      <c r="H946" s="253">
        <v>20</v>
      </c>
      <c r="I946" s="253">
        <v>72558</v>
      </c>
      <c r="J946" s="874">
        <f t="shared" si="48"/>
        <v>13140</v>
      </c>
      <c r="L946" s="874">
        <f t="shared" si="47"/>
        <v>0</v>
      </c>
    </row>
    <row r="947" spans="2:12" hidden="1">
      <c r="B947" s="855" t="s">
        <v>1767</v>
      </c>
      <c r="C947" s="842">
        <v>6</v>
      </c>
      <c r="D947" s="842">
        <v>74000</v>
      </c>
      <c r="E947" s="190">
        <v>42643</v>
      </c>
      <c r="F947" s="292" t="s">
        <v>1767</v>
      </c>
      <c r="G947" s="833" t="s">
        <v>1775</v>
      </c>
      <c r="H947" s="253">
        <v>6</v>
      </c>
      <c r="I947" s="253">
        <v>74714</v>
      </c>
      <c r="J947" s="874">
        <f t="shared" si="48"/>
        <v>4284</v>
      </c>
      <c r="L947" s="874">
        <f t="shared" si="47"/>
        <v>0</v>
      </c>
    </row>
    <row r="948" spans="2:12" hidden="1">
      <c r="B948" s="855" t="s">
        <v>1768</v>
      </c>
      <c r="C948" s="842">
        <v>6</v>
      </c>
      <c r="D948" s="842">
        <v>75000</v>
      </c>
      <c r="E948" s="190">
        <v>42643</v>
      </c>
      <c r="F948" s="292" t="s">
        <v>1768</v>
      </c>
      <c r="G948" s="833" t="s">
        <v>1775</v>
      </c>
      <c r="H948" s="253">
        <v>6</v>
      </c>
      <c r="I948" s="253">
        <v>75387</v>
      </c>
      <c r="J948" s="874">
        <f t="shared" ref="J948:J955" si="49">(I948-D948)*C948</f>
        <v>2322</v>
      </c>
      <c r="L948" s="874">
        <f t="shared" si="47"/>
        <v>0</v>
      </c>
    </row>
    <row r="949" spans="2:12" hidden="1">
      <c r="B949" s="855" t="s">
        <v>1769</v>
      </c>
      <c r="C949" s="842">
        <v>4</v>
      </c>
      <c r="D949" s="842">
        <v>92600</v>
      </c>
      <c r="E949" s="190">
        <v>42643</v>
      </c>
      <c r="F949" s="292" t="s">
        <v>1769</v>
      </c>
      <c r="G949" s="833" t="s">
        <v>1775</v>
      </c>
      <c r="H949" s="253">
        <v>4</v>
      </c>
      <c r="I949" s="253">
        <v>92911</v>
      </c>
      <c r="J949" s="874">
        <f t="shared" si="49"/>
        <v>1244</v>
      </c>
      <c r="L949" s="874">
        <f t="shared" si="47"/>
        <v>0</v>
      </c>
    </row>
    <row r="950" spans="2:12" hidden="1">
      <c r="B950" s="855" t="s">
        <v>1770</v>
      </c>
      <c r="C950" s="842">
        <v>7</v>
      </c>
      <c r="D950" s="842">
        <v>92801</v>
      </c>
      <c r="E950" s="190">
        <v>42643</v>
      </c>
      <c r="F950" s="292" t="s">
        <v>1770</v>
      </c>
      <c r="G950" s="833" t="s">
        <v>1775</v>
      </c>
      <c r="H950" s="253">
        <v>7</v>
      </c>
      <c r="I950" s="253">
        <v>93260</v>
      </c>
      <c r="J950" s="874">
        <f t="shared" si="49"/>
        <v>3213</v>
      </c>
      <c r="L950" s="874">
        <f t="shared" si="47"/>
        <v>0</v>
      </c>
    </row>
    <row r="951" spans="2:12" hidden="1">
      <c r="B951" s="855" t="s">
        <v>1771</v>
      </c>
      <c r="C951" s="842">
        <v>12</v>
      </c>
      <c r="D951" s="842">
        <v>97000</v>
      </c>
      <c r="E951" s="190">
        <v>42643</v>
      </c>
      <c r="F951" s="292" t="s">
        <v>1771</v>
      </c>
      <c r="G951" s="833" t="s">
        <v>1775</v>
      </c>
      <c r="H951" s="253">
        <v>12</v>
      </c>
      <c r="I951" s="253">
        <v>97612</v>
      </c>
      <c r="J951" s="874">
        <f t="shared" si="49"/>
        <v>7344</v>
      </c>
      <c r="L951" s="874">
        <f t="shared" si="47"/>
        <v>0</v>
      </c>
    </row>
    <row r="952" spans="2:12" hidden="1">
      <c r="B952" s="855" t="s">
        <v>1771</v>
      </c>
      <c r="C952" s="842">
        <v>36</v>
      </c>
      <c r="D952" s="842">
        <v>99000</v>
      </c>
      <c r="E952" s="190">
        <v>42643</v>
      </c>
      <c r="F952" s="292" t="s">
        <v>1771</v>
      </c>
      <c r="G952" s="833" t="s">
        <v>1775</v>
      </c>
      <c r="H952" s="253">
        <v>36</v>
      </c>
      <c r="I952" s="253">
        <v>99212</v>
      </c>
      <c r="J952" s="874">
        <f t="shared" si="49"/>
        <v>7632</v>
      </c>
      <c r="L952" s="874">
        <f t="shared" si="47"/>
        <v>0</v>
      </c>
    </row>
    <row r="953" spans="2:12" hidden="1">
      <c r="B953" s="855" t="s">
        <v>502</v>
      </c>
      <c r="C953" s="842">
        <v>25</v>
      </c>
      <c r="D953" s="842">
        <v>99500</v>
      </c>
      <c r="E953" s="190">
        <v>42643</v>
      </c>
      <c r="F953" s="292" t="s">
        <v>502</v>
      </c>
      <c r="G953" s="833" t="s">
        <v>1775</v>
      </c>
      <c r="H953" s="253">
        <v>25</v>
      </c>
      <c r="I953" s="253">
        <v>100330</v>
      </c>
      <c r="J953" s="874">
        <f t="shared" si="49"/>
        <v>20750</v>
      </c>
      <c r="L953" s="874">
        <f t="shared" si="47"/>
        <v>0</v>
      </c>
    </row>
    <row r="954" spans="2:12" hidden="1">
      <c r="B954" s="855" t="s">
        <v>1753</v>
      </c>
      <c r="C954" s="842">
        <v>8</v>
      </c>
      <c r="D954" s="842">
        <v>101000</v>
      </c>
      <c r="E954" s="190">
        <v>42643</v>
      </c>
      <c r="F954" s="292" t="s">
        <v>1753</v>
      </c>
      <c r="G954" s="833" t="s">
        <v>1775</v>
      </c>
      <c r="H954" s="253">
        <v>8</v>
      </c>
      <c r="I954" s="253">
        <v>102098</v>
      </c>
      <c r="J954" s="874">
        <f t="shared" si="49"/>
        <v>8784</v>
      </c>
      <c r="L954" s="874">
        <f t="shared" si="47"/>
        <v>0</v>
      </c>
    </row>
    <row r="955" spans="2:12" hidden="1">
      <c r="B955" s="855" t="s">
        <v>1772</v>
      </c>
      <c r="C955" s="842">
        <v>8</v>
      </c>
      <c r="D955" s="842">
        <v>107300</v>
      </c>
      <c r="E955" s="190">
        <v>42643</v>
      </c>
      <c r="F955" s="292" t="s">
        <v>1772</v>
      </c>
      <c r="G955" s="833" t="s">
        <v>1775</v>
      </c>
      <c r="H955" s="253">
        <v>8</v>
      </c>
      <c r="I955" s="253">
        <v>107747</v>
      </c>
      <c r="J955" s="874">
        <f t="shared" si="49"/>
        <v>3576</v>
      </c>
      <c r="L955" s="874">
        <f>C955-H955</f>
        <v>0</v>
      </c>
    </row>
  </sheetData>
  <autoFilter ref="A560:S955">
    <filterColumn colId="1">
      <filters blank="1"/>
    </filterColumn>
  </autoFilter>
  <mergeCells count="5">
    <mergeCell ref="C1:F1"/>
    <mergeCell ref="C2:F2"/>
    <mergeCell ref="C3:F3"/>
    <mergeCell ref="A10:F10"/>
    <mergeCell ref="A12:F12"/>
  </mergeCells>
  <pageMargins left="0.87" right="0.22" top="0.67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7:G52"/>
  <sheetViews>
    <sheetView topLeftCell="A40" workbookViewId="0">
      <selection activeCell="F48" sqref="F48:F52"/>
    </sheetView>
  </sheetViews>
  <sheetFormatPr defaultRowHeight="12.75"/>
  <cols>
    <col min="5" max="5" width="15.140625" customWidth="1"/>
    <col min="6" max="6" width="12.7109375" customWidth="1"/>
  </cols>
  <sheetData>
    <row r="7" spans="5:7">
      <c r="E7" s="893">
        <v>26243750</v>
      </c>
      <c r="F7" s="860">
        <v>26243750</v>
      </c>
      <c r="G7" s="932">
        <f>E7-F7</f>
        <v>0</v>
      </c>
    </row>
    <row r="8" spans="5:7">
      <c r="E8" s="25">
        <v>2002600</v>
      </c>
      <c r="F8" s="860">
        <v>2002600</v>
      </c>
      <c r="G8" s="932">
        <f t="shared" ref="G8:G52" si="0">E8-F8</f>
        <v>0</v>
      </c>
    </row>
    <row r="9" spans="5:7">
      <c r="E9" s="25">
        <v>8771000</v>
      </c>
      <c r="F9" s="860">
        <v>8771000</v>
      </c>
      <c r="G9" s="932">
        <f t="shared" si="0"/>
        <v>0</v>
      </c>
    </row>
    <row r="10" spans="5:7">
      <c r="E10" s="25">
        <v>8150850</v>
      </c>
      <c r="F10" s="860">
        <v>8150850</v>
      </c>
      <c r="G10" s="932">
        <f t="shared" si="0"/>
        <v>0</v>
      </c>
    </row>
    <row r="11" spans="5:7">
      <c r="E11" s="25">
        <v>5439690</v>
      </c>
      <c r="F11" s="860">
        <v>5439690</v>
      </c>
      <c r="G11" s="932">
        <f t="shared" si="0"/>
        <v>0</v>
      </c>
    </row>
    <row r="12" spans="5:7">
      <c r="E12" s="25">
        <v>17319330</v>
      </c>
      <c r="F12" s="860">
        <v>17319330</v>
      </c>
      <c r="G12" s="932">
        <f t="shared" si="0"/>
        <v>0</v>
      </c>
    </row>
    <row r="13" spans="5:7">
      <c r="E13" s="25">
        <v>11546220</v>
      </c>
      <c r="F13" s="860">
        <v>11546220</v>
      </c>
      <c r="G13" s="932">
        <f t="shared" si="0"/>
        <v>0</v>
      </c>
    </row>
    <row r="14" spans="5:7">
      <c r="E14" s="25">
        <v>5926520</v>
      </c>
      <c r="F14" s="860">
        <v>5926520</v>
      </c>
      <c r="G14" s="932">
        <f t="shared" si="0"/>
        <v>0</v>
      </c>
    </row>
    <row r="15" spans="5:7">
      <c r="E15" s="25">
        <v>7172748</v>
      </c>
      <c r="F15" s="860">
        <v>7172748</v>
      </c>
      <c r="G15" s="932">
        <f t="shared" si="0"/>
        <v>0</v>
      </c>
    </row>
    <row r="16" spans="5:7">
      <c r="E16" s="25">
        <v>2169900</v>
      </c>
      <c r="F16" s="860">
        <v>2169900</v>
      </c>
      <c r="G16" s="932">
        <f t="shared" si="0"/>
        <v>0</v>
      </c>
    </row>
    <row r="17" spans="5:7">
      <c r="E17" s="25">
        <v>8771000</v>
      </c>
      <c r="F17" s="860">
        <v>8771000</v>
      </c>
      <c r="G17" s="932">
        <f t="shared" si="0"/>
        <v>0</v>
      </c>
    </row>
    <row r="18" spans="5:7">
      <c r="E18" s="25">
        <v>8771000</v>
      </c>
      <c r="F18" s="860">
        <v>8771000</v>
      </c>
      <c r="G18" s="932">
        <f t="shared" si="0"/>
        <v>0</v>
      </c>
    </row>
    <row r="19" spans="5:7">
      <c r="E19" s="25">
        <v>2602596</v>
      </c>
      <c r="F19" s="860">
        <v>2602596</v>
      </c>
      <c r="G19" s="932">
        <f t="shared" si="0"/>
        <v>0</v>
      </c>
    </row>
    <row r="20" spans="5:7">
      <c r="E20" s="25">
        <v>26243750</v>
      </c>
      <c r="F20" s="860">
        <v>26243750</v>
      </c>
      <c r="G20" s="932">
        <f t="shared" si="0"/>
        <v>0</v>
      </c>
    </row>
    <row r="21" spans="5:7">
      <c r="E21" s="25">
        <v>26481750</v>
      </c>
      <c r="F21" s="860">
        <v>26481750</v>
      </c>
      <c r="G21" s="932">
        <f t="shared" si="0"/>
        <v>0</v>
      </c>
    </row>
    <row r="22" spans="5:7">
      <c r="E22" s="25">
        <v>2071000</v>
      </c>
      <c r="F22" s="860">
        <v>2071000</v>
      </c>
      <c r="G22" s="932">
        <f t="shared" si="0"/>
        <v>0</v>
      </c>
    </row>
    <row r="23" spans="5:7">
      <c r="E23" s="25">
        <v>8667000</v>
      </c>
      <c r="F23" s="860">
        <v>8667000</v>
      </c>
      <c r="G23" s="932">
        <f t="shared" si="0"/>
        <v>0</v>
      </c>
    </row>
    <row r="24" spans="5:7">
      <c r="E24" s="25">
        <v>8771000</v>
      </c>
      <c r="F24" s="860">
        <v>8771000</v>
      </c>
      <c r="G24" s="932">
        <f t="shared" si="0"/>
        <v>0</v>
      </c>
    </row>
    <row r="25" spans="5:7">
      <c r="E25" s="25">
        <v>6839280</v>
      </c>
      <c r="F25" s="860">
        <v>6839280</v>
      </c>
      <c r="G25" s="932">
        <f t="shared" si="0"/>
        <v>0</v>
      </c>
    </row>
    <row r="26" spans="5:7">
      <c r="E26" s="25">
        <v>11253000</v>
      </c>
      <c r="F26" s="860">
        <v>11253000</v>
      </c>
      <c r="G26" s="932">
        <f t="shared" si="0"/>
        <v>0</v>
      </c>
    </row>
    <row r="27" spans="5:7">
      <c r="E27" s="25">
        <v>9981820</v>
      </c>
      <c r="F27" s="860">
        <v>9981820</v>
      </c>
      <c r="G27" s="932">
        <f t="shared" si="0"/>
        <v>0</v>
      </c>
    </row>
    <row r="28" spans="5:7">
      <c r="E28" s="25">
        <v>1830136</v>
      </c>
      <c r="F28" s="860">
        <v>1830136</v>
      </c>
      <c r="G28" s="932">
        <f t="shared" si="0"/>
        <v>0</v>
      </c>
    </row>
    <row r="29" spans="5:7">
      <c r="E29" s="25">
        <v>4199832</v>
      </c>
      <c r="F29" s="860">
        <v>4199832</v>
      </c>
      <c r="G29" s="932">
        <f t="shared" si="0"/>
        <v>0</v>
      </c>
    </row>
    <row r="30" spans="5:7">
      <c r="E30" s="25">
        <v>5167600</v>
      </c>
      <c r="F30" s="860">
        <v>5167600</v>
      </c>
      <c r="G30" s="932">
        <f t="shared" si="0"/>
        <v>0</v>
      </c>
    </row>
    <row r="31" spans="5:7">
      <c r="E31" s="25">
        <v>29331250</v>
      </c>
      <c r="F31" s="860">
        <v>29331250</v>
      </c>
      <c r="G31" s="932">
        <f t="shared" si="0"/>
        <v>0</v>
      </c>
    </row>
    <row r="32" spans="5:7">
      <c r="E32" s="25">
        <v>29597250</v>
      </c>
      <c r="F32" s="860">
        <v>29597250</v>
      </c>
      <c r="G32" s="932">
        <f t="shared" si="0"/>
        <v>0</v>
      </c>
    </row>
    <row r="33" spans="5:7">
      <c r="E33" s="25">
        <v>3092544</v>
      </c>
      <c r="F33" s="860">
        <v>3092544</v>
      </c>
      <c r="G33" s="932">
        <f t="shared" si="0"/>
        <v>0</v>
      </c>
    </row>
    <row r="34" spans="5:7">
      <c r="E34" s="25">
        <v>3056469</v>
      </c>
      <c r="F34" s="860">
        <v>3056469</v>
      </c>
      <c r="G34" s="932">
        <f t="shared" si="0"/>
        <v>0</v>
      </c>
    </row>
    <row r="35" spans="5:7">
      <c r="E35" s="25">
        <v>4030320</v>
      </c>
      <c r="F35" s="860">
        <v>4030320</v>
      </c>
      <c r="G35" s="932">
        <f t="shared" si="0"/>
        <v>0</v>
      </c>
    </row>
    <row r="36" spans="5:7">
      <c r="E36" s="25">
        <v>2268608</v>
      </c>
      <c r="F36" s="860">
        <v>2268608</v>
      </c>
      <c r="G36" s="932">
        <f t="shared" si="0"/>
        <v>0</v>
      </c>
    </row>
    <row r="37" spans="5:7">
      <c r="E37" s="25">
        <v>1105236</v>
      </c>
      <c r="F37" s="860">
        <v>1105236</v>
      </c>
      <c r="G37" s="932">
        <f t="shared" si="0"/>
        <v>0</v>
      </c>
    </row>
    <row r="38" spans="5:7">
      <c r="E38" s="25">
        <v>614020</v>
      </c>
      <c r="F38" s="860">
        <v>614020</v>
      </c>
      <c r="G38" s="932">
        <f t="shared" si="0"/>
        <v>0</v>
      </c>
    </row>
    <row r="39" spans="5:7">
      <c r="E39" s="25">
        <v>728676</v>
      </c>
      <c r="F39" s="860">
        <v>728676</v>
      </c>
      <c r="G39" s="932">
        <f t="shared" si="0"/>
        <v>0</v>
      </c>
    </row>
    <row r="40" spans="5:7">
      <c r="E40" s="25">
        <v>2310640</v>
      </c>
      <c r="F40" s="860">
        <v>2310640</v>
      </c>
      <c r="G40" s="932">
        <f t="shared" si="0"/>
        <v>0</v>
      </c>
    </row>
    <row r="41" spans="5:7">
      <c r="E41" s="25">
        <v>1618700</v>
      </c>
      <c r="F41" s="860">
        <v>1618700</v>
      </c>
      <c r="G41" s="932">
        <f t="shared" si="0"/>
        <v>0</v>
      </c>
    </row>
    <row r="42" spans="5:7">
      <c r="E42" s="25">
        <v>715176</v>
      </c>
      <c r="F42" s="860">
        <v>715176</v>
      </c>
      <c r="G42" s="932">
        <f t="shared" si="0"/>
        <v>0</v>
      </c>
    </row>
    <row r="43" spans="5:7">
      <c r="E43" s="25">
        <v>2853684</v>
      </c>
      <c r="F43" s="860">
        <v>2853684</v>
      </c>
      <c r="G43" s="932">
        <f t="shared" si="0"/>
        <v>0</v>
      </c>
    </row>
    <row r="44" spans="5:7">
      <c r="E44" s="25">
        <v>1582333</v>
      </c>
      <c r="F44" s="860">
        <v>1582333</v>
      </c>
      <c r="G44" s="932">
        <f t="shared" si="0"/>
        <v>0</v>
      </c>
    </row>
    <row r="45" spans="5:7">
      <c r="E45" s="25">
        <v>506904</v>
      </c>
      <c r="F45" s="860">
        <v>506904</v>
      </c>
      <c r="G45" s="932">
        <f t="shared" si="0"/>
        <v>0</v>
      </c>
    </row>
    <row r="46" spans="5:7">
      <c r="E46" s="25">
        <v>1520712</v>
      </c>
      <c r="F46" s="860">
        <v>1520712</v>
      </c>
      <c r="G46" s="932">
        <f t="shared" si="0"/>
        <v>0</v>
      </c>
    </row>
    <row r="47" spans="5:7">
      <c r="E47" s="25">
        <v>2572880</v>
      </c>
      <c r="F47" s="860">
        <v>2572880</v>
      </c>
      <c r="G47" s="932">
        <f t="shared" si="0"/>
        <v>0</v>
      </c>
    </row>
    <row r="48" spans="5:7">
      <c r="E48" s="25">
        <v>1004124</v>
      </c>
      <c r="F48" s="860">
        <v>1004124</v>
      </c>
      <c r="G48" s="932">
        <f t="shared" si="0"/>
        <v>0</v>
      </c>
    </row>
    <row r="49" spans="5:7">
      <c r="E49" s="25">
        <v>739960</v>
      </c>
      <c r="F49" s="860">
        <v>739960</v>
      </c>
      <c r="G49" s="932">
        <f t="shared" si="0"/>
        <v>0</v>
      </c>
    </row>
    <row r="50" spans="5:7">
      <c r="E50" s="25">
        <v>723800</v>
      </c>
      <c r="F50" s="860">
        <v>723800</v>
      </c>
      <c r="G50" s="932">
        <f t="shared" si="0"/>
        <v>0</v>
      </c>
    </row>
    <row r="51" spans="5:7">
      <c r="E51" s="25">
        <v>17074750</v>
      </c>
      <c r="F51" s="860">
        <v>17074750</v>
      </c>
      <c r="G51" s="932">
        <f t="shared" si="0"/>
        <v>0</v>
      </c>
    </row>
    <row r="52" spans="5:7">
      <c r="G52" s="932">
        <f t="shared" si="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60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Sheet1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2016-10-13T05:36:50Z</dcterms:modified>
</cp:coreProperties>
</file>